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1.AzureAD\Downloads\"/>
    </mc:Choice>
  </mc:AlternateContent>
  <xr:revisionPtr revIDLastSave="0" documentId="13_ncr:1_{043C5733-ED11-4776-BA46-29E44C2388FB}" xr6:coauthVersionLast="47" xr6:coauthVersionMax="47" xr10:uidLastSave="{00000000-0000-0000-0000-000000000000}"/>
  <bookViews>
    <workbookView xWindow="-28920" yWindow="-120" windowWidth="29040" windowHeight="15840" firstSheet="22" activeTab="29" xr2:uid="{00000000-000D-0000-FFFF-FFFF00000000}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EV Ex Operating Leases" sheetId="9" r:id="rId8"/>
    <sheet name="Income - Adjusted" sheetId="10" r:id="rId9"/>
    <sheet name="Income - GAAP" sheetId="11" r:id="rId10"/>
    <sheet name="Income - As Reported" sheetId="12" r:id="rId11"/>
    <sheet name="Reconciliation" sheetId="13" r:id="rId12"/>
    <sheet name="SBC &amp; Amort" sheetId="14" r:id="rId13"/>
    <sheet name="Adj %" sheetId="15" r:id="rId14"/>
    <sheet name="GAAP %" sheetId="16" r:id="rId15"/>
    <sheet name="Bal Sheet - Standardized" sheetId="17" r:id="rId16"/>
    <sheet name="Bal Sheet - As Reported" sheetId="18" r:id="rId17"/>
    <sheet name="Bal Sheet - Common Size" sheetId="19" r:id="rId18"/>
    <sheet name="Fair Value Analysis" sheetId="20" r:id="rId19"/>
    <sheet name="Cash Flow - Standardized" sheetId="21" r:id="rId20"/>
    <sheet name="Cash Flow - As Reported" sheetId="22" r:id="rId21"/>
    <sheet name="Profitability" sheetId="23" r:id="rId22"/>
    <sheet name="Growth" sheetId="24" r:id="rId23"/>
    <sheet name="Credit" sheetId="25" r:id="rId24"/>
    <sheet name="Credit Ex Operating Leases" sheetId="26" r:id="rId25"/>
    <sheet name="Liquidity" sheetId="27" r:id="rId26"/>
    <sheet name="Working Capital" sheetId="28" r:id="rId27"/>
    <sheet name="Yield Analysis" sheetId="29" r:id="rId28"/>
    <sheet name="DuPont Analysis" sheetId="30" r:id="rId29"/>
    <sheet name="By Measure" sheetId="31" r:id="rId30"/>
    <sheet name="By Geography" sheetId="32" r:id="rId31"/>
    <sheet name="By Segment" sheetId="33" r:id="rId32"/>
    <sheet name="ESG Ratios" sheetId="34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6" l="1"/>
  <c r="J14" i="4"/>
  <c r="J42" i="4"/>
  <c r="K8" i="8"/>
  <c r="T21" i="3"/>
  <c r="Q15" i="5"/>
  <c r="Q14" i="6"/>
  <c r="R35" i="4"/>
  <c r="R15" i="4"/>
  <c r="R26" i="7"/>
  <c r="R7" i="4"/>
  <c r="Q22" i="5"/>
  <c r="S14" i="8"/>
  <c r="R49" i="4"/>
  <c r="Q8" i="6"/>
  <c r="Q15" i="9"/>
  <c r="R28" i="4"/>
  <c r="R42" i="4"/>
  <c r="R27" i="7"/>
  <c r="Q12" i="6"/>
  <c r="R21" i="4"/>
  <c r="R14" i="4"/>
  <c r="Q13" i="6"/>
  <c r="Q9" i="6"/>
  <c r="S9" i="8"/>
  <c r="Q33" i="6"/>
  <c r="R36" i="4"/>
  <c r="D22" i="5"/>
  <c r="F8" i="8"/>
  <c r="F13" i="8"/>
  <c r="E28" i="4"/>
  <c r="P38" i="6"/>
  <c r="X8" i="2"/>
  <c r="D22" i="7"/>
  <c r="D28" i="4"/>
  <c r="D26" i="7"/>
  <c r="C10" i="6"/>
  <c r="O28" i="4"/>
  <c r="N13" i="6"/>
  <c r="O26" i="7"/>
  <c r="N15" i="6"/>
  <c r="V24" i="2"/>
  <c r="E22" i="4"/>
  <c r="N25" i="3"/>
  <c r="O25" i="3"/>
  <c r="M21" i="5"/>
  <c r="Q25" i="3"/>
  <c r="F39" i="6"/>
  <c r="T24" i="2"/>
  <c r="D50" i="4"/>
  <c r="W13" i="8"/>
  <c r="U7" i="6"/>
  <c r="U12" i="6"/>
  <c r="W6" i="8"/>
  <c r="U32" i="6"/>
  <c r="U15" i="6"/>
  <c r="V42" i="4"/>
  <c r="W8" i="8"/>
  <c r="U10" i="6"/>
  <c r="U14" i="6"/>
  <c r="U13" i="6"/>
  <c r="V36" i="4"/>
  <c r="V25" i="7"/>
  <c r="U15" i="9"/>
  <c r="V7" i="4"/>
  <c r="V14" i="4"/>
  <c r="U22" i="5"/>
  <c r="V28" i="4"/>
  <c r="V35" i="4"/>
  <c r="W10" i="8"/>
  <c r="U34" i="6"/>
  <c r="U8" i="6"/>
  <c r="V49" i="4"/>
  <c r="V21" i="4"/>
  <c r="M15" i="6"/>
  <c r="N42" i="4"/>
  <c r="M22" i="9"/>
  <c r="O7" i="8"/>
  <c r="N25" i="7"/>
  <c r="N14" i="4"/>
  <c r="M15" i="5"/>
  <c r="M10" i="6"/>
  <c r="N49" i="4"/>
  <c r="N22" i="7"/>
  <c r="N7" i="4"/>
  <c r="N28" i="4"/>
  <c r="N21" i="4"/>
  <c r="N35" i="4"/>
  <c r="M15" i="9"/>
  <c r="M13" i="6"/>
  <c r="M9" i="6"/>
  <c r="N15" i="4"/>
  <c r="O9" i="8"/>
  <c r="M33" i="6"/>
  <c r="M22" i="5"/>
  <c r="M14" i="6"/>
  <c r="O14" i="8"/>
  <c r="F6" i="8"/>
  <c r="D32" i="6"/>
  <c r="E49" i="4"/>
  <c r="D8" i="6"/>
  <c r="E22" i="7"/>
  <c r="D10" i="6"/>
  <c r="E36" i="4"/>
  <c r="E27" i="7"/>
  <c r="D12" i="6"/>
  <c r="E15" i="4"/>
  <c r="E42" i="4"/>
  <c r="D7" i="6"/>
  <c r="E7" i="4"/>
  <c r="E14" i="4"/>
  <c r="E21" i="4"/>
  <c r="D9" i="6"/>
  <c r="F14" i="8"/>
  <c r="D15" i="5"/>
  <c r="G21" i="3"/>
  <c r="F9" i="8"/>
  <c r="D33" i="6"/>
  <c r="D14" i="6"/>
  <c r="E35" i="4"/>
  <c r="E26" i="7"/>
  <c r="I15" i="4"/>
  <c r="H15" i="5"/>
  <c r="I26" i="7"/>
  <c r="H7" i="6"/>
  <c r="J13" i="8"/>
  <c r="I7" i="4"/>
  <c r="J7" i="8"/>
  <c r="J9" i="8"/>
  <c r="H33" i="6"/>
  <c r="I25" i="7"/>
  <c r="J10" i="8"/>
  <c r="H34" i="6"/>
  <c r="H12" i="6"/>
  <c r="I21" i="4"/>
  <c r="H9" i="6"/>
  <c r="H22" i="5"/>
  <c r="I42" i="4"/>
  <c r="H15" i="6"/>
  <c r="I36" i="4"/>
  <c r="H14" i="6"/>
  <c r="I49" i="4"/>
  <c r="I35" i="4"/>
  <c r="H10" i="6"/>
  <c r="I27" i="7"/>
  <c r="S43" i="4"/>
  <c r="U8" i="8"/>
  <c r="U14" i="8"/>
  <c r="S10" i="6"/>
  <c r="T21" i="4"/>
  <c r="S14" i="6"/>
  <c r="S12" i="6"/>
  <c r="T42" i="4"/>
  <c r="S8" i="6"/>
  <c r="T35" i="4"/>
  <c r="U6" i="8"/>
  <c r="S32" i="6"/>
  <c r="T27" i="7"/>
  <c r="V21" i="3"/>
  <c r="S22" i="9"/>
  <c r="S15" i="6"/>
  <c r="T49" i="4"/>
  <c r="S13" i="6"/>
  <c r="T7" i="4"/>
  <c r="S7" i="6"/>
  <c r="T36" i="4"/>
  <c r="U7" i="8"/>
  <c r="T14" i="4"/>
  <c r="S22" i="5"/>
  <c r="G10" i="6"/>
  <c r="H14" i="4"/>
  <c r="G13" i="6"/>
  <c r="H42" i="4"/>
  <c r="R25" i="3"/>
  <c r="Q21" i="5"/>
  <c r="G15" i="5"/>
  <c r="H36" i="4"/>
  <c r="H35" i="4"/>
  <c r="H28" i="4"/>
  <c r="G22" i="9"/>
  <c r="G22" i="5"/>
  <c r="J21" i="3"/>
  <c r="H49" i="4"/>
  <c r="H26" i="7"/>
  <c r="I7" i="8"/>
  <c r="G15" i="9"/>
  <c r="I14" i="8"/>
  <c r="G14" i="6"/>
  <c r="H15" i="4"/>
  <c r="H21" i="4"/>
  <c r="G12" i="6"/>
  <c r="G7" i="6"/>
  <c r="G15" i="6"/>
  <c r="G9" i="6"/>
  <c r="H22" i="7"/>
  <c r="I13" i="8"/>
  <c r="H7" i="4"/>
  <c r="F50" i="4"/>
  <c r="S28" i="4"/>
  <c r="S49" i="4"/>
  <c r="R15" i="5"/>
  <c r="R15" i="6"/>
  <c r="T7" i="8"/>
  <c r="R12" i="6"/>
  <c r="R22" i="5"/>
  <c r="T8" i="8"/>
  <c r="R8" i="6"/>
  <c r="S35" i="4"/>
  <c r="S21" i="4"/>
  <c r="S42" i="4"/>
  <c r="R13" i="6"/>
  <c r="T10" i="8"/>
  <c r="R34" i="6"/>
  <c r="S7" i="4"/>
  <c r="T6" i="8"/>
  <c r="R32" i="6"/>
  <c r="U21" i="3"/>
  <c r="S36" i="4"/>
  <c r="R14" i="6"/>
  <c r="S27" i="7"/>
  <c r="S25" i="7"/>
  <c r="S14" i="4"/>
  <c r="G39" i="6"/>
  <c r="L9" i="6"/>
  <c r="L15" i="9"/>
  <c r="M14" i="4"/>
  <c r="M27" i="7"/>
  <c r="X22" i="7"/>
  <c r="X14" i="4"/>
  <c r="W13" i="6"/>
  <c r="X35" i="4"/>
  <c r="I22" i="4"/>
  <c r="J8" i="8"/>
  <c r="I22" i="7"/>
  <c r="I28" i="4"/>
  <c r="I14" i="4"/>
  <c r="Y22" i="7"/>
  <c r="X13" i="6"/>
  <c r="Y35" i="4"/>
  <c r="Y28" i="4"/>
  <c r="Y7" i="4"/>
  <c r="X9" i="6"/>
  <c r="Y14" i="4"/>
  <c r="Y42" i="4"/>
  <c r="Y26" i="7"/>
  <c r="F14" i="4"/>
  <c r="G10" i="8"/>
  <c r="E34" i="6"/>
  <c r="G8" i="8"/>
  <c r="F21" i="4"/>
  <c r="F28" i="4"/>
  <c r="E8" i="6"/>
  <c r="G13" i="8"/>
  <c r="F15" i="4"/>
  <c r="E15" i="5"/>
  <c r="E12" i="6"/>
  <c r="F49" i="4"/>
  <c r="E10" i="6"/>
  <c r="E13" i="6"/>
  <c r="E15" i="6"/>
  <c r="F7" i="4"/>
  <c r="H21" i="3"/>
  <c r="F42" i="4"/>
  <c r="F25" i="7"/>
  <c r="E15" i="9"/>
  <c r="G6" i="8"/>
  <c r="E32" i="6"/>
  <c r="E22" i="5"/>
  <c r="E9" i="6"/>
  <c r="L42" i="4"/>
  <c r="L36" i="4"/>
  <c r="K22" i="5"/>
  <c r="L14" i="4"/>
  <c r="J22" i="4"/>
  <c r="N7" i="8"/>
  <c r="M42" i="4"/>
  <c r="L8" i="6"/>
  <c r="M35" i="4"/>
  <c r="L22" i="5"/>
  <c r="L22" i="9"/>
  <c r="M28" i="4"/>
  <c r="L15" i="5"/>
  <c r="N8" i="8"/>
  <c r="L12" i="6"/>
  <c r="L7" i="6"/>
  <c r="L13" i="6"/>
  <c r="M7" i="4"/>
  <c r="M15" i="4"/>
  <c r="L14" i="6"/>
  <c r="L15" i="6"/>
  <c r="M22" i="7"/>
  <c r="M49" i="4"/>
  <c r="M21" i="4"/>
  <c r="N6" i="8"/>
  <c r="L32" i="6"/>
  <c r="M36" i="4"/>
  <c r="O21" i="3"/>
  <c r="Q10" i="6"/>
  <c r="Q15" i="6"/>
  <c r="Q7" i="6"/>
  <c r="S7" i="8"/>
  <c r="P21" i="4"/>
  <c r="O10" i="6"/>
  <c r="P22" i="7"/>
  <c r="P49" i="4"/>
  <c r="O13" i="6"/>
  <c r="Q10" i="8"/>
  <c r="O34" i="6"/>
  <c r="O8" i="6"/>
  <c r="R21" i="3"/>
  <c r="Q7" i="8"/>
  <c r="Q9" i="8"/>
  <c r="O33" i="6"/>
  <c r="O22" i="5"/>
  <c r="O14" i="6"/>
  <c r="O15" i="5"/>
  <c r="O9" i="6"/>
  <c r="P15" i="4"/>
  <c r="P14" i="4"/>
  <c r="P7" i="4"/>
  <c r="P42" i="4"/>
  <c r="Q13" i="8"/>
  <c r="O12" i="6"/>
  <c r="P35" i="4"/>
  <c r="P25" i="7"/>
  <c r="K15" i="4"/>
  <c r="M21" i="3"/>
  <c r="J7" i="6"/>
  <c r="L13" i="8"/>
  <c r="J12" i="6"/>
  <c r="J15" i="5"/>
  <c r="J9" i="6"/>
  <c r="K35" i="4"/>
  <c r="K36" i="4"/>
  <c r="K28" i="4"/>
  <c r="J10" i="6"/>
  <c r="J22" i="5"/>
  <c r="L9" i="8"/>
  <c r="J33" i="6"/>
  <c r="L14" i="8"/>
  <c r="K25" i="7"/>
  <c r="K27" i="7"/>
  <c r="L10" i="8"/>
  <c r="J34" i="6"/>
  <c r="K26" i="7"/>
  <c r="J15" i="9"/>
  <c r="K7" i="4"/>
  <c r="L8" i="8"/>
  <c r="J15" i="6"/>
  <c r="T26" i="7"/>
  <c r="T28" i="4"/>
  <c r="U13" i="8"/>
  <c r="T22" i="7"/>
  <c r="W7" i="6"/>
  <c r="Y9" i="8"/>
  <c r="W33" i="6"/>
  <c r="Z21" i="3"/>
  <c r="W14" i="6"/>
  <c r="Y6" i="8"/>
  <c r="W32" i="6"/>
  <c r="W10" i="6"/>
  <c r="X26" i="7"/>
  <c r="X49" i="4"/>
  <c r="Y14" i="8"/>
  <c r="X36" i="4"/>
  <c r="X21" i="4"/>
  <c r="X27" i="7"/>
  <c r="X28" i="4"/>
  <c r="Y7" i="8"/>
  <c r="W15" i="6"/>
  <c r="X15" i="4"/>
  <c r="X7" i="4"/>
  <c r="W15" i="5"/>
  <c r="W22" i="5"/>
  <c r="X42" i="4"/>
  <c r="W12" i="6"/>
  <c r="Y13" i="8"/>
  <c r="X21" i="3"/>
  <c r="U15" i="5"/>
  <c r="V15" i="4"/>
  <c r="U9" i="6"/>
  <c r="R8" i="8"/>
  <c r="P14" i="6"/>
  <c r="P22" i="9"/>
  <c r="S21" i="3"/>
  <c r="Q7" i="4"/>
  <c r="Q42" i="4"/>
  <c r="Q28" i="4"/>
  <c r="P10" i="6"/>
  <c r="P8" i="6"/>
  <c r="R10" i="8"/>
  <c r="P34" i="6"/>
  <c r="P12" i="6"/>
  <c r="Q15" i="4"/>
  <c r="Q35" i="4"/>
  <c r="P15" i="5"/>
  <c r="P22" i="5"/>
  <c r="P15" i="6"/>
  <c r="P9" i="6"/>
  <c r="Q21" i="4"/>
  <c r="Q25" i="7"/>
  <c r="R9" i="8"/>
  <c r="P33" i="6"/>
  <c r="R7" i="8"/>
  <c r="Q22" i="7"/>
  <c r="S15" i="4"/>
  <c r="T14" i="8"/>
  <c r="S26" i="7"/>
  <c r="R7" i="6"/>
  <c r="C14" i="4"/>
  <c r="C49" i="4"/>
  <c r="C26" i="7"/>
  <c r="D13" i="8"/>
  <c r="C35" i="4"/>
  <c r="C7" i="4"/>
  <c r="C21" i="4"/>
  <c r="D6" i="8"/>
  <c r="C27" i="7"/>
  <c r="D14" i="8"/>
  <c r="C42" i="4"/>
  <c r="C25" i="7"/>
  <c r="C15" i="4"/>
  <c r="C36" i="4"/>
  <c r="Q14" i="4"/>
  <c r="Q49" i="4"/>
  <c r="Q36" i="4"/>
  <c r="Q27" i="7"/>
  <c r="C22" i="5"/>
  <c r="E13" i="8"/>
  <c r="C22" i="9"/>
  <c r="F21" i="3"/>
  <c r="D36" i="4"/>
  <c r="D7" i="4"/>
  <c r="D21" i="4"/>
  <c r="D49" i="4"/>
  <c r="E10" i="8"/>
  <c r="C34" i="6"/>
  <c r="D42" i="4"/>
  <c r="C9" i="6"/>
  <c r="D35" i="4"/>
  <c r="C15" i="6"/>
  <c r="D14" i="4"/>
  <c r="E14" i="8"/>
  <c r="C7" i="6"/>
  <c r="D27" i="7"/>
  <c r="E7" i="8"/>
  <c r="C12" i="6"/>
  <c r="C8" i="6"/>
  <c r="E6" i="8"/>
  <c r="C32" i="6"/>
  <c r="C13" i="6"/>
  <c r="K9" i="6"/>
  <c r="N21" i="3"/>
  <c r="M7" i="8"/>
  <c r="K14" i="6"/>
  <c r="L15" i="4"/>
  <c r="L22" i="7"/>
  <c r="L21" i="4"/>
  <c r="L49" i="4"/>
  <c r="K10" i="6"/>
  <c r="L35" i="4"/>
  <c r="K13" i="6"/>
  <c r="L7" i="4"/>
  <c r="M10" i="8"/>
  <c r="K34" i="6"/>
  <c r="K7" i="6"/>
  <c r="L25" i="7"/>
  <c r="K22" i="9"/>
  <c r="K15" i="9"/>
  <c r="M8" i="8"/>
  <c r="K12" i="6"/>
  <c r="K15" i="5"/>
  <c r="L28" i="4"/>
  <c r="K15" i="6"/>
  <c r="E14" i="6"/>
  <c r="F35" i="4"/>
  <c r="E7" i="6"/>
  <c r="F36" i="4"/>
  <c r="V9" i="6"/>
  <c r="Y21" i="3"/>
  <c r="W42" i="4"/>
  <c r="V7" i="6"/>
  <c r="J25" i="7"/>
  <c r="I8" i="6"/>
  <c r="I15" i="6"/>
  <c r="K10" i="8"/>
  <c r="I34" i="6"/>
  <c r="I22" i="9"/>
  <c r="I9" i="6"/>
  <c r="I7" i="6"/>
  <c r="K6" i="8"/>
  <c r="I32" i="6"/>
  <c r="J28" i="4"/>
  <c r="L21" i="3"/>
  <c r="I14" i="6"/>
  <c r="J15" i="4"/>
  <c r="J21" i="4"/>
  <c r="J22" i="7"/>
  <c r="I10" i="6"/>
  <c r="I15" i="5"/>
  <c r="J35" i="4"/>
  <c r="J7" i="4"/>
  <c r="I15" i="9"/>
  <c r="I22" i="5"/>
  <c r="J36" i="4"/>
  <c r="K13" i="8"/>
  <c r="F15" i="5"/>
  <c r="I21" i="3"/>
  <c r="G35" i="4"/>
  <c r="G21" i="4"/>
  <c r="G25" i="7"/>
  <c r="F8" i="6"/>
  <c r="F14" i="6"/>
  <c r="G26" i="7"/>
  <c r="F7" i="6"/>
  <c r="G36" i="4"/>
  <c r="F9" i="6"/>
  <c r="G49" i="4"/>
  <c r="F15" i="6"/>
  <c r="G7" i="4"/>
  <c r="G27" i="7"/>
  <c r="G28" i="4"/>
  <c r="F12" i="6"/>
  <c r="F10" i="6"/>
  <c r="G15" i="4"/>
  <c r="H7" i="8"/>
  <c r="G22" i="7"/>
  <c r="F15" i="9"/>
  <c r="J13" i="6"/>
  <c r="K21" i="4"/>
  <c r="K49" i="4"/>
  <c r="J8" i="6"/>
  <c r="F22" i="5"/>
  <c r="G14" i="4"/>
  <c r="F13" i="6"/>
  <c r="G42" i="4"/>
  <c r="V13" i="6"/>
  <c r="W35" i="4"/>
  <c r="W22" i="7"/>
  <c r="V15" i="9"/>
  <c r="W28" i="4"/>
  <c r="W21" i="4"/>
  <c r="V12" i="6"/>
  <c r="W26" i="7"/>
  <c r="V22" i="5"/>
  <c r="V15" i="5"/>
  <c r="W15" i="4"/>
  <c r="V10" i="6"/>
  <c r="W49" i="4"/>
  <c r="W27" i="7"/>
  <c r="W25" i="7"/>
  <c r="W7" i="4"/>
  <c r="V8" i="6"/>
  <c r="X14" i="8"/>
  <c r="W14" i="4"/>
  <c r="V15" i="6"/>
  <c r="V14" i="6"/>
  <c r="W36" i="4"/>
  <c r="V14" i="8"/>
  <c r="V9" i="8"/>
  <c r="T33" i="6"/>
  <c r="U42" i="4"/>
  <c r="U35" i="4"/>
  <c r="T15" i="9"/>
  <c r="V10" i="8"/>
  <c r="T34" i="6"/>
  <c r="T8" i="6"/>
  <c r="T7" i="6"/>
  <c r="V8" i="8"/>
  <c r="T13" i="6"/>
  <c r="U36" i="4"/>
  <c r="U7" i="4"/>
  <c r="U27" i="7"/>
  <c r="T9" i="6"/>
  <c r="U22" i="7"/>
  <c r="T15" i="6"/>
  <c r="U26" i="7"/>
  <c r="T14" i="6"/>
  <c r="V7" i="8"/>
  <c r="V6" i="8"/>
  <c r="T32" i="6"/>
  <c r="U14" i="4"/>
  <c r="T12" i="6"/>
  <c r="N9" i="6"/>
  <c r="N15" i="5"/>
  <c r="N8" i="6"/>
  <c r="N10" i="6"/>
  <c r="P6" i="8"/>
  <c r="N32" i="6"/>
  <c r="N12" i="6"/>
  <c r="O15" i="4"/>
  <c r="Q21" i="3"/>
  <c r="N22" i="5"/>
  <c r="N14" i="6"/>
  <c r="O14" i="4"/>
  <c r="N22" i="9"/>
  <c r="N15" i="9"/>
  <c r="O42" i="4"/>
  <c r="O7" i="4"/>
  <c r="O35" i="4"/>
  <c r="N7" i="6"/>
  <c r="O49" i="4"/>
  <c r="O36" i="4"/>
  <c r="O21" i="4"/>
  <c r="O22" i="7"/>
  <c r="O25" i="7"/>
  <c r="V13" i="8"/>
  <c r="U15" i="4"/>
  <c r="T15" i="5"/>
  <c r="U49" i="4"/>
  <c r="U28" i="4"/>
  <c r="T22" i="5"/>
  <c r="W21" i="3"/>
  <c r="T10" i="6"/>
  <c r="U21" i="4"/>
  <c r="Z9" i="8"/>
  <c r="X33" i="6"/>
  <c r="Y15" i="4"/>
  <c r="X14" i="6"/>
  <c r="X7" i="6"/>
  <c r="Z10" i="8"/>
  <c r="X34" i="6"/>
  <c r="X10" i="6"/>
  <c r="Z13" i="8"/>
  <c r="Z14" i="8"/>
  <c r="Y49" i="4"/>
  <c r="Z7" i="8"/>
  <c r="X15" i="6"/>
  <c r="AA21" i="3"/>
  <c r="X22" i="5"/>
  <c r="Y27" i="7"/>
  <c r="X8" i="6"/>
  <c r="Y36" i="4"/>
  <c r="Z8" i="8"/>
  <c r="X12" i="6"/>
  <c r="Z6" i="8"/>
  <c r="X32" i="6"/>
  <c r="Y21" i="4"/>
  <c r="Y25" i="7"/>
  <c r="X15" i="5"/>
  <c r="Q6" i="8"/>
  <c r="O32" i="6"/>
  <c r="Q8" i="8"/>
  <c r="O7" i="6"/>
  <c r="P28" i="4"/>
  <c r="M25" i="3"/>
  <c r="M8" i="6"/>
  <c r="M7" i="6"/>
  <c r="N36" i="4"/>
  <c r="P21" i="3"/>
  <c r="W22" i="4"/>
  <c r="T20" i="9"/>
  <c r="T20" i="5"/>
  <c r="U43" i="4"/>
  <c r="W25" i="3"/>
  <c r="U50" i="4"/>
  <c r="U22" i="4"/>
  <c r="T37" i="6"/>
  <c r="T13" i="5"/>
  <c r="T21" i="5"/>
  <c r="U8" i="4"/>
  <c r="U29" i="4"/>
  <c r="U24" i="2"/>
  <c r="U8" i="2"/>
  <c r="AA25" i="3"/>
  <c r="X13" i="5"/>
  <c r="Y29" i="4"/>
  <c r="Y8" i="2"/>
  <c r="Y22" i="4"/>
  <c r="X37" i="6"/>
  <c r="Y50" i="4"/>
  <c r="Y8" i="4"/>
  <c r="X38" i="6"/>
  <c r="Y43" i="4"/>
  <c r="Y24" i="2"/>
  <c r="X20" i="9"/>
  <c r="X20" i="5"/>
  <c r="I50" i="4"/>
  <c r="K14" i="3"/>
  <c r="H7" i="9"/>
  <c r="H7" i="5"/>
  <c r="I7" i="2"/>
  <c r="I16" i="10"/>
  <c r="H38" i="6"/>
  <c r="I8" i="4"/>
  <c r="I24" i="2"/>
  <c r="M18" i="12"/>
  <c r="I43" i="4"/>
  <c r="H13" i="5"/>
  <c r="H20" i="9"/>
  <c r="H20" i="5"/>
  <c r="K25" i="3"/>
  <c r="M20" i="12"/>
  <c r="H39" i="6"/>
  <c r="H13" i="9"/>
  <c r="H21" i="5"/>
  <c r="M17" i="12"/>
  <c r="I8" i="2"/>
  <c r="I29" i="4"/>
  <c r="H21" i="9"/>
  <c r="H11" i="9"/>
  <c r="H37" i="6"/>
  <c r="I25" i="10"/>
  <c r="W8" i="4"/>
  <c r="Z8" i="12"/>
  <c r="V21" i="9"/>
  <c r="W25" i="10"/>
  <c r="V13" i="9"/>
  <c r="W24" i="2"/>
  <c r="V20" i="9"/>
  <c r="V20" i="5"/>
  <c r="Y14" i="3"/>
  <c r="V7" i="9"/>
  <c r="V7" i="5"/>
  <c r="W7" i="2"/>
  <c r="W50" i="4"/>
  <c r="W8" i="2"/>
  <c r="V37" i="6"/>
  <c r="Y25" i="3"/>
  <c r="V21" i="5"/>
  <c r="V11" i="9"/>
  <c r="V39" i="6"/>
  <c r="W43" i="4"/>
  <c r="V13" i="5"/>
  <c r="V38" i="6"/>
  <c r="W29" i="4"/>
  <c r="Z9" i="12"/>
  <c r="W27" i="11"/>
  <c r="W33" i="10"/>
  <c r="W16" i="10"/>
  <c r="L27" i="11"/>
  <c r="L33" i="10"/>
  <c r="K21" i="5"/>
  <c r="P21" i="12"/>
  <c r="K37" i="6"/>
  <c r="L43" i="4"/>
  <c r="K21" i="9"/>
  <c r="P20" i="12"/>
  <c r="L8" i="2"/>
  <c r="L22" i="4"/>
  <c r="K11" i="9"/>
  <c r="K39" i="6"/>
  <c r="L16" i="10"/>
  <c r="K38" i="6"/>
  <c r="L24" i="2"/>
  <c r="P15" i="12"/>
  <c r="L25" i="10"/>
  <c r="L8" i="4"/>
  <c r="L50" i="4"/>
  <c r="N14" i="3"/>
  <c r="K7" i="9"/>
  <c r="K7" i="5"/>
  <c r="L7" i="2"/>
  <c r="L29" i="4"/>
  <c r="K13" i="5"/>
  <c r="P31" i="12"/>
  <c r="P13" i="9"/>
  <c r="Q25" i="10"/>
  <c r="Q43" i="4"/>
  <c r="Q29" i="4"/>
  <c r="U11" i="12"/>
  <c r="S14" i="3"/>
  <c r="P7" i="9"/>
  <c r="P7" i="5"/>
  <c r="Q7" i="2"/>
  <c r="P21" i="9"/>
  <c r="P21" i="5"/>
  <c r="S25" i="3"/>
  <c r="Q24" i="2"/>
  <c r="P39" i="6"/>
  <c r="Q22" i="4"/>
  <c r="Q40" i="11"/>
  <c r="Q46" i="10"/>
  <c r="P11" i="9"/>
  <c r="U31" i="12"/>
  <c r="Q50" i="4"/>
  <c r="Q41" i="11"/>
  <c r="Q29" i="11"/>
  <c r="Q47" i="10"/>
  <c r="Q35" i="10"/>
  <c r="P20" i="9"/>
  <c r="P20" i="5"/>
  <c r="P13" i="5"/>
  <c r="Q8" i="4"/>
  <c r="Q8" i="2"/>
  <c r="P37" i="6"/>
  <c r="O22" i="4"/>
  <c r="N13" i="9"/>
  <c r="N38" i="6"/>
  <c r="O50" i="4"/>
  <c r="Q14" i="3"/>
  <c r="N7" i="9"/>
  <c r="N7" i="5"/>
  <c r="O7" i="2"/>
  <c r="N11" i="9"/>
  <c r="O16" i="10"/>
  <c r="O8" i="4"/>
  <c r="N20" i="9"/>
  <c r="N20" i="5"/>
  <c r="S12" i="12"/>
  <c r="S28" i="12"/>
  <c r="N13" i="5"/>
  <c r="O29" i="4"/>
  <c r="S13" i="12"/>
  <c r="O43" i="4"/>
  <c r="O24" i="2"/>
  <c r="O25" i="10"/>
  <c r="N21" i="5"/>
  <c r="N39" i="6"/>
  <c r="N21" i="9"/>
  <c r="O8" i="2"/>
  <c r="N37" i="6"/>
  <c r="F16" i="10"/>
  <c r="E13" i="9"/>
  <c r="F8" i="4"/>
  <c r="J26" i="12"/>
  <c r="E39" i="6"/>
  <c r="E38" i="6"/>
  <c r="E37" i="6"/>
  <c r="H14" i="3"/>
  <c r="E7" i="9"/>
  <c r="E7" i="5"/>
  <c r="F7" i="2"/>
  <c r="F43" i="4"/>
  <c r="F28" i="11"/>
  <c r="F34" i="10"/>
  <c r="F29" i="4"/>
  <c r="F35" i="11"/>
  <c r="F41" i="10"/>
  <c r="H25" i="3"/>
  <c r="F24" i="2"/>
  <c r="F25" i="10"/>
  <c r="E21" i="5"/>
  <c r="J57" i="12"/>
  <c r="E13" i="5"/>
  <c r="F22" i="4"/>
  <c r="F8" i="2"/>
  <c r="E11" i="9"/>
  <c r="E20" i="9"/>
  <c r="E20" i="5"/>
  <c r="J29" i="4"/>
  <c r="I13" i="5"/>
  <c r="I38" i="6"/>
  <c r="J8" i="2"/>
  <c r="J50" i="4"/>
  <c r="J24" i="2"/>
  <c r="I21" i="5"/>
  <c r="J8" i="4"/>
  <c r="I20" i="9"/>
  <c r="I20" i="5"/>
  <c r="I21" i="9"/>
  <c r="I13" i="9"/>
  <c r="J35" i="11"/>
  <c r="J41" i="10"/>
  <c r="L25" i="3"/>
  <c r="J43" i="4"/>
  <c r="J16" i="10"/>
  <c r="N21" i="12"/>
  <c r="I39" i="6"/>
  <c r="I37" i="6"/>
  <c r="J25" i="10"/>
  <c r="I11" i="9"/>
  <c r="N19" i="12"/>
  <c r="N17" i="12"/>
  <c r="Z14" i="3"/>
  <c r="W7" i="9"/>
  <c r="W7" i="5"/>
  <c r="X7" i="2"/>
  <c r="X22" i="4"/>
  <c r="W39" i="6"/>
  <c r="W20" i="9"/>
  <c r="W20" i="5"/>
  <c r="W11" i="9"/>
  <c r="W38" i="6"/>
  <c r="X16" i="10"/>
  <c r="AA9" i="12"/>
  <c r="X24" i="2"/>
  <c r="Z25" i="3"/>
  <c r="X8" i="4"/>
  <c r="X29" i="4"/>
  <c r="AA29" i="12"/>
  <c r="AA56" i="12"/>
  <c r="W21" i="5"/>
  <c r="W37" i="6"/>
  <c r="X25" i="10"/>
  <c r="X43" i="4"/>
  <c r="X50" i="4"/>
  <c r="W13" i="5"/>
  <c r="AA51" i="12"/>
  <c r="W13" i="9"/>
  <c r="H66" i="10"/>
  <c r="H68" i="10"/>
  <c r="H62" i="10"/>
  <c r="H67" i="10"/>
  <c r="H21" i="2"/>
  <c r="H13" i="2"/>
  <c r="H65" i="10"/>
  <c r="H39" i="4"/>
  <c r="J20" i="9"/>
  <c r="J20" i="5"/>
  <c r="K50" i="4"/>
  <c r="J11" i="9"/>
  <c r="K25" i="10"/>
  <c r="O22" i="12"/>
  <c r="K22" i="4"/>
  <c r="J21" i="5"/>
  <c r="J13" i="5"/>
  <c r="J13" i="9"/>
  <c r="K8" i="4"/>
  <c r="J38" i="6"/>
  <c r="K8" i="2"/>
  <c r="K35" i="11"/>
  <c r="K41" i="10"/>
  <c r="J21" i="9"/>
  <c r="M14" i="3"/>
  <c r="J7" i="9"/>
  <c r="J7" i="5"/>
  <c r="K7" i="2"/>
  <c r="K26" i="11"/>
  <c r="K32" i="10"/>
  <c r="K16" i="10"/>
  <c r="K24" i="2"/>
  <c r="J39" i="6"/>
  <c r="K43" i="4"/>
  <c r="K29" i="4"/>
  <c r="J37" i="6"/>
  <c r="F14" i="3"/>
  <c r="C7" i="9"/>
  <c r="C7" i="5"/>
  <c r="D7" i="2"/>
  <c r="D16" i="10"/>
  <c r="D8" i="2"/>
  <c r="D26" i="11"/>
  <c r="D32" i="10"/>
  <c r="C20" i="9"/>
  <c r="C20" i="5"/>
  <c r="D24" i="2"/>
  <c r="C13" i="5"/>
  <c r="C11" i="9"/>
  <c r="D25" i="10"/>
  <c r="D43" i="4"/>
  <c r="D22" i="4"/>
  <c r="C13" i="9"/>
  <c r="C39" i="6"/>
  <c r="F25" i="3"/>
  <c r="D27" i="11"/>
  <c r="D33" i="10"/>
  <c r="D8" i="4"/>
  <c r="C21" i="5"/>
  <c r="C21" i="9"/>
  <c r="C38" i="6"/>
  <c r="H52" i="12"/>
  <c r="C37" i="6"/>
  <c r="D29" i="4"/>
  <c r="D21" i="9"/>
  <c r="G14" i="3"/>
  <c r="D7" i="9"/>
  <c r="D7" i="5"/>
  <c r="E7" i="2"/>
  <c r="D21" i="5"/>
  <c r="E16" i="10"/>
  <c r="D37" i="6"/>
  <c r="E43" i="4"/>
  <c r="D11" i="9"/>
  <c r="E25" i="10"/>
  <c r="G25" i="3"/>
  <c r="D39" i="6"/>
  <c r="D13" i="9"/>
  <c r="E8" i="2"/>
  <c r="E50" i="4"/>
  <c r="E8" i="4"/>
  <c r="D38" i="6"/>
  <c r="D20" i="9"/>
  <c r="D20" i="5"/>
  <c r="E27" i="11"/>
  <c r="E33" i="10"/>
  <c r="E36" i="11"/>
  <c r="E42" i="10"/>
  <c r="E29" i="4"/>
  <c r="E24" i="2"/>
  <c r="E41" i="11"/>
  <c r="E29" i="11"/>
  <c r="E47" i="10"/>
  <c r="E35" i="10"/>
  <c r="D13" i="5"/>
  <c r="V24" i="12"/>
  <c r="R43" i="4"/>
  <c r="Q11" i="9"/>
  <c r="R50" i="4"/>
  <c r="R29" i="4"/>
  <c r="R8" i="4"/>
  <c r="R25" i="10"/>
  <c r="Q39" i="6"/>
  <c r="Q37" i="6"/>
  <c r="Q13" i="9"/>
  <c r="Q13" i="5"/>
  <c r="Q21" i="9"/>
  <c r="Q20" i="9"/>
  <c r="Q20" i="5"/>
  <c r="T25" i="3"/>
  <c r="R24" i="2"/>
  <c r="V10" i="12"/>
  <c r="R22" i="4"/>
  <c r="T14" i="3"/>
  <c r="Q7" i="9"/>
  <c r="Q7" i="5"/>
  <c r="R7" i="2"/>
  <c r="R16" i="10"/>
  <c r="Q38" i="6"/>
  <c r="R26" i="11"/>
  <c r="R32" i="10"/>
  <c r="R8" i="2"/>
  <c r="S16" i="10"/>
  <c r="R38" i="6"/>
  <c r="S50" i="4"/>
  <c r="U25" i="3"/>
  <c r="S24" i="2"/>
  <c r="R13" i="5"/>
  <c r="S25" i="10"/>
  <c r="R21" i="5"/>
  <c r="S8" i="4"/>
  <c r="S22" i="4"/>
  <c r="R13" i="9"/>
  <c r="R21" i="9"/>
  <c r="R20" i="9"/>
  <c r="R20" i="5"/>
  <c r="R39" i="6"/>
  <c r="S35" i="11"/>
  <c r="S41" i="10"/>
  <c r="R11" i="9"/>
  <c r="U14" i="3"/>
  <c r="R7" i="9"/>
  <c r="R7" i="5"/>
  <c r="S7" i="2"/>
  <c r="S29" i="4"/>
  <c r="W64" i="12"/>
  <c r="S8" i="2"/>
  <c r="S36" i="11"/>
  <c r="S42" i="10"/>
  <c r="R37" i="6"/>
  <c r="M43" i="4"/>
  <c r="L37" i="6"/>
  <c r="M16" i="10"/>
  <c r="Q22" i="12"/>
  <c r="L39" i="6"/>
  <c r="M50" i="4"/>
  <c r="L20" i="9"/>
  <c r="L20" i="5"/>
  <c r="L13" i="9"/>
  <c r="O14" i="3"/>
  <c r="L7" i="9"/>
  <c r="L7" i="5"/>
  <c r="M7" i="2"/>
  <c r="L38" i="6"/>
  <c r="M25" i="10"/>
  <c r="M8" i="4"/>
  <c r="M22" i="4"/>
  <c r="Q15" i="12"/>
  <c r="M29" i="4"/>
  <c r="L21" i="9"/>
  <c r="M8" i="2"/>
  <c r="M24" i="2"/>
  <c r="L13" i="5"/>
  <c r="L21" i="5"/>
  <c r="Q13" i="12"/>
  <c r="L11" i="9"/>
  <c r="C16" i="10"/>
  <c r="C24" i="2"/>
  <c r="C67" i="11"/>
  <c r="C73" i="10"/>
  <c r="C29" i="4"/>
  <c r="E14" i="3"/>
  <c r="C7" i="2"/>
  <c r="C43" i="4"/>
  <c r="C65" i="11"/>
  <c r="C71" i="10"/>
  <c r="C50" i="4"/>
  <c r="E25" i="3"/>
  <c r="C8" i="4"/>
  <c r="G64" i="12"/>
  <c r="C8" i="2"/>
  <c r="C25" i="10"/>
  <c r="C22" i="4"/>
  <c r="P29" i="4"/>
  <c r="P16" i="10"/>
  <c r="O11" i="9"/>
  <c r="P28" i="11"/>
  <c r="P34" i="10"/>
  <c r="P43" i="4"/>
  <c r="O13" i="9"/>
  <c r="O20" i="9"/>
  <c r="O20" i="5"/>
  <c r="O39" i="6"/>
  <c r="P50" i="4"/>
  <c r="O21" i="5"/>
  <c r="R14" i="3"/>
  <c r="O7" i="9"/>
  <c r="O7" i="5"/>
  <c r="P7" i="2"/>
  <c r="P8" i="4"/>
  <c r="P8" i="2"/>
  <c r="P25" i="10"/>
  <c r="P22" i="4"/>
  <c r="O38" i="6"/>
  <c r="O21" i="9"/>
  <c r="R10" i="13"/>
  <c r="O37" i="6"/>
  <c r="O13" i="5"/>
  <c r="P24" i="2"/>
  <c r="T12" i="12"/>
  <c r="S65" i="10"/>
  <c r="S39" i="4"/>
  <c r="S67" i="10"/>
  <c r="S66" i="10"/>
  <c r="S68" i="10"/>
  <c r="S62" i="10"/>
  <c r="S21" i="2"/>
  <c r="S13" i="2"/>
  <c r="C21" i="2"/>
  <c r="C65" i="10"/>
  <c r="C39" i="4"/>
  <c r="C13" i="2"/>
  <c r="C66" i="10"/>
  <c r="C68" i="10"/>
  <c r="C67" i="10"/>
  <c r="C62" i="10"/>
  <c r="U37" i="6"/>
  <c r="U21" i="9"/>
  <c r="V16" i="10"/>
  <c r="X25" i="3"/>
  <c r="U21" i="5"/>
  <c r="U39" i="6"/>
  <c r="V8" i="4"/>
  <c r="V43" i="4"/>
  <c r="V8" i="2"/>
  <c r="V40" i="11"/>
  <c r="V46" i="10"/>
  <c r="U38" i="6"/>
  <c r="U20" i="9"/>
  <c r="U20" i="5"/>
  <c r="V50" i="4"/>
  <c r="U11" i="9"/>
  <c r="U13" i="9"/>
  <c r="X14" i="3"/>
  <c r="U7" i="9"/>
  <c r="U7" i="5"/>
  <c r="V7" i="2"/>
  <c r="V29" i="4"/>
  <c r="V22" i="4"/>
  <c r="U13" i="5"/>
  <c r="V25" i="10"/>
  <c r="V35" i="11"/>
  <c r="V41" i="10"/>
  <c r="Y11" i="12"/>
  <c r="N8" i="2"/>
  <c r="N22" i="4"/>
  <c r="M37" i="6"/>
  <c r="N26" i="11"/>
  <c r="N32" i="10"/>
  <c r="M13" i="5"/>
  <c r="M11" i="9"/>
  <c r="R15" i="12"/>
  <c r="M20" i="9"/>
  <c r="M20" i="5"/>
  <c r="M13" i="9"/>
  <c r="M38" i="6"/>
  <c r="P14" i="3"/>
  <c r="M7" i="9"/>
  <c r="M7" i="5"/>
  <c r="N7" i="2"/>
  <c r="N50" i="4"/>
  <c r="P25" i="3"/>
  <c r="M39" i="6"/>
  <c r="N36" i="11"/>
  <c r="N42" i="10"/>
  <c r="N24" i="2"/>
  <c r="R28" i="12"/>
  <c r="N8" i="4"/>
  <c r="N16" i="10"/>
  <c r="M21" i="9"/>
  <c r="N43" i="4"/>
  <c r="N29" i="4"/>
  <c r="S20" i="9"/>
  <c r="S20" i="5"/>
  <c r="T22" i="4"/>
  <c r="T29" i="4"/>
  <c r="T8" i="4"/>
  <c r="S37" i="6"/>
  <c r="S13" i="5"/>
  <c r="T16" i="10"/>
  <c r="X11" i="12"/>
  <c r="T50" i="4"/>
  <c r="X10" i="12"/>
  <c r="S21" i="9"/>
  <c r="S13" i="9"/>
  <c r="V25" i="3"/>
  <c r="S39" i="6"/>
  <c r="V14" i="3"/>
  <c r="S7" i="9"/>
  <c r="S7" i="5"/>
  <c r="T7" i="2"/>
  <c r="S21" i="5"/>
  <c r="T43" i="4"/>
  <c r="T25" i="10"/>
  <c r="S11" i="9"/>
  <c r="S38" i="6"/>
  <c r="X12" i="12"/>
  <c r="T8" i="2"/>
  <c r="X21" i="2"/>
  <c r="X65" i="10"/>
  <c r="X39" i="4"/>
  <c r="X67" i="10"/>
  <c r="X62" i="10"/>
  <c r="X66" i="10"/>
  <c r="X68" i="10"/>
  <c r="X13" i="2"/>
  <c r="V33" i="11"/>
  <c r="V39" i="10"/>
  <c r="U29" i="9"/>
  <c r="V7" i="11"/>
  <c r="V14" i="11"/>
  <c r="V32" i="11"/>
  <c r="V38" i="10"/>
  <c r="U28" i="5"/>
  <c r="V23" i="11"/>
  <c r="U29" i="5"/>
  <c r="V8" i="11"/>
  <c r="U27" i="9"/>
  <c r="U27" i="5"/>
  <c r="V11" i="11"/>
  <c r="V16" i="11"/>
  <c r="V10" i="11"/>
  <c r="V17" i="11"/>
  <c r="U28" i="9"/>
  <c r="V15" i="11"/>
  <c r="V58" i="11"/>
  <c r="V24" i="4"/>
  <c r="C6" i="11"/>
  <c r="E6" i="3"/>
  <c r="C10" i="4"/>
  <c r="C25" i="11"/>
  <c r="C31" i="10"/>
  <c r="C20" i="11"/>
  <c r="C13" i="11"/>
  <c r="C22" i="11"/>
  <c r="C12" i="11"/>
  <c r="C11" i="11"/>
  <c r="C33" i="11"/>
  <c r="C39" i="10"/>
  <c r="C16" i="11"/>
  <c r="C58" i="11"/>
  <c r="C24" i="4"/>
  <c r="C15" i="11"/>
  <c r="C19" i="11"/>
  <c r="H8" i="2"/>
  <c r="G21" i="9"/>
  <c r="G13" i="5"/>
  <c r="G37" i="6"/>
  <c r="J14" i="3"/>
  <c r="G7" i="9"/>
  <c r="G7" i="5"/>
  <c r="H7" i="2"/>
  <c r="H25" i="10"/>
  <c r="G21" i="5"/>
  <c r="J25" i="3"/>
  <c r="H65" i="11"/>
  <c r="H71" i="10"/>
  <c r="H22" i="4"/>
  <c r="L18" i="12"/>
  <c r="H29" i="4"/>
  <c r="H8" i="4"/>
  <c r="G20" i="9"/>
  <c r="G20" i="5"/>
  <c r="H24" i="2"/>
  <c r="L19" i="12"/>
  <c r="G11" i="9"/>
  <c r="G13" i="9"/>
  <c r="H16" i="10"/>
  <c r="G38" i="6"/>
  <c r="H50" i="4"/>
  <c r="H43" i="4"/>
  <c r="F66" i="10"/>
  <c r="F68" i="10"/>
  <c r="F65" i="10"/>
  <c r="F39" i="4"/>
  <c r="F13" i="2"/>
  <c r="F67" i="10"/>
  <c r="F21" i="2"/>
  <c r="F62" i="10"/>
  <c r="S16" i="11"/>
  <c r="S23" i="11"/>
  <c r="S34" i="11"/>
  <c r="S40" i="10"/>
  <c r="R27" i="9"/>
  <c r="R27" i="5"/>
  <c r="S15" i="11"/>
  <c r="R29" i="5"/>
  <c r="S12" i="11"/>
  <c r="S22" i="11"/>
  <c r="R29" i="9"/>
  <c r="R28" i="5"/>
  <c r="S25" i="11"/>
  <c r="S31" i="10"/>
  <c r="S19" i="11"/>
  <c r="S13" i="11"/>
  <c r="S20" i="11"/>
  <c r="S11" i="11"/>
  <c r="S57" i="11"/>
  <c r="R28" i="9"/>
  <c r="G7" i="11"/>
  <c r="F28" i="5"/>
  <c r="G15" i="11"/>
  <c r="G25" i="11"/>
  <c r="G31" i="10"/>
  <c r="G17" i="11"/>
  <c r="G33" i="11"/>
  <c r="G39" i="10"/>
  <c r="F29" i="5"/>
  <c r="F27" i="9"/>
  <c r="F27" i="5"/>
  <c r="G57" i="11"/>
  <c r="G9" i="11"/>
  <c r="G10" i="11"/>
  <c r="F28" i="9"/>
  <c r="G20" i="11"/>
  <c r="G19" i="11"/>
  <c r="G8" i="11"/>
  <c r="G23" i="11"/>
  <c r="F29" i="9"/>
  <c r="M66" i="10"/>
  <c r="M65" i="10"/>
  <c r="M39" i="4"/>
  <c r="M62" i="10"/>
  <c r="M68" i="10"/>
  <c r="M21" i="2"/>
  <c r="M13" i="2"/>
  <c r="M67" i="10"/>
  <c r="O13" i="2"/>
  <c r="O21" i="2"/>
  <c r="O62" i="10"/>
  <c r="O66" i="10"/>
  <c r="O67" i="10"/>
  <c r="O68" i="10"/>
  <c r="O65" i="10"/>
  <c r="O39" i="4"/>
  <c r="P8" i="11"/>
  <c r="P58" i="11"/>
  <c r="P24" i="4"/>
  <c r="P7" i="11"/>
  <c r="P11" i="11"/>
  <c r="P16" i="11"/>
  <c r="P32" i="11"/>
  <c r="P38" i="10"/>
  <c r="O28" i="9"/>
  <c r="P9" i="11"/>
  <c r="O28" i="5"/>
  <c r="O29" i="9"/>
  <c r="P10" i="11"/>
  <c r="O29" i="5"/>
  <c r="P33" i="11"/>
  <c r="P39" i="10"/>
  <c r="P20" i="11"/>
  <c r="O27" i="9"/>
  <c r="O27" i="5"/>
  <c r="P34" i="11"/>
  <c r="P40" i="10"/>
  <c r="P25" i="11"/>
  <c r="P31" i="10"/>
  <c r="X23" i="11"/>
  <c r="X16" i="11"/>
  <c r="X25" i="11"/>
  <c r="X31" i="10"/>
  <c r="X17" i="11"/>
  <c r="X12" i="11"/>
  <c r="W29" i="5"/>
  <c r="X33" i="11"/>
  <c r="X39" i="10"/>
  <c r="W28" i="5"/>
  <c r="W28" i="9"/>
  <c r="X13" i="11"/>
  <c r="W27" i="9"/>
  <c r="W27" i="5"/>
  <c r="X10" i="11"/>
  <c r="X9" i="11"/>
  <c r="X34" i="11"/>
  <c r="X40" i="10"/>
  <c r="W29" i="9"/>
  <c r="X8" i="11"/>
  <c r="X19" i="11"/>
  <c r="V66" i="10"/>
  <c r="V62" i="10"/>
  <c r="V21" i="2"/>
  <c r="V65" i="10"/>
  <c r="V39" i="4"/>
  <c r="V67" i="10"/>
  <c r="V13" i="2"/>
  <c r="V68" i="10"/>
  <c r="T20" i="11"/>
  <c r="S28" i="5"/>
  <c r="T11" i="11"/>
  <c r="S28" i="9"/>
  <c r="T57" i="11"/>
  <c r="T22" i="11"/>
  <c r="T32" i="11"/>
  <c r="T38" i="10"/>
  <c r="S29" i="5"/>
  <c r="S27" i="9"/>
  <c r="S27" i="5"/>
  <c r="T33" i="11"/>
  <c r="T39" i="10"/>
  <c r="S29" i="9"/>
  <c r="T14" i="11"/>
  <c r="T15" i="11"/>
  <c r="T8" i="11"/>
  <c r="T13" i="11"/>
  <c r="T12" i="11"/>
  <c r="T9" i="11"/>
  <c r="I29" i="9"/>
  <c r="J15" i="11"/>
  <c r="J33" i="11"/>
  <c r="J39" i="10"/>
  <c r="J12" i="11"/>
  <c r="I28" i="5"/>
  <c r="I28" i="9"/>
  <c r="J57" i="11"/>
  <c r="J20" i="11"/>
  <c r="J14" i="11"/>
  <c r="I29" i="5"/>
  <c r="J32" i="11"/>
  <c r="J38" i="10"/>
  <c r="J10" i="11"/>
  <c r="J19" i="11"/>
  <c r="J11" i="11"/>
  <c r="J17" i="11"/>
  <c r="I27" i="9"/>
  <c r="I27" i="5"/>
  <c r="J25" i="11"/>
  <c r="J31" i="10"/>
  <c r="L20" i="11"/>
  <c r="K29" i="5"/>
  <c r="L12" i="11"/>
  <c r="L17" i="11"/>
  <c r="L14" i="11"/>
  <c r="L25" i="11"/>
  <c r="L31" i="10"/>
  <c r="L19" i="11"/>
  <c r="K28" i="5"/>
  <c r="L16" i="11"/>
  <c r="K29" i="9"/>
  <c r="K27" i="9"/>
  <c r="K27" i="5"/>
  <c r="K28" i="9"/>
  <c r="L23" i="11"/>
  <c r="L32" i="11"/>
  <c r="L38" i="10"/>
  <c r="L13" i="11"/>
  <c r="L22" i="11"/>
  <c r="L7" i="11"/>
  <c r="R9" i="11"/>
  <c r="R7" i="11"/>
  <c r="Q29" i="5"/>
  <c r="Q27" i="9"/>
  <c r="Q27" i="5"/>
  <c r="R20" i="11"/>
  <c r="Q29" i="9"/>
  <c r="R12" i="11"/>
  <c r="R58" i="11"/>
  <c r="R24" i="4"/>
  <c r="R11" i="11"/>
  <c r="R25" i="11"/>
  <c r="R31" i="10"/>
  <c r="R34" i="11"/>
  <c r="R40" i="10"/>
  <c r="R13" i="11"/>
  <c r="Q28" i="5"/>
  <c r="R57" i="11"/>
  <c r="Q28" i="9"/>
  <c r="R10" i="11"/>
  <c r="R22" i="11"/>
  <c r="Q34" i="11"/>
  <c r="Q40" i="10"/>
  <c r="Q11" i="11"/>
  <c r="P28" i="5"/>
  <c r="P29" i="9"/>
  <c r="Q10" i="11"/>
  <c r="Q20" i="11"/>
  <c r="Q17" i="11"/>
  <c r="Q19" i="11"/>
  <c r="Q25" i="11"/>
  <c r="Q31" i="10"/>
  <c r="Q9" i="11"/>
  <c r="Q13" i="11"/>
  <c r="P29" i="5"/>
  <c r="P28" i="9"/>
  <c r="Q14" i="11"/>
  <c r="P27" i="9"/>
  <c r="P27" i="5"/>
  <c r="Q16" i="11"/>
  <c r="Q58" i="11"/>
  <c r="Q24" i="4"/>
  <c r="F10" i="11"/>
  <c r="F14" i="11"/>
  <c r="E29" i="9"/>
  <c r="F8" i="11"/>
  <c r="E28" i="9"/>
  <c r="F17" i="11"/>
  <c r="E27" i="9"/>
  <c r="E27" i="5"/>
  <c r="F16" i="11"/>
  <c r="F7" i="11"/>
  <c r="F13" i="11"/>
  <c r="F15" i="11"/>
  <c r="E29" i="5"/>
  <c r="F11" i="11"/>
  <c r="F22" i="11"/>
  <c r="F58" i="11"/>
  <c r="F24" i="4"/>
  <c r="E28" i="5"/>
  <c r="F33" i="11"/>
  <c r="F39" i="10"/>
  <c r="D14" i="11"/>
  <c r="C28" i="9"/>
  <c r="C27" i="9"/>
  <c r="C27" i="5"/>
  <c r="D11" i="11"/>
  <c r="D20" i="11"/>
  <c r="D9" i="11"/>
  <c r="D22" i="11"/>
  <c r="D34" i="11"/>
  <c r="D40" i="10"/>
  <c r="D57" i="11"/>
  <c r="D13" i="11"/>
  <c r="D8" i="11"/>
  <c r="D33" i="11"/>
  <c r="D39" i="10"/>
  <c r="D12" i="11"/>
  <c r="C29" i="5"/>
  <c r="D15" i="11"/>
  <c r="C29" i="9"/>
  <c r="C28" i="5"/>
  <c r="E33" i="11"/>
  <c r="E39" i="10"/>
  <c r="D29" i="5"/>
  <c r="E17" i="11"/>
  <c r="E25" i="11"/>
  <c r="E31" i="10"/>
  <c r="D29" i="9"/>
  <c r="E23" i="11"/>
  <c r="E14" i="11"/>
  <c r="E20" i="11"/>
  <c r="D28" i="9"/>
  <c r="D27" i="9"/>
  <c r="D27" i="5"/>
  <c r="D28" i="5"/>
  <c r="E15" i="11"/>
  <c r="E32" i="11"/>
  <c r="E38" i="10"/>
  <c r="E7" i="11"/>
  <c r="E13" i="11"/>
  <c r="E22" i="11"/>
  <c r="E8" i="11"/>
  <c r="W67" i="10"/>
  <c r="W68" i="10"/>
  <c r="W66" i="10"/>
  <c r="W65" i="10"/>
  <c r="W39" i="4"/>
  <c r="W62" i="10"/>
  <c r="W21" i="2"/>
  <c r="W13" i="2"/>
  <c r="G67" i="10"/>
  <c r="G21" i="2"/>
  <c r="G66" i="10"/>
  <c r="G13" i="2"/>
  <c r="G62" i="10"/>
  <c r="G68" i="10"/>
  <c r="G65" i="10"/>
  <c r="G39" i="4"/>
  <c r="G29" i="4"/>
  <c r="F37" i="6"/>
  <c r="I14" i="3"/>
  <c r="F7" i="9"/>
  <c r="F7" i="5"/>
  <c r="G7" i="2"/>
  <c r="G24" i="2"/>
  <c r="G43" i="4"/>
  <c r="F13" i="5"/>
  <c r="F38" i="6"/>
  <c r="F21" i="5"/>
  <c r="F20" i="9"/>
  <c r="F20" i="5"/>
  <c r="K9" i="12"/>
  <c r="G16" i="10"/>
  <c r="G27" i="11"/>
  <c r="G33" i="10"/>
  <c r="G22" i="4"/>
  <c r="F13" i="9"/>
  <c r="F21" i="9"/>
  <c r="G8" i="4"/>
  <c r="F11" i="9"/>
  <c r="G50" i="4"/>
  <c r="I25" i="3"/>
  <c r="K26" i="12"/>
  <c r="G8" i="2"/>
  <c r="G25" i="10"/>
  <c r="L66" i="10"/>
  <c r="L65" i="10"/>
  <c r="L39" i="4"/>
  <c r="L13" i="2"/>
  <c r="L68" i="10"/>
  <c r="L62" i="10"/>
  <c r="L21" i="2"/>
  <c r="L67" i="10"/>
  <c r="H28" i="5"/>
  <c r="I33" i="11"/>
  <c r="I39" i="10"/>
  <c r="H28" i="9"/>
  <c r="H29" i="9"/>
  <c r="I11" i="11"/>
  <c r="I34" i="11"/>
  <c r="I40" i="10"/>
  <c r="I9" i="11"/>
  <c r="I19" i="11"/>
  <c r="I10" i="11"/>
  <c r="I8" i="11"/>
  <c r="I32" i="11"/>
  <c r="I38" i="10"/>
  <c r="I15" i="11"/>
  <c r="H29" i="5"/>
  <c r="I22" i="11"/>
  <c r="I12" i="11"/>
  <c r="H27" i="9"/>
  <c r="H27" i="5"/>
  <c r="I17" i="11"/>
  <c r="M29" i="9"/>
  <c r="N12" i="11"/>
  <c r="N7" i="11"/>
  <c r="M28" i="5"/>
  <c r="M28" i="9"/>
  <c r="N22" i="11"/>
  <c r="N9" i="11"/>
  <c r="M29" i="5"/>
  <c r="N33" i="11"/>
  <c r="N39" i="10"/>
  <c r="M27" i="9"/>
  <c r="M27" i="5"/>
  <c r="N8" i="11"/>
  <c r="N19" i="11"/>
  <c r="N14" i="11"/>
  <c r="N32" i="11"/>
  <c r="N38" i="10"/>
  <c r="N16" i="11"/>
  <c r="N23" i="11"/>
  <c r="N58" i="11"/>
  <c r="N24" i="4"/>
  <c r="W9" i="11"/>
  <c r="V28" i="9"/>
  <c r="V29" i="5"/>
  <c r="W8" i="11"/>
  <c r="W57" i="11"/>
  <c r="V29" i="9"/>
  <c r="W22" i="11"/>
  <c r="W17" i="11"/>
  <c r="W15" i="11"/>
  <c r="W13" i="11"/>
  <c r="W20" i="11"/>
  <c r="W10" i="11"/>
  <c r="V28" i="5"/>
  <c r="V27" i="9"/>
  <c r="V27" i="5"/>
  <c r="W7" i="11"/>
  <c r="W33" i="11"/>
  <c r="W39" i="10"/>
  <c r="W19" i="11"/>
  <c r="K14" i="11"/>
  <c r="K12" i="11"/>
  <c r="K19" i="11"/>
  <c r="J28" i="5"/>
  <c r="K34" i="11"/>
  <c r="K40" i="10"/>
  <c r="J29" i="5"/>
  <c r="K23" i="11"/>
  <c r="J29" i="9"/>
  <c r="K13" i="11"/>
  <c r="K8" i="11"/>
  <c r="K7" i="11"/>
  <c r="J27" i="9"/>
  <c r="J27" i="5"/>
  <c r="K11" i="11"/>
  <c r="J28" i="9"/>
  <c r="K10" i="11"/>
  <c r="K32" i="11"/>
  <c r="K38" i="10"/>
  <c r="K17" i="11"/>
  <c r="U33" i="11"/>
  <c r="U39" i="10"/>
  <c r="U14" i="11"/>
  <c r="U11" i="11"/>
  <c r="U57" i="11"/>
  <c r="T29" i="9"/>
  <c r="U8" i="11"/>
  <c r="U7" i="11"/>
  <c r="T28" i="9"/>
  <c r="U13" i="11"/>
  <c r="T27" i="9"/>
  <c r="T27" i="5"/>
  <c r="U15" i="11"/>
  <c r="U22" i="11"/>
  <c r="U20" i="11"/>
  <c r="U17" i="11"/>
  <c r="U25" i="11"/>
  <c r="U31" i="10"/>
  <c r="T29" i="5"/>
  <c r="T28" i="5"/>
  <c r="N29" i="9"/>
  <c r="O23" i="11"/>
  <c r="N28" i="5"/>
  <c r="O11" i="11"/>
  <c r="O34" i="11"/>
  <c r="O40" i="10"/>
  <c r="N27" i="9"/>
  <c r="N27" i="5"/>
  <c r="O7" i="11"/>
  <c r="O15" i="11"/>
  <c r="O8" i="11"/>
  <c r="O9" i="11"/>
  <c r="O16" i="11"/>
  <c r="O14" i="11"/>
  <c r="N29" i="5"/>
  <c r="N28" i="9"/>
  <c r="O32" i="11"/>
  <c r="O38" i="10"/>
  <c r="O12" i="11"/>
  <c r="O17" i="11"/>
  <c r="U18" i="12"/>
  <c r="U26" i="12"/>
  <c r="Q27" i="11"/>
  <c r="Q33" i="10"/>
  <c r="Q16" i="10"/>
  <c r="Q28" i="11"/>
  <c r="Q34" i="10"/>
  <c r="U17" i="12"/>
  <c r="Q66" i="11"/>
  <c r="Q72" i="10"/>
  <c r="U16" i="12"/>
  <c r="U33" i="12"/>
  <c r="U73" i="12"/>
  <c r="U35" i="12"/>
  <c r="U22" i="12"/>
  <c r="Q67" i="11"/>
  <c r="Q73" i="10"/>
  <c r="Q26" i="11"/>
  <c r="Q32" i="10"/>
  <c r="U72" i="12"/>
  <c r="U20" i="12"/>
  <c r="Q35" i="11"/>
  <c r="Q41" i="10"/>
  <c r="Q64" i="11"/>
  <c r="Q70" i="10"/>
  <c r="Q36" i="11"/>
  <c r="Q42" i="10"/>
  <c r="U23" i="12"/>
  <c r="U67" i="12"/>
  <c r="U52" i="12"/>
  <c r="L29" i="9"/>
  <c r="L28" i="9"/>
  <c r="M13" i="11"/>
  <c r="M32" i="11"/>
  <c r="M38" i="10"/>
  <c r="M15" i="11"/>
  <c r="M9" i="11"/>
  <c r="M12" i="11"/>
  <c r="M17" i="11"/>
  <c r="L27" i="9"/>
  <c r="L27" i="5"/>
  <c r="L28" i="5"/>
  <c r="M19" i="11"/>
  <c r="M7" i="11"/>
  <c r="L29" i="5"/>
  <c r="M10" i="11"/>
  <c r="M16" i="11"/>
  <c r="M14" i="11"/>
  <c r="M23" i="11"/>
  <c r="F39" i="12"/>
  <c r="F74" i="12"/>
  <c r="F15" i="12"/>
  <c r="D14" i="3"/>
  <c r="F61" i="12"/>
  <c r="F10" i="12"/>
  <c r="D25" i="3"/>
  <c r="F16" i="12"/>
  <c r="F12" i="12"/>
  <c r="F30" i="12"/>
  <c r="F23" i="12"/>
  <c r="F24" i="12"/>
  <c r="F34" i="12"/>
  <c r="F25" i="12"/>
  <c r="F13" i="12"/>
  <c r="F8" i="12"/>
  <c r="T13" i="2"/>
  <c r="T68" i="10"/>
  <c r="T21" i="2"/>
  <c r="T66" i="10"/>
  <c r="T65" i="10"/>
  <c r="T39" i="4"/>
  <c r="T67" i="10"/>
  <c r="T62" i="10"/>
  <c r="C9" i="12"/>
  <c r="C19" i="12"/>
  <c r="C72" i="12"/>
  <c r="C50" i="12"/>
  <c r="C29" i="12"/>
  <c r="C35" i="12"/>
  <c r="C18" i="12"/>
  <c r="C32" i="12"/>
  <c r="C28" i="12"/>
  <c r="C22" i="12"/>
  <c r="C24" i="12"/>
  <c r="C10" i="12"/>
  <c r="C13" i="12"/>
  <c r="C55" i="12"/>
  <c r="C20" i="12"/>
  <c r="C12" i="12"/>
  <c r="C69" i="12"/>
  <c r="C25" i="12"/>
  <c r="C11" i="12"/>
  <c r="P33" i="12"/>
  <c r="P23" i="12"/>
  <c r="K20" i="9"/>
  <c r="K20" i="5"/>
  <c r="P12" i="12"/>
  <c r="L65" i="11"/>
  <c r="L71" i="10"/>
  <c r="P52" i="12"/>
  <c r="L35" i="11"/>
  <c r="L41" i="10"/>
  <c r="P17" i="12"/>
  <c r="K13" i="9"/>
  <c r="L36" i="11"/>
  <c r="L42" i="10"/>
  <c r="L66" i="11"/>
  <c r="L72" i="10"/>
  <c r="P57" i="12"/>
  <c r="P22" i="12"/>
  <c r="P50" i="12"/>
  <c r="P39" i="12"/>
  <c r="L67" i="11"/>
  <c r="L73" i="10"/>
  <c r="P30" i="12"/>
  <c r="L28" i="11"/>
  <c r="L34" i="10"/>
  <c r="P8" i="12"/>
  <c r="P19" i="12"/>
  <c r="L26" i="11"/>
  <c r="L32" i="10"/>
  <c r="L40" i="11"/>
  <c r="L46" i="10"/>
  <c r="N65" i="10"/>
  <c r="N39" i="4"/>
  <c r="N66" i="10"/>
  <c r="N21" i="2"/>
  <c r="N62" i="10"/>
  <c r="N68" i="10"/>
  <c r="N13" i="2"/>
  <c r="N67" i="10"/>
  <c r="T66" i="12"/>
  <c r="T54" i="12"/>
  <c r="T8" i="12"/>
  <c r="T21" i="12"/>
  <c r="T32" i="12"/>
  <c r="P27" i="11"/>
  <c r="P33" i="10"/>
  <c r="T19" i="12"/>
  <c r="P41" i="11"/>
  <c r="P29" i="11"/>
  <c r="P47" i="10"/>
  <c r="P35" i="10"/>
  <c r="T15" i="12"/>
  <c r="T35" i="12"/>
  <c r="P36" i="11"/>
  <c r="P42" i="10"/>
  <c r="P26" i="11"/>
  <c r="P32" i="10"/>
  <c r="T28" i="12"/>
  <c r="T18" i="12"/>
  <c r="P40" i="11"/>
  <c r="P46" i="10"/>
  <c r="P35" i="11"/>
  <c r="P41" i="10"/>
  <c r="T25" i="12"/>
  <c r="R14" i="13"/>
  <c r="T30" i="12"/>
  <c r="P64" i="11"/>
  <c r="P70" i="10"/>
  <c r="T16" i="12"/>
  <c r="T17" i="12"/>
  <c r="N54" i="12"/>
  <c r="N10" i="12"/>
  <c r="N8" i="12"/>
  <c r="N25" i="12"/>
  <c r="N16" i="12"/>
  <c r="J28" i="11"/>
  <c r="J34" i="10"/>
  <c r="J65" i="11"/>
  <c r="J71" i="10"/>
  <c r="J27" i="11"/>
  <c r="J33" i="10"/>
  <c r="J40" i="11"/>
  <c r="J46" i="10"/>
  <c r="N34" i="12"/>
  <c r="N33" i="12"/>
  <c r="L14" i="3"/>
  <c r="I7" i="9"/>
  <c r="I7" i="5"/>
  <c r="J7" i="2"/>
  <c r="J66" i="11"/>
  <c r="J72" i="10"/>
  <c r="J26" i="11"/>
  <c r="J32" i="10"/>
  <c r="J67" i="11"/>
  <c r="J73" i="10"/>
  <c r="J41" i="11"/>
  <c r="J29" i="11"/>
  <c r="J47" i="10"/>
  <c r="J35" i="10"/>
  <c r="N61" i="12"/>
  <c r="N24" i="12"/>
  <c r="J64" i="11"/>
  <c r="J70" i="10"/>
  <c r="J36" i="11"/>
  <c r="J42" i="10"/>
  <c r="N9" i="12"/>
  <c r="N32" i="12"/>
  <c r="Y10" i="11"/>
  <c r="Y19" i="11"/>
  <c r="X28" i="9"/>
  <c r="Y57" i="11"/>
  <c r="Y15" i="11"/>
  <c r="Y17" i="11"/>
  <c r="Y9" i="11"/>
  <c r="Y13" i="11"/>
  <c r="Y8" i="11"/>
  <c r="X28" i="5"/>
  <c r="Y12" i="11"/>
  <c r="Y22" i="11"/>
  <c r="X29" i="5"/>
  <c r="Y11" i="11"/>
  <c r="X27" i="9"/>
  <c r="X27" i="5"/>
  <c r="Y33" i="11"/>
  <c r="Y39" i="10"/>
  <c r="X29" i="9"/>
  <c r="E37" i="12"/>
  <c r="E10" i="12"/>
  <c r="E25" i="12"/>
  <c r="E8" i="12"/>
  <c r="E26" i="12"/>
  <c r="E24" i="12"/>
  <c r="E16" i="12"/>
  <c r="E67" i="12"/>
  <c r="E9" i="12"/>
  <c r="C25" i="3"/>
  <c r="E47" i="12"/>
  <c r="C14" i="3"/>
  <c r="E22" i="12"/>
  <c r="E36" i="12"/>
  <c r="E23" i="12"/>
  <c r="E11" i="12"/>
  <c r="D67" i="10"/>
  <c r="D68" i="10"/>
  <c r="D66" i="10"/>
  <c r="D62" i="10"/>
  <c r="D13" i="2"/>
  <c r="D65" i="10"/>
  <c r="D39" i="4"/>
  <c r="D21" i="2"/>
  <c r="G28" i="5"/>
  <c r="H15" i="11"/>
  <c r="H10" i="11"/>
  <c r="H16" i="11"/>
  <c r="G27" i="9"/>
  <c r="G27" i="5"/>
  <c r="H9" i="11"/>
  <c r="H33" i="11"/>
  <c r="H39" i="10"/>
  <c r="H8" i="11"/>
  <c r="H13" i="11"/>
  <c r="G28" i="9"/>
  <c r="H22" i="11"/>
  <c r="H20" i="11"/>
  <c r="H19" i="11"/>
  <c r="G29" i="5"/>
  <c r="H12" i="11"/>
  <c r="G29" i="9"/>
  <c r="H17" i="11"/>
  <c r="D35" i="11"/>
  <c r="D41" i="10"/>
  <c r="H10" i="12"/>
  <c r="D28" i="11"/>
  <c r="D34" i="10"/>
  <c r="H8" i="12"/>
  <c r="H29" i="12"/>
  <c r="H34" i="12"/>
  <c r="H12" i="12"/>
  <c r="H60" i="12"/>
  <c r="H22" i="12"/>
  <c r="D40" i="11"/>
  <c r="D46" i="10"/>
  <c r="H13" i="12"/>
  <c r="H55" i="12"/>
  <c r="H31" i="12"/>
  <c r="H65" i="12"/>
  <c r="H16" i="12"/>
  <c r="H15" i="12"/>
  <c r="H25" i="12"/>
  <c r="H23" i="12"/>
  <c r="D64" i="11"/>
  <c r="D70" i="10"/>
  <c r="D67" i="11"/>
  <c r="D73" i="10"/>
  <c r="H11" i="12"/>
  <c r="D66" i="11"/>
  <c r="D72" i="10"/>
  <c r="Z11" i="12"/>
  <c r="Z21" i="12"/>
  <c r="Z10" i="12"/>
  <c r="Z12" i="12"/>
  <c r="Z20" i="12"/>
  <c r="W41" i="11"/>
  <c r="W29" i="11"/>
  <c r="W47" i="10"/>
  <c r="W35" i="10"/>
  <c r="W67" i="11"/>
  <c r="W73" i="10"/>
  <c r="Z69" i="12"/>
  <c r="W40" i="11"/>
  <c r="W46" i="10"/>
  <c r="Z37" i="12"/>
  <c r="Z19" i="12"/>
  <c r="Z23" i="12"/>
  <c r="Y11" i="13"/>
  <c r="Z55" i="12"/>
  <c r="Z67" i="12"/>
  <c r="W26" i="11"/>
  <c r="W32" i="10"/>
  <c r="W28" i="11"/>
  <c r="W34" i="10"/>
  <c r="Z15" i="12"/>
  <c r="Z31" i="12"/>
  <c r="W35" i="11"/>
  <c r="W41" i="10"/>
  <c r="Z13" i="12"/>
  <c r="Z26" i="12"/>
  <c r="V15" i="12"/>
  <c r="R28" i="11"/>
  <c r="R34" i="10"/>
  <c r="V23" i="12"/>
  <c r="V30" i="12"/>
  <c r="V32" i="12"/>
  <c r="V25" i="12"/>
  <c r="V50" i="12"/>
  <c r="R64" i="11"/>
  <c r="R70" i="10"/>
  <c r="R36" i="11"/>
  <c r="R42" i="10"/>
  <c r="R35" i="11"/>
  <c r="R41" i="10"/>
  <c r="V28" i="12"/>
  <c r="V37" i="12"/>
  <c r="R65" i="11"/>
  <c r="R71" i="10"/>
  <c r="R27" i="11"/>
  <c r="R33" i="10"/>
  <c r="V17" i="12"/>
  <c r="R66" i="11"/>
  <c r="R72" i="10"/>
  <c r="V8" i="12"/>
  <c r="V19" i="12"/>
  <c r="V16" i="12"/>
  <c r="V13" i="12"/>
  <c r="V12" i="12"/>
  <c r="R41" i="11"/>
  <c r="R29" i="11"/>
  <c r="R47" i="10"/>
  <c r="R35" i="10"/>
  <c r="G8" i="12"/>
  <c r="G16" i="12"/>
  <c r="G23" i="12"/>
  <c r="C35" i="11"/>
  <c r="C41" i="10"/>
  <c r="G59" i="12"/>
  <c r="G21" i="12"/>
  <c r="C66" i="11"/>
  <c r="C72" i="10"/>
  <c r="G22" i="12"/>
  <c r="C28" i="11"/>
  <c r="C34" i="10"/>
  <c r="G20" i="12"/>
  <c r="G37" i="12"/>
  <c r="G15" i="12"/>
  <c r="C64" i="11"/>
  <c r="C70" i="10"/>
  <c r="G34" i="12"/>
  <c r="C26" i="11"/>
  <c r="C32" i="10"/>
  <c r="G32" i="12"/>
  <c r="G35" i="12"/>
  <c r="G13" i="12"/>
  <c r="G9" i="12"/>
  <c r="G24" i="12"/>
  <c r="G47" i="12"/>
  <c r="G18" i="12"/>
  <c r="H64" i="11"/>
  <c r="H70" i="10"/>
  <c r="H35" i="11"/>
  <c r="H41" i="10"/>
  <c r="L12" i="12"/>
  <c r="L37" i="12"/>
  <c r="L10" i="12"/>
  <c r="L35" i="12"/>
  <c r="L8" i="12"/>
  <c r="H27" i="11"/>
  <c r="H33" i="10"/>
  <c r="L11" i="12"/>
  <c r="H40" i="11"/>
  <c r="H46" i="10"/>
  <c r="L34" i="12"/>
  <c r="L36" i="12"/>
  <c r="L24" i="12"/>
  <c r="L28" i="12"/>
  <c r="L9" i="12"/>
  <c r="H28" i="11"/>
  <c r="H34" i="10"/>
  <c r="L23" i="12"/>
  <c r="L62" i="12"/>
  <c r="L50" i="12"/>
  <c r="H26" i="11"/>
  <c r="H32" i="10"/>
  <c r="H66" i="11"/>
  <c r="H72" i="10"/>
  <c r="L26" i="12"/>
  <c r="S67" i="11"/>
  <c r="S73" i="10"/>
  <c r="W23" i="12"/>
  <c r="S26" i="11"/>
  <c r="S32" i="10"/>
  <c r="W18" i="12"/>
  <c r="S65" i="11"/>
  <c r="S71" i="10"/>
  <c r="W32" i="12"/>
  <c r="W16" i="12"/>
  <c r="W20" i="12"/>
  <c r="S28" i="11"/>
  <c r="S34" i="10"/>
  <c r="S27" i="11"/>
  <c r="S33" i="10"/>
  <c r="W21" i="12"/>
  <c r="S41" i="11"/>
  <c r="S29" i="11"/>
  <c r="S47" i="10"/>
  <c r="S35" i="10"/>
  <c r="S66" i="11"/>
  <c r="S72" i="10"/>
  <c r="S64" i="11"/>
  <c r="S70" i="10"/>
  <c r="W15" i="12"/>
  <c r="W22" i="12"/>
  <c r="W24" i="12"/>
  <c r="W37" i="12"/>
  <c r="W74" i="12"/>
  <c r="W13" i="12"/>
  <c r="W57" i="12"/>
  <c r="W50" i="12"/>
  <c r="I32" i="12"/>
  <c r="I11" i="12"/>
  <c r="E35" i="11"/>
  <c r="E41" i="10"/>
  <c r="E28" i="11"/>
  <c r="E34" i="10"/>
  <c r="E40" i="11"/>
  <c r="E46" i="10"/>
  <c r="I13" i="12"/>
  <c r="I51" i="12"/>
  <c r="I12" i="12"/>
  <c r="I20" i="12"/>
  <c r="G13" i="13"/>
  <c r="I29" i="12"/>
  <c r="E26" i="11"/>
  <c r="E32" i="10"/>
  <c r="E67" i="11"/>
  <c r="E73" i="10"/>
  <c r="I16" i="12"/>
  <c r="E66" i="11"/>
  <c r="E72" i="10"/>
  <c r="I54" i="12"/>
  <c r="I31" i="12"/>
  <c r="E65" i="11"/>
  <c r="E71" i="10"/>
  <c r="I22" i="12"/>
  <c r="I21" i="12"/>
  <c r="I18" i="12"/>
  <c r="I19" i="12"/>
  <c r="Q65" i="10"/>
  <c r="Q39" i="4"/>
  <c r="Q62" i="10"/>
  <c r="Q67" i="10"/>
  <c r="Q21" i="2"/>
  <c r="Q13" i="2"/>
  <c r="Q68" i="10"/>
  <c r="Q66" i="10"/>
  <c r="J34" i="12"/>
  <c r="J11" i="12"/>
  <c r="J31" i="12"/>
  <c r="F26" i="11"/>
  <c r="F32" i="10"/>
  <c r="J29" i="12"/>
  <c r="E21" i="9"/>
  <c r="J25" i="12"/>
  <c r="F41" i="11"/>
  <c r="F29" i="11"/>
  <c r="F47" i="10"/>
  <c r="F35" i="10"/>
  <c r="J23" i="12"/>
  <c r="J13" i="12"/>
  <c r="J8" i="12"/>
  <c r="J20" i="12"/>
  <c r="J39" i="12"/>
  <c r="J12" i="12"/>
  <c r="F66" i="11"/>
  <c r="F72" i="10"/>
  <c r="F36" i="11"/>
  <c r="F42" i="10"/>
  <c r="J10" i="12"/>
  <c r="F40" i="11"/>
  <c r="F46" i="10"/>
  <c r="J9" i="12"/>
  <c r="F64" i="11"/>
  <c r="F70" i="10"/>
  <c r="J15" i="12"/>
  <c r="J30" i="12"/>
  <c r="X29" i="12"/>
  <c r="X15" i="12"/>
  <c r="T67" i="11"/>
  <c r="T73" i="10"/>
  <c r="X28" i="12"/>
  <c r="T64" i="11"/>
  <c r="T70" i="10"/>
  <c r="T28" i="11"/>
  <c r="T34" i="10"/>
  <c r="T66" i="11"/>
  <c r="T72" i="10"/>
  <c r="X47" i="12"/>
  <c r="T41" i="11"/>
  <c r="T29" i="11"/>
  <c r="T47" i="10"/>
  <c r="T35" i="10"/>
  <c r="T36" i="11"/>
  <c r="T42" i="10"/>
  <c r="X22" i="12"/>
  <c r="X23" i="12"/>
  <c r="X21" i="12"/>
  <c r="X16" i="12"/>
  <c r="T40" i="11"/>
  <c r="T46" i="10"/>
  <c r="X65" i="12"/>
  <c r="T26" i="11"/>
  <c r="T32" i="10"/>
  <c r="X25" i="12"/>
  <c r="T35" i="11"/>
  <c r="T41" i="10"/>
  <c r="X17" i="12"/>
  <c r="X39" i="12"/>
  <c r="X13" i="12"/>
  <c r="J62" i="10"/>
  <c r="J65" i="10"/>
  <c r="J39" i="4"/>
  <c r="J66" i="10"/>
  <c r="J13" i="2"/>
  <c r="J68" i="10"/>
  <c r="J21" i="2"/>
  <c r="J67" i="10"/>
  <c r="K42" i="4"/>
  <c r="O42" i="12"/>
  <c r="K7" i="7"/>
  <c r="K48" i="11"/>
  <c r="K54" i="10"/>
  <c r="M12" i="3"/>
  <c r="M51" i="13"/>
  <c r="O78" i="12"/>
  <c r="O43" i="12"/>
  <c r="K22" i="7"/>
  <c r="J14" i="6"/>
  <c r="K20" i="7"/>
  <c r="K63" i="11"/>
  <c r="K69" i="10"/>
  <c r="O75" i="12"/>
  <c r="K15" i="7"/>
  <c r="K45" i="11"/>
  <c r="K51" i="10"/>
  <c r="J22" i="9"/>
  <c r="K16" i="7"/>
  <c r="K46" i="11"/>
  <c r="K52" i="10"/>
  <c r="O44" i="12"/>
  <c r="O76" i="12"/>
  <c r="L7" i="8"/>
  <c r="O49" i="12"/>
  <c r="L6" i="8"/>
  <c r="J32" i="6"/>
  <c r="O41" i="12"/>
  <c r="K14" i="4"/>
  <c r="O45" i="12"/>
  <c r="K8" i="7"/>
  <c r="K43" i="11"/>
  <c r="K49" i="10"/>
  <c r="M11" i="3"/>
  <c r="S10" i="12"/>
  <c r="O26" i="11"/>
  <c r="O32" i="10"/>
  <c r="O64" i="11"/>
  <c r="O70" i="10"/>
  <c r="S39" i="12"/>
  <c r="S9" i="12"/>
  <c r="S29" i="12"/>
  <c r="O41" i="11"/>
  <c r="O29" i="11"/>
  <c r="O47" i="10"/>
  <c r="O35" i="10"/>
  <c r="O27" i="11"/>
  <c r="O33" i="10"/>
  <c r="O36" i="11"/>
  <c r="O42" i="10"/>
  <c r="S36" i="12"/>
  <c r="S8" i="12"/>
  <c r="O67" i="11"/>
  <c r="O73" i="10"/>
  <c r="S32" i="12"/>
  <c r="O65" i="11"/>
  <c r="O71" i="10"/>
  <c r="S18" i="12"/>
  <c r="S33" i="12"/>
  <c r="S25" i="12"/>
  <c r="S20" i="12"/>
  <c r="S19" i="12"/>
  <c r="S22" i="12"/>
  <c r="S35" i="12"/>
  <c r="O40" i="11"/>
  <c r="O46" i="10"/>
  <c r="K67" i="11"/>
  <c r="K73" i="10"/>
  <c r="K36" i="11"/>
  <c r="K42" i="10"/>
  <c r="O24" i="12"/>
  <c r="O9" i="12"/>
  <c r="K66" i="11"/>
  <c r="K72" i="10"/>
  <c r="K27" i="11"/>
  <c r="K33" i="10"/>
  <c r="O12" i="12"/>
  <c r="K64" i="11"/>
  <c r="K70" i="10"/>
  <c r="K40" i="11"/>
  <c r="K46" i="10"/>
  <c r="O33" i="12"/>
  <c r="O26" i="12"/>
  <c r="O17" i="12"/>
  <c r="K28" i="11"/>
  <c r="K34" i="10"/>
  <c r="O60" i="12"/>
  <c r="O51" i="12"/>
  <c r="O30" i="12"/>
  <c r="O11" i="12"/>
  <c r="O13" i="12"/>
  <c r="O29" i="12"/>
  <c r="O18" i="12"/>
  <c r="K65" i="11"/>
  <c r="K71" i="10"/>
  <c r="O16" i="12"/>
  <c r="E62" i="10"/>
  <c r="E68" i="10"/>
  <c r="E13" i="2"/>
  <c r="E66" i="10"/>
  <c r="E67" i="10"/>
  <c r="E21" i="2"/>
  <c r="E65" i="10"/>
  <c r="E39" i="4"/>
  <c r="M59" i="12"/>
  <c r="M15" i="12"/>
  <c r="M29" i="12"/>
  <c r="M33" i="12"/>
  <c r="M13" i="12"/>
  <c r="K9" i="13"/>
  <c r="I28" i="11"/>
  <c r="I34" i="10"/>
  <c r="M9" i="12"/>
  <c r="I26" i="11"/>
  <c r="I32" i="10"/>
  <c r="M24" i="12"/>
  <c r="M55" i="12"/>
  <c r="M25" i="12"/>
  <c r="I64" i="11"/>
  <c r="I70" i="10"/>
  <c r="I41" i="11"/>
  <c r="I29" i="11"/>
  <c r="I47" i="10"/>
  <c r="I35" i="10"/>
  <c r="I65" i="11"/>
  <c r="I71" i="10"/>
  <c r="M11" i="12"/>
  <c r="M36" i="12"/>
  <c r="M47" i="12"/>
  <c r="M26" i="12"/>
  <c r="I36" i="11"/>
  <c r="I42" i="10"/>
  <c r="I27" i="11"/>
  <c r="I33" i="10"/>
  <c r="M8" i="12"/>
  <c r="N66" i="11"/>
  <c r="N72" i="10"/>
  <c r="N25" i="10"/>
  <c r="R59" i="12"/>
  <c r="N67" i="11"/>
  <c r="N73" i="10"/>
  <c r="R19" i="12"/>
  <c r="R10" i="12"/>
  <c r="N40" i="11"/>
  <c r="N46" i="10"/>
  <c r="R30" i="12"/>
  <c r="R8" i="12"/>
  <c r="R21" i="12"/>
  <c r="R68" i="12"/>
  <c r="N41" i="11"/>
  <c r="N29" i="11"/>
  <c r="N47" i="10"/>
  <c r="N35" i="10"/>
  <c r="R35" i="12"/>
  <c r="R47" i="12"/>
  <c r="N28" i="11"/>
  <c r="N34" i="10"/>
  <c r="N27" i="11"/>
  <c r="N33" i="10"/>
  <c r="R20" i="12"/>
  <c r="R34" i="12"/>
  <c r="R12" i="12"/>
  <c r="R17" i="12"/>
  <c r="R11" i="12"/>
  <c r="R18" i="12"/>
  <c r="R67" i="10"/>
  <c r="R66" i="10"/>
  <c r="R21" i="2"/>
  <c r="R65" i="10"/>
  <c r="R39" i="4"/>
  <c r="R13" i="2"/>
  <c r="R62" i="10"/>
  <c r="R68" i="10"/>
  <c r="G41" i="11"/>
  <c r="G29" i="11"/>
  <c r="G47" i="10"/>
  <c r="G35" i="10"/>
  <c r="K22" i="12"/>
  <c r="G26" i="11"/>
  <c r="G32" i="10"/>
  <c r="K11" i="12"/>
  <c r="K79" i="12"/>
  <c r="K17" i="12"/>
  <c r="K16" i="12"/>
  <c r="G40" i="11"/>
  <c r="G46" i="10"/>
  <c r="G35" i="11"/>
  <c r="G41" i="10"/>
  <c r="K24" i="12"/>
  <c r="K20" i="12"/>
  <c r="K18" i="12"/>
  <c r="K19" i="12"/>
  <c r="K29" i="12"/>
  <c r="G65" i="11"/>
  <c r="G71" i="10"/>
  <c r="G67" i="11"/>
  <c r="G73" i="10"/>
  <c r="K63" i="12"/>
  <c r="K13" i="12"/>
  <c r="K36" i="12"/>
  <c r="K31" i="12"/>
  <c r="G28" i="11"/>
  <c r="G34" i="10"/>
  <c r="K10" i="12"/>
  <c r="T38" i="6"/>
  <c r="W9" i="17"/>
  <c r="U26" i="11"/>
  <c r="U32" i="10"/>
  <c r="U66" i="11"/>
  <c r="U72" i="10"/>
  <c r="U28" i="11"/>
  <c r="U34" i="10"/>
  <c r="U16" i="10"/>
  <c r="W14" i="3"/>
  <c r="T7" i="9"/>
  <c r="T7" i="5"/>
  <c r="U7" i="2"/>
  <c r="U65" i="11"/>
  <c r="U71" i="10"/>
  <c r="W14" i="13"/>
  <c r="U27" i="11"/>
  <c r="U33" i="10"/>
  <c r="T13" i="9"/>
  <c r="U67" i="11"/>
  <c r="U73" i="10"/>
  <c r="U25" i="10"/>
  <c r="T39" i="6"/>
  <c r="W10" i="13"/>
  <c r="U36" i="11"/>
  <c r="U42" i="10"/>
  <c r="W17" i="13"/>
  <c r="U41" i="11"/>
  <c r="U29" i="11"/>
  <c r="U47" i="10"/>
  <c r="U35" i="10"/>
  <c r="U35" i="11"/>
  <c r="U41" i="10"/>
  <c r="U40" i="11"/>
  <c r="U46" i="10"/>
  <c r="T11" i="9"/>
  <c r="T21" i="9"/>
  <c r="U13" i="2"/>
  <c r="U66" i="10"/>
  <c r="U67" i="10"/>
  <c r="U21" i="2"/>
  <c r="U62" i="10"/>
  <c r="U68" i="10"/>
  <c r="U65" i="10"/>
  <c r="U39" i="4"/>
  <c r="Q39" i="12"/>
  <c r="Q11" i="12"/>
  <c r="M36" i="11"/>
  <c r="M42" i="10"/>
  <c r="Q9" i="12"/>
  <c r="Q24" i="12"/>
  <c r="Q37" i="12"/>
  <c r="M35" i="11"/>
  <c r="M41" i="10"/>
  <c r="M28" i="11"/>
  <c r="M34" i="10"/>
  <c r="M41" i="11"/>
  <c r="M29" i="11"/>
  <c r="M47" i="10"/>
  <c r="M35" i="10"/>
  <c r="Q16" i="12"/>
  <c r="M27" i="11"/>
  <c r="M33" i="10"/>
  <c r="Q18" i="12"/>
  <c r="Q10" i="12"/>
  <c r="Q21" i="12"/>
  <c r="Q28" i="12"/>
  <c r="Q26" i="12"/>
  <c r="M40" i="11"/>
  <c r="M46" i="10"/>
  <c r="Q20" i="12"/>
  <c r="Q12" i="12"/>
  <c r="M65" i="11"/>
  <c r="M71" i="10"/>
  <c r="Q30" i="12"/>
  <c r="M67" i="11"/>
  <c r="M73" i="10"/>
  <c r="D9" i="12"/>
  <c r="D50" i="12"/>
  <c r="D30" i="12"/>
  <c r="D12" i="12"/>
  <c r="D16" i="12"/>
  <c r="D23" i="12"/>
  <c r="D19" i="12"/>
  <c r="D10" i="12"/>
  <c r="D66" i="12"/>
  <c r="D28" i="12"/>
  <c r="D17" i="12"/>
  <c r="D21" i="12"/>
  <c r="D32" i="12"/>
  <c r="D37" i="12"/>
  <c r="D73" i="12"/>
  <c r="D25" i="12"/>
  <c r="D15" i="12"/>
  <c r="D18" i="12"/>
  <c r="D8" i="12"/>
  <c r="V64" i="11"/>
  <c r="V70" i="10"/>
  <c r="V36" i="11"/>
  <c r="V42" i="10"/>
  <c r="Y21" i="12"/>
  <c r="Y9" i="12"/>
  <c r="Y13" i="12"/>
  <c r="Y20" i="12"/>
  <c r="Y18" i="12"/>
  <c r="Y33" i="12"/>
  <c r="Y32" i="12"/>
  <c r="Y26" i="12"/>
  <c r="V26" i="11"/>
  <c r="V32" i="10"/>
  <c r="V28" i="11"/>
  <c r="V34" i="10"/>
  <c r="Y19" i="12"/>
  <c r="V41" i="11"/>
  <c r="V29" i="11"/>
  <c r="V47" i="10"/>
  <c r="V35" i="10"/>
  <c r="Y29" i="12"/>
  <c r="V66" i="11"/>
  <c r="V72" i="10"/>
  <c r="Y47" i="12"/>
  <c r="Y12" i="12"/>
  <c r="Y16" i="12"/>
  <c r="Y31" i="12"/>
  <c r="Y35" i="12"/>
  <c r="Y22" i="12"/>
  <c r="X64" i="11"/>
  <c r="X70" i="10"/>
  <c r="X65" i="11"/>
  <c r="X71" i="10"/>
  <c r="AA16" i="12"/>
  <c r="X27" i="11"/>
  <c r="X33" i="10"/>
  <c r="AA34" i="12"/>
  <c r="AA11" i="12"/>
  <c r="AA30" i="12"/>
  <c r="AA20" i="12"/>
  <c r="AA26" i="12"/>
  <c r="AA10" i="12"/>
  <c r="AA18" i="12"/>
  <c r="W21" i="9"/>
  <c r="X66" i="11"/>
  <c r="X72" i="10"/>
  <c r="AA13" i="12"/>
  <c r="AA52" i="12"/>
  <c r="X35" i="11"/>
  <c r="X41" i="10"/>
  <c r="AA31" i="12"/>
  <c r="X26" i="11"/>
  <c r="X32" i="10"/>
  <c r="X40" i="11"/>
  <c r="X46" i="10"/>
  <c r="X28" i="11"/>
  <c r="X34" i="10"/>
  <c r="AA17" i="12"/>
  <c r="AA19" i="12"/>
  <c r="K62" i="10"/>
  <c r="K13" i="2"/>
  <c r="K67" i="10"/>
  <c r="K65" i="10"/>
  <c r="K39" i="4"/>
  <c r="K68" i="10"/>
  <c r="P62" i="10"/>
  <c r="P21" i="2"/>
  <c r="K66" i="10"/>
  <c r="K21" i="2"/>
  <c r="P13" i="2"/>
  <c r="P68" i="10"/>
  <c r="P66" i="10"/>
  <c r="P65" i="10"/>
  <c r="P39" i="4"/>
  <c r="P67" i="10"/>
  <c r="I66" i="10"/>
  <c r="I68" i="10"/>
  <c r="I67" i="10"/>
  <c r="I65" i="10"/>
  <c r="I39" i="4"/>
  <c r="I62" i="10"/>
  <c r="I13" i="2"/>
  <c r="I21" i="2"/>
  <c r="G67" i="12"/>
  <c r="G11" i="12"/>
  <c r="G71" i="12"/>
  <c r="G25" i="12"/>
  <c r="E15" i="13"/>
  <c r="C40" i="11"/>
  <c r="C46" i="10"/>
  <c r="G29" i="12"/>
  <c r="G68" i="12"/>
  <c r="G57" i="12"/>
  <c r="G54" i="12"/>
  <c r="G70" i="12"/>
  <c r="C27" i="11"/>
  <c r="C33" i="10"/>
  <c r="C41" i="11"/>
  <c r="C29" i="11"/>
  <c r="C47" i="10"/>
  <c r="C35" i="10"/>
  <c r="G74" i="12"/>
  <c r="G65" i="12"/>
  <c r="G33" i="12"/>
  <c r="G31" i="12"/>
  <c r="E33" i="13"/>
  <c r="C28" i="10"/>
  <c r="G50" i="12"/>
  <c r="G52" i="12"/>
  <c r="E12" i="13"/>
  <c r="C36" i="11"/>
  <c r="C42" i="10"/>
  <c r="Y27" i="11"/>
  <c r="Y33" i="10"/>
  <c r="Y25" i="10"/>
  <c r="X11" i="9"/>
  <c r="AA14" i="3"/>
  <c r="X7" i="9"/>
  <c r="X7" i="5"/>
  <c r="Y7" i="2"/>
  <c r="Y35" i="11"/>
  <c r="Y41" i="10"/>
  <c r="Y67" i="11"/>
  <c r="Y73" i="10"/>
  <c r="Y28" i="11"/>
  <c r="Y34" i="10"/>
  <c r="X39" i="6"/>
  <c r="AA33" i="13"/>
  <c r="Y28" i="10"/>
  <c r="Y26" i="11"/>
  <c r="Y32" i="10"/>
  <c r="AA14" i="13"/>
  <c r="Y65" i="11"/>
  <c r="Y71" i="10"/>
  <c r="X13" i="9"/>
  <c r="X21" i="9"/>
  <c r="Y16" i="10"/>
  <c r="AA17" i="13"/>
  <c r="Y40" i="11"/>
  <c r="Y46" i="10"/>
  <c r="Y36" i="11"/>
  <c r="Y42" i="10"/>
  <c r="Y64" i="11"/>
  <c r="Y70" i="10"/>
  <c r="AA24" i="13"/>
  <c r="X21" i="5"/>
  <c r="Y41" i="11"/>
  <c r="Y29" i="11"/>
  <c r="Y47" i="10"/>
  <c r="Y35" i="10"/>
  <c r="Y66" i="10"/>
  <c r="Y62" i="10"/>
  <c r="Y65" i="10"/>
  <c r="Y39" i="4"/>
  <c r="Y13" i="2"/>
  <c r="Y21" i="2"/>
  <c r="Y68" i="10"/>
  <c r="Y67" i="10"/>
  <c r="T33" i="12"/>
  <c r="P67" i="11"/>
  <c r="P73" i="10"/>
  <c r="T70" i="12"/>
  <c r="T50" i="12"/>
  <c r="T22" i="12"/>
  <c r="T39" i="12"/>
  <c r="T56" i="12"/>
  <c r="T71" i="12"/>
  <c r="P66" i="11"/>
  <c r="P72" i="10"/>
  <c r="T9" i="12"/>
  <c r="T59" i="12"/>
  <c r="T23" i="12"/>
  <c r="R25" i="13"/>
  <c r="T10" i="12"/>
  <c r="T20" i="12"/>
  <c r="T51" i="12"/>
  <c r="T60" i="12"/>
  <c r="R32" i="13"/>
  <c r="P27" i="10"/>
  <c r="R18" i="13"/>
  <c r="T62" i="12"/>
  <c r="T69" i="12"/>
  <c r="R42" i="13"/>
  <c r="F28" i="12"/>
  <c r="D13" i="13"/>
  <c r="F71" i="12"/>
  <c r="F64" i="12"/>
  <c r="F54" i="12"/>
  <c r="F21" i="12"/>
  <c r="F35" i="12"/>
  <c r="F73" i="12"/>
  <c r="F19" i="12"/>
  <c r="F20" i="12"/>
  <c r="F69" i="12"/>
  <c r="F17" i="12"/>
  <c r="F18" i="12"/>
  <c r="F57" i="12"/>
  <c r="F56" i="12"/>
  <c r="D8" i="13"/>
  <c r="F50" i="12"/>
  <c r="F37" i="12"/>
  <c r="D12" i="13"/>
  <c r="F67" i="12"/>
  <c r="F32" i="12"/>
  <c r="F68" i="12"/>
  <c r="I72" i="12"/>
  <c r="G25" i="13"/>
  <c r="I69" i="12"/>
  <c r="I23" i="12"/>
  <c r="I73" i="12"/>
  <c r="G42" i="13"/>
  <c r="I26" i="12"/>
  <c r="I47" i="12"/>
  <c r="I66" i="12"/>
  <c r="I8" i="12"/>
  <c r="I74" i="12"/>
  <c r="E64" i="11"/>
  <c r="E70" i="10"/>
  <c r="I56" i="12"/>
  <c r="G8" i="13"/>
  <c r="I67" i="12"/>
  <c r="I50" i="12"/>
  <c r="I9" i="12"/>
  <c r="G39" i="13"/>
  <c r="E30" i="11"/>
  <c r="E36" i="10"/>
  <c r="I62" i="12"/>
  <c r="I65" i="12"/>
  <c r="I37" i="12"/>
  <c r="I68" i="12"/>
  <c r="K71" i="12"/>
  <c r="K70" i="12"/>
  <c r="K56" i="12"/>
  <c r="K8" i="12"/>
  <c r="I12" i="13"/>
  <c r="K52" i="12"/>
  <c r="K74" i="12"/>
  <c r="I15" i="13"/>
  <c r="K21" i="12"/>
  <c r="K65" i="12"/>
  <c r="K34" i="12"/>
  <c r="K37" i="12"/>
  <c r="K67" i="12"/>
  <c r="G66" i="11"/>
  <c r="G72" i="10"/>
  <c r="K23" i="12"/>
  <c r="K66" i="12"/>
  <c r="K64" i="12"/>
  <c r="K47" i="12"/>
  <c r="I8" i="13"/>
  <c r="G64" i="11"/>
  <c r="G70" i="10"/>
  <c r="K33" i="12"/>
  <c r="K72" i="12"/>
  <c r="E18" i="12"/>
  <c r="E62" i="12"/>
  <c r="E72" i="12"/>
  <c r="C9" i="17"/>
  <c r="E17" i="12"/>
  <c r="E30" i="12"/>
  <c r="E70" i="12"/>
  <c r="E35" i="12"/>
  <c r="E69" i="12"/>
  <c r="E66" i="12"/>
  <c r="E20" i="12"/>
  <c r="E13" i="12"/>
  <c r="C18" i="13"/>
  <c r="E51" i="12"/>
  <c r="E34" i="12"/>
  <c r="E73" i="12"/>
  <c r="E28" i="12"/>
  <c r="C23" i="13"/>
  <c r="E54" i="12"/>
  <c r="E56" i="12"/>
  <c r="C12" i="13"/>
  <c r="E12" i="12"/>
  <c r="I67" i="11"/>
  <c r="I73" i="10"/>
  <c r="M34" i="12"/>
  <c r="M69" i="12"/>
  <c r="M56" i="12"/>
  <c r="M72" i="12"/>
  <c r="M52" i="12"/>
  <c r="K13" i="13"/>
  <c r="K33" i="13"/>
  <c r="I28" i="10"/>
  <c r="M63" i="12"/>
  <c r="I40" i="11"/>
  <c r="I46" i="10"/>
  <c r="M19" i="12"/>
  <c r="M70" i="12"/>
  <c r="M31" i="12"/>
  <c r="M64" i="12"/>
  <c r="I35" i="11"/>
  <c r="I41" i="10"/>
  <c r="M65" i="12"/>
  <c r="M16" i="12"/>
  <c r="M62" i="12"/>
  <c r="M21" i="12"/>
  <c r="M74" i="12"/>
  <c r="M61" i="12"/>
  <c r="M22" i="12"/>
  <c r="N8" i="13"/>
  <c r="P73" i="12"/>
  <c r="P66" i="12"/>
  <c r="P64" i="12"/>
  <c r="P56" i="12"/>
  <c r="N39" i="13"/>
  <c r="L30" i="11"/>
  <c r="L36" i="10"/>
  <c r="P63" i="12"/>
  <c r="P28" i="12"/>
  <c r="N9" i="13"/>
  <c r="N18" i="13"/>
  <c r="P13" i="12"/>
  <c r="P61" i="12"/>
  <c r="L41" i="11"/>
  <c r="L29" i="11"/>
  <c r="L47" i="10"/>
  <c r="L35" i="10"/>
  <c r="P24" i="12"/>
  <c r="L64" i="11"/>
  <c r="L70" i="10"/>
  <c r="P10" i="12"/>
  <c r="P9" i="12"/>
  <c r="P36" i="12"/>
  <c r="N34" i="13"/>
  <c r="L29" i="10"/>
  <c r="P51" i="12"/>
  <c r="P55" i="12"/>
  <c r="P26" i="12"/>
  <c r="U55" i="12"/>
  <c r="S11" i="14"/>
  <c r="Q65" i="11"/>
  <c r="Q71" i="10"/>
  <c r="U61" i="12"/>
  <c r="U30" i="12"/>
  <c r="U28" i="12"/>
  <c r="U10" i="12"/>
  <c r="U12" i="12"/>
  <c r="S32" i="13"/>
  <c r="Q27" i="10"/>
  <c r="U37" i="12"/>
  <c r="S25" i="13"/>
  <c r="S9" i="13"/>
  <c r="U8" i="12"/>
  <c r="U9" i="12"/>
  <c r="U54" i="12"/>
  <c r="U13" i="12"/>
  <c r="U25" i="12"/>
  <c r="S18" i="13"/>
  <c r="U51" i="12"/>
  <c r="U60" i="12"/>
  <c r="U62" i="12"/>
  <c r="U15" i="12"/>
  <c r="J37" i="12"/>
  <c r="H25" i="13"/>
  <c r="H8" i="13"/>
  <c r="J47" i="12"/>
  <c r="J69" i="12"/>
  <c r="J64" i="12"/>
  <c r="J70" i="12"/>
  <c r="H12" i="13"/>
  <c r="J50" i="12"/>
  <c r="J67" i="12"/>
  <c r="J56" i="12"/>
  <c r="J72" i="12"/>
  <c r="J65" i="12"/>
  <c r="J63" i="12"/>
  <c r="J73" i="12"/>
  <c r="J21" i="12"/>
  <c r="J16" i="12"/>
  <c r="J36" i="12"/>
  <c r="H9" i="13"/>
  <c r="J19" i="12"/>
  <c r="J17" i="12"/>
  <c r="J52" i="12"/>
  <c r="O61" i="12"/>
  <c r="O73" i="12"/>
  <c r="O21" i="12"/>
  <c r="M39" i="13"/>
  <c r="K30" i="11"/>
  <c r="K36" i="10"/>
  <c r="M12" i="13"/>
  <c r="O63" i="12"/>
  <c r="O20" i="12"/>
  <c r="O67" i="12"/>
  <c r="O23" i="12"/>
  <c r="O15" i="12"/>
  <c r="O70" i="12"/>
  <c r="M18" i="13"/>
  <c r="O34" i="12"/>
  <c r="O36" i="12"/>
  <c r="O62" i="12"/>
  <c r="O31" i="12"/>
  <c r="O56" i="12"/>
  <c r="O55" i="12"/>
  <c r="M8" i="13"/>
  <c r="O66" i="12"/>
  <c r="O52" i="12"/>
  <c r="O19" i="12"/>
  <c r="N26" i="12"/>
  <c r="N66" i="12"/>
  <c r="N55" i="12"/>
  <c r="N71" i="12"/>
  <c r="N13" i="12"/>
  <c r="N11" i="12"/>
  <c r="N51" i="12"/>
  <c r="L12" i="14"/>
  <c r="N65" i="12"/>
  <c r="N39" i="12"/>
  <c r="N12" i="12"/>
  <c r="N29" i="12"/>
  <c r="N23" i="12"/>
  <c r="N52" i="12"/>
  <c r="N15" i="12"/>
  <c r="N36" i="12"/>
  <c r="N60" i="12"/>
  <c r="N30" i="12"/>
  <c r="N22" i="12"/>
  <c r="N63" i="12"/>
  <c r="N72" i="12"/>
  <c r="L8" i="13"/>
  <c r="J43" i="13"/>
  <c r="L73" i="12"/>
  <c r="L15" i="12"/>
  <c r="L63" i="12"/>
  <c r="L70" i="12"/>
  <c r="H36" i="11"/>
  <c r="H42" i="10"/>
  <c r="L65" i="12"/>
  <c r="L71" i="12"/>
  <c r="L68" i="12"/>
  <c r="L55" i="12"/>
  <c r="L74" i="12"/>
  <c r="L31" i="12"/>
  <c r="L13" i="12"/>
  <c r="L21" i="12"/>
  <c r="J16" i="14"/>
  <c r="L47" i="12"/>
  <c r="L52" i="12"/>
  <c r="L29" i="12"/>
  <c r="L17" i="12"/>
  <c r="L56" i="12"/>
  <c r="J13" i="13"/>
  <c r="J33" i="13"/>
  <c r="H28" i="10"/>
  <c r="W33" i="12"/>
  <c r="W10" i="12"/>
  <c r="W25" i="12"/>
  <c r="W47" i="12"/>
  <c r="U9" i="13"/>
  <c r="W34" i="12"/>
  <c r="W54" i="12"/>
  <c r="U10" i="13"/>
  <c r="W12" i="12"/>
  <c r="W11" i="12"/>
  <c r="W28" i="12"/>
  <c r="W39" i="12"/>
  <c r="W9" i="12"/>
  <c r="W51" i="12"/>
  <c r="W8" i="12"/>
  <c r="W29" i="12"/>
  <c r="U10" i="17"/>
  <c r="W60" i="12"/>
  <c r="S40" i="11"/>
  <c r="S46" i="10"/>
  <c r="W59" i="12"/>
  <c r="W35" i="12"/>
  <c r="W62" i="12"/>
  <c r="H74" i="12"/>
  <c r="H35" i="12"/>
  <c r="H69" i="12"/>
  <c r="H21" i="12"/>
  <c r="H18" i="12"/>
  <c r="H72" i="12"/>
  <c r="H66" i="12"/>
  <c r="D36" i="11"/>
  <c r="D42" i="10"/>
  <c r="H50" i="12"/>
  <c r="H17" i="12"/>
  <c r="D41" i="11"/>
  <c r="D29" i="11"/>
  <c r="D47" i="10"/>
  <c r="D35" i="10"/>
  <c r="H67" i="12"/>
  <c r="H20" i="12"/>
  <c r="F11" i="13"/>
  <c r="H19" i="12"/>
  <c r="H71" i="12"/>
  <c r="H47" i="12"/>
  <c r="H54" i="12"/>
  <c r="H57" i="12"/>
  <c r="F42" i="13"/>
  <c r="H28" i="12"/>
  <c r="H32" i="12"/>
  <c r="N16" i="7"/>
  <c r="N46" i="11"/>
  <c r="N52" i="10"/>
  <c r="R43" i="12"/>
  <c r="N26" i="7"/>
  <c r="M12" i="6"/>
  <c r="R41" i="12"/>
  <c r="R78" i="12"/>
  <c r="N20" i="7"/>
  <c r="N63" i="11"/>
  <c r="N69" i="10"/>
  <c r="N27" i="7"/>
  <c r="N15" i="7"/>
  <c r="N45" i="11"/>
  <c r="N51" i="10"/>
  <c r="N7" i="7"/>
  <c r="N48" i="11"/>
  <c r="N54" i="10"/>
  <c r="P12" i="3"/>
  <c r="O6" i="8"/>
  <c r="M32" i="6"/>
  <c r="O8" i="8"/>
  <c r="R75" i="12"/>
  <c r="R77" i="12"/>
  <c r="R44" i="12"/>
  <c r="R46" i="12"/>
  <c r="P55" i="13"/>
  <c r="R49" i="12"/>
  <c r="N8" i="7"/>
  <c r="N43" i="11"/>
  <c r="N49" i="10"/>
  <c r="P11" i="3"/>
  <c r="O13" i="8"/>
  <c r="O10" i="8"/>
  <c r="M34" i="6"/>
  <c r="R48" i="12"/>
  <c r="AA61" i="12"/>
  <c r="AA54" i="12"/>
  <c r="AA59" i="12"/>
  <c r="Z10" i="13"/>
  <c r="AA63" i="12"/>
  <c r="AA57" i="12"/>
  <c r="AA8" i="12"/>
  <c r="AA24" i="12"/>
  <c r="AA66" i="12"/>
  <c r="AA71" i="12"/>
  <c r="AA47" i="12"/>
  <c r="AA67" i="12"/>
  <c r="AA79" i="12"/>
  <c r="AA70" i="12"/>
  <c r="AA25" i="12"/>
  <c r="Z24" i="13"/>
  <c r="AA72" i="12"/>
  <c r="X36" i="11"/>
  <c r="X42" i="10"/>
  <c r="AA23" i="12"/>
  <c r="AA35" i="12"/>
  <c r="AA21" i="12"/>
  <c r="AA37" i="12"/>
  <c r="X19" i="12"/>
  <c r="X20" i="12"/>
  <c r="X34" i="12"/>
  <c r="V14" i="13"/>
  <c r="V33" i="13"/>
  <c r="T28" i="10"/>
  <c r="X8" i="12"/>
  <c r="X61" i="12"/>
  <c r="X30" i="12"/>
  <c r="X35" i="12"/>
  <c r="X50" i="12"/>
  <c r="X59" i="12"/>
  <c r="V10" i="13"/>
  <c r="T27" i="11"/>
  <c r="T33" i="10"/>
  <c r="X57" i="12"/>
  <c r="X60" i="12"/>
  <c r="V17" i="13"/>
  <c r="X36" i="12"/>
  <c r="V11" i="13"/>
  <c r="X54" i="12"/>
  <c r="X18" i="12"/>
  <c r="V17" i="14"/>
  <c r="X32" i="12"/>
  <c r="Q61" i="12"/>
  <c r="Q64" i="12"/>
  <c r="Q59" i="12"/>
  <c r="Q33" i="12"/>
  <c r="Q66" i="12"/>
  <c r="O10" i="13"/>
  <c r="Q60" i="12"/>
  <c r="Q35" i="12"/>
  <c r="Q74" i="12"/>
  <c r="O18" i="14"/>
  <c r="Q73" i="12"/>
  <c r="Q65" i="12"/>
  <c r="O43" i="13"/>
  <c r="Q17" i="12"/>
  <c r="Q71" i="12"/>
  <c r="Q52" i="12"/>
  <c r="Q19" i="12"/>
  <c r="O13" i="13"/>
  <c r="O9" i="13"/>
  <c r="Q31" i="12"/>
  <c r="Q51" i="12"/>
  <c r="Q56" i="12"/>
  <c r="G8" i="7"/>
  <c r="G43" i="11"/>
  <c r="G49" i="10"/>
  <c r="I11" i="3"/>
  <c r="K43" i="12"/>
  <c r="G16" i="7"/>
  <c r="G46" i="11"/>
  <c r="G52" i="10"/>
  <c r="H8" i="8"/>
  <c r="K77" i="12"/>
  <c r="H6" i="8"/>
  <c r="F32" i="6"/>
  <c r="H14" i="8"/>
  <c r="K49" i="12"/>
  <c r="G7" i="7"/>
  <c r="G48" i="11"/>
  <c r="G54" i="10"/>
  <c r="I12" i="3"/>
  <c r="H9" i="8"/>
  <c r="F33" i="6"/>
  <c r="K76" i="12"/>
  <c r="H13" i="8"/>
  <c r="K45" i="12"/>
  <c r="G20" i="7"/>
  <c r="G63" i="11"/>
  <c r="G69" i="10"/>
  <c r="K48" i="12"/>
  <c r="K42" i="12"/>
  <c r="H10" i="8"/>
  <c r="F34" i="6"/>
  <c r="I56" i="13"/>
  <c r="G15" i="7"/>
  <c r="G45" i="11"/>
  <c r="G51" i="10"/>
  <c r="K46" i="12"/>
  <c r="K41" i="12"/>
  <c r="F22" i="9"/>
  <c r="V20" i="12"/>
  <c r="V33" i="12"/>
  <c r="T34" i="13"/>
  <c r="R29" i="10"/>
  <c r="V61" i="12"/>
  <c r="V54" i="12"/>
  <c r="T9" i="13"/>
  <c r="V18" i="12"/>
  <c r="V39" i="12"/>
  <c r="T13" i="13"/>
  <c r="V22" i="12"/>
  <c r="V35" i="12"/>
  <c r="V60" i="12"/>
  <c r="T8" i="13"/>
  <c r="V63" i="12"/>
  <c r="R67" i="11"/>
  <c r="R73" i="10"/>
  <c r="V21" i="12"/>
  <c r="V51" i="12"/>
  <c r="V79" i="12"/>
  <c r="V55" i="12"/>
  <c r="V57" i="12"/>
  <c r="T11" i="17"/>
  <c r="V62" i="12"/>
  <c r="Z25" i="12"/>
  <c r="Z59" i="12"/>
  <c r="Z28" i="12"/>
  <c r="Z56" i="12"/>
  <c r="Z18" i="12"/>
  <c r="W64" i="11"/>
  <c r="W70" i="10"/>
  <c r="Z32" i="12"/>
  <c r="Z17" i="12"/>
  <c r="Z52" i="12"/>
  <c r="Z29" i="12"/>
  <c r="Z50" i="12"/>
  <c r="Z60" i="12"/>
  <c r="Z16" i="12"/>
  <c r="W65" i="11"/>
  <c r="W71" i="10"/>
  <c r="Z47" i="12"/>
  <c r="Z79" i="12"/>
  <c r="W66" i="11"/>
  <c r="W72" i="10"/>
  <c r="Z39" i="12"/>
  <c r="Y25" i="13"/>
  <c r="Z34" i="12"/>
  <c r="Z57" i="12"/>
  <c r="Z30" i="12"/>
  <c r="X42" i="13"/>
  <c r="X25" i="13"/>
  <c r="Y25" i="12"/>
  <c r="Y60" i="12"/>
  <c r="Y79" i="12"/>
  <c r="Y10" i="12"/>
  <c r="X9" i="13"/>
  <c r="Y39" i="12"/>
  <c r="X14" i="13"/>
  <c r="Y51" i="12"/>
  <c r="Y68" i="12"/>
  <c r="Y37" i="12"/>
  <c r="Y54" i="12"/>
  <c r="Y67" i="12"/>
  <c r="Y23" i="12"/>
  <c r="X39" i="13"/>
  <c r="V30" i="11"/>
  <c r="V36" i="10"/>
  <c r="Y50" i="12"/>
  <c r="Y69" i="12"/>
  <c r="Y30" i="12"/>
  <c r="Y28" i="12"/>
  <c r="Y57" i="12"/>
  <c r="Y8" i="12"/>
  <c r="C17" i="12"/>
  <c r="C30" i="12"/>
  <c r="C71" i="12"/>
  <c r="C63" i="12"/>
  <c r="C15" i="12"/>
  <c r="C79" i="12"/>
  <c r="C51" i="12"/>
  <c r="C68" i="12"/>
  <c r="C21" i="12"/>
  <c r="C36" i="12"/>
  <c r="C62" i="12"/>
  <c r="C59" i="12"/>
  <c r="C16" i="12"/>
  <c r="C8" i="12"/>
  <c r="C37" i="12"/>
  <c r="C33" i="12"/>
  <c r="C57" i="12"/>
  <c r="C26" i="12"/>
  <c r="C39" i="12"/>
  <c r="C54" i="12"/>
  <c r="C66" i="12"/>
  <c r="C74" i="12"/>
  <c r="R61" i="12"/>
  <c r="R72" i="12"/>
  <c r="P13" i="13"/>
  <c r="R26" i="12"/>
  <c r="R9" i="12"/>
  <c r="N64" i="11"/>
  <c r="N70" i="10"/>
  <c r="P12" i="13"/>
  <c r="R62" i="12"/>
  <c r="R39" i="12"/>
  <c r="R64" i="12"/>
  <c r="R55" i="12"/>
  <c r="R25" i="12"/>
  <c r="R31" i="12"/>
  <c r="P9" i="13"/>
  <c r="R52" i="12"/>
  <c r="R22" i="12"/>
  <c r="R65" i="12"/>
  <c r="R56" i="12"/>
  <c r="R36" i="12"/>
  <c r="N65" i="11"/>
  <c r="N71" i="10"/>
  <c r="R24" i="12"/>
  <c r="R32" i="12"/>
  <c r="C22" i="7"/>
  <c r="C8" i="7"/>
  <c r="C43" i="11"/>
  <c r="C49" i="10"/>
  <c r="E11" i="3"/>
  <c r="D8" i="8"/>
  <c r="G42" i="12"/>
  <c r="G41" i="12"/>
  <c r="D9" i="8"/>
  <c r="C20" i="7"/>
  <c r="C63" i="11"/>
  <c r="C69" i="10"/>
  <c r="C28" i="4"/>
  <c r="G45" i="12"/>
  <c r="G43" i="12"/>
  <c r="G78" i="12"/>
  <c r="G46" i="12"/>
  <c r="G49" i="12"/>
  <c r="D7" i="8"/>
  <c r="G75" i="12"/>
  <c r="C7" i="7"/>
  <c r="C48" i="11"/>
  <c r="C54" i="10"/>
  <c r="E12" i="3"/>
  <c r="D10" i="8"/>
  <c r="C16" i="7"/>
  <c r="C46" i="11"/>
  <c r="C52" i="10"/>
  <c r="C15" i="7"/>
  <c r="C45" i="11"/>
  <c r="C51" i="10"/>
  <c r="G44" i="12"/>
  <c r="E52" i="13"/>
  <c r="C18" i="7"/>
  <c r="C50" i="11"/>
  <c r="C56" i="10"/>
  <c r="E21" i="3"/>
  <c r="D20" i="12"/>
  <c r="D54" i="12"/>
  <c r="D62" i="12"/>
  <c r="D26" i="12"/>
  <c r="D55" i="12"/>
  <c r="D29" i="12"/>
  <c r="D11" i="12"/>
  <c r="D47" i="12"/>
  <c r="D57" i="12"/>
  <c r="D59" i="12"/>
  <c r="D33" i="12"/>
  <c r="D70" i="12"/>
  <c r="D36" i="12"/>
  <c r="D60" i="12"/>
  <c r="D24" i="12"/>
  <c r="D51" i="12"/>
  <c r="D22" i="12"/>
  <c r="D52" i="12"/>
  <c r="D69" i="12"/>
  <c r="D35" i="12"/>
  <c r="D39" i="12"/>
  <c r="D71" i="12"/>
  <c r="C6" i="8"/>
  <c r="F76" i="12"/>
  <c r="C14" i="8"/>
  <c r="D11" i="3"/>
  <c r="C9" i="8"/>
  <c r="F77" i="12"/>
  <c r="D50" i="13"/>
  <c r="F46" i="12"/>
  <c r="D12" i="3"/>
  <c r="F42" i="12"/>
  <c r="F48" i="12"/>
  <c r="C7" i="8"/>
  <c r="F44" i="12"/>
  <c r="C13" i="8"/>
  <c r="F49" i="12"/>
  <c r="C10" i="8"/>
  <c r="F45" i="12"/>
  <c r="D21" i="3"/>
  <c r="C8" i="8"/>
  <c r="F43" i="12"/>
  <c r="U41" i="12"/>
  <c r="Q7" i="7"/>
  <c r="Q48" i="11"/>
  <c r="Q54" i="10"/>
  <c r="S12" i="3"/>
  <c r="Q20" i="7"/>
  <c r="Q63" i="11"/>
  <c r="Q69" i="10"/>
  <c r="P7" i="6"/>
  <c r="Q26" i="7"/>
  <c r="R13" i="8"/>
  <c r="U48" i="12"/>
  <c r="Q8" i="7"/>
  <c r="Q43" i="11"/>
  <c r="Q49" i="10"/>
  <c r="S11" i="3"/>
  <c r="U45" i="12"/>
  <c r="U42" i="12"/>
  <c r="U49" i="12"/>
  <c r="U76" i="12"/>
  <c r="U46" i="12"/>
  <c r="R6" i="8"/>
  <c r="P32" i="6"/>
  <c r="U44" i="12"/>
  <c r="Q16" i="7"/>
  <c r="Q46" i="11"/>
  <c r="Q52" i="10"/>
  <c r="Q15" i="7"/>
  <c r="Q45" i="11"/>
  <c r="Q51" i="10"/>
  <c r="U77" i="12"/>
  <c r="R14" i="8"/>
  <c r="P13" i="6"/>
  <c r="P15" i="9"/>
  <c r="U43" i="12"/>
  <c r="S79" i="12"/>
  <c r="S30" i="12"/>
  <c r="S15" i="12"/>
  <c r="O35" i="11"/>
  <c r="O41" i="10"/>
  <c r="S55" i="12"/>
  <c r="Q13" i="13"/>
  <c r="Q14" i="13"/>
  <c r="S24" i="12"/>
  <c r="S62" i="12"/>
  <c r="S31" i="12"/>
  <c r="S59" i="12"/>
  <c r="Q8" i="13"/>
  <c r="S54" i="12"/>
  <c r="S51" i="12"/>
  <c r="S63" i="12"/>
  <c r="S69" i="12"/>
  <c r="S16" i="12"/>
  <c r="S64" i="12"/>
  <c r="S26" i="12"/>
  <c r="S11" i="12"/>
  <c r="S74" i="12"/>
  <c r="S17" i="12"/>
  <c r="V26" i="7"/>
  <c r="Y76" i="12"/>
  <c r="V8" i="7"/>
  <c r="V43" i="11"/>
  <c r="V49" i="10"/>
  <c r="X11" i="3"/>
  <c r="W7" i="8"/>
  <c r="Y49" i="12"/>
  <c r="Y78" i="12"/>
  <c r="X54" i="13"/>
  <c r="Y43" i="12"/>
  <c r="V16" i="7"/>
  <c r="V46" i="11"/>
  <c r="V52" i="10"/>
  <c r="Y42" i="12"/>
  <c r="X13" i="14"/>
  <c r="Y44" i="12"/>
  <c r="V7" i="7"/>
  <c r="V48" i="11"/>
  <c r="V54" i="10"/>
  <c r="X12" i="3"/>
  <c r="V15" i="7"/>
  <c r="V45" i="11"/>
  <c r="V51" i="10"/>
  <c r="V20" i="7"/>
  <c r="V63" i="11"/>
  <c r="V69" i="10"/>
  <c r="W9" i="8"/>
  <c r="U33" i="6"/>
  <c r="V27" i="7"/>
  <c r="V22" i="7"/>
  <c r="U22" i="9"/>
  <c r="W14" i="8"/>
  <c r="Y45" i="12"/>
  <c r="Y48" i="12"/>
  <c r="L27" i="7"/>
  <c r="M9" i="8"/>
  <c r="K33" i="6"/>
  <c r="L26" i="7"/>
  <c r="P42" i="12"/>
  <c r="L7" i="7"/>
  <c r="L48" i="11"/>
  <c r="L54" i="10"/>
  <c r="N12" i="3"/>
  <c r="L20" i="7"/>
  <c r="L63" i="11"/>
  <c r="L69" i="10"/>
  <c r="K8" i="6"/>
  <c r="P48" i="12"/>
  <c r="M6" i="8"/>
  <c r="K32" i="6"/>
  <c r="L15" i="7"/>
  <c r="L45" i="11"/>
  <c r="L51" i="10"/>
  <c r="N7" i="14"/>
  <c r="P41" i="12"/>
  <c r="P44" i="12"/>
  <c r="P43" i="12"/>
  <c r="P77" i="12"/>
  <c r="M13" i="8"/>
  <c r="N53" i="13"/>
  <c r="M14" i="8"/>
  <c r="L8" i="7"/>
  <c r="L43" i="11"/>
  <c r="L49" i="10"/>
  <c r="N11" i="3"/>
  <c r="P46" i="12"/>
  <c r="L16" i="7"/>
  <c r="L46" i="11"/>
  <c r="L52" i="10"/>
  <c r="P49" i="12"/>
  <c r="X43" i="12"/>
  <c r="X44" i="12"/>
  <c r="X49" i="12"/>
  <c r="T16" i="7"/>
  <c r="T46" i="11"/>
  <c r="T52" i="10"/>
  <c r="U9" i="8"/>
  <c r="S33" i="6"/>
  <c r="T15" i="4"/>
  <c r="T7" i="7"/>
  <c r="T48" i="11"/>
  <c r="T54" i="10"/>
  <c r="V12" i="3"/>
  <c r="X41" i="12"/>
  <c r="T15" i="7"/>
  <c r="T45" i="11"/>
  <c r="T51" i="10"/>
  <c r="S9" i="6"/>
  <c r="V52" i="13"/>
  <c r="T18" i="7"/>
  <c r="T50" i="11"/>
  <c r="T56" i="10"/>
  <c r="X48" i="12"/>
  <c r="T8" i="7"/>
  <c r="T43" i="11"/>
  <c r="T49" i="10"/>
  <c r="V11" i="3"/>
  <c r="X75" i="12"/>
  <c r="X78" i="12"/>
  <c r="X77" i="12"/>
  <c r="S15" i="9"/>
  <c r="U10" i="8"/>
  <c r="S34" i="6"/>
  <c r="X42" i="12"/>
  <c r="X46" i="12"/>
  <c r="T25" i="7"/>
  <c r="S15" i="5"/>
  <c r="S43" i="12"/>
  <c r="S78" i="12"/>
  <c r="O16" i="7"/>
  <c r="O46" i="11"/>
  <c r="O52" i="10"/>
  <c r="S75" i="12"/>
  <c r="P13" i="8"/>
  <c r="P7" i="8"/>
  <c r="S44" i="12"/>
  <c r="O8" i="7"/>
  <c r="O43" i="11"/>
  <c r="O49" i="10"/>
  <c r="Q11" i="3"/>
  <c r="P14" i="8"/>
  <c r="P9" i="8"/>
  <c r="N33" i="6"/>
  <c r="S48" i="12"/>
  <c r="S46" i="12"/>
  <c r="Q14" i="14"/>
  <c r="S41" i="12"/>
  <c r="P8" i="8"/>
  <c r="O20" i="7"/>
  <c r="O63" i="11"/>
  <c r="O69" i="10"/>
  <c r="S49" i="12"/>
  <c r="O7" i="7"/>
  <c r="O48" i="11"/>
  <c r="O54" i="10"/>
  <c r="Q12" i="3"/>
  <c r="O15" i="7"/>
  <c r="O45" i="11"/>
  <c r="O51" i="10"/>
  <c r="S45" i="12"/>
  <c r="P10" i="8"/>
  <c r="N34" i="6"/>
  <c r="O27" i="7"/>
  <c r="H43" i="12"/>
  <c r="C14" i="6"/>
  <c r="D15" i="4"/>
  <c r="H44" i="12"/>
  <c r="C15" i="9"/>
  <c r="C15" i="5"/>
  <c r="F54" i="13"/>
  <c r="D25" i="7"/>
  <c r="F13" i="14"/>
  <c r="E9" i="8"/>
  <c r="C33" i="6"/>
  <c r="D7" i="7"/>
  <c r="D48" i="11"/>
  <c r="D54" i="10"/>
  <c r="F12" i="3"/>
  <c r="D15" i="7"/>
  <c r="D45" i="11"/>
  <c r="D51" i="10"/>
  <c r="D8" i="7"/>
  <c r="D43" i="11"/>
  <c r="D49" i="10"/>
  <c r="F11" i="3"/>
  <c r="H75" i="12"/>
  <c r="H78" i="12"/>
  <c r="D16" i="7"/>
  <c r="D46" i="11"/>
  <c r="D52" i="10"/>
  <c r="H42" i="12"/>
  <c r="H48" i="12"/>
  <c r="D20" i="7"/>
  <c r="D63" i="11"/>
  <c r="D69" i="10"/>
  <c r="E8" i="8"/>
  <c r="H46" i="12"/>
  <c r="H41" i="12"/>
  <c r="F22" i="7"/>
  <c r="H54" i="13"/>
  <c r="F16" i="7"/>
  <c r="F46" i="11"/>
  <c r="F52" i="10"/>
  <c r="J46" i="12"/>
  <c r="J75" i="12"/>
  <c r="F27" i="7"/>
  <c r="F20" i="7"/>
  <c r="F63" i="11"/>
  <c r="F69" i="10"/>
  <c r="F8" i="7"/>
  <c r="F43" i="11"/>
  <c r="F49" i="10"/>
  <c r="H11" i="3"/>
  <c r="J45" i="12"/>
  <c r="F26" i="7"/>
  <c r="F15" i="7"/>
  <c r="F45" i="11"/>
  <c r="F51" i="10"/>
  <c r="J48" i="12"/>
  <c r="J42" i="12"/>
  <c r="J49" i="12"/>
  <c r="F7" i="7"/>
  <c r="F48" i="11"/>
  <c r="F54" i="10"/>
  <c r="H12" i="3"/>
  <c r="G9" i="8"/>
  <c r="E33" i="6"/>
  <c r="G7" i="8"/>
  <c r="J41" i="12"/>
  <c r="G14" i="8"/>
  <c r="J76" i="12"/>
  <c r="E22" i="9"/>
  <c r="J44" i="12"/>
  <c r="V22" i="9"/>
  <c r="X10" i="8"/>
  <c r="V34" i="6"/>
  <c r="W8" i="7"/>
  <c r="W43" i="11"/>
  <c r="W49" i="10"/>
  <c r="Y11" i="3"/>
  <c r="Z45" i="12"/>
  <c r="Z76" i="12"/>
  <c r="W20" i="7"/>
  <c r="W63" i="11"/>
  <c r="W69" i="10"/>
  <c r="Z46" i="12"/>
  <c r="X13" i="8"/>
  <c r="Z42" i="12"/>
  <c r="Z48" i="12"/>
  <c r="X6" i="8"/>
  <c r="V32" i="6"/>
  <c r="X8" i="8"/>
  <c r="Z44" i="12"/>
  <c r="W16" i="7"/>
  <c r="W46" i="11"/>
  <c r="W52" i="10"/>
  <c r="Z49" i="12"/>
  <c r="X9" i="8"/>
  <c r="V33" i="6"/>
  <c r="Y8" i="14"/>
  <c r="Z75" i="12"/>
  <c r="Z41" i="12"/>
  <c r="W7" i="7"/>
  <c r="W48" i="11"/>
  <c r="W54" i="10"/>
  <c r="Y12" i="3"/>
  <c r="X7" i="8"/>
  <c r="W15" i="7"/>
  <c r="W45" i="11"/>
  <c r="W51" i="10"/>
  <c r="D15" i="9"/>
  <c r="I45" i="12"/>
  <c r="I42" i="12"/>
  <c r="E8" i="7"/>
  <c r="E43" i="11"/>
  <c r="E49" i="10"/>
  <c r="G11" i="3"/>
  <c r="E16" i="7"/>
  <c r="E46" i="11"/>
  <c r="E52" i="10"/>
  <c r="D22" i="9"/>
  <c r="D15" i="6"/>
  <c r="I44" i="12"/>
  <c r="I76" i="12"/>
  <c r="E15" i="7"/>
  <c r="E45" i="11"/>
  <c r="E51" i="10"/>
  <c r="E7" i="7"/>
  <c r="E48" i="11"/>
  <c r="E54" i="10"/>
  <c r="G12" i="3"/>
  <c r="E25" i="7"/>
  <c r="I78" i="12"/>
  <c r="I41" i="12"/>
  <c r="E20" i="7"/>
  <c r="E63" i="11"/>
  <c r="E69" i="10"/>
  <c r="F7" i="8"/>
  <c r="D13" i="6"/>
  <c r="F10" i="8"/>
  <c r="D34" i="6"/>
  <c r="I48" i="12"/>
  <c r="G8" i="14"/>
  <c r="I43" i="12"/>
  <c r="I49" i="12"/>
  <c r="C21" i="3"/>
  <c r="C11" i="3"/>
  <c r="C57" i="13"/>
  <c r="E43" i="12"/>
  <c r="E48" i="12"/>
  <c r="E41" i="12"/>
  <c r="C12" i="3"/>
  <c r="E44" i="12"/>
  <c r="E42" i="12"/>
  <c r="E77" i="12"/>
  <c r="E45" i="12"/>
  <c r="E46" i="12"/>
  <c r="E49" i="12"/>
  <c r="W41" i="12"/>
  <c r="R9" i="6"/>
  <c r="W42" i="12"/>
  <c r="S7" i="7"/>
  <c r="S48" i="11"/>
  <c r="S54" i="10"/>
  <c r="U12" i="3"/>
  <c r="R15" i="9"/>
  <c r="W43" i="12"/>
  <c r="T9" i="8"/>
  <c r="R33" i="6"/>
  <c r="T13" i="8"/>
  <c r="R10" i="6"/>
  <c r="W45" i="12"/>
  <c r="S22" i="7"/>
  <c r="W46" i="12"/>
  <c r="U57" i="13"/>
  <c r="S19" i="7"/>
  <c r="S51" i="11"/>
  <c r="S57" i="10"/>
  <c r="S18" i="4"/>
  <c r="S20" i="2"/>
  <c r="W75" i="12"/>
  <c r="W49" i="12"/>
  <c r="S8" i="7"/>
  <c r="S43" i="11"/>
  <c r="S49" i="10"/>
  <c r="U11" i="3"/>
  <c r="S15" i="7"/>
  <c r="S45" i="11"/>
  <c r="S51" i="10"/>
  <c r="R22" i="9"/>
  <c r="W78" i="12"/>
  <c r="S20" i="7"/>
  <c r="S63" i="11"/>
  <c r="S69" i="10"/>
  <c r="S16" i="7"/>
  <c r="S46" i="11"/>
  <c r="S52" i="10"/>
  <c r="U50" i="13"/>
  <c r="M68" i="12"/>
  <c r="K26" i="13"/>
  <c r="M54" i="12"/>
  <c r="K20" i="17"/>
  <c r="M12" i="12"/>
  <c r="M37" i="12"/>
  <c r="K17" i="13"/>
  <c r="M23" i="12"/>
  <c r="M10" i="12"/>
  <c r="M35" i="12"/>
  <c r="K14" i="13"/>
  <c r="M50" i="12"/>
  <c r="I66" i="11"/>
  <c r="I72" i="10"/>
  <c r="M39" i="12"/>
  <c r="M28" i="12"/>
  <c r="K10" i="13"/>
  <c r="M57" i="12"/>
  <c r="M51" i="12"/>
  <c r="K21" i="17"/>
  <c r="M30" i="12"/>
  <c r="M32" i="12"/>
  <c r="K45" i="13"/>
  <c r="L10" i="6"/>
  <c r="Q46" i="12"/>
  <c r="Q45" i="12"/>
  <c r="M25" i="7"/>
  <c r="N13" i="8"/>
  <c r="N10" i="8"/>
  <c r="L34" i="6"/>
  <c r="M7" i="7"/>
  <c r="M48" i="11"/>
  <c r="M54" i="10"/>
  <c r="O12" i="3"/>
  <c r="M8" i="7"/>
  <c r="M43" i="11"/>
  <c r="M49" i="10"/>
  <c r="O11" i="3"/>
  <c r="M16" i="7"/>
  <c r="M46" i="11"/>
  <c r="M52" i="10"/>
  <c r="Q42" i="12"/>
  <c r="Q77" i="12"/>
  <c r="Q48" i="12"/>
  <c r="N14" i="8"/>
  <c r="Q76" i="12"/>
  <c r="O53" i="13"/>
  <c r="M26" i="7"/>
  <c r="M15" i="7"/>
  <c r="M45" i="11"/>
  <c r="M51" i="10"/>
  <c r="M20" i="7"/>
  <c r="M63" i="11"/>
  <c r="M69" i="10"/>
  <c r="Q43" i="12"/>
  <c r="Q49" i="12"/>
  <c r="N9" i="8"/>
  <c r="L33" i="6"/>
  <c r="Q41" i="12"/>
  <c r="P16" i="7"/>
  <c r="P46" i="11"/>
  <c r="P52" i="10"/>
  <c r="O22" i="9"/>
  <c r="Q14" i="8"/>
  <c r="T78" i="12"/>
  <c r="P27" i="7"/>
  <c r="T42" i="12"/>
  <c r="P20" i="7"/>
  <c r="P63" i="11"/>
  <c r="P69" i="10"/>
  <c r="T76" i="12"/>
  <c r="O15" i="6"/>
  <c r="T46" i="12"/>
  <c r="P36" i="4"/>
  <c r="O15" i="9"/>
  <c r="R14" i="14"/>
  <c r="P8" i="7"/>
  <c r="P43" i="11"/>
  <c r="P49" i="10"/>
  <c r="R11" i="3"/>
  <c r="T41" i="12"/>
  <c r="P15" i="7"/>
  <c r="P45" i="11"/>
  <c r="P51" i="10"/>
  <c r="T75" i="12"/>
  <c r="T45" i="12"/>
  <c r="P26" i="7"/>
  <c r="P7" i="7"/>
  <c r="P48" i="11"/>
  <c r="P54" i="10"/>
  <c r="R12" i="3"/>
  <c r="T44" i="12"/>
  <c r="T48" i="12"/>
  <c r="X66" i="12"/>
  <c r="X31" i="12"/>
  <c r="T65" i="11"/>
  <c r="T71" i="10"/>
  <c r="X9" i="12"/>
  <c r="X74" i="12"/>
  <c r="V15" i="3"/>
  <c r="V23" i="17"/>
  <c r="X51" i="12"/>
  <c r="X72" i="12"/>
  <c r="X69" i="12"/>
  <c r="X71" i="12"/>
  <c r="V32" i="17"/>
  <c r="V40" i="13"/>
  <c r="T31" i="11"/>
  <c r="T37" i="10"/>
  <c r="X52" i="12"/>
  <c r="X55" i="12"/>
  <c r="V35" i="17"/>
  <c r="X26" i="12"/>
  <c r="V42" i="17"/>
  <c r="X67" i="12"/>
  <c r="X62" i="12"/>
  <c r="X33" i="12"/>
  <c r="V31" i="13"/>
  <c r="T26" i="10"/>
  <c r="X24" i="12"/>
  <c r="Y73" i="12"/>
  <c r="X44" i="13"/>
  <c r="Y15" i="12"/>
  <c r="V65" i="11"/>
  <c r="V71" i="10"/>
  <c r="Y72" i="12"/>
  <c r="X23" i="13"/>
  <c r="Y66" i="12"/>
  <c r="X12" i="13"/>
  <c r="Y63" i="12"/>
  <c r="V27" i="11"/>
  <c r="V33" i="10"/>
  <c r="Y17" i="12"/>
  <c r="Y24" i="12"/>
  <c r="Y65" i="12"/>
  <c r="X15" i="13"/>
  <c r="V67" i="11"/>
  <c r="V73" i="10"/>
  <c r="Y36" i="12"/>
  <c r="X12" i="17"/>
  <c r="Y55" i="12"/>
  <c r="Y56" i="12"/>
  <c r="Y74" i="12"/>
  <c r="Y62" i="12"/>
  <c r="X8" i="13"/>
  <c r="J14" i="8"/>
  <c r="M78" i="12"/>
  <c r="M46" i="12"/>
  <c r="I8" i="7"/>
  <c r="I43" i="11"/>
  <c r="I49" i="10"/>
  <c r="K11" i="3"/>
  <c r="K56" i="13"/>
  <c r="M45" i="12"/>
  <c r="M43" i="12"/>
  <c r="K21" i="3"/>
  <c r="M75" i="12"/>
  <c r="M44" i="12"/>
  <c r="I15" i="7"/>
  <c r="I45" i="11"/>
  <c r="I51" i="10"/>
  <c r="J6" i="8"/>
  <c r="H32" i="6"/>
  <c r="I20" i="7"/>
  <c r="I63" i="11"/>
  <c r="I69" i="10"/>
  <c r="H8" i="6"/>
  <c r="H22" i="9"/>
  <c r="H13" i="6"/>
  <c r="I7" i="7"/>
  <c r="I48" i="11"/>
  <c r="I54" i="10"/>
  <c r="K12" i="3"/>
  <c r="I16" i="7"/>
  <c r="I46" i="11"/>
  <c r="I52" i="10"/>
  <c r="M77" i="12"/>
  <c r="M49" i="12"/>
  <c r="H15" i="9"/>
  <c r="M41" i="12"/>
  <c r="T34" i="12"/>
  <c r="R28" i="17"/>
  <c r="T11" i="12"/>
  <c r="R94" i="17"/>
  <c r="T63" i="12"/>
  <c r="T13" i="12"/>
  <c r="T29" i="12"/>
  <c r="T55" i="12"/>
  <c r="T52" i="12"/>
  <c r="R11" i="13"/>
  <c r="T57" i="12"/>
  <c r="P65" i="11"/>
  <c r="P71" i="10"/>
  <c r="T73" i="12"/>
  <c r="T26" i="12"/>
  <c r="T36" i="12"/>
  <c r="T47" i="12"/>
  <c r="T37" i="12"/>
  <c r="T65" i="12"/>
  <c r="T24" i="12"/>
  <c r="T64" i="12"/>
  <c r="R15" i="13"/>
  <c r="R23" i="13"/>
  <c r="N43" i="12"/>
  <c r="J26" i="7"/>
  <c r="N46" i="12"/>
  <c r="N76" i="12"/>
  <c r="K14" i="8"/>
  <c r="J49" i="4"/>
  <c r="J8" i="7"/>
  <c r="J43" i="11"/>
  <c r="J49" i="10"/>
  <c r="L11" i="3"/>
  <c r="N42" i="12"/>
  <c r="J20" i="7"/>
  <c r="J63" i="11"/>
  <c r="J69" i="10"/>
  <c r="J15" i="7"/>
  <c r="J45" i="11"/>
  <c r="J51" i="10"/>
  <c r="K7" i="8"/>
  <c r="N45" i="12"/>
  <c r="N48" i="12"/>
  <c r="K9" i="8"/>
  <c r="I33" i="6"/>
  <c r="N44" i="12"/>
  <c r="J7" i="7"/>
  <c r="J48" i="11"/>
  <c r="J54" i="10"/>
  <c r="L12" i="3"/>
  <c r="J16" i="7"/>
  <c r="J46" i="11"/>
  <c r="J52" i="10"/>
  <c r="N41" i="12"/>
  <c r="N75" i="12"/>
  <c r="L56" i="13"/>
  <c r="J27" i="7"/>
  <c r="I12" i="6"/>
  <c r="I63" i="12"/>
  <c r="I10" i="12"/>
  <c r="I17" i="12"/>
  <c r="I24" i="12"/>
  <c r="I33" i="12"/>
  <c r="G10" i="13"/>
  <c r="G46" i="17"/>
  <c r="G14" i="13"/>
  <c r="G44" i="13"/>
  <c r="I35" i="12"/>
  <c r="I15" i="12"/>
  <c r="I25" i="12"/>
  <c r="I79" i="12"/>
  <c r="I36" i="12"/>
  <c r="I39" i="12"/>
  <c r="G17" i="13"/>
  <c r="I55" i="12"/>
  <c r="G23" i="13"/>
  <c r="I57" i="12"/>
  <c r="I30" i="12"/>
  <c r="I60" i="12"/>
  <c r="I28" i="12"/>
  <c r="V67" i="12"/>
  <c r="V56" i="12"/>
  <c r="V74" i="12"/>
  <c r="V11" i="12"/>
  <c r="V9" i="12"/>
  <c r="R40" i="11"/>
  <c r="R46" i="10"/>
  <c r="T11" i="14"/>
  <c r="V29" i="12"/>
  <c r="T12" i="13"/>
  <c r="V36" i="12"/>
  <c r="T44" i="13"/>
  <c r="T54" i="17"/>
  <c r="V52" i="12"/>
  <c r="V34" i="12"/>
  <c r="V71" i="12"/>
  <c r="V69" i="12"/>
  <c r="V68" i="12"/>
  <c r="V73" i="12"/>
  <c r="V31" i="12"/>
  <c r="T35" i="17"/>
  <c r="V26" i="12"/>
  <c r="V64" i="12"/>
  <c r="F31" i="12"/>
  <c r="F63" i="12"/>
  <c r="F62" i="12"/>
  <c r="F9" i="12"/>
  <c r="D41" i="17"/>
  <c r="D31" i="13"/>
  <c r="D9" i="13"/>
  <c r="D18" i="17"/>
  <c r="D9" i="17"/>
  <c r="F79" i="12"/>
  <c r="F11" i="12"/>
  <c r="F52" i="12"/>
  <c r="D26" i="17"/>
  <c r="F33" i="12"/>
  <c r="F26" i="12"/>
  <c r="F55" i="12"/>
  <c r="F29" i="12"/>
  <c r="F36" i="12"/>
  <c r="F22" i="12"/>
  <c r="F60" i="12"/>
  <c r="F51" i="12"/>
  <c r="D50" i="17"/>
  <c r="L32" i="12"/>
  <c r="H41" i="11"/>
  <c r="H29" i="11"/>
  <c r="H47" i="10"/>
  <c r="H35" i="10"/>
  <c r="J19" i="14"/>
  <c r="J31" i="17"/>
  <c r="H67" i="11"/>
  <c r="H73" i="10"/>
  <c r="J26" i="13"/>
  <c r="J52" i="17"/>
  <c r="J10" i="13"/>
  <c r="L25" i="12"/>
  <c r="J24" i="13"/>
  <c r="J12" i="13"/>
  <c r="L61" i="12"/>
  <c r="L39" i="12"/>
  <c r="L16" i="12"/>
  <c r="L30" i="12"/>
  <c r="L57" i="12"/>
  <c r="L20" i="12"/>
  <c r="L54" i="12"/>
  <c r="L22" i="12"/>
  <c r="L67" i="12"/>
  <c r="J31" i="13"/>
  <c r="H26" i="10"/>
  <c r="J8" i="17"/>
  <c r="V42" i="12"/>
  <c r="R25" i="7"/>
  <c r="S13" i="8"/>
  <c r="R8" i="7"/>
  <c r="R43" i="11"/>
  <c r="R49" i="10"/>
  <c r="T11" i="3"/>
  <c r="R7" i="7"/>
  <c r="R48" i="11"/>
  <c r="R54" i="10"/>
  <c r="T12" i="3"/>
  <c r="S6" i="8"/>
  <c r="Q32" i="6"/>
  <c r="V76" i="12"/>
  <c r="V77" i="12"/>
  <c r="R15" i="7"/>
  <c r="R45" i="11"/>
  <c r="R51" i="10"/>
  <c r="V48" i="12"/>
  <c r="R20" i="7"/>
  <c r="R63" i="11"/>
  <c r="R69" i="10"/>
  <c r="S8" i="8"/>
  <c r="V44" i="12"/>
  <c r="T55" i="13"/>
  <c r="Q22" i="9"/>
  <c r="R16" i="7"/>
  <c r="R46" i="11"/>
  <c r="R52" i="10"/>
  <c r="S10" i="8"/>
  <c r="Q34" i="6"/>
  <c r="V43" i="12"/>
  <c r="R22" i="7"/>
  <c r="V45" i="12"/>
  <c r="V46" i="12"/>
  <c r="V49" i="12"/>
  <c r="K54" i="12"/>
  <c r="K12" i="12"/>
  <c r="K39" i="12"/>
  <c r="K51" i="12"/>
  <c r="K15" i="12"/>
  <c r="K57" i="12"/>
  <c r="I19" i="17"/>
  <c r="K61" i="12"/>
  <c r="I19" i="14"/>
  <c r="I39" i="13"/>
  <c r="G30" i="11"/>
  <c r="G36" i="10"/>
  <c r="I31" i="13"/>
  <c r="G26" i="10"/>
  <c r="G36" i="11"/>
  <c r="G42" i="10"/>
  <c r="K60" i="12"/>
  <c r="I8" i="17"/>
  <c r="K25" i="12"/>
  <c r="K30" i="12"/>
  <c r="K59" i="12"/>
  <c r="I24" i="13"/>
  <c r="K35" i="12"/>
  <c r="K55" i="12"/>
  <c r="I11" i="13"/>
  <c r="K28" i="12"/>
  <c r="X16" i="7"/>
  <c r="X46" i="11"/>
  <c r="X52" i="10"/>
  <c r="AA43" i="12"/>
  <c r="W9" i="6"/>
  <c r="Y8" i="8"/>
  <c r="AA41" i="12"/>
  <c r="AA45" i="12"/>
  <c r="AA46" i="12"/>
  <c r="X15" i="7"/>
  <c r="X45" i="11"/>
  <c r="X51" i="10"/>
  <c r="W15" i="9"/>
  <c r="X7" i="7"/>
  <c r="X48" i="11"/>
  <c r="X54" i="10"/>
  <c r="Z12" i="3"/>
  <c r="X25" i="7"/>
  <c r="W22" i="9"/>
  <c r="X20" i="7"/>
  <c r="X63" i="11"/>
  <c r="X69" i="10"/>
  <c r="Z54" i="13"/>
  <c r="AA77" i="12"/>
  <c r="AA76" i="12"/>
  <c r="AA42" i="12"/>
  <c r="W8" i="6"/>
  <c r="X8" i="7"/>
  <c r="X43" i="11"/>
  <c r="X49" i="10"/>
  <c r="Z11" i="3"/>
  <c r="AA48" i="12"/>
  <c r="AA49" i="12"/>
  <c r="Y10" i="8"/>
  <c r="W34" i="6"/>
  <c r="C42" i="13"/>
  <c r="C14" i="13"/>
  <c r="E64" i="12"/>
  <c r="C18" i="17"/>
  <c r="C17" i="14"/>
  <c r="E55" i="12"/>
  <c r="E21" i="12"/>
  <c r="C44" i="13"/>
  <c r="C9" i="13"/>
  <c r="C25" i="13"/>
  <c r="C34" i="13"/>
  <c r="E52" i="12"/>
  <c r="E61" i="12"/>
  <c r="E33" i="12"/>
  <c r="E15" i="12"/>
  <c r="C11" i="13"/>
  <c r="E29" i="12"/>
  <c r="C48" i="17"/>
  <c r="E60" i="12"/>
  <c r="E31" i="12"/>
  <c r="E19" i="12"/>
  <c r="C17" i="13"/>
  <c r="N20" i="12"/>
  <c r="N68" i="12"/>
  <c r="N79" i="12"/>
  <c r="N50" i="12"/>
  <c r="L45" i="13"/>
  <c r="L26" i="13"/>
  <c r="N28" i="12"/>
  <c r="L13" i="13"/>
  <c r="L27" i="17"/>
  <c r="L17" i="13"/>
  <c r="L16" i="14"/>
  <c r="L28" i="17"/>
  <c r="N59" i="12"/>
  <c r="L31" i="17"/>
  <c r="N18" i="12"/>
  <c r="N69" i="12"/>
  <c r="N47" i="12"/>
  <c r="L34" i="17"/>
  <c r="L43" i="13"/>
  <c r="L10" i="13"/>
  <c r="L11" i="13"/>
  <c r="N35" i="12"/>
  <c r="P29" i="12"/>
  <c r="P16" i="12"/>
  <c r="N12" i="14"/>
  <c r="P67" i="12"/>
  <c r="P32" i="12"/>
  <c r="P34" i="12"/>
  <c r="P69" i="12"/>
  <c r="N15" i="13"/>
  <c r="P37" i="12"/>
  <c r="P18" i="12"/>
  <c r="N32" i="13"/>
  <c r="L27" i="10"/>
  <c r="P70" i="12"/>
  <c r="P74" i="12"/>
  <c r="P25" i="12"/>
  <c r="N31" i="17"/>
  <c r="P11" i="12"/>
  <c r="N24" i="13"/>
  <c r="N14" i="13"/>
  <c r="P59" i="12"/>
  <c r="N11" i="13"/>
  <c r="P79" i="12"/>
  <c r="N7" i="17"/>
  <c r="Z22" i="12"/>
  <c r="Y9" i="17"/>
  <c r="Y15" i="13"/>
  <c r="Y42" i="17"/>
  <c r="Z36" i="12"/>
  <c r="Z24" i="12"/>
  <c r="Z73" i="12"/>
  <c r="Z72" i="12"/>
  <c r="Z33" i="12"/>
  <c r="Y8" i="13"/>
  <c r="Y10" i="17"/>
  <c r="Y12" i="17"/>
  <c r="W36" i="11"/>
  <c r="W42" i="10"/>
  <c r="Y29" i="17"/>
  <c r="Z65" i="12"/>
  <c r="Z70" i="12"/>
  <c r="Z64" i="12"/>
  <c r="Z51" i="12"/>
  <c r="Y24" i="17"/>
  <c r="Y12" i="13"/>
  <c r="Z63" i="12"/>
  <c r="Y39" i="13"/>
  <c r="W30" i="11"/>
  <c r="W36" i="10"/>
  <c r="G60" i="12"/>
  <c r="E9" i="13"/>
  <c r="E17" i="14"/>
  <c r="G17" i="12"/>
  <c r="G28" i="12"/>
  <c r="G19" i="12"/>
  <c r="G39" i="12"/>
  <c r="E40" i="13"/>
  <c r="C31" i="11"/>
  <c r="C37" i="10"/>
  <c r="G12" i="12"/>
  <c r="G30" i="12"/>
  <c r="G62" i="12"/>
  <c r="G51" i="12"/>
  <c r="E46" i="17"/>
  <c r="E48" i="17"/>
  <c r="E34" i="17"/>
  <c r="E31" i="13"/>
  <c r="C26" i="10"/>
  <c r="E27" i="17"/>
  <c r="G10" i="12"/>
  <c r="E10" i="13"/>
  <c r="E26" i="17"/>
  <c r="E9" i="17"/>
  <c r="G26" i="12"/>
  <c r="Q8" i="12"/>
  <c r="O34" i="13"/>
  <c r="M29" i="10"/>
  <c r="M64" i="11"/>
  <c r="M70" i="10"/>
  <c r="Q57" i="12"/>
  <c r="Q70" i="12"/>
  <c r="M66" i="11"/>
  <c r="M72" i="10"/>
  <c r="Q25" i="12"/>
  <c r="O12" i="14"/>
  <c r="Q29" i="12"/>
  <c r="Q32" i="12"/>
  <c r="Q50" i="12"/>
  <c r="Q47" i="12"/>
  <c r="O15" i="13"/>
  <c r="Q68" i="12"/>
  <c r="Q54" i="12"/>
  <c r="Q34" i="12"/>
  <c r="O7" i="17"/>
  <c r="M26" i="11"/>
  <c r="M32" i="10"/>
  <c r="Q23" i="12"/>
  <c r="O32" i="13"/>
  <c r="M27" i="10"/>
  <c r="O18" i="13"/>
  <c r="O20" i="17"/>
  <c r="U64" i="12"/>
  <c r="S11" i="13"/>
  <c r="S28" i="17"/>
  <c r="S34" i="13"/>
  <c r="Q29" i="10"/>
  <c r="S44" i="13"/>
  <c r="S12" i="13"/>
  <c r="U66" i="12"/>
  <c r="U69" i="12"/>
  <c r="U24" i="12"/>
  <c r="U47" i="12"/>
  <c r="S14" i="13"/>
  <c r="U21" i="12"/>
  <c r="U19" i="12"/>
  <c r="S63" i="17"/>
  <c r="S23" i="13"/>
  <c r="U36" i="12"/>
  <c r="S42" i="13"/>
  <c r="U56" i="12"/>
  <c r="S17" i="13"/>
  <c r="U29" i="12"/>
  <c r="U34" i="12"/>
  <c r="U70" i="12"/>
  <c r="J79" i="12"/>
  <c r="F27" i="11"/>
  <c r="F33" i="10"/>
  <c r="H17" i="13"/>
  <c r="J24" i="12"/>
  <c r="J59" i="12"/>
  <c r="J55" i="12"/>
  <c r="F67" i="11"/>
  <c r="F73" i="10"/>
  <c r="H19" i="17"/>
  <c r="H23" i="13"/>
  <c r="J22" i="12"/>
  <c r="F65" i="11"/>
  <c r="F71" i="10"/>
  <c r="J28" i="12"/>
  <c r="J60" i="12"/>
  <c r="H15" i="13"/>
  <c r="H14" i="13"/>
  <c r="J51" i="12"/>
  <c r="H39" i="13"/>
  <c r="F30" i="11"/>
  <c r="F36" i="10"/>
  <c r="J32" i="12"/>
  <c r="J33" i="12"/>
  <c r="H52" i="17"/>
  <c r="J18" i="12"/>
  <c r="H10" i="13"/>
  <c r="M11" i="13"/>
  <c r="O32" i="12"/>
  <c r="O59" i="12"/>
  <c r="O35" i="12"/>
  <c r="O79" i="12"/>
  <c r="O54" i="12"/>
  <c r="O72" i="12"/>
  <c r="O68" i="12"/>
  <c r="O47" i="12"/>
  <c r="K41" i="11"/>
  <c r="K29" i="11"/>
  <c r="K47" i="10"/>
  <c r="K35" i="10"/>
  <c r="O37" i="12"/>
  <c r="O28" i="12"/>
  <c r="O25" i="12"/>
  <c r="O10" i="12"/>
  <c r="M34" i="17"/>
  <c r="O50" i="12"/>
  <c r="M15" i="13"/>
  <c r="M20" i="17"/>
  <c r="O8" i="12"/>
  <c r="M32" i="13"/>
  <c r="K27" i="10"/>
  <c r="M44" i="17"/>
  <c r="M45" i="13"/>
  <c r="L78" i="12"/>
  <c r="I10" i="8"/>
  <c r="G34" i="6"/>
  <c r="L77" i="12"/>
  <c r="H8" i="7"/>
  <c r="H43" i="11"/>
  <c r="H49" i="10"/>
  <c r="J11" i="3"/>
  <c r="H7" i="7"/>
  <c r="H48" i="11"/>
  <c r="H54" i="10"/>
  <c r="J12" i="3"/>
  <c r="L48" i="12"/>
  <c r="L43" i="12"/>
  <c r="J54" i="13"/>
  <c r="H27" i="7"/>
  <c r="H15" i="7"/>
  <c r="H45" i="11"/>
  <c r="H51" i="10"/>
  <c r="H16" i="7"/>
  <c r="H46" i="11"/>
  <c r="H52" i="10"/>
  <c r="H20" i="7"/>
  <c r="H63" i="11"/>
  <c r="H69" i="10"/>
  <c r="H25" i="7"/>
  <c r="L42" i="12"/>
  <c r="L44" i="12"/>
  <c r="I6" i="8"/>
  <c r="G32" i="6"/>
  <c r="G8" i="6"/>
  <c r="I9" i="8"/>
  <c r="G33" i="6"/>
  <c r="I8" i="8"/>
  <c r="L45" i="12"/>
  <c r="L46" i="12"/>
  <c r="L49" i="12"/>
  <c r="O28" i="11"/>
  <c r="O34" i="10"/>
  <c r="Q21" i="17"/>
  <c r="S56" i="12"/>
  <c r="S72" i="12"/>
  <c r="Q50" i="17"/>
  <c r="Q40" i="13"/>
  <c r="O31" i="11"/>
  <c r="O37" i="10"/>
  <c r="Q18" i="14"/>
  <c r="Q34" i="13"/>
  <c r="O29" i="10"/>
  <c r="Q9" i="13"/>
  <c r="S50" i="12"/>
  <c r="Q22" i="17"/>
  <c r="Q26" i="13"/>
  <c r="S66" i="12"/>
  <c r="Q11" i="13"/>
  <c r="S23" i="12"/>
  <c r="S21" i="12"/>
  <c r="O66" i="11"/>
  <c r="O72" i="10"/>
  <c r="S71" i="12"/>
  <c r="S37" i="12"/>
  <c r="S57" i="12"/>
  <c r="S68" i="12"/>
  <c r="S47" i="12"/>
  <c r="F17" i="13"/>
  <c r="H62" i="12"/>
  <c r="H59" i="12"/>
  <c r="H26" i="12"/>
  <c r="H9" i="12"/>
  <c r="H36" i="12"/>
  <c r="F14" i="13"/>
  <c r="F10" i="13"/>
  <c r="F40" i="13"/>
  <c r="D31" i="11"/>
  <c r="D37" i="10"/>
  <c r="F33" i="13"/>
  <c r="D28" i="10"/>
  <c r="F12" i="13"/>
  <c r="F9" i="17"/>
  <c r="H39" i="12"/>
  <c r="H33" i="12"/>
  <c r="H30" i="12"/>
  <c r="F17" i="14"/>
  <c r="F31" i="13"/>
  <c r="D26" i="10"/>
  <c r="H61" i="12"/>
  <c r="H24" i="12"/>
  <c r="H51" i="12"/>
  <c r="F41" i="17"/>
  <c r="D65" i="11"/>
  <c r="D71" i="10"/>
  <c r="R50" i="12"/>
  <c r="R71" i="12"/>
  <c r="R54" i="12"/>
  <c r="P18" i="13"/>
  <c r="P40" i="13"/>
  <c r="N31" i="11"/>
  <c r="N37" i="10"/>
  <c r="P22" i="17"/>
  <c r="R13" i="12"/>
  <c r="R29" i="12"/>
  <c r="P34" i="13"/>
  <c r="N29" i="10"/>
  <c r="R73" i="12"/>
  <c r="R67" i="12"/>
  <c r="N35" i="11"/>
  <c r="N41" i="10"/>
  <c r="P45" i="13"/>
  <c r="R37" i="12"/>
  <c r="R16" i="12"/>
  <c r="AA60" i="12"/>
  <c r="Z75" i="17"/>
  <c r="P32" i="13"/>
  <c r="N27" i="10"/>
  <c r="P26" i="13"/>
  <c r="AA64" i="12"/>
  <c r="P17" i="13"/>
  <c r="X41" i="11"/>
  <c r="X29" i="11"/>
  <c r="X47" i="10"/>
  <c r="X35" i="10"/>
  <c r="R23" i="12"/>
  <c r="AA22" i="12"/>
  <c r="AA39" i="12"/>
  <c r="P24" i="13"/>
  <c r="P7" i="17"/>
  <c r="AA15" i="12"/>
  <c r="Z39" i="13"/>
  <c r="X30" i="11"/>
  <c r="X36" i="10"/>
  <c r="R66" i="12"/>
  <c r="AA55" i="12"/>
  <c r="Z15" i="13"/>
  <c r="Z12" i="13"/>
  <c r="Z31" i="13"/>
  <c r="X26" i="10"/>
  <c r="Z8" i="13"/>
  <c r="AA33" i="12"/>
  <c r="Z13" i="13"/>
  <c r="AA36" i="12"/>
  <c r="AA12" i="12"/>
  <c r="AA74" i="12"/>
  <c r="AA28" i="12"/>
  <c r="AA65" i="12"/>
  <c r="X67" i="11"/>
  <c r="X73" i="10"/>
  <c r="Z29" i="17"/>
  <c r="U42" i="13"/>
  <c r="W65" i="12"/>
  <c r="U15" i="3"/>
  <c r="U23" i="17"/>
  <c r="U31" i="13"/>
  <c r="S26" i="10"/>
  <c r="W52" i="12"/>
  <c r="W17" i="12"/>
  <c r="U15" i="13"/>
  <c r="U32" i="17"/>
  <c r="W68" i="12"/>
  <c r="U11" i="14"/>
  <c r="U11" i="17"/>
  <c r="W19" i="12"/>
  <c r="W26" i="12"/>
  <c r="U25" i="13"/>
  <c r="U12" i="13"/>
  <c r="W71" i="12"/>
  <c r="W31" i="12"/>
  <c r="U44" i="13"/>
  <c r="W67" i="12"/>
  <c r="W70" i="12"/>
  <c r="U28" i="17"/>
  <c r="U23" i="13"/>
  <c r="W11" i="17"/>
  <c r="W40" i="13"/>
  <c r="U31" i="11"/>
  <c r="U37" i="10"/>
  <c r="W10" i="17"/>
  <c r="W12" i="17"/>
  <c r="W31" i="13"/>
  <c r="U26" i="10"/>
  <c r="W33" i="13"/>
  <c r="U28" i="10"/>
  <c r="W11" i="14"/>
  <c r="W8" i="13"/>
  <c r="W25" i="13"/>
  <c r="W17" i="14"/>
  <c r="W13" i="13"/>
  <c r="W52" i="17"/>
  <c r="W42" i="13"/>
  <c r="W12" i="13"/>
  <c r="W23" i="13"/>
  <c r="W28" i="17"/>
  <c r="W44" i="17"/>
  <c r="U64" i="11"/>
  <c r="U70" i="10"/>
  <c r="W44" i="13"/>
  <c r="W15" i="3"/>
  <c r="W23" i="17"/>
  <c r="W42" i="17"/>
  <c r="W32" i="17"/>
  <c r="W27" i="13"/>
  <c r="W16" i="13"/>
  <c r="U18" i="10"/>
  <c r="U21" i="10"/>
  <c r="U12" i="10"/>
  <c r="U17" i="10"/>
  <c r="U20" i="10"/>
  <c r="U22" i="10"/>
  <c r="U14" i="10"/>
  <c r="U7" i="10"/>
  <c r="U8" i="10"/>
  <c r="W46" i="13"/>
  <c r="U39" i="11"/>
  <c r="U45" i="10"/>
  <c r="U53" i="4"/>
  <c r="U18" i="2"/>
  <c r="U13" i="10"/>
  <c r="U23" i="10"/>
  <c r="W35" i="13"/>
  <c r="U24" i="10"/>
  <c r="U46" i="4"/>
  <c r="U64" i="10"/>
  <c r="U25" i="4"/>
  <c r="U6" i="10"/>
  <c r="U11" i="4"/>
  <c r="U12" i="2"/>
  <c r="U6" i="15"/>
  <c r="U63" i="10"/>
  <c r="U9" i="10"/>
  <c r="U10" i="10"/>
  <c r="U19" i="10"/>
  <c r="U15" i="10"/>
  <c r="W19" i="13"/>
  <c r="U61" i="10"/>
  <c r="U32" i="4"/>
  <c r="U16" i="2"/>
  <c r="U11" i="10"/>
  <c r="U14" i="2"/>
  <c r="W21" i="10"/>
  <c r="W19" i="10"/>
  <c r="W13" i="10"/>
  <c r="W8" i="10"/>
  <c r="W22" i="10"/>
  <c r="W14" i="10"/>
  <c r="W9" i="10"/>
  <c r="Y35" i="13"/>
  <c r="W24" i="10"/>
  <c r="W46" i="4"/>
  <c r="W11" i="10"/>
  <c r="W14" i="2"/>
  <c r="W6" i="10"/>
  <c r="W11" i="4"/>
  <c r="W12" i="2"/>
  <c r="W6" i="15"/>
  <c r="W10" i="10"/>
  <c r="W63" i="10"/>
  <c r="W64" i="10"/>
  <c r="W25" i="4"/>
  <c r="W23" i="10"/>
  <c r="W7" i="10"/>
  <c r="Y27" i="13"/>
  <c r="Y16" i="13"/>
  <c r="W18" i="10"/>
  <c r="Y46" i="13"/>
  <c r="W39" i="11"/>
  <c r="W45" i="10"/>
  <c r="W53" i="4"/>
  <c r="W18" i="2"/>
  <c r="W20" i="10"/>
  <c r="W12" i="10"/>
  <c r="Y19" i="13"/>
  <c r="W61" i="10"/>
  <c r="W32" i="4"/>
  <c r="W16" i="2"/>
  <c r="W15" i="10"/>
  <c r="W17" i="10"/>
  <c r="G63" i="10"/>
  <c r="G10" i="10"/>
  <c r="G12" i="10"/>
  <c r="G19" i="10"/>
  <c r="I35" i="13"/>
  <c r="G24" i="10"/>
  <c r="G46" i="4"/>
  <c r="G20" i="10"/>
  <c r="G7" i="10"/>
  <c r="G22" i="10"/>
  <c r="G13" i="10"/>
  <c r="I46" i="13"/>
  <c r="G39" i="11"/>
  <c r="G45" i="10"/>
  <c r="G53" i="4"/>
  <c r="G18" i="2"/>
  <c r="G8" i="10"/>
  <c r="I27" i="13"/>
  <c r="I16" i="13"/>
  <c r="G18" i="10"/>
  <c r="G64" i="10"/>
  <c r="G25" i="4"/>
  <c r="G6" i="10"/>
  <c r="G11" i="4"/>
  <c r="G12" i="2"/>
  <c r="G6" i="15"/>
  <c r="G9" i="10"/>
  <c r="G21" i="10"/>
  <c r="G14" i="10"/>
  <c r="I19" i="13"/>
  <c r="G61" i="10"/>
  <c r="G32" i="4"/>
  <c r="G16" i="2"/>
  <c r="G23" i="10"/>
  <c r="G15" i="10"/>
  <c r="G17" i="10"/>
  <c r="G11" i="10"/>
  <c r="G14" i="2"/>
  <c r="AA22" i="17"/>
  <c r="AA52" i="17"/>
  <c r="AA17" i="14"/>
  <c r="AA40" i="17"/>
  <c r="AA15" i="13"/>
  <c r="AA43" i="13"/>
  <c r="Y66" i="11"/>
  <c r="Y72" i="10"/>
  <c r="AA12" i="17"/>
  <c r="AA39" i="13"/>
  <c r="Y30" i="11"/>
  <c r="Y36" i="10"/>
  <c r="AA35" i="17"/>
  <c r="AA44" i="17"/>
  <c r="AA24" i="17"/>
  <c r="AA42" i="17"/>
  <c r="AA8" i="13"/>
  <c r="AA10" i="13"/>
  <c r="AA11" i="17"/>
  <c r="AA26" i="13"/>
  <c r="AA31" i="13"/>
  <c r="Y26" i="10"/>
  <c r="AA9" i="13"/>
  <c r="AA10" i="17"/>
  <c r="AA19" i="14"/>
  <c r="AA13" i="13"/>
  <c r="Y31" i="13"/>
  <c r="W26" i="10"/>
  <c r="Y15" i="3"/>
  <c r="Y23" i="17"/>
  <c r="V9" i="9"/>
  <c r="V9" i="5"/>
  <c r="Y81" i="17"/>
  <c r="Y22" i="17"/>
  <c r="Y17" i="13"/>
  <c r="Y44" i="17"/>
  <c r="Y11" i="14"/>
  <c r="Y44" i="13"/>
  <c r="Z62" i="12"/>
  <c r="Y14" i="13"/>
  <c r="Y21" i="17"/>
  <c r="Y42" i="13"/>
  <c r="Y52" i="17"/>
  <c r="Y40" i="13"/>
  <c r="W31" i="11"/>
  <c r="W37" i="10"/>
  <c r="Y10" i="13"/>
  <c r="Y28" i="17"/>
  <c r="Y48" i="17"/>
  <c r="Y46" i="17"/>
  <c r="Y33" i="13"/>
  <c r="W28" i="10"/>
  <c r="Z74" i="12"/>
  <c r="Y23" i="13"/>
  <c r="Z35" i="12"/>
  <c r="K53" i="17"/>
  <c r="K15" i="13"/>
  <c r="K26" i="17"/>
  <c r="K43" i="13"/>
  <c r="K39" i="13"/>
  <c r="I30" i="11"/>
  <c r="I36" i="10"/>
  <c r="M79" i="12"/>
  <c r="K19" i="17"/>
  <c r="K31" i="13"/>
  <c r="I26" i="10"/>
  <c r="K17" i="14"/>
  <c r="K64" i="17"/>
  <c r="K79" i="17"/>
  <c r="K44" i="17"/>
  <c r="K54" i="17"/>
  <c r="K24" i="13"/>
  <c r="K36" i="17"/>
  <c r="K8" i="17"/>
  <c r="K46" i="17"/>
  <c r="K16" i="14"/>
  <c r="K19" i="14"/>
  <c r="K27" i="17"/>
  <c r="K8" i="13"/>
  <c r="M67" i="12"/>
  <c r="I10" i="17"/>
  <c r="I30" i="17"/>
  <c r="I10" i="13"/>
  <c r="I17" i="13"/>
  <c r="I33" i="13"/>
  <c r="G28" i="10"/>
  <c r="I12" i="17"/>
  <c r="I42" i="13"/>
  <c r="K69" i="12"/>
  <c r="I11" i="14"/>
  <c r="I48" i="17"/>
  <c r="I44" i="13"/>
  <c r="I50" i="17"/>
  <c r="I14" i="13"/>
  <c r="I25" i="13"/>
  <c r="I24" i="17"/>
  <c r="K62" i="12"/>
  <c r="I9" i="17"/>
  <c r="I46" i="17"/>
  <c r="I51" i="17"/>
  <c r="I26" i="17"/>
  <c r="I80" i="17"/>
  <c r="I23" i="13"/>
  <c r="D20" i="10"/>
  <c r="D17" i="10"/>
  <c r="D15" i="10"/>
  <c r="D22" i="10"/>
  <c r="D64" i="10"/>
  <c r="D25" i="4"/>
  <c r="D10" i="10"/>
  <c r="F19" i="13"/>
  <c r="D61" i="10"/>
  <c r="D32" i="4"/>
  <c r="D16" i="2"/>
  <c r="D8" i="10"/>
  <c r="D13" i="10"/>
  <c r="D14" i="10"/>
  <c r="D23" i="10"/>
  <c r="F46" i="13"/>
  <c r="D39" i="11"/>
  <c r="D45" i="10"/>
  <c r="D53" i="4"/>
  <c r="D18" i="2"/>
  <c r="D11" i="10"/>
  <c r="D14" i="2"/>
  <c r="D63" i="10"/>
  <c r="D9" i="10"/>
  <c r="D19" i="10"/>
  <c r="D7" i="10"/>
  <c r="D12" i="10"/>
  <c r="F35" i="13"/>
  <c r="D24" i="10"/>
  <c r="D46" i="4"/>
  <c r="D6" i="10"/>
  <c r="D11" i="4"/>
  <c r="D12" i="2"/>
  <c r="D6" i="15"/>
  <c r="D21" i="10"/>
  <c r="F27" i="13"/>
  <c r="F16" i="13"/>
  <c r="D18" i="10"/>
  <c r="D15" i="3"/>
  <c r="D23" i="17"/>
  <c r="D11" i="13"/>
  <c r="D81" i="17"/>
  <c r="D11" i="14"/>
  <c r="D10" i="17"/>
  <c r="D7" i="17"/>
  <c r="D18" i="14"/>
  <c r="D32" i="13"/>
  <c r="D18" i="13"/>
  <c r="D25" i="13"/>
  <c r="D65" i="17"/>
  <c r="D11" i="17"/>
  <c r="D34" i="13"/>
  <c r="F66" i="12"/>
  <c r="D25" i="17"/>
  <c r="D40" i="13"/>
  <c r="D43" i="17"/>
  <c r="D44" i="13"/>
  <c r="D14" i="13"/>
  <c r="D42" i="13"/>
  <c r="D23" i="13"/>
  <c r="F12" i="18"/>
  <c r="T44" i="17"/>
  <c r="T20" i="17"/>
  <c r="T7" i="17"/>
  <c r="T18" i="13"/>
  <c r="T16" i="14"/>
  <c r="T32" i="13"/>
  <c r="R27" i="10"/>
  <c r="T19" i="17"/>
  <c r="T25" i="13"/>
  <c r="V66" i="12"/>
  <c r="T77" i="17"/>
  <c r="V59" i="12"/>
  <c r="T27" i="17"/>
  <c r="T40" i="13"/>
  <c r="R31" i="11"/>
  <c r="R37" i="10"/>
  <c r="T23" i="13"/>
  <c r="T12" i="14"/>
  <c r="T21" i="17"/>
  <c r="T42" i="13"/>
  <c r="T34" i="17"/>
  <c r="T18" i="14"/>
  <c r="T11" i="13"/>
  <c r="T41" i="17"/>
  <c r="T14" i="13"/>
  <c r="E44" i="13"/>
  <c r="E42" i="13"/>
  <c r="E33" i="17"/>
  <c r="G66" i="12"/>
  <c r="E18" i="14"/>
  <c r="G10" i="18"/>
  <c r="E25" i="17"/>
  <c r="E10" i="17"/>
  <c r="E18" i="17"/>
  <c r="E14" i="13"/>
  <c r="E11" i="14"/>
  <c r="E11" i="17"/>
  <c r="E23" i="13"/>
  <c r="E18" i="13"/>
  <c r="E15" i="3"/>
  <c r="E23" i="17"/>
  <c r="E30" i="17"/>
  <c r="G69" i="12"/>
  <c r="E12" i="17"/>
  <c r="E34" i="13"/>
  <c r="C29" i="10"/>
  <c r="G56" i="12"/>
  <c r="G73" i="12"/>
  <c r="E25" i="13"/>
  <c r="E12" i="10"/>
  <c r="G35" i="13"/>
  <c r="E24" i="10"/>
  <c r="E46" i="4"/>
  <c r="E19" i="10"/>
  <c r="E63" i="10"/>
  <c r="E20" i="10"/>
  <c r="E64" i="10"/>
  <c r="E25" i="4"/>
  <c r="E8" i="10"/>
  <c r="E21" i="10"/>
  <c r="E23" i="10"/>
  <c r="E22" i="10"/>
  <c r="E6" i="10"/>
  <c r="E11" i="4"/>
  <c r="E12" i="2"/>
  <c r="E6" i="15"/>
  <c r="E13" i="10"/>
  <c r="G46" i="13"/>
  <c r="E39" i="11"/>
  <c r="E45" i="10"/>
  <c r="E53" i="4"/>
  <c r="E18" i="2"/>
  <c r="E7" i="10"/>
  <c r="E17" i="10"/>
  <c r="E10" i="10"/>
  <c r="E9" i="10"/>
  <c r="E14" i="10"/>
  <c r="G27" i="13"/>
  <c r="G16" i="13"/>
  <c r="E18" i="10"/>
  <c r="G19" i="13"/>
  <c r="E61" i="10"/>
  <c r="E32" i="4"/>
  <c r="E16" i="2"/>
  <c r="E15" i="10"/>
  <c r="E11" i="10"/>
  <c r="E14" i="2"/>
  <c r="M9" i="17"/>
  <c r="M36" i="17"/>
  <c r="O57" i="12"/>
  <c r="M17" i="13"/>
  <c r="M25" i="17"/>
  <c r="O74" i="12"/>
  <c r="M10" i="13"/>
  <c r="M43" i="17"/>
  <c r="O65" i="12"/>
  <c r="M19" i="14"/>
  <c r="M26" i="17"/>
  <c r="M43" i="13"/>
  <c r="M8" i="17"/>
  <c r="M13" i="13"/>
  <c r="M53" i="17"/>
  <c r="M18" i="17"/>
  <c r="M33" i="13"/>
  <c r="K28" i="10"/>
  <c r="O39" i="12"/>
  <c r="M19" i="17"/>
  <c r="M24" i="13"/>
  <c r="M17" i="14"/>
  <c r="M33" i="17"/>
  <c r="L33" i="12"/>
  <c r="J23" i="13"/>
  <c r="L51" i="12"/>
  <c r="J19" i="17"/>
  <c r="L60" i="12"/>
  <c r="J11" i="14"/>
  <c r="J44" i="13"/>
  <c r="J17" i="13"/>
  <c r="J36" i="17"/>
  <c r="L72" i="12"/>
  <c r="J39" i="13"/>
  <c r="H30" i="11"/>
  <c r="H36" i="10"/>
  <c r="J10" i="17"/>
  <c r="J17" i="14"/>
  <c r="J8" i="13"/>
  <c r="J14" i="13"/>
  <c r="L69" i="12"/>
  <c r="J25" i="13"/>
  <c r="J33" i="17"/>
  <c r="J15" i="13"/>
  <c r="J26" i="17"/>
  <c r="L8" i="18"/>
  <c r="L79" i="12"/>
  <c r="C32" i="13"/>
  <c r="C30" i="17"/>
  <c r="C13" i="13"/>
  <c r="E68" i="12"/>
  <c r="C7" i="17"/>
  <c r="C18" i="14"/>
  <c r="C35" i="17"/>
  <c r="C12" i="17"/>
  <c r="E71" i="12"/>
  <c r="C29" i="17"/>
  <c r="C32" i="17"/>
  <c r="C12" i="14"/>
  <c r="E50" i="12"/>
  <c r="C11" i="14"/>
  <c r="C36" i="17"/>
  <c r="C55" i="17"/>
  <c r="C16" i="14"/>
  <c r="C11" i="17"/>
  <c r="C25" i="17"/>
  <c r="E32" i="12"/>
  <c r="C10" i="17"/>
  <c r="E59" i="12"/>
  <c r="U59" i="12"/>
  <c r="U71" i="12"/>
  <c r="S19" i="14"/>
  <c r="S19" i="17"/>
  <c r="S7" i="17"/>
  <c r="S20" i="17"/>
  <c r="S12" i="14"/>
  <c r="U68" i="12"/>
  <c r="U32" i="12"/>
  <c r="S16" i="14"/>
  <c r="U50" i="12"/>
  <c r="S45" i="13"/>
  <c r="S13" i="13"/>
  <c r="S46" i="17"/>
  <c r="S50" i="17"/>
  <c r="S48" i="17"/>
  <c r="S24" i="13"/>
  <c r="S26" i="13"/>
  <c r="S27" i="17"/>
  <c r="S18" i="14"/>
  <c r="S43" i="13"/>
  <c r="S34" i="17"/>
  <c r="J63" i="10"/>
  <c r="J8" i="10"/>
  <c r="L35" i="13"/>
  <c r="J24" i="10"/>
  <c r="J46" i="4"/>
  <c r="J64" i="10"/>
  <c r="J25" i="4"/>
  <c r="J7" i="10"/>
  <c r="J15" i="10"/>
  <c r="J23" i="10"/>
  <c r="J19" i="10"/>
  <c r="J10" i="10"/>
  <c r="J12" i="10"/>
  <c r="J14" i="10"/>
  <c r="J22" i="10"/>
  <c r="J17" i="10"/>
  <c r="J9" i="10"/>
  <c r="J11" i="10"/>
  <c r="J14" i="2"/>
  <c r="J6" i="10"/>
  <c r="J11" i="4"/>
  <c r="J12" i="2"/>
  <c r="J6" i="15"/>
  <c r="J21" i="10"/>
  <c r="L27" i="13"/>
  <c r="L16" i="13"/>
  <c r="J18" i="10"/>
  <c r="L46" i="13"/>
  <c r="J39" i="11"/>
  <c r="J45" i="10"/>
  <c r="J53" i="4"/>
  <c r="J18" i="2"/>
  <c r="J13" i="10"/>
  <c r="L19" i="13"/>
  <c r="J61" i="10"/>
  <c r="J32" i="4"/>
  <c r="J16" i="2"/>
  <c r="J20" i="10"/>
  <c r="Z11" i="14"/>
  <c r="Z25" i="13"/>
  <c r="Z21" i="17"/>
  <c r="Z28" i="17"/>
  <c r="AA69" i="12"/>
  <c r="Z20" i="17"/>
  <c r="Z14" i="13"/>
  <c r="Z23" i="13"/>
  <c r="Z10" i="17"/>
  <c r="Z54" i="17"/>
  <c r="V15" i="10"/>
  <c r="V20" i="10"/>
  <c r="Z50" i="17"/>
  <c r="V21" i="10"/>
  <c r="Z17" i="13"/>
  <c r="Z67" i="17"/>
  <c r="V13" i="10"/>
  <c r="X19" i="13"/>
  <c r="V61" i="10"/>
  <c r="V32" i="4"/>
  <c r="V16" i="2"/>
  <c r="Z31" i="17"/>
  <c r="Z44" i="13"/>
  <c r="V11" i="10"/>
  <c r="V14" i="2"/>
  <c r="Z35" i="17"/>
  <c r="V7" i="10"/>
  <c r="Z42" i="13"/>
  <c r="V63" i="10"/>
  <c r="Z12" i="17"/>
  <c r="X46" i="13"/>
  <c r="V39" i="11"/>
  <c r="V45" i="10"/>
  <c r="V53" i="4"/>
  <c r="V18" i="2"/>
  <c r="V22" i="10"/>
  <c r="Z40" i="13"/>
  <c r="X31" i="11"/>
  <c r="X37" i="10"/>
  <c r="V12" i="10"/>
  <c r="Z17" i="14"/>
  <c r="V23" i="10"/>
  <c r="AA62" i="12"/>
  <c r="X27" i="13"/>
  <c r="X16" i="13"/>
  <c r="V18" i="10"/>
  <c r="V8" i="10"/>
  <c r="Z33" i="13"/>
  <c r="X28" i="10"/>
  <c r="V19" i="10"/>
  <c r="X35" i="13"/>
  <c r="V24" i="10"/>
  <c r="V46" i="4"/>
  <c r="V6" i="10"/>
  <c r="V11" i="4"/>
  <c r="V12" i="2"/>
  <c r="V6" i="15"/>
  <c r="V14" i="10"/>
  <c r="V10" i="10"/>
  <c r="V64" i="10"/>
  <c r="V25" i="4"/>
  <c r="V9" i="10"/>
  <c r="V17" i="10"/>
  <c r="F21" i="10"/>
  <c r="F22" i="10"/>
  <c r="F19" i="10"/>
  <c r="F13" i="10"/>
  <c r="F6" i="10"/>
  <c r="F11" i="4"/>
  <c r="F12" i="2"/>
  <c r="F6" i="15"/>
  <c r="F63" i="10"/>
  <c r="F15" i="10"/>
  <c r="H27" i="13"/>
  <c r="H16" i="13"/>
  <c r="F18" i="10"/>
  <c r="F12" i="10"/>
  <c r="F9" i="10"/>
  <c r="F20" i="10"/>
  <c r="F64" i="10"/>
  <c r="F25" i="4"/>
  <c r="F11" i="10"/>
  <c r="F14" i="2"/>
  <c r="H35" i="13"/>
  <c r="F24" i="10"/>
  <c r="F46" i="4"/>
  <c r="F23" i="10"/>
  <c r="F7" i="10"/>
  <c r="F10" i="10"/>
  <c r="H19" i="13"/>
  <c r="F61" i="10"/>
  <c r="F32" i="4"/>
  <c r="F16" i="2"/>
  <c r="F8" i="10"/>
  <c r="F17" i="10"/>
  <c r="H46" i="13"/>
  <c r="F39" i="11"/>
  <c r="F45" i="10"/>
  <c r="F53" i="4"/>
  <c r="F18" i="2"/>
  <c r="F14" i="10"/>
  <c r="N43" i="17"/>
  <c r="N16" i="14"/>
  <c r="N17" i="14"/>
  <c r="N27" i="17"/>
  <c r="N17" i="13"/>
  <c r="N8" i="17"/>
  <c r="P47" i="12"/>
  <c r="N19" i="14"/>
  <c r="N13" i="13"/>
  <c r="N25" i="17"/>
  <c r="N43" i="13"/>
  <c r="N33" i="13"/>
  <c r="L28" i="10"/>
  <c r="N55" i="17"/>
  <c r="P65" i="12"/>
  <c r="N45" i="13"/>
  <c r="N26" i="13"/>
  <c r="P72" i="12"/>
  <c r="N10" i="13"/>
  <c r="N26" i="17"/>
  <c r="N58" i="17"/>
  <c r="N69" i="17"/>
  <c r="P68" i="12"/>
  <c r="U27" i="17"/>
  <c r="U12" i="14"/>
  <c r="W56" i="12"/>
  <c r="U16" i="14"/>
  <c r="U11" i="13"/>
  <c r="U34" i="13"/>
  <c r="S29" i="10"/>
  <c r="U14" i="13"/>
  <c r="W66" i="12"/>
  <c r="U18" i="14"/>
  <c r="W69" i="12"/>
  <c r="U68" i="17"/>
  <c r="U46" i="17"/>
  <c r="U34" i="17"/>
  <c r="U44" i="17"/>
  <c r="U48" i="17"/>
  <c r="U40" i="13"/>
  <c r="S31" i="11"/>
  <c r="S37" i="10"/>
  <c r="U18" i="13"/>
  <c r="U7" i="17"/>
  <c r="U32" i="13"/>
  <c r="S27" i="10"/>
  <c r="U52" i="17"/>
  <c r="W30" i="12"/>
  <c r="W73" i="12"/>
  <c r="V23" i="13"/>
  <c r="V54" i="17"/>
  <c r="X37" i="12"/>
  <c r="V34" i="13"/>
  <c r="T29" i="10"/>
  <c r="X64" i="12"/>
  <c r="V7" i="17"/>
  <c r="V76" i="17"/>
  <c r="X73" i="12"/>
  <c r="V12" i="13"/>
  <c r="V41" i="17"/>
  <c r="V18" i="13"/>
  <c r="V18" i="14"/>
  <c r="X56" i="12"/>
  <c r="V44" i="13"/>
  <c r="V42" i="13"/>
  <c r="V9" i="13"/>
  <c r="V50" i="17"/>
  <c r="V19" i="17"/>
  <c r="V32" i="13"/>
  <c r="T27" i="10"/>
  <c r="V21" i="17"/>
  <c r="V12" i="14"/>
  <c r="V65" i="17"/>
  <c r="Q55" i="12"/>
  <c r="O8" i="13"/>
  <c r="O17" i="13"/>
  <c r="Q63" i="12"/>
  <c r="O66" i="17"/>
  <c r="O16" i="14"/>
  <c r="O18" i="17"/>
  <c r="Q79" i="12"/>
  <c r="Q72" i="12"/>
  <c r="O11" i="13"/>
  <c r="R12" i="14"/>
  <c r="R18" i="14"/>
  <c r="O26" i="13"/>
  <c r="O8" i="17"/>
  <c r="O36" i="17"/>
  <c r="R43" i="13"/>
  <c r="R46" i="17"/>
  <c r="O31" i="17"/>
  <c r="R21" i="17"/>
  <c r="O19" i="14"/>
  <c r="R45" i="13"/>
  <c r="O53" i="17"/>
  <c r="Q36" i="12"/>
  <c r="R34" i="13"/>
  <c r="P29" i="10"/>
  <c r="R20" i="17"/>
  <c r="O39" i="13"/>
  <c r="M30" i="11"/>
  <c r="M36" i="10"/>
  <c r="R9" i="13"/>
  <c r="O45" i="13"/>
  <c r="T61" i="12"/>
  <c r="O34" i="17"/>
  <c r="O78" i="17"/>
  <c r="R13" i="13"/>
  <c r="O41" i="17"/>
  <c r="T68" i="12"/>
  <c r="R22" i="17"/>
  <c r="R8" i="17"/>
  <c r="R7" i="17"/>
  <c r="R40" i="13"/>
  <c r="P31" i="11"/>
  <c r="P37" i="10"/>
  <c r="R52" i="17"/>
  <c r="R41" i="17"/>
  <c r="R26" i="13"/>
  <c r="R18" i="17"/>
  <c r="R27" i="17"/>
  <c r="R24" i="13"/>
  <c r="X40" i="13"/>
  <c r="V31" i="11"/>
  <c r="V37" i="10"/>
  <c r="X10" i="13"/>
  <c r="X21" i="17"/>
  <c r="X54" i="17"/>
  <c r="X17" i="13"/>
  <c r="X18" i="14"/>
  <c r="X15" i="3"/>
  <c r="X23" i="17"/>
  <c r="X22" i="17"/>
  <c r="X31" i="13"/>
  <c r="V26" i="10"/>
  <c r="X11" i="14"/>
  <c r="X58" i="17"/>
  <c r="X50" i="17"/>
  <c r="Y64" i="12"/>
  <c r="X34" i="13"/>
  <c r="V29" i="10"/>
  <c r="X33" i="13"/>
  <c r="V28" i="10"/>
  <c r="X35" i="17"/>
  <c r="X41" i="17"/>
  <c r="Y71" i="12"/>
  <c r="X17" i="14"/>
  <c r="X9" i="17"/>
  <c r="X31" i="17"/>
  <c r="X7" i="17"/>
  <c r="J74" i="12"/>
  <c r="J71" i="12"/>
  <c r="J35" i="12"/>
  <c r="H40" i="13"/>
  <c r="F31" i="11"/>
  <c r="F37" i="10"/>
  <c r="H41" i="17"/>
  <c r="H44" i="13"/>
  <c r="J54" i="12"/>
  <c r="H33" i="17"/>
  <c r="H17" i="14"/>
  <c r="H11" i="14"/>
  <c r="H33" i="13"/>
  <c r="F28" i="10"/>
  <c r="H49" i="17"/>
  <c r="H42" i="13"/>
  <c r="H31" i="13"/>
  <c r="F26" i="10"/>
  <c r="H30" i="17"/>
  <c r="H67" i="17"/>
  <c r="H60" i="17"/>
  <c r="H12" i="17"/>
  <c r="H40" i="17"/>
  <c r="J62" i="12"/>
  <c r="H34" i="13"/>
  <c r="F29" i="10"/>
  <c r="H9" i="17"/>
  <c r="G25" i="17"/>
  <c r="G18" i="14"/>
  <c r="I64" i="12"/>
  <c r="G12" i="17"/>
  <c r="G50" i="17"/>
  <c r="G17" i="14"/>
  <c r="G31" i="13"/>
  <c r="E26" i="10"/>
  <c r="G30" i="17"/>
  <c r="G33" i="13"/>
  <c r="E28" i="10"/>
  <c r="G12" i="13"/>
  <c r="G11" i="14"/>
  <c r="G40" i="13"/>
  <c r="E31" i="11"/>
  <c r="E37" i="10"/>
  <c r="G9" i="13"/>
  <c r="G48" i="17"/>
  <c r="G15" i="3"/>
  <c r="G23" i="17"/>
  <c r="G9" i="17"/>
  <c r="G58" i="17"/>
  <c r="I71" i="12"/>
  <c r="G10" i="17"/>
  <c r="G24" i="17"/>
  <c r="G11" i="17"/>
  <c r="G26" i="17"/>
  <c r="Q8" i="17"/>
  <c r="S61" i="12"/>
  <c r="Q39" i="13"/>
  <c r="O30" i="11"/>
  <c r="O36" i="10"/>
  <c r="Q43" i="13"/>
  <c r="Q32" i="13"/>
  <c r="O27" i="10"/>
  <c r="Q24" i="13"/>
  <c r="Q20" i="17"/>
  <c r="Q45" i="13"/>
  <c r="S70" i="12"/>
  <c r="Q15" i="13"/>
  <c r="Q36" i="17"/>
  <c r="S34" i="12"/>
  <c r="Q12" i="14"/>
  <c r="Q18" i="17"/>
  <c r="Q30" i="17"/>
  <c r="S52" i="12"/>
  <c r="Q19" i="14"/>
  <c r="S73" i="12"/>
  <c r="Q16" i="14"/>
  <c r="Q18" i="13"/>
  <c r="Q48" i="17"/>
  <c r="P43" i="13"/>
  <c r="Q34" i="17"/>
  <c r="P59" i="17"/>
  <c r="P31" i="17"/>
  <c r="P27" i="17"/>
  <c r="P19" i="14"/>
  <c r="P41" i="17"/>
  <c r="R79" i="12"/>
  <c r="P39" i="13"/>
  <c r="N30" i="11"/>
  <c r="N36" i="10"/>
  <c r="P20" i="17"/>
  <c r="P16" i="14"/>
  <c r="P8" i="13"/>
  <c r="P15" i="13"/>
  <c r="P55" i="17"/>
  <c r="P9" i="17"/>
  <c r="P30" i="17"/>
  <c r="P43" i="17"/>
  <c r="P12" i="14"/>
  <c r="P11" i="13"/>
  <c r="R70" i="12"/>
  <c r="P8" i="17"/>
  <c r="P25" i="17"/>
  <c r="R63" i="12"/>
  <c r="F33" i="17"/>
  <c r="F18" i="14"/>
  <c r="H64" i="12"/>
  <c r="F7" i="17"/>
  <c r="H37" i="12"/>
  <c r="F43" i="17"/>
  <c r="H56" i="12"/>
  <c r="F32" i="17"/>
  <c r="F18" i="17"/>
  <c r="F59" i="17"/>
  <c r="F34" i="13"/>
  <c r="D29" i="10"/>
  <c r="F44" i="13"/>
  <c r="F23" i="13"/>
  <c r="F15" i="3"/>
  <c r="F23" i="17"/>
  <c r="F18" i="13"/>
  <c r="F42" i="17"/>
  <c r="F35" i="17"/>
  <c r="F9" i="13"/>
  <c r="F25" i="17"/>
  <c r="H73" i="12"/>
  <c r="F32" i="13"/>
  <c r="D27" i="10"/>
  <c r="F24" i="17"/>
  <c r="L31" i="13"/>
  <c r="J26" i="10"/>
  <c r="N67" i="12"/>
  <c r="L8" i="17"/>
  <c r="L17" i="14"/>
  <c r="L19" i="17"/>
  <c r="L33" i="17"/>
  <c r="L19" i="14"/>
  <c r="L12" i="13"/>
  <c r="N31" i="12"/>
  <c r="L33" i="13"/>
  <c r="J28" i="10"/>
  <c r="L9" i="17"/>
  <c r="N57" i="12"/>
  <c r="L55" i="17"/>
  <c r="L24" i="17"/>
  <c r="L15" i="13"/>
  <c r="N74" i="12"/>
  <c r="L23" i="13"/>
  <c r="L25" i="13"/>
  <c r="L24" i="13"/>
  <c r="N70" i="12"/>
  <c r="L26" i="17"/>
  <c r="L18" i="17"/>
  <c r="J46" i="13"/>
  <c r="H39" i="11"/>
  <c r="H45" i="10"/>
  <c r="H53" i="4"/>
  <c r="H18" i="2"/>
  <c r="J35" i="13"/>
  <c r="H24" i="10"/>
  <c r="H46" i="4"/>
  <c r="H12" i="10"/>
  <c r="H13" i="10"/>
  <c r="H22" i="10"/>
  <c r="H6" i="10"/>
  <c r="H11" i="4"/>
  <c r="H12" i="2"/>
  <c r="H6" i="15"/>
  <c r="H10" i="10"/>
  <c r="H23" i="10"/>
  <c r="H20" i="10"/>
  <c r="H15" i="10"/>
  <c r="H64" i="10"/>
  <c r="H25" i="4"/>
  <c r="H19" i="10"/>
  <c r="H11" i="10"/>
  <c r="H14" i="2"/>
  <c r="H63" i="10"/>
  <c r="H17" i="10"/>
  <c r="H14" i="10"/>
  <c r="H7" i="10"/>
  <c r="H21" i="10"/>
  <c r="J19" i="13"/>
  <c r="H61" i="10"/>
  <c r="H32" i="4"/>
  <c r="H16" i="2"/>
  <c r="H9" i="10"/>
  <c r="J27" i="13"/>
  <c r="J16" i="13"/>
  <c r="H18" i="10"/>
  <c r="H8" i="10"/>
  <c r="K40" i="13"/>
  <c r="I31" i="11"/>
  <c r="I37" i="10"/>
  <c r="K11" i="14"/>
  <c r="M60" i="12"/>
  <c r="K23" i="13"/>
  <c r="K25" i="13"/>
  <c r="M71" i="12"/>
  <c r="K32" i="13"/>
  <c r="I27" i="10"/>
  <c r="K42" i="17"/>
  <c r="K11" i="17"/>
  <c r="K51" i="17"/>
  <c r="K12" i="17"/>
  <c r="K10" i="17"/>
  <c r="K22" i="17"/>
  <c r="K24" i="17"/>
  <c r="K12" i="13"/>
  <c r="K44" i="13"/>
  <c r="K35" i="17"/>
  <c r="K40" i="17"/>
  <c r="M73" i="12"/>
  <c r="K34" i="13"/>
  <c r="I29" i="10"/>
  <c r="K42" i="13"/>
  <c r="K18" i="13"/>
  <c r="M11" i="10"/>
  <c r="M14" i="2"/>
  <c r="M6" i="10"/>
  <c r="M11" i="4"/>
  <c r="M12" i="2"/>
  <c r="M6" i="15"/>
  <c r="M21" i="10"/>
  <c r="M10" i="10"/>
  <c r="M8" i="10"/>
  <c r="M9" i="10"/>
  <c r="M15" i="10"/>
  <c r="O19" i="13"/>
  <c r="M61" i="10"/>
  <c r="M32" i="4"/>
  <c r="M16" i="2"/>
  <c r="O27" i="13"/>
  <c r="O16" i="13"/>
  <c r="M18" i="10"/>
  <c r="M12" i="10"/>
  <c r="M14" i="10"/>
  <c r="M23" i="10"/>
  <c r="M64" i="10"/>
  <c r="M25" i="4"/>
  <c r="O46" i="13"/>
  <c r="M39" i="11"/>
  <c r="M45" i="10"/>
  <c r="M53" i="4"/>
  <c r="M18" i="2"/>
  <c r="M19" i="10"/>
  <c r="M63" i="10"/>
  <c r="M20" i="10"/>
  <c r="M7" i="10"/>
  <c r="M17" i="10"/>
  <c r="M13" i="10"/>
  <c r="O35" i="13"/>
  <c r="M24" i="10"/>
  <c r="M46" i="4"/>
  <c r="M22" i="10"/>
  <c r="E16" i="14"/>
  <c r="E43" i="13"/>
  <c r="E7" i="17"/>
  <c r="E13" i="13"/>
  <c r="E26" i="13"/>
  <c r="E32" i="17"/>
  <c r="E54" i="17"/>
  <c r="E12" i="14"/>
  <c r="E19" i="14"/>
  <c r="E11" i="13"/>
  <c r="E45" i="13"/>
  <c r="E28" i="17"/>
  <c r="E32" i="13"/>
  <c r="C27" i="10"/>
  <c r="G63" i="12"/>
  <c r="E24" i="13"/>
  <c r="E8" i="17"/>
  <c r="G36" i="12"/>
  <c r="E39" i="13"/>
  <c r="C30" i="11"/>
  <c r="C36" i="10"/>
  <c r="E8" i="13"/>
  <c r="G79" i="12"/>
  <c r="G61" i="12"/>
  <c r="E44" i="17"/>
  <c r="Y34" i="13"/>
  <c r="W29" i="10"/>
  <c r="Y49" i="17"/>
  <c r="Y26" i="17"/>
  <c r="Y18" i="13"/>
  <c r="Y12" i="14"/>
  <c r="Z66" i="12"/>
  <c r="Y60" i="17"/>
  <c r="Y9" i="13"/>
  <c r="Y70" i="17"/>
  <c r="Z68" i="12"/>
  <c r="Y16" i="14"/>
  <c r="Z71" i="12"/>
  <c r="Y19" i="14"/>
  <c r="Y18" i="14"/>
  <c r="Y26" i="13"/>
  <c r="Z54" i="12"/>
  <c r="Y43" i="13"/>
  <c r="Y8" i="17"/>
  <c r="Y19" i="17"/>
  <c r="Y45" i="13"/>
  <c r="Y7" i="17"/>
  <c r="Y30" i="17"/>
  <c r="G28" i="17"/>
  <c r="G21" i="17"/>
  <c r="G44" i="17"/>
  <c r="G18" i="13"/>
  <c r="G32" i="13"/>
  <c r="E27" i="10"/>
  <c r="G16" i="14"/>
  <c r="G24" i="13"/>
  <c r="G11" i="13"/>
  <c r="G32" i="17"/>
  <c r="G7" i="17"/>
  <c r="G43" i="13"/>
  <c r="G61" i="17"/>
  <c r="G70" i="17"/>
  <c r="I34" i="12"/>
  <c r="G45" i="13"/>
  <c r="I18" i="18"/>
  <c r="G31" i="17"/>
  <c r="G12" i="14"/>
  <c r="I59" i="12"/>
  <c r="I61" i="12"/>
  <c r="G26" i="13"/>
  <c r="G42" i="17"/>
  <c r="S33" i="13"/>
  <c r="Q28" i="10"/>
  <c r="U65" i="12"/>
  <c r="S71" i="17"/>
  <c r="S12" i="17"/>
  <c r="S25" i="17"/>
  <c r="U63" i="12"/>
  <c r="U22" i="18"/>
  <c r="S10" i="13"/>
  <c r="S91" i="17"/>
  <c r="S36" i="17"/>
  <c r="S18" i="17"/>
  <c r="S8" i="13"/>
  <c r="U39" i="12"/>
  <c r="U79" i="12"/>
  <c r="S9" i="17"/>
  <c r="U14" i="18"/>
  <c r="S15" i="13"/>
  <c r="S39" i="13"/>
  <c r="Q30" i="11"/>
  <c r="Q36" i="10"/>
  <c r="S17" i="14"/>
  <c r="S30" i="17"/>
  <c r="S31" i="13"/>
  <c r="Q26" i="10"/>
  <c r="S53" i="17"/>
  <c r="D45" i="13"/>
  <c r="D17" i="13"/>
  <c r="D35" i="17"/>
  <c r="D19" i="17"/>
  <c r="F65" i="12"/>
  <c r="F70" i="12"/>
  <c r="D19" i="14"/>
  <c r="D39" i="13"/>
  <c r="D17" i="3"/>
  <c r="D56" i="17"/>
  <c r="D24" i="13"/>
  <c r="D26" i="13"/>
  <c r="D20" i="17"/>
  <c r="D21" i="17"/>
  <c r="D12" i="14"/>
  <c r="F59" i="12"/>
  <c r="D43" i="13"/>
  <c r="D44" i="17"/>
  <c r="D16" i="14"/>
  <c r="D15" i="13"/>
  <c r="D52" i="17"/>
  <c r="F47" i="12"/>
  <c r="F72" i="12"/>
  <c r="X11" i="10"/>
  <c r="X14" i="2"/>
  <c r="X23" i="10"/>
  <c r="X22" i="10"/>
  <c r="X6" i="10"/>
  <c r="X11" i="4"/>
  <c r="X12" i="2"/>
  <c r="X6" i="15"/>
  <c r="X21" i="10"/>
  <c r="X64" i="10"/>
  <c r="X25" i="4"/>
  <c r="X13" i="10"/>
  <c r="Z46" i="13"/>
  <c r="X39" i="11"/>
  <c r="X45" i="10"/>
  <c r="X53" i="4"/>
  <c r="X18" i="2"/>
  <c r="Z35" i="13"/>
  <c r="X24" i="10"/>
  <c r="X46" i="4"/>
  <c r="X63" i="10"/>
  <c r="X17" i="10"/>
  <c r="Z19" i="13"/>
  <c r="X61" i="10"/>
  <c r="X32" i="4"/>
  <c r="X16" i="2"/>
  <c r="X10" i="10"/>
  <c r="X14" i="10"/>
  <c r="X19" i="10"/>
  <c r="Z27" i="13"/>
  <c r="Z16" i="13"/>
  <c r="X18" i="10"/>
  <c r="X7" i="10"/>
  <c r="X20" i="10"/>
  <c r="X15" i="10"/>
  <c r="X9" i="10"/>
  <c r="X12" i="10"/>
  <c r="X8" i="10"/>
  <c r="N24" i="17"/>
  <c r="N22" i="17"/>
  <c r="N33" i="17"/>
  <c r="N12" i="13"/>
  <c r="P62" i="12"/>
  <c r="N9" i="17"/>
  <c r="N25" i="13"/>
  <c r="N23" i="13"/>
  <c r="P60" i="12"/>
  <c r="P35" i="12"/>
  <c r="N51" i="17"/>
  <c r="N31" i="13"/>
  <c r="L26" i="10"/>
  <c r="N10" i="17"/>
  <c r="N29" i="17"/>
  <c r="N44" i="13"/>
  <c r="N32" i="17"/>
  <c r="N11" i="14"/>
  <c r="N12" i="17"/>
  <c r="N47" i="17"/>
  <c r="N40" i="13"/>
  <c r="L31" i="11"/>
  <c r="L37" i="10"/>
  <c r="N11" i="17"/>
  <c r="N42" i="13"/>
  <c r="O63" i="10"/>
  <c r="O21" i="10"/>
  <c r="O15" i="10"/>
  <c r="O10" i="10"/>
  <c r="O11" i="10"/>
  <c r="O14" i="2"/>
  <c r="Q35" i="13"/>
  <c r="O24" i="10"/>
  <c r="O46" i="4"/>
  <c r="O22" i="10"/>
  <c r="O12" i="10"/>
  <c r="O20" i="10"/>
  <c r="O23" i="10"/>
  <c r="O8" i="10"/>
  <c r="O17" i="10"/>
  <c r="O13" i="10"/>
  <c r="O14" i="10"/>
  <c r="Q27" i="13"/>
  <c r="Q16" i="13"/>
  <c r="O18" i="10"/>
  <c r="Q19" i="13"/>
  <c r="O61" i="10"/>
  <c r="O32" i="4"/>
  <c r="O16" i="2"/>
  <c r="O6" i="10"/>
  <c r="O11" i="4"/>
  <c r="O12" i="2"/>
  <c r="O6" i="15"/>
  <c r="O7" i="10"/>
  <c r="O9" i="10"/>
  <c r="O19" i="10"/>
  <c r="Q46" i="13"/>
  <c r="O39" i="11"/>
  <c r="O45" i="10"/>
  <c r="O53" i="4"/>
  <c r="O18" i="2"/>
  <c r="O64" i="10"/>
  <c r="O25" i="4"/>
  <c r="N37" i="12"/>
  <c r="L11" i="17"/>
  <c r="I8" i="9"/>
  <c r="I8" i="5"/>
  <c r="L73" i="17"/>
  <c r="L49" i="17"/>
  <c r="L35" i="17"/>
  <c r="L9" i="13"/>
  <c r="L12" i="17"/>
  <c r="L17" i="3"/>
  <c r="L56" i="17"/>
  <c r="L11" i="14"/>
  <c r="N64" i="12"/>
  <c r="N56" i="12"/>
  <c r="L18" i="14"/>
  <c r="N73" i="12"/>
  <c r="L10" i="17"/>
  <c r="L29" i="17"/>
  <c r="L47" i="17"/>
  <c r="L40" i="13"/>
  <c r="J31" i="11"/>
  <c r="J37" i="10"/>
  <c r="L42" i="13"/>
  <c r="L14" i="13"/>
  <c r="L44" i="13"/>
  <c r="L34" i="13"/>
  <c r="J29" i="10"/>
  <c r="N62" i="12"/>
  <c r="U19" i="14"/>
  <c r="U9" i="17"/>
  <c r="U45" i="13"/>
  <c r="U25" i="17"/>
  <c r="U30" i="17"/>
  <c r="U8" i="17"/>
  <c r="W36" i="12"/>
  <c r="U26" i="13"/>
  <c r="U39" i="13"/>
  <c r="S30" i="11"/>
  <c r="S36" i="10"/>
  <c r="U17" i="13"/>
  <c r="U33" i="17"/>
  <c r="U43" i="13"/>
  <c r="U26" i="17"/>
  <c r="W55" i="12"/>
  <c r="U8" i="13"/>
  <c r="W61" i="12"/>
  <c r="U18" i="17"/>
  <c r="U13" i="13"/>
  <c r="U24" i="13"/>
  <c r="W79" i="12"/>
  <c r="W63" i="12"/>
  <c r="W72" i="12"/>
  <c r="P31" i="13"/>
  <c r="N26" i="10"/>
  <c r="R57" i="12"/>
  <c r="R60" i="12"/>
  <c r="P23" i="13"/>
  <c r="P15" i="3"/>
  <c r="P23" i="17"/>
  <c r="P29" i="17"/>
  <c r="P10" i="17"/>
  <c r="R33" i="12"/>
  <c r="P17" i="14"/>
  <c r="R69" i="12"/>
  <c r="R51" i="12"/>
  <c r="P11" i="14"/>
  <c r="P11" i="17"/>
  <c r="P24" i="17"/>
  <c r="P90" i="17"/>
  <c r="P14" i="13"/>
  <c r="R74" i="12"/>
  <c r="P25" i="13"/>
  <c r="P44" i="13"/>
  <c r="P10" i="13"/>
  <c r="P47" i="17"/>
  <c r="P51" i="17"/>
  <c r="C39" i="13"/>
  <c r="E74" i="12"/>
  <c r="C15" i="13"/>
  <c r="E39" i="12"/>
  <c r="C10" i="13"/>
  <c r="C27" i="17"/>
  <c r="C24" i="13"/>
  <c r="E65" i="12"/>
  <c r="E63" i="12"/>
  <c r="C43" i="13"/>
  <c r="C28" i="17"/>
  <c r="C8" i="13"/>
  <c r="C20" i="17"/>
  <c r="C34" i="17"/>
  <c r="C26" i="13"/>
  <c r="C33" i="13"/>
  <c r="E79" i="12"/>
  <c r="C45" i="13"/>
  <c r="E57" i="12"/>
  <c r="C19" i="17"/>
  <c r="C19" i="14"/>
  <c r="C54" i="17"/>
  <c r="P6" i="10"/>
  <c r="P11" i="4"/>
  <c r="P12" i="2"/>
  <c r="P6" i="15"/>
  <c r="R35" i="13"/>
  <c r="P24" i="10"/>
  <c r="P46" i="4"/>
  <c r="P20" i="10"/>
  <c r="P17" i="10"/>
  <c r="P64" i="10"/>
  <c r="P25" i="4"/>
  <c r="R46" i="13"/>
  <c r="P39" i="11"/>
  <c r="P45" i="10"/>
  <c r="P53" i="4"/>
  <c r="P18" i="2"/>
  <c r="W26" i="13"/>
  <c r="W7" i="17"/>
  <c r="P13" i="10"/>
  <c r="P23" i="10"/>
  <c r="W46" i="17"/>
  <c r="W15" i="13"/>
  <c r="P7" i="10"/>
  <c r="W59" i="17"/>
  <c r="P9" i="10"/>
  <c r="W48" i="17"/>
  <c r="P10" i="10"/>
  <c r="W12" i="14"/>
  <c r="P63" i="10"/>
  <c r="W11" i="13"/>
  <c r="P21" i="10"/>
  <c r="P14" i="10"/>
  <c r="W18" i="14"/>
  <c r="W9" i="13"/>
  <c r="P11" i="10"/>
  <c r="P14" i="2"/>
  <c r="R19" i="13"/>
  <c r="P61" i="10"/>
  <c r="P32" i="4"/>
  <c r="P16" i="2"/>
  <c r="W21" i="17"/>
  <c r="R27" i="13"/>
  <c r="R16" i="13"/>
  <c r="P18" i="10"/>
  <c r="W19" i="3"/>
  <c r="W82" i="17"/>
  <c r="P15" i="10"/>
  <c r="W43" i="13"/>
  <c r="P19" i="10"/>
  <c r="W8" i="17"/>
  <c r="P12" i="10"/>
  <c r="W26" i="17"/>
  <c r="P8" i="10"/>
  <c r="W16" i="14"/>
  <c r="P22" i="10"/>
  <c r="W30" i="17"/>
  <c r="W32" i="13"/>
  <c r="U27" i="10"/>
  <c r="W18" i="13"/>
  <c r="W24" i="13"/>
  <c r="W31" i="17"/>
  <c r="W45" i="13"/>
  <c r="T33" i="13"/>
  <c r="R28" i="10"/>
  <c r="T17" i="13"/>
  <c r="T43" i="13"/>
  <c r="T43" i="17"/>
  <c r="T31" i="13"/>
  <c r="R26" i="10"/>
  <c r="T83" i="17"/>
  <c r="T55" i="17"/>
  <c r="V65" i="12"/>
  <c r="T24" i="13"/>
  <c r="V47" i="12"/>
  <c r="T15" i="13"/>
  <c r="T9" i="17"/>
  <c r="T45" i="13"/>
  <c r="V70" i="12"/>
  <c r="T18" i="17"/>
  <c r="V72" i="12"/>
  <c r="T25" i="17"/>
  <c r="T19" i="14"/>
  <c r="T26" i="13"/>
  <c r="T39" i="13"/>
  <c r="R30" i="11"/>
  <c r="R36" i="10"/>
  <c r="T10" i="13"/>
  <c r="T26" i="17"/>
  <c r="AA12" i="14"/>
  <c r="AA26" i="17"/>
  <c r="AA18" i="13"/>
  <c r="AA32" i="13"/>
  <c r="Y27" i="10"/>
  <c r="AA7" i="17"/>
  <c r="AA11" i="14"/>
  <c r="AA19" i="17"/>
  <c r="AA20" i="17"/>
  <c r="AA21" i="17"/>
  <c r="AA27" i="17"/>
  <c r="AA12" i="13"/>
  <c r="AA36" i="17"/>
  <c r="AA44" i="13"/>
  <c r="AA28" i="17"/>
  <c r="AA34" i="13"/>
  <c r="Y29" i="10"/>
  <c r="AA46" i="17"/>
  <c r="AA42" i="13"/>
  <c r="AA25" i="13"/>
  <c r="AA11" i="13"/>
  <c r="AA45" i="13"/>
  <c r="AA40" i="13"/>
  <c r="Y31" i="11"/>
  <c r="Y37" i="10"/>
  <c r="AA23" i="13"/>
  <c r="T15" i="10"/>
  <c r="V35" i="13"/>
  <c r="T24" i="10"/>
  <c r="T46" i="4"/>
  <c r="T11" i="10"/>
  <c r="T14" i="2"/>
  <c r="T8" i="10"/>
  <c r="T22" i="10"/>
  <c r="V19" i="13"/>
  <c r="T61" i="10"/>
  <c r="T32" i="4"/>
  <c r="T16" i="2"/>
  <c r="T19" i="10"/>
  <c r="T17" i="10"/>
  <c r="T6" i="10"/>
  <c r="T11" i="4"/>
  <c r="T12" i="2"/>
  <c r="T6" i="15"/>
  <c r="T63" i="10"/>
  <c r="T9" i="10"/>
  <c r="T20" i="10"/>
  <c r="T14" i="10"/>
  <c r="T13" i="10"/>
  <c r="V27" i="13"/>
  <c r="V16" i="13"/>
  <c r="T18" i="10"/>
  <c r="T12" i="10"/>
  <c r="T64" i="10"/>
  <c r="T25" i="4"/>
  <c r="T23" i="10"/>
  <c r="T10" i="10"/>
  <c r="T7" i="10"/>
  <c r="T21" i="10"/>
  <c r="V46" i="13"/>
  <c r="T39" i="11"/>
  <c r="T45" i="10"/>
  <c r="T53" i="4"/>
  <c r="T18" i="2"/>
  <c r="E46" i="13"/>
  <c r="C39" i="11"/>
  <c r="C45" i="10"/>
  <c r="C53" i="4"/>
  <c r="C18" i="2"/>
  <c r="C9" i="10"/>
  <c r="C6" i="10"/>
  <c r="C11" i="4"/>
  <c r="C12" i="2"/>
  <c r="C6" i="15"/>
  <c r="C23" i="10"/>
  <c r="C10" i="10"/>
  <c r="C13" i="10"/>
  <c r="C15" i="10"/>
  <c r="E19" i="13"/>
  <c r="C61" i="10"/>
  <c r="C32" i="4"/>
  <c r="C16" i="2"/>
  <c r="C17" i="10"/>
  <c r="C8" i="10"/>
  <c r="C63" i="10"/>
  <c r="C11" i="10"/>
  <c r="C14" i="2"/>
  <c r="C19" i="10"/>
  <c r="C22" i="10"/>
  <c r="C21" i="10"/>
  <c r="C7" i="10"/>
  <c r="E35" i="13"/>
  <c r="C24" i="10"/>
  <c r="C46" i="4"/>
  <c r="C20" i="10"/>
  <c r="C64" i="10"/>
  <c r="C25" i="4"/>
  <c r="E27" i="13"/>
  <c r="E16" i="13"/>
  <c r="C18" i="10"/>
  <c r="C12" i="10"/>
  <c r="C14" i="10"/>
  <c r="C27" i="13"/>
  <c r="C16" i="13"/>
  <c r="C35" i="13"/>
  <c r="C46" i="13"/>
  <c r="C19" i="13"/>
  <c r="Q15" i="10"/>
  <c r="S46" i="13"/>
  <c r="Q39" i="11"/>
  <c r="Q45" i="10"/>
  <c r="Q53" i="4"/>
  <c r="Q18" i="2"/>
  <c r="Q23" i="10"/>
  <c r="Q14" i="10"/>
  <c r="Q19" i="10"/>
  <c r="Q13" i="10"/>
  <c r="Q20" i="10"/>
  <c r="Q7" i="10"/>
  <c r="Q10" i="10"/>
  <c r="S35" i="13"/>
  <c r="Q24" i="10"/>
  <c r="Q46" i="4"/>
  <c r="Q6" i="10"/>
  <c r="Q11" i="4"/>
  <c r="Q12" i="2"/>
  <c r="Q6" i="15"/>
  <c r="Q8" i="10"/>
  <c r="Q21" i="10"/>
  <c r="Q17" i="10"/>
  <c r="Q22" i="10"/>
  <c r="Q11" i="10"/>
  <c r="Q14" i="2"/>
  <c r="Q12" i="10"/>
  <c r="Q63" i="10"/>
  <c r="S27" i="13"/>
  <c r="S16" i="13"/>
  <c r="Q18" i="10"/>
  <c r="Q9" i="10"/>
  <c r="S19" i="13"/>
  <c r="Q61" i="10"/>
  <c r="Q32" i="4"/>
  <c r="Q16" i="2"/>
  <c r="Q64" i="10"/>
  <c r="Q25" i="4"/>
  <c r="I15" i="3"/>
  <c r="I23" i="17"/>
  <c r="I7" i="17"/>
  <c r="I9" i="13"/>
  <c r="I18" i="13"/>
  <c r="I21" i="17"/>
  <c r="I26" i="13"/>
  <c r="I12" i="14"/>
  <c r="I42" i="17"/>
  <c r="I13" i="13"/>
  <c r="I29" i="17"/>
  <c r="I18" i="14"/>
  <c r="I40" i="17"/>
  <c r="I40" i="13"/>
  <c r="G31" i="11"/>
  <c r="G37" i="10"/>
  <c r="I28" i="17"/>
  <c r="K50" i="12"/>
  <c r="K68" i="12"/>
  <c r="I45" i="13"/>
  <c r="I34" i="13"/>
  <c r="G29" i="10"/>
  <c r="K32" i="12"/>
  <c r="I43" i="13"/>
  <c r="I22" i="17"/>
  <c r="K73" i="12"/>
  <c r="J12" i="17"/>
  <c r="J17" i="3"/>
  <c r="J56" i="17"/>
  <c r="J34" i="13"/>
  <c r="H29" i="10"/>
  <c r="L64" i="12"/>
  <c r="J12" i="14"/>
  <c r="J28" i="17"/>
  <c r="J29" i="17"/>
  <c r="J47" i="17"/>
  <c r="J7" i="17"/>
  <c r="J18" i="14"/>
  <c r="J40" i="13"/>
  <c r="H31" i="11"/>
  <c r="H37" i="10"/>
  <c r="J32" i="13"/>
  <c r="H27" i="10"/>
  <c r="J45" i="13"/>
  <c r="J42" i="13"/>
  <c r="L59" i="12"/>
  <c r="J11" i="13"/>
  <c r="J18" i="13"/>
  <c r="J49" i="17"/>
  <c r="J35" i="17"/>
  <c r="J62" i="17"/>
  <c r="J9" i="13"/>
  <c r="L66" i="12"/>
  <c r="Z12" i="14"/>
  <c r="Z34" i="13"/>
  <c r="X29" i="10"/>
  <c r="Z33" i="17"/>
  <c r="AA32" i="12"/>
  <c r="Z8" i="17"/>
  <c r="AA25" i="18"/>
  <c r="Z26" i="13"/>
  <c r="Z7" i="17"/>
  <c r="Z51" i="17"/>
  <c r="Z18" i="13"/>
  <c r="AA73" i="12"/>
  <c r="AA68" i="12"/>
  <c r="Z16" i="14"/>
  <c r="Z43" i="13"/>
  <c r="Z32" i="13"/>
  <c r="X27" i="10"/>
  <c r="Z19" i="17"/>
  <c r="Z18" i="14"/>
  <c r="Z36" i="17"/>
  <c r="Z11" i="13"/>
  <c r="AA50" i="12"/>
  <c r="Z9" i="13"/>
  <c r="Z45" i="13"/>
  <c r="R43" i="17"/>
  <c r="R11" i="17"/>
  <c r="R25" i="17"/>
  <c r="R9" i="17"/>
  <c r="R33" i="13"/>
  <c r="P28" i="10"/>
  <c r="T67" i="12"/>
  <c r="R47" i="17"/>
  <c r="R15" i="3"/>
  <c r="R23" i="17"/>
  <c r="R51" i="17"/>
  <c r="R11" i="14"/>
  <c r="R17" i="14"/>
  <c r="R39" i="13"/>
  <c r="P30" i="11"/>
  <c r="P36" i="10"/>
  <c r="T72" i="12"/>
  <c r="R44" i="13"/>
  <c r="T79" i="12"/>
  <c r="T31" i="12"/>
  <c r="R55" i="17"/>
  <c r="R12" i="17"/>
  <c r="R8" i="13"/>
  <c r="R12" i="13"/>
  <c r="R17" i="13"/>
  <c r="T74" i="12"/>
  <c r="M29" i="17"/>
  <c r="M23" i="13"/>
  <c r="O64" i="12"/>
  <c r="M18" i="14"/>
  <c r="M25" i="13"/>
  <c r="M31" i="13"/>
  <c r="K26" i="10"/>
  <c r="M14" i="13"/>
  <c r="M22" i="17"/>
  <c r="M51" i="17"/>
  <c r="M9" i="13"/>
  <c r="M42" i="17"/>
  <c r="M10" i="17"/>
  <c r="M34" i="13"/>
  <c r="K29" i="10"/>
  <c r="O71" i="12"/>
  <c r="O69" i="12"/>
  <c r="M42" i="13"/>
  <c r="M24" i="17"/>
  <c r="M40" i="17"/>
  <c r="M11" i="14"/>
  <c r="M47" i="17"/>
  <c r="M40" i="13"/>
  <c r="K31" i="11"/>
  <c r="K37" i="10"/>
  <c r="M44" i="13"/>
  <c r="S65" i="12"/>
  <c r="Q40" i="17"/>
  <c r="Q25" i="17"/>
  <c r="Q18" i="3"/>
  <c r="Q72" i="17"/>
  <c r="Q10" i="13"/>
  <c r="S67" i="12"/>
  <c r="Q31" i="13"/>
  <c r="O26" i="10"/>
  <c r="Q44" i="13"/>
  <c r="Q9" i="17"/>
  <c r="Q25" i="13"/>
  <c r="Q29" i="17"/>
  <c r="Q11" i="17"/>
  <c r="Q23" i="13"/>
  <c r="Q33" i="13"/>
  <c r="O28" i="10"/>
  <c r="Q17" i="13"/>
  <c r="S60" i="12"/>
  <c r="Q17" i="14"/>
  <c r="Q61" i="17"/>
  <c r="Q53" i="17"/>
  <c r="Q12" i="13"/>
  <c r="Q49" i="17"/>
  <c r="Q32" i="17"/>
  <c r="O31" i="13"/>
  <c r="M26" i="10"/>
  <c r="O40" i="13"/>
  <c r="M31" i="11"/>
  <c r="M37" i="10"/>
  <c r="O23" i="13"/>
  <c r="Q62" i="12"/>
  <c r="O11" i="14"/>
  <c r="O49" i="17"/>
  <c r="O33" i="13"/>
  <c r="M28" i="10"/>
  <c r="O40" i="17"/>
  <c r="O10" i="17"/>
  <c r="O89" i="17"/>
  <c r="O25" i="13"/>
  <c r="O42" i="13"/>
  <c r="O12" i="13"/>
  <c r="Q67" i="12"/>
  <c r="O17" i="14"/>
  <c r="O22" i="17"/>
  <c r="O32" i="17"/>
  <c r="O15" i="3"/>
  <c r="O23" i="17"/>
  <c r="O24" i="17"/>
  <c r="O60" i="17"/>
  <c r="O14" i="13"/>
  <c r="Q69" i="12"/>
  <c r="S13" i="10"/>
  <c r="S20" i="10"/>
  <c r="U35" i="13"/>
  <c r="S24" i="10"/>
  <c r="S46" i="4"/>
  <c r="S7" i="10"/>
  <c r="U19" i="13"/>
  <c r="S61" i="10"/>
  <c r="S32" i="4"/>
  <c r="S16" i="2"/>
  <c r="S8" i="10"/>
  <c r="S64" i="10"/>
  <c r="S25" i="4"/>
  <c r="S21" i="10"/>
  <c r="S63" i="10"/>
  <c r="S9" i="10"/>
  <c r="U27" i="13"/>
  <c r="U16" i="13"/>
  <c r="S18" i="10"/>
  <c r="S14" i="10"/>
  <c r="S10" i="10"/>
  <c r="S6" i="10"/>
  <c r="S11" i="4"/>
  <c r="S12" i="2"/>
  <c r="S6" i="15"/>
  <c r="S15" i="10"/>
  <c r="S23" i="10"/>
  <c r="S19" i="10"/>
  <c r="U46" i="13"/>
  <c r="S39" i="11"/>
  <c r="S45" i="10"/>
  <c r="S53" i="4"/>
  <c r="S18" i="2"/>
  <c r="S12" i="10"/>
  <c r="S22" i="10"/>
  <c r="S17" i="10"/>
  <c r="S11" i="10"/>
  <c r="S14" i="2"/>
  <c r="I16" i="14"/>
  <c r="I63" i="17"/>
  <c r="F9" i="9"/>
  <c r="F9" i="5"/>
  <c r="I81" i="17"/>
  <c r="I74" i="17"/>
  <c r="I17" i="3"/>
  <c r="I56" i="17"/>
  <c r="I41" i="17"/>
  <c r="I19" i="3"/>
  <c r="I82" i="17"/>
  <c r="I44" i="17"/>
  <c r="I35" i="17"/>
  <c r="I60" i="17"/>
  <c r="I68" i="17"/>
  <c r="K15" i="18"/>
  <c r="I75" i="17"/>
  <c r="I52" i="17"/>
  <c r="I71" i="17"/>
  <c r="I70" i="17"/>
  <c r="I33" i="17"/>
  <c r="I67" i="17"/>
  <c r="I54" i="17"/>
  <c r="I65" i="17"/>
  <c r="K16" i="18"/>
  <c r="I58" i="17"/>
  <c r="V15" i="13"/>
  <c r="V28" i="17"/>
  <c r="X79" i="12"/>
  <c r="V25" i="17"/>
  <c r="V8" i="17"/>
  <c r="V16" i="14"/>
  <c r="V18" i="17"/>
  <c r="X63" i="12"/>
  <c r="V24" i="13"/>
  <c r="V12" i="17"/>
  <c r="V43" i="17"/>
  <c r="V8" i="13"/>
  <c r="V33" i="17"/>
  <c r="V24" i="17"/>
  <c r="V13" i="13"/>
  <c r="V19" i="14"/>
  <c r="V26" i="13"/>
  <c r="V9" i="17"/>
  <c r="X70" i="12"/>
  <c r="V39" i="13"/>
  <c r="T30" i="11"/>
  <c r="T36" i="10"/>
  <c r="X68" i="12"/>
  <c r="V43" i="13"/>
  <c r="G35" i="17"/>
  <c r="I50" i="18"/>
  <c r="I70" i="12"/>
  <c r="I66" i="18"/>
  <c r="G41" i="17"/>
  <c r="G19" i="17"/>
  <c r="D9" i="9"/>
  <c r="D9" i="5"/>
  <c r="G81" i="17"/>
  <c r="G8" i="17"/>
  <c r="H21" i="17"/>
  <c r="I27" i="18"/>
  <c r="G76" i="17"/>
  <c r="G19" i="3"/>
  <c r="G82" i="17"/>
  <c r="H24" i="13"/>
  <c r="I10" i="18"/>
  <c r="H15" i="3"/>
  <c r="H23" i="17"/>
  <c r="G75" i="17"/>
  <c r="J66" i="12"/>
  <c r="H13" i="13"/>
  <c r="G54" i="17"/>
  <c r="I33" i="18"/>
  <c r="H74" i="17"/>
  <c r="J68" i="12"/>
  <c r="H35" i="17"/>
  <c r="G68" i="17"/>
  <c r="H26" i="17"/>
  <c r="G63" i="17"/>
  <c r="H11" i="13"/>
  <c r="I52" i="12"/>
  <c r="H16" i="14"/>
  <c r="G15" i="13"/>
  <c r="G52" i="17"/>
  <c r="H18" i="14"/>
  <c r="H22" i="17"/>
  <c r="G65" i="17"/>
  <c r="H19" i="14"/>
  <c r="G17" i="3"/>
  <c r="G56" i="17"/>
  <c r="H18" i="13"/>
  <c r="H10" i="17"/>
  <c r="H26" i="13"/>
  <c r="H32" i="13"/>
  <c r="F27" i="10"/>
  <c r="H7" i="17"/>
  <c r="J61" i="12"/>
  <c r="H31" i="17"/>
  <c r="H45" i="13"/>
  <c r="F8" i="17"/>
  <c r="H63" i="12"/>
  <c r="F21" i="17"/>
  <c r="H79" i="12"/>
  <c r="F19" i="14"/>
  <c r="F75" i="17"/>
  <c r="F12" i="17"/>
  <c r="F16" i="14"/>
  <c r="H70" i="12"/>
  <c r="F8" i="13"/>
  <c r="F26" i="13"/>
  <c r="F24" i="13"/>
  <c r="F15" i="13"/>
  <c r="F13" i="13"/>
  <c r="F43" i="13"/>
  <c r="F17" i="3"/>
  <c r="F56" i="17"/>
  <c r="F52" i="17"/>
  <c r="F28" i="17"/>
  <c r="F19" i="17"/>
  <c r="F39" i="13"/>
  <c r="D30" i="11"/>
  <c r="D36" i="10"/>
  <c r="F12" i="14"/>
  <c r="H68" i="12"/>
  <c r="S41" i="17"/>
  <c r="S18" i="3"/>
  <c r="S72" i="17"/>
  <c r="S69" i="17"/>
  <c r="S11" i="17"/>
  <c r="S61" i="17"/>
  <c r="U23" i="18"/>
  <c r="S47" i="17"/>
  <c r="S79" i="17"/>
  <c r="S15" i="3"/>
  <c r="S23" i="17"/>
  <c r="S66" i="17"/>
  <c r="S29" i="17"/>
  <c r="U57" i="12"/>
  <c r="S35" i="17"/>
  <c r="S32" i="17"/>
  <c r="U74" i="12"/>
  <c r="S90" i="17"/>
  <c r="P8" i="9"/>
  <c r="P8" i="5"/>
  <c r="S73" i="17"/>
  <c r="S51" i="17"/>
  <c r="S89" i="17"/>
  <c r="S55" i="17"/>
  <c r="S59" i="17"/>
  <c r="S43" i="17"/>
  <c r="X11" i="13"/>
  <c r="X18" i="13"/>
  <c r="X44" i="17"/>
  <c r="Y61" i="12"/>
  <c r="X19" i="17"/>
  <c r="X19" i="14"/>
  <c r="Y52" i="12"/>
  <c r="X45" i="13"/>
  <c r="X26" i="17"/>
  <c r="X30" i="17"/>
  <c r="X32" i="13"/>
  <c r="V27" i="10"/>
  <c r="X16" i="14"/>
  <c r="X10" i="17"/>
  <c r="Y70" i="12"/>
  <c r="X24" i="13"/>
  <c r="X40" i="17"/>
  <c r="Y31" i="18"/>
  <c r="X33" i="17"/>
  <c r="X13" i="13"/>
  <c r="X26" i="13"/>
  <c r="Y59" i="12"/>
  <c r="Y34" i="12"/>
  <c r="W43" i="17"/>
  <c r="W91" i="17"/>
  <c r="W76" i="17"/>
  <c r="W35" i="17"/>
  <c r="W24" i="17"/>
  <c r="W61" i="17"/>
  <c r="W18" i="3"/>
  <c r="W72" i="17"/>
  <c r="W66" i="17"/>
  <c r="W77" i="17"/>
  <c r="W83" i="17"/>
  <c r="W19" i="17"/>
  <c r="W89" i="17"/>
  <c r="W17" i="3"/>
  <c r="W56" i="17"/>
  <c r="W25" i="17"/>
  <c r="W78" i="17"/>
  <c r="W50" i="17"/>
  <c r="W39" i="13"/>
  <c r="U30" i="11"/>
  <c r="U36" i="10"/>
  <c r="W54" i="17"/>
  <c r="W65" i="17"/>
  <c r="W63" i="17"/>
  <c r="W68" i="17"/>
  <c r="W41" i="17"/>
  <c r="J42" i="17"/>
  <c r="L23" i="18"/>
  <c r="G9" i="9"/>
  <c r="G9" i="5"/>
  <c r="J81" i="17"/>
  <c r="J48" i="17"/>
  <c r="J21" i="17"/>
  <c r="J58" i="17"/>
  <c r="J74" i="17"/>
  <c r="L15" i="18"/>
  <c r="J46" i="17"/>
  <c r="J24" i="17"/>
  <c r="J20" i="17"/>
  <c r="J30" i="17"/>
  <c r="J44" i="17"/>
  <c r="J60" i="17"/>
  <c r="J80" i="17"/>
  <c r="J68" i="17"/>
  <c r="J67" i="17"/>
  <c r="J70" i="17"/>
  <c r="J54" i="17"/>
  <c r="J75" i="17"/>
  <c r="J50" i="17"/>
  <c r="J65" i="17"/>
  <c r="Q10" i="18"/>
  <c r="O26" i="17"/>
  <c r="O80" i="17"/>
  <c r="O11" i="17"/>
  <c r="O27" i="17"/>
  <c r="O69" i="17"/>
  <c r="L8" i="9"/>
  <c r="L8" i="5"/>
  <c r="O73" i="17"/>
  <c r="O55" i="17"/>
  <c r="O51" i="17"/>
  <c r="Q18" i="18"/>
  <c r="O42" i="17"/>
  <c r="Q32" i="18"/>
  <c r="Q27" i="18"/>
  <c r="O58" i="17"/>
  <c r="O62" i="17"/>
  <c r="O47" i="17"/>
  <c r="O74" i="17"/>
  <c r="Q26" i="18"/>
  <c r="O67" i="17"/>
  <c r="O33" i="17"/>
  <c r="O64" i="17"/>
  <c r="O29" i="17"/>
  <c r="Z58" i="17"/>
  <c r="Z19" i="14"/>
  <c r="Z94" i="17"/>
  <c r="Z70" i="17"/>
  <c r="Z52" i="17"/>
  <c r="Z47" i="17"/>
  <c r="Z26" i="17"/>
  <c r="Z44" i="17"/>
  <c r="Z46" i="17"/>
  <c r="AA15" i="18"/>
  <c r="Z65" i="17"/>
  <c r="Z90" i="17"/>
  <c r="Z71" i="17"/>
  <c r="Z19" i="3"/>
  <c r="Z82" i="17"/>
  <c r="W9" i="9"/>
  <c r="W9" i="5"/>
  <c r="Z81" i="17"/>
  <c r="Z24" i="17"/>
  <c r="Z17" i="3"/>
  <c r="Z56" i="17"/>
  <c r="Z68" i="17"/>
  <c r="Z60" i="17"/>
  <c r="Z91" i="17"/>
  <c r="Z83" i="17"/>
  <c r="Z42" i="17"/>
  <c r="Y94" i="17"/>
  <c r="Y76" i="17"/>
  <c r="Y54" i="17"/>
  <c r="Y13" i="13"/>
  <c r="Y24" i="13"/>
  <c r="Y77" i="17"/>
  <c r="Y35" i="17"/>
  <c r="Z61" i="12"/>
  <c r="Y89" i="17"/>
  <c r="Y50" i="17"/>
  <c r="Z26" i="18"/>
  <c r="Z33" i="18"/>
  <c r="Y19" i="3"/>
  <c r="Y82" i="17"/>
  <c r="Y17" i="3"/>
  <c r="Y56" i="17"/>
  <c r="Y83" i="17"/>
  <c r="Y65" i="17"/>
  <c r="Z8" i="18"/>
  <c r="Y68" i="17"/>
  <c r="Y63" i="17"/>
  <c r="Y58" i="17"/>
  <c r="Y40" i="17"/>
  <c r="Y33" i="17"/>
  <c r="U21" i="17"/>
  <c r="U18" i="3"/>
  <c r="U72" i="17"/>
  <c r="U17" i="14"/>
  <c r="U71" i="17"/>
  <c r="U61" i="17"/>
  <c r="U79" i="17"/>
  <c r="U33" i="13"/>
  <c r="S28" i="10"/>
  <c r="U59" i="17"/>
  <c r="U89" i="17"/>
  <c r="U41" i="17"/>
  <c r="U12" i="17"/>
  <c r="U55" i="17"/>
  <c r="U78" i="17"/>
  <c r="W12" i="18"/>
  <c r="U91" i="17"/>
  <c r="U90" i="17"/>
  <c r="U83" i="17"/>
  <c r="U77" i="17"/>
  <c r="W20" i="18"/>
  <c r="U63" i="17"/>
  <c r="U69" i="17"/>
  <c r="U43" i="17"/>
  <c r="X10" i="18"/>
  <c r="V18" i="3"/>
  <c r="V72" i="17"/>
  <c r="V59" i="17"/>
  <c r="V11" i="17"/>
  <c r="V68" i="17"/>
  <c r="V66" i="17"/>
  <c r="V63" i="17"/>
  <c r="X12" i="18"/>
  <c r="V52" i="17"/>
  <c r="V48" i="17"/>
  <c r="V89" i="17"/>
  <c r="V34" i="17"/>
  <c r="V61" i="17"/>
  <c r="V90" i="17"/>
  <c r="X45" i="18"/>
  <c r="V94" i="17"/>
  <c r="V71" i="17"/>
  <c r="V77" i="17"/>
  <c r="V30" i="17"/>
  <c r="V78" i="17"/>
  <c r="V91" i="17"/>
  <c r="V46" i="17"/>
  <c r="P42" i="13"/>
  <c r="P42" i="17"/>
  <c r="R12" i="18"/>
  <c r="P53" i="17"/>
  <c r="R48" i="18"/>
  <c r="P74" i="17"/>
  <c r="P66" i="17"/>
  <c r="P67" i="17"/>
  <c r="P40" i="17"/>
  <c r="P69" i="17"/>
  <c r="P80" i="17"/>
  <c r="P34" i="17"/>
  <c r="R34" i="18"/>
  <c r="P18" i="17"/>
  <c r="R26" i="18"/>
  <c r="P60" i="17"/>
  <c r="P49" i="17"/>
  <c r="P62" i="17"/>
  <c r="R8" i="18"/>
  <c r="P78" i="17"/>
  <c r="P64" i="17"/>
  <c r="P36" i="17"/>
  <c r="C71" i="17"/>
  <c r="C66" i="17"/>
  <c r="C83" i="17"/>
  <c r="C69" i="17"/>
  <c r="C50" i="17"/>
  <c r="E23" i="18"/>
  <c r="C31" i="13"/>
  <c r="C43" i="17"/>
  <c r="C53" i="17"/>
  <c r="C59" i="17"/>
  <c r="C15" i="3"/>
  <c r="C23" i="17"/>
  <c r="C91" i="17"/>
  <c r="C19" i="3"/>
  <c r="C82" i="17"/>
  <c r="C41" i="17"/>
  <c r="C63" i="17"/>
  <c r="C61" i="17"/>
  <c r="C47" i="17"/>
  <c r="C89" i="17"/>
  <c r="C90" i="17"/>
  <c r="C46" i="17"/>
  <c r="C76" i="17"/>
  <c r="C18" i="3"/>
  <c r="C72" i="17"/>
  <c r="K65" i="17"/>
  <c r="K11" i="13"/>
  <c r="K31" i="17"/>
  <c r="K52" i="17"/>
  <c r="K12" i="14"/>
  <c r="K74" i="17"/>
  <c r="M59" i="18"/>
  <c r="K70" i="17"/>
  <c r="M66" i="12"/>
  <c r="K30" i="17"/>
  <c r="K58" i="17"/>
  <c r="M49" i="18"/>
  <c r="H9" i="9"/>
  <c r="H9" i="5"/>
  <c r="K81" i="17"/>
  <c r="K33" i="17"/>
  <c r="K28" i="17"/>
  <c r="K17" i="3"/>
  <c r="K56" i="17"/>
  <c r="K7" i="17"/>
  <c r="M23" i="18"/>
  <c r="K62" i="17"/>
  <c r="K75" i="17"/>
  <c r="K80" i="17"/>
  <c r="K49" i="17"/>
  <c r="F50" i="17"/>
  <c r="F61" i="17"/>
  <c r="F65" i="17"/>
  <c r="F94" i="17"/>
  <c r="H10" i="18"/>
  <c r="F54" i="17"/>
  <c r="F77" i="17"/>
  <c r="F76" i="17"/>
  <c r="F30" i="17"/>
  <c r="C9" i="9"/>
  <c r="C9" i="5"/>
  <c r="F81" i="17"/>
  <c r="F63" i="17"/>
  <c r="F46" i="17"/>
  <c r="H20" i="18"/>
  <c r="H12" i="18"/>
  <c r="F34" i="17"/>
  <c r="F48" i="17"/>
  <c r="F27" i="17"/>
  <c r="H27" i="18"/>
  <c r="F66" i="17"/>
  <c r="F11" i="17"/>
  <c r="F68" i="17"/>
  <c r="F71" i="17"/>
  <c r="V22" i="18"/>
  <c r="T18" i="3"/>
  <c r="T72" i="17"/>
  <c r="T48" i="17"/>
  <c r="T79" i="17"/>
  <c r="Q8" i="9"/>
  <c r="Q8" i="5"/>
  <c r="T73" i="17"/>
  <c r="T69" i="17"/>
  <c r="T15" i="3"/>
  <c r="T23" i="17"/>
  <c r="V8" i="18"/>
  <c r="T61" i="17"/>
  <c r="T30" i="17"/>
  <c r="T63" i="17"/>
  <c r="T32" i="17"/>
  <c r="T71" i="17"/>
  <c r="T78" i="17"/>
  <c r="T53" i="17"/>
  <c r="T90" i="17"/>
  <c r="T29" i="17"/>
  <c r="T50" i="17"/>
  <c r="T10" i="17"/>
  <c r="V12" i="18"/>
  <c r="T36" i="17"/>
  <c r="T91" i="17"/>
  <c r="H46" i="17"/>
  <c r="H48" i="17"/>
  <c r="H54" i="17"/>
  <c r="H32" i="17"/>
  <c r="H25" i="17"/>
  <c r="H75" i="17"/>
  <c r="H61" i="17"/>
  <c r="H43" i="17"/>
  <c r="H28" i="17"/>
  <c r="H68" i="17"/>
  <c r="J10" i="18"/>
  <c r="H76" i="17"/>
  <c r="H65" i="17"/>
  <c r="H44" i="17"/>
  <c r="H19" i="3"/>
  <c r="H82" i="17"/>
  <c r="H58" i="17"/>
  <c r="J35" i="18"/>
  <c r="H17" i="3"/>
  <c r="H56" i="17"/>
  <c r="H50" i="17"/>
  <c r="H63" i="17"/>
  <c r="J26" i="18"/>
  <c r="H70" i="17"/>
  <c r="N70" i="17"/>
  <c r="N20" i="17"/>
  <c r="P18" i="18"/>
  <c r="N53" i="17"/>
  <c r="P71" i="12"/>
  <c r="N36" i="17"/>
  <c r="N42" i="17"/>
  <c r="N18" i="14"/>
  <c r="K8" i="9"/>
  <c r="K8" i="5"/>
  <c r="N73" i="17"/>
  <c r="N67" i="17"/>
  <c r="N60" i="17"/>
  <c r="N79" i="17"/>
  <c r="N40" i="17"/>
  <c r="N35" i="17"/>
  <c r="N17" i="3"/>
  <c r="N56" i="17"/>
  <c r="N19" i="17"/>
  <c r="N62" i="17"/>
  <c r="N80" i="17"/>
  <c r="N64" i="17"/>
  <c r="P54" i="12"/>
  <c r="N44" i="17"/>
  <c r="P20" i="18"/>
  <c r="R36" i="17"/>
  <c r="R53" i="17"/>
  <c r="R64" i="17"/>
  <c r="R34" i="17"/>
  <c r="R67" i="17"/>
  <c r="R78" i="17"/>
  <c r="R74" i="17"/>
  <c r="T10" i="18"/>
  <c r="R40" i="17"/>
  <c r="R69" i="17"/>
  <c r="R18" i="3"/>
  <c r="R72" i="17"/>
  <c r="T15" i="18"/>
  <c r="R49" i="17"/>
  <c r="R31" i="17"/>
  <c r="R79" i="17"/>
  <c r="T46" i="18"/>
  <c r="R32" i="17"/>
  <c r="O8" i="9"/>
  <c r="O8" i="5"/>
  <c r="R73" i="17"/>
  <c r="R59" i="17"/>
  <c r="R62" i="17"/>
  <c r="R29" i="17"/>
  <c r="R66" i="17"/>
  <c r="AA16" i="14"/>
  <c r="AA48" i="17"/>
  <c r="AA33" i="17"/>
  <c r="AA30" i="17"/>
  <c r="AA62" i="17"/>
  <c r="X9" i="9"/>
  <c r="X9" i="5"/>
  <c r="AA81" i="17"/>
  <c r="AA58" i="17"/>
  <c r="AA77" i="17"/>
  <c r="AA65" i="17"/>
  <c r="AA8" i="17"/>
  <c r="AA54" i="17"/>
  <c r="AA19" i="3"/>
  <c r="AA82" i="17"/>
  <c r="AA68" i="17"/>
  <c r="AA50" i="17"/>
  <c r="AA91" i="17"/>
  <c r="AA49" i="17"/>
  <c r="AA75" i="17"/>
  <c r="AA70" i="17"/>
  <c r="AA71" i="17"/>
  <c r="AA31" i="17"/>
  <c r="AA94" i="17"/>
  <c r="AA17" i="3"/>
  <c r="AA56" i="17"/>
  <c r="Y10" i="18"/>
  <c r="Y18" i="18"/>
  <c r="X18" i="3"/>
  <c r="X72" i="17"/>
  <c r="X52" i="17"/>
  <c r="X17" i="3"/>
  <c r="X56" i="17"/>
  <c r="X32" i="17"/>
  <c r="X66" i="17"/>
  <c r="X63" i="17"/>
  <c r="X89" i="17"/>
  <c r="X65" i="17"/>
  <c r="Y8" i="18"/>
  <c r="X61" i="17"/>
  <c r="X48" i="17"/>
  <c r="X59" i="17"/>
  <c r="X68" i="17"/>
  <c r="X77" i="17"/>
  <c r="X25" i="17"/>
  <c r="X28" i="17"/>
  <c r="X46" i="17"/>
  <c r="X94" i="17"/>
  <c r="X76" i="17"/>
  <c r="X83" i="17"/>
  <c r="E65" i="17"/>
  <c r="E17" i="13"/>
  <c r="E77" i="17"/>
  <c r="E71" i="17"/>
  <c r="E81" i="17"/>
  <c r="E52" i="17"/>
  <c r="E83" i="17"/>
  <c r="E63" i="17"/>
  <c r="E43" i="17"/>
  <c r="G20" i="18"/>
  <c r="G12" i="18"/>
  <c r="E20" i="17"/>
  <c r="E68" i="17"/>
  <c r="E36" i="17"/>
  <c r="E21" i="17"/>
  <c r="E41" i="17"/>
  <c r="E59" i="17"/>
  <c r="G51" i="18"/>
  <c r="G55" i="12"/>
  <c r="G72" i="12"/>
  <c r="E61" i="17"/>
  <c r="E18" i="3"/>
  <c r="E72" i="17"/>
  <c r="D30" i="17"/>
  <c r="D48" i="17"/>
  <c r="D68" i="17"/>
  <c r="D53" i="17"/>
  <c r="D76" i="17"/>
  <c r="D47" i="17"/>
  <c r="D34" i="17"/>
  <c r="D91" i="17"/>
  <c r="D32" i="17"/>
  <c r="D10" i="13"/>
  <c r="D83" i="17"/>
  <c r="D33" i="13"/>
  <c r="D61" i="17"/>
  <c r="D18" i="3"/>
  <c r="D72" i="17"/>
  <c r="D29" i="17"/>
  <c r="D77" i="17"/>
  <c r="D55" i="17"/>
  <c r="D36" i="17"/>
  <c r="D71" i="17"/>
  <c r="D63" i="17"/>
  <c r="F65" i="18"/>
  <c r="D27" i="17"/>
  <c r="L54" i="17"/>
  <c r="L79" i="17"/>
  <c r="L70" i="17"/>
  <c r="L22" i="17"/>
  <c r="L44" i="17"/>
  <c r="L21" i="17"/>
  <c r="L60" i="17"/>
  <c r="L32" i="13"/>
  <c r="J27" i="10"/>
  <c r="L40" i="17"/>
  <c r="L42" i="17"/>
  <c r="L58" i="17"/>
  <c r="L75" i="17"/>
  <c r="I9" i="9"/>
  <c r="I9" i="5"/>
  <c r="L81" i="17"/>
  <c r="L30" i="17"/>
  <c r="L62" i="17"/>
  <c r="L46" i="17"/>
  <c r="L52" i="17"/>
  <c r="L80" i="17"/>
  <c r="L64" i="17"/>
  <c r="L65" i="17"/>
  <c r="L48" i="17"/>
  <c r="L18" i="13"/>
  <c r="L10" i="10"/>
  <c r="N27" i="13"/>
  <c r="N16" i="13"/>
  <c r="L18" i="10"/>
  <c r="L23" i="10"/>
  <c r="L7" i="10"/>
  <c r="L11" i="10"/>
  <c r="L14" i="2"/>
  <c r="L12" i="10"/>
  <c r="L63" i="10"/>
  <c r="L15" i="10"/>
  <c r="L21" i="10"/>
  <c r="L14" i="10"/>
  <c r="L9" i="10"/>
  <c r="L64" i="10"/>
  <c r="L25" i="4"/>
  <c r="N35" i="13"/>
  <c r="L24" i="10"/>
  <c r="L46" i="4"/>
  <c r="N46" i="13"/>
  <c r="L39" i="11"/>
  <c r="L45" i="10"/>
  <c r="L53" i="4"/>
  <c r="L18" i="2"/>
  <c r="L13" i="10"/>
  <c r="L20" i="10"/>
  <c r="L22" i="10"/>
  <c r="L17" i="10"/>
  <c r="N19" i="13"/>
  <c r="L61" i="10"/>
  <c r="L32" i="4"/>
  <c r="L16" i="2"/>
  <c r="L8" i="10"/>
  <c r="L19" i="10"/>
  <c r="L6" i="10"/>
  <c r="L11" i="4"/>
  <c r="L12" i="2"/>
  <c r="L6" i="15"/>
  <c r="M70" i="17"/>
  <c r="M35" i="17"/>
  <c r="M54" i="17"/>
  <c r="M28" i="17"/>
  <c r="M67" i="17"/>
  <c r="M64" i="17"/>
  <c r="J8" i="9"/>
  <c r="J8" i="5"/>
  <c r="M73" i="17"/>
  <c r="M52" i="17"/>
  <c r="M49" i="17"/>
  <c r="M31" i="17"/>
  <c r="M80" i="17"/>
  <c r="M62" i="17"/>
  <c r="M76" i="17"/>
  <c r="M26" i="13"/>
  <c r="Q69" i="17"/>
  <c r="Q64" i="17"/>
  <c r="Q42" i="17"/>
  <c r="O12" i="18"/>
  <c r="M17" i="3"/>
  <c r="M56" i="17"/>
  <c r="S16" i="18"/>
  <c r="M12" i="17"/>
  <c r="Q31" i="17"/>
  <c r="M75" i="17"/>
  <c r="M46" i="17"/>
  <c r="Q67" i="17"/>
  <c r="M79" i="17"/>
  <c r="Q27" i="17"/>
  <c r="M21" i="17"/>
  <c r="S8" i="18"/>
  <c r="Q58" i="17"/>
  <c r="M60" i="17"/>
  <c r="Q66" i="17"/>
  <c r="Q47" i="17"/>
  <c r="Q74" i="17"/>
  <c r="Q78" i="17"/>
  <c r="Q62" i="17"/>
  <c r="N8" i="9"/>
  <c r="N8" i="5"/>
  <c r="Q73" i="17"/>
  <c r="Q24" i="17"/>
  <c r="Q59" i="17"/>
  <c r="Q51" i="17"/>
  <c r="Q33" i="17"/>
  <c r="Q43" i="17"/>
  <c r="Q55" i="17"/>
  <c r="Q60" i="17"/>
  <c r="R12" i="10"/>
  <c r="R19" i="10"/>
  <c r="R6" i="10"/>
  <c r="R11" i="4"/>
  <c r="R12" i="2"/>
  <c r="R6" i="15"/>
  <c r="R10" i="10"/>
  <c r="R15" i="10"/>
  <c r="R64" i="10"/>
  <c r="R25" i="4"/>
  <c r="R9" i="10"/>
  <c r="R22" i="10"/>
  <c r="R20" i="10"/>
  <c r="R17" i="10"/>
  <c r="R7" i="10"/>
  <c r="T46" i="13"/>
  <c r="R39" i="11"/>
  <c r="R45" i="10"/>
  <c r="R53" i="4"/>
  <c r="R18" i="2"/>
  <c r="T35" i="13"/>
  <c r="R24" i="10"/>
  <c r="R46" i="4"/>
  <c r="R13" i="10"/>
  <c r="R11" i="10"/>
  <c r="R14" i="2"/>
  <c r="R23" i="10"/>
  <c r="T27" i="13"/>
  <c r="T16" i="13"/>
  <c r="R18" i="10"/>
  <c r="R14" i="10"/>
  <c r="T19" i="13"/>
  <c r="R61" i="10"/>
  <c r="R32" i="4"/>
  <c r="R16" i="2"/>
  <c r="R21" i="10"/>
  <c r="R8" i="10"/>
  <c r="R63" i="10"/>
  <c r="Y20" i="10"/>
  <c r="Y8" i="10"/>
  <c r="Y17" i="10"/>
  <c r="Y64" i="10"/>
  <c r="Y25" i="4"/>
  <c r="Y15" i="10"/>
  <c r="Y63" i="10"/>
  <c r="AA35" i="13"/>
  <c r="Y24" i="10"/>
  <c r="Y46" i="4"/>
  <c r="Y6" i="10"/>
  <c r="Y11" i="4"/>
  <c r="Y12" i="2"/>
  <c r="Y6" i="15"/>
  <c r="AA19" i="13"/>
  <c r="Y61" i="10"/>
  <c r="Y32" i="4"/>
  <c r="Y16" i="2"/>
  <c r="Y12" i="10"/>
  <c r="Y21" i="10"/>
  <c r="Y9" i="10"/>
  <c r="Y13" i="10"/>
  <c r="AA46" i="13"/>
  <c r="Y39" i="11"/>
  <c r="Y45" i="10"/>
  <c r="Y53" i="4"/>
  <c r="Y18" i="2"/>
  <c r="Y11" i="10"/>
  <c r="Y14" i="2"/>
  <c r="AA27" i="13"/>
  <c r="AA16" i="13"/>
  <c r="Y18" i="10"/>
  <c r="Y19" i="10"/>
  <c r="Y23" i="10"/>
  <c r="Y7" i="10"/>
  <c r="Y14" i="10"/>
  <c r="Y22" i="10"/>
  <c r="Y10" i="10"/>
  <c r="I9" i="10"/>
  <c r="I7" i="10"/>
  <c r="I20" i="10"/>
  <c r="I13" i="10"/>
  <c r="I23" i="10"/>
  <c r="I64" i="10"/>
  <c r="I25" i="4"/>
  <c r="K27" i="13"/>
  <c r="K16" i="13"/>
  <c r="I18" i="10"/>
  <c r="I6" i="10"/>
  <c r="I11" i="4"/>
  <c r="I12" i="2"/>
  <c r="I6" i="15"/>
  <c r="I12" i="10"/>
  <c r="I63" i="10"/>
  <c r="I11" i="10"/>
  <c r="I14" i="2"/>
  <c r="K19" i="13"/>
  <c r="I61" i="10"/>
  <c r="I32" i="4"/>
  <c r="I16" i="2"/>
  <c r="K35" i="13"/>
  <c r="I24" i="10"/>
  <c r="I46" i="4"/>
  <c r="I17" i="10"/>
  <c r="K46" i="13"/>
  <c r="I39" i="11"/>
  <c r="I45" i="10"/>
  <c r="I53" i="4"/>
  <c r="I18" i="2"/>
  <c r="I22" i="10"/>
  <c r="I8" i="10"/>
  <c r="I15" i="10"/>
  <c r="I19" i="10"/>
  <c r="I14" i="10"/>
  <c r="I21" i="10"/>
  <c r="I10" i="10"/>
  <c r="F45" i="13"/>
  <c r="F51" i="17"/>
  <c r="F40" i="17"/>
  <c r="F18" i="3"/>
  <c r="F72" i="17"/>
  <c r="F89" i="17"/>
  <c r="F22" i="17"/>
  <c r="F79" i="17"/>
  <c r="F20" i="17"/>
  <c r="H28" i="18"/>
  <c r="F53" i="17"/>
  <c r="F91" i="17"/>
  <c r="F55" i="17"/>
  <c r="F49" i="17"/>
  <c r="F90" i="17"/>
  <c r="F78" i="17"/>
  <c r="H11" i="18"/>
  <c r="F31" i="17"/>
  <c r="F36" i="17"/>
  <c r="F29" i="17"/>
  <c r="F47" i="17"/>
  <c r="F69" i="17"/>
  <c r="F25" i="13"/>
  <c r="K14" i="10"/>
  <c r="K13" i="10"/>
  <c r="K8" i="10"/>
  <c r="K20" i="10"/>
  <c r="K22" i="10"/>
  <c r="M27" i="13"/>
  <c r="M16" i="13"/>
  <c r="K18" i="10"/>
  <c r="K9" i="10"/>
  <c r="K11" i="10"/>
  <c r="K14" i="2"/>
  <c r="K64" i="10"/>
  <c r="K25" i="4"/>
  <c r="K23" i="10"/>
  <c r="K17" i="10"/>
  <c r="M19" i="13"/>
  <c r="K61" i="10"/>
  <c r="K32" i="4"/>
  <c r="K16" i="2"/>
  <c r="K21" i="10"/>
  <c r="M35" i="13"/>
  <c r="K24" i="10"/>
  <c r="K46" i="4"/>
  <c r="M46" i="13"/>
  <c r="K39" i="11"/>
  <c r="K45" i="10"/>
  <c r="K53" i="4"/>
  <c r="K18" i="2"/>
  <c r="K19" i="10"/>
  <c r="K12" i="10"/>
  <c r="K6" i="10"/>
  <c r="K11" i="4"/>
  <c r="K12" i="2"/>
  <c r="K6" i="15"/>
  <c r="K10" i="10"/>
  <c r="K15" i="10"/>
  <c r="K63" i="10"/>
  <c r="K7" i="10"/>
  <c r="U6" i="7"/>
  <c r="W20" i="3"/>
  <c r="W87" i="17"/>
  <c r="W7" i="14"/>
  <c r="T22" i="9"/>
  <c r="U25" i="7"/>
  <c r="W54" i="13"/>
  <c r="W56" i="13"/>
  <c r="W8" i="14"/>
  <c r="W52" i="13"/>
  <c r="U18" i="7"/>
  <c r="U50" i="11"/>
  <c r="U56" i="10"/>
  <c r="U20" i="7"/>
  <c r="U63" i="11"/>
  <c r="U69" i="10"/>
  <c r="W53" i="13"/>
  <c r="W13" i="14"/>
  <c r="W88" i="17"/>
  <c r="W51" i="13"/>
  <c r="U7" i="7"/>
  <c r="U48" i="11"/>
  <c r="U54" i="10"/>
  <c r="W12" i="3"/>
  <c r="U16" i="7"/>
  <c r="U46" i="11"/>
  <c r="U52" i="10"/>
  <c r="W57" i="13"/>
  <c r="U19" i="7"/>
  <c r="U51" i="11"/>
  <c r="U57" i="10"/>
  <c r="U18" i="4"/>
  <c r="U20" i="2"/>
  <c r="U8" i="7"/>
  <c r="U43" i="11"/>
  <c r="U49" i="10"/>
  <c r="W11" i="3"/>
  <c r="W55" i="13"/>
  <c r="W96" i="17"/>
  <c r="W50" i="13"/>
  <c r="W14" i="14"/>
  <c r="U15" i="7"/>
  <c r="U45" i="11"/>
  <c r="U51" i="10"/>
  <c r="S67" i="17"/>
  <c r="S40" i="17"/>
  <c r="S22" i="17"/>
  <c r="S26" i="17"/>
  <c r="S10" i="17"/>
  <c r="S42" i="17"/>
  <c r="S60" i="17"/>
  <c r="S64" i="17"/>
  <c r="S62" i="17"/>
  <c r="S24" i="17"/>
  <c r="P9" i="9"/>
  <c r="P9" i="5"/>
  <c r="S81" i="17"/>
  <c r="S74" i="17"/>
  <c r="S31" i="17"/>
  <c r="S80" i="17"/>
  <c r="S70" i="17"/>
  <c r="S8" i="17"/>
  <c r="S49" i="17"/>
  <c r="S40" i="13"/>
  <c r="Q31" i="11"/>
  <c r="Q37" i="10"/>
  <c r="S58" i="17"/>
  <c r="S44" i="17"/>
  <c r="U38" i="18"/>
  <c r="S33" i="17"/>
  <c r="AA13" i="14"/>
  <c r="Y16" i="7"/>
  <c r="Y46" i="11"/>
  <c r="Y52" i="10"/>
  <c r="Y15" i="7"/>
  <c r="Y45" i="11"/>
  <c r="Y51" i="10"/>
  <c r="X15" i="9"/>
  <c r="AA7" i="14"/>
  <c r="X22" i="9"/>
  <c r="AA92" i="17"/>
  <c r="Y7" i="7"/>
  <c r="Y48" i="11"/>
  <c r="Y54" i="10"/>
  <c r="AA12" i="3"/>
  <c r="AA56" i="13"/>
  <c r="AA57" i="13"/>
  <c r="Y19" i="7"/>
  <c r="Y51" i="11"/>
  <c r="Y57" i="10"/>
  <c r="Y18" i="4"/>
  <c r="Y20" i="2"/>
  <c r="AA99" i="17"/>
  <c r="AA52" i="13"/>
  <c r="Y18" i="7"/>
  <c r="Y50" i="11"/>
  <c r="Y56" i="10"/>
  <c r="Y20" i="7"/>
  <c r="Y63" i="11"/>
  <c r="Y69" i="10"/>
  <c r="AA53" i="13"/>
  <c r="AA8" i="14"/>
  <c r="Y8" i="7"/>
  <c r="Y43" i="11"/>
  <c r="Y49" i="10"/>
  <c r="AA11" i="3"/>
  <c r="AA93" i="17"/>
  <c r="AA50" i="13"/>
  <c r="AA51" i="13"/>
  <c r="Y6" i="7"/>
  <c r="AA20" i="3"/>
  <c r="AA87" i="17"/>
  <c r="AA54" i="13"/>
  <c r="AA55" i="13"/>
  <c r="Z77" i="17"/>
  <c r="W8" i="9"/>
  <c r="W8" i="5"/>
  <c r="Z73" i="17"/>
  <c r="Z25" i="17"/>
  <c r="Z15" i="3"/>
  <c r="Z23" i="17"/>
  <c r="Z18" i="3"/>
  <c r="Z72" i="17"/>
  <c r="Z48" i="17"/>
  <c r="Z43" i="17"/>
  <c r="AA35" i="18"/>
  <c r="AA51" i="18"/>
  <c r="Z41" i="17"/>
  <c r="Z55" i="17"/>
  <c r="AA16" i="18"/>
  <c r="Z66" i="17"/>
  <c r="Z32" i="17"/>
  <c r="Z34" i="17"/>
  <c r="AA8" i="18"/>
  <c r="Z9" i="17"/>
  <c r="Z61" i="17"/>
  <c r="Z59" i="17"/>
  <c r="Z18" i="17"/>
  <c r="Z30" i="17"/>
  <c r="Z63" i="17"/>
  <c r="G78" i="17"/>
  <c r="G59" i="17"/>
  <c r="G36" i="17"/>
  <c r="G47" i="17"/>
  <c r="G18" i="3"/>
  <c r="G72" i="17"/>
  <c r="G27" i="17"/>
  <c r="G91" i="17"/>
  <c r="I67" i="18"/>
  <c r="G34" i="13"/>
  <c r="E29" i="10"/>
  <c r="G20" i="17"/>
  <c r="G77" i="17"/>
  <c r="G89" i="17"/>
  <c r="G69" i="17"/>
  <c r="G66" i="17"/>
  <c r="G53" i="17"/>
  <c r="G83" i="17"/>
  <c r="G29" i="17"/>
  <c r="G18" i="17"/>
  <c r="G34" i="17"/>
  <c r="G43" i="17"/>
  <c r="I68" i="18"/>
  <c r="G55" i="17"/>
  <c r="D19" i="13"/>
  <c r="D35" i="13"/>
  <c r="D27" i="13"/>
  <c r="D16" i="13"/>
  <c r="D46" i="13"/>
  <c r="H12" i="14"/>
  <c r="H66" i="17"/>
  <c r="H47" i="17"/>
  <c r="H11" i="17"/>
  <c r="H59" i="17"/>
  <c r="H43" i="13"/>
  <c r="H27" i="17"/>
  <c r="E8" i="9"/>
  <c r="E8" i="5"/>
  <c r="H73" i="17"/>
  <c r="H77" i="17"/>
  <c r="H53" i="17"/>
  <c r="H69" i="17"/>
  <c r="H64" i="17"/>
  <c r="H20" i="17"/>
  <c r="H83" i="17"/>
  <c r="H34" i="17"/>
  <c r="H18" i="17"/>
  <c r="H94" i="17"/>
  <c r="H29" i="17"/>
  <c r="H18" i="3"/>
  <c r="H72" i="17"/>
  <c r="J9" i="18"/>
  <c r="H89" i="17"/>
  <c r="H36" i="17"/>
  <c r="J11" i="17"/>
  <c r="J27" i="17"/>
  <c r="J94" i="17"/>
  <c r="J34" i="17"/>
  <c r="J32" i="17"/>
  <c r="J91" i="17"/>
  <c r="J25" i="17"/>
  <c r="J18" i="17"/>
  <c r="J9" i="17"/>
  <c r="J77" i="17"/>
  <c r="J83" i="17"/>
  <c r="J15" i="3"/>
  <c r="J23" i="17"/>
  <c r="J19" i="3"/>
  <c r="J82" i="17"/>
  <c r="J71" i="17"/>
  <c r="J61" i="17"/>
  <c r="J66" i="17"/>
  <c r="L24" i="18"/>
  <c r="J41" i="17"/>
  <c r="J90" i="17"/>
  <c r="J59" i="17"/>
  <c r="J63" i="17"/>
  <c r="J43" i="17"/>
  <c r="V74" i="17"/>
  <c r="V25" i="13"/>
  <c r="V62" i="17"/>
  <c r="X52" i="18"/>
  <c r="V31" i="17"/>
  <c r="X27" i="18"/>
  <c r="V36" i="17"/>
  <c r="V27" i="17"/>
  <c r="X70" i="18"/>
  <c r="V22" i="17"/>
  <c r="V79" i="17"/>
  <c r="V55" i="17"/>
  <c r="V51" i="17"/>
  <c r="V53" i="17"/>
  <c r="V45" i="13"/>
  <c r="X20" i="18"/>
  <c r="V69" i="17"/>
  <c r="V20" i="17"/>
  <c r="V40" i="17"/>
  <c r="V47" i="17"/>
  <c r="V29" i="17"/>
  <c r="V49" i="17"/>
  <c r="P21" i="17"/>
  <c r="P35" i="17"/>
  <c r="P12" i="17"/>
  <c r="P19" i="17"/>
  <c r="M9" i="9"/>
  <c r="M9" i="5"/>
  <c r="P81" i="17"/>
  <c r="P52" i="17"/>
  <c r="P83" i="17"/>
  <c r="R16" i="18"/>
  <c r="P33" i="17"/>
  <c r="P58" i="17"/>
  <c r="P17" i="3"/>
  <c r="P56" i="17"/>
  <c r="P26" i="17"/>
  <c r="P33" i="13"/>
  <c r="N28" i="10"/>
  <c r="P76" i="17"/>
  <c r="P44" i="17"/>
  <c r="R9" i="18"/>
  <c r="P28" i="17"/>
  <c r="P19" i="3"/>
  <c r="P82" i="17"/>
  <c r="P46" i="17"/>
  <c r="P75" i="17"/>
  <c r="P54" i="17"/>
  <c r="P65" i="17"/>
  <c r="K19" i="3"/>
  <c r="K82" i="17"/>
  <c r="K25" i="17"/>
  <c r="K71" i="17"/>
  <c r="K77" i="17"/>
  <c r="K63" i="17"/>
  <c r="K9" i="17"/>
  <c r="K18" i="14"/>
  <c r="K43" i="17"/>
  <c r="K59" i="17"/>
  <c r="K18" i="17"/>
  <c r="K41" i="17"/>
  <c r="K94" i="17"/>
  <c r="M9" i="18"/>
  <c r="M13" i="18"/>
  <c r="K61" i="17"/>
  <c r="K68" i="17"/>
  <c r="K34" i="17"/>
  <c r="K66" i="17"/>
  <c r="K15" i="3"/>
  <c r="K23" i="17"/>
  <c r="K32" i="17"/>
  <c r="K48" i="17"/>
  <c r="K50" i="17"/>
  <c r="T47" i="17"/>
  <c r="T33" i="17"/>
  <c r="T64" i="17"/>
  <c r="T49" i="17"/>
  <c r="T8" i="17"/>
  <c r="T74" i="17"/>
  <c r="T17" i="14"/>
  <c r="T67" i="17"/>
  <c r="T24" i="17"/>
  <c r="T51" i="17"/>
  <c r="T80" i="17"/>
  <c r="T40" i="17"/>
  <c r="T42" i="17"/>
  <c r="V13" i="18"/>
  <c r="Q9" i="9"/>
  <c r="Q9" i="5"/>
  <c r="T81" i="17"/>
  <c r="T58" i="17"/>
  <c r="T62" i="17"/>
  <c r="T31" i="17"/>
  <c r="T60" i="17"/>
  <c r="T22" i="17"/>
  <c r="T17" i="3"/>
  <c r="T56" i="17"/>
  <c r="T70" i="17"/>
  <c r="Y34" i="17"/>
  <c r="Y18" i="17"/>
  <c r="Y47" i="17"/>
  <c r="Y20" i="17"/>
  <c r="Y36" i="17"/>
  <c r="Y66" i="17"/>
  <c r="Y43" i="17"/>
  <c r="Y61" i="17"/>
  <c r="Y79" i="17"/>
  <c r="Z10" i="18"/>
  <c r="Y27" i="17"/>
  <c r="Y11" i="17"/>
  <c r="Y59" i="17"/>
  <c r="V8" i="9"/>
  <c r="V8" i="5"/>
  <c r="Y73" i="17"/>
  <c r="Y41" i="17"/>
  <c r="Y64" i="17"/>
  <c r="Y53" i="17"/>
  <c r="Y32" i="13"/>
  <c r="W27" i="10"/>
  <c r="Y55" i="17"/>
  <c r="Y32" i="17"/>
  <c r="Y80" i="17"/>
  <c r="Y25" i="17"/>
  <c r="I55" i="17"/>
  <c r="I59" i="17"/>
  <c r="I11" i="17"/>
  <c r="I94" i="17"/>
  <c r="I61" i="17"/>
  <c r="I32" i="13"/>
  <c r="G27" i="10"/>
  <c r="I83" i="17"/>
  <c r="I25" i="17"/>
  <c r="I43" i="17"/>
  <c r="I34" i="17"/>
  <c r="I77" i="17"/>
  <c r="I18" i="17"/>
  <c r="I47" i="17"/>
  <c r="I66" i="17"/>
  <c r="I27" i="17"/>
  <c r="I32" i="17"/>
  <c r="K11" i="18"/>
  <c r="I20" i="17"/>
  <c r="I76" i="17"/>
  <c r="I36" i="17"/>
  <c r="I89" i="17"/>
  <c r="K37" i="18"/>
  <c r="D8" i="17"/>
  <c r="D31" i="17"/>
  <c r="D24" i="17"/>
  <c r="D17" i="14"/>
  <c r="D79" i="17"/>
  <c r="D49" i="17"/>
  <c r="D58" i="17"/>
  <c r="F8" i="18"/>
  <c r="D67" i="17"/>
  <c r="D62" i="17"/>
  <c r="D40" i="17"/>
  <c r="D69" i="17"/>
  <c r="D42" i="17"/>
  <c r="D78" i="17"/>
  <c r="D22" i="17"/>
  <c r="D60" i="17"/>
  <c r="D64" i="17"/>
  <c r="D33" i="17"/>
  <c r="D90" i="17"/>
  <c r="D51" i="17"/>
  <c r="D73" i="17"/>
  <c r="F13" i="18"/>
  <c r="O63" i="17"/>
  <c r="O48" i="17"/>
  <c r="O76" i="17"/>
  <c r="O30" i="17"/>
  <c r="O70" i="17"/>
  <c r="O19" i="17"/>
  <c r="O75" i="17"/>
  <c r="O54" i="17"/>
  <c r="Q72" i="18"/>
  <c r="O28" i="17"/>
  <c r="O12" i="17"/>
  <c r="O21" i="17"/>
  <c r="O50" i="17"/>
  <c r="O52" i="17"/>
  <c r="O44" i="13"/>
  <c r="Q9" i="18"/>
  <c r="O35" i="17"/>
  <c r="O65" i="17"/>
  <c r="O44" i="17"/>
  <c r="O46" i="17"/>
  <c r="O68" i="17"/>
  <c r="O24" i="13"/>
  <c r="E55" i="17"/>
  <c r="E64" i="17"/>
  <c r="E78" i="17"/>
  <c r="E53" i="17"/>
  <c r="E29" i="17"/>
  <c r="E40" i="17"/>
  <c r="E69" i="17"/>
  <c r="E60" i="17"/>
  <c r="E89" i="17"/>
  <c r="E31" i="17"/>
  <c r="E24" i="17"/>
  <c r="E90" i="17"/>
  <c r="E79" i="17"/>
  <c r="E91" i="17"/>
  <c r="E51" i="17"/>
  <c r="E47" i="17"/>
  <c r="E62" i="17"/>
  <c r="E22" i="17"/>
  <c r="E49" i="17"/>
  <c r="G21" i="18"/>
  <c r="E67" i="17"/>
  <c r="E42" i="17"/>
  <c r="Q68" i="17"/>
  <c r="Q19" i="3"/>
  <c r="Q82" i="17"/>
  <c r="Q17" i="3"/>
  <c r="Q56" i="17"/>
  <c r="Q46" i="17"/>
  <c r="Q11" i="14"/>
  <c r="Q63" i="17"/>
  <c r="Q26" i="17"/>
  <c r="S9" i="18"/>
  <c r="Q19" i="17"/>
  <c r="Q76" i="17"/>
  <c r="Q52" i="17"/>
  <c r="N9" i="9"/>
  <c r="N9" i="5"/>
  <c r="Q81" i="17"/>
  <c r="S24" i="18"/>
  <c r="Q35" i="17"/>
  <c r="Q12" i="17"/>
  <c r="Q65" i="17"/>
  <c r="Q44" i="17"/>
  <c r="Q28" i="17"/>
  <c r="Q75" i="17"/>
  <c r="Q83" i="17"/>
  <c r="Q42" i="13"/>
  <c r="Q10" i="17"/>
  <c r="C74" i="17"/>
  <c r="C40" i="13"/>
  <c r="C31" i="17"/>
  <c r="C17" i="3"/>
  <c r="C56" i="17"/>
  <c r="C64" i="17"/>
  <c r="C33" i="17"/>
  <c r="C60" i="17"/>
  <c r="C24" i="17"/>
  <c r="C42" i="17"/>
  <c r="C8" i="17"/>
  <c r="C44" i="17"/>
  <c r="C67" i="17"/>
  <c r="C26" i="17"/>
  <c r="C70" i="17"/>
  <c r="C58" i="17"/>
  <c r="C22" i="17"/>
  <c r="C79" i="17"/>
  <c r="C62" i="17"/>
  <c r="C51" i="17"/>
  <c r="C40" i="17"/>
  <c r="C73" i="17"/>
  <c r="C49" i="17"/>
  <c r="U40" i="17"/>
  <c r="U42" i="17"/>
  <c r="U58" i="17"/>
  <c r="U36" i="17"/>
  <c r="U49" i="17"/>
  <c r="U67" i="17"/>
  <c r="U24" i="17"/>
  <c r="U70" i="17"/>
  <c r="R9" i="9"/>
  <c r="R9" i="5"/>
  <c r="U81" i="17"/>
  <c r="U80" i="17"/>
  <c r="U29" i="17"/>
  <c r="U64" i="17"/>
  <c r="U31" i="17"/>
  <c r="U51" i="17"/>
  <c r="W21" i="18"/>
  <c r="U60" i="17"/>
  <c r="U22" i="17"/>
  <c r="U53" i="17"/>
  <c r="U74" i="17"/>
  <c r="U62" i="17"/>
  <c r="U20" i="17"/>
  <c r="U47" i="17"/>
  <c r="P78" i="12"/>
  <c r="N52" i="13"/>
  <c r="L18" i="7"/>
  <c r="L50" i="11"/>
  <c r="L56" i="10"/>
  <c r="P75" i="12"/>
  <c r="P54" i="18"/>
  <c r="N93" i="17"/>
  <c r="L6" i="7"/>
  <c r="N20" i="3"/>
  <c r="N87" i="17"/>
  <c r="N50" i="13"/>
  <c r="N92" i="17"/>
  <c r="N56" i="13"/>
  <c r="N88" i="17"/>
  <c r="P36" i="18"/>
  <c r="P76" i="12"/>
  <c r="P53" i="18"/>
  <c r="N14" i="14"/>
  <c r="N13" i="14"/>
  <c r="N51" i="13"/>
  <c r="N55" i="13"/>
  <c r="N8" i="14"/>
  <c r="N54" i="13"/>
  <c r="N96" i="17"/>
  <c r="P45" i="12"/>
  <c r="N57" i="13"/>
  <c r="L19" i="7"/>
  <c r="L51" i="11"/>
  <c r="L57" i="10"/>
  <c r="L18" i="4"/>
  <c r="L20" i="2"/>
  <c r="X43" i="17"/>
  <c r="X79" i="17"/>
  <c r="X20" i="17"/>
  <c r="X47" i="17"/>
  <c r="X43" i="13"/>
  <c r="X74" i="17"/>
  <c r="X62" i="17"/>
  <c r="X69" i="17"/>
  <c r="X18" i="17"/>
  <c r="X34" i="17"/>
  <c r="X11" i="17"/>
  <c r="X36" i="17"/>
  <c r="X12" i="14"/>
  <c r="X29" i="17"/>
  <c r="X27" i="17"/>
  <c r="X53" i="17"/>
  <c r="Y27" i="18"/>
  <c r="X64" i="17"/>
  <c r="X51" i="17"/>
  <c r="X49" i="17"/>
  <c r="U8" i="9"/>
  <c r="U8" i="5"/>
  <c r="X73" i="17"/>
  <c r="X67" i="17"/>
  <c r="N71" i="17"/>
  <c r="N50" i="17"/>
  <c r="N63" i="17"/>
  <c r="P28" i="18"/>
  <c r="N83" i="17"/>
  <c r="N41" i="17"/>
  <c r="P11" i="18"/>
  <c r="N15" i="3"/>
  <c r="N23" i="17"/>
  <c r="N30" i="17"/>
  <c r="N61" i="17"/>
  <c r="N77" i="17"/>
  <c r="N19" i="3"/>
  <c r="N82" i="17"/>
  <c r="N54" i="17"/>
  <c r="P40" i="18"/>
  <c r="N52" i="17"/>
  <c r="N48" i="17"/>
  <c r="N28" i="17"/>
  <c r="N68" i="17"/>
  <c r="N76" i="17"/>
  <c r="N46" i="17"/>
  <c r="P9" i="18"/>
  <c r="N21" i="17"/>
  <c r="L68" i="17"/>
  <c r="L7" i="17"/>
  <c r="L19" i="3"/>
  <c r="L82" i="17"/>
  <c r="L89" i="17"/>
  <c r="L32" i="17"/>
  <c r="N21" i="18"/>
  <c r="L61" i="17"/>
  <c r="L25" i="17"/>
  <c r="L63" i="17"/>
  <c r="N69" i="18"/>
  <c r="L90" i="17"/>
  <c r="L78" i="17"/>
  <c r="L43" i="17"/>
  <c r="L41" i="17"/>
  <c r="L71" i="17"/>
  <c r="L39" i="13"/>
  <c r="J30" i="11"/>
  <c r="J36" i="10"/>
  <c r="L59" i="17"/>
  <c r="L94" i="17"/>
  <c r="L50" i="17"/>
  <c r="N13" i="18"/>
  <c r="L66" i="17"/>
  <c r="L15" i="3"/>
  <c r="L23" i="17"/>
  <c r="W18" i="17"/>
  <c r="W40" i="17"/>
  <c r="W34" i="13"/>
  <c r="U29" i="10"/>
  <c r="W22" i="17"/>
  <c r="W53" i="17"/>
  <c r="W20" i="17"/>
  <c r="W29" i="17"/>
  <c r="W67" i="17"/>
  <c r="W62" i="17"/>
  <c r="W49" i="17"/>
  <c r="W79" i="17"/>
  <c r="W51" i="17"/>
  <c r="W70" i="17"/>
  <c r="W36" i="17"/>
  <c r="W55" i="17"/>
  <c r="W60" i="17"/>
  <c r="W69" i="17"/>
  <c r="W75" i="17"/>
  <c r="W19" i="14"/>
  <c r="W27" i="17"/>
  <c r="W34" i="17"/>
  <c r="W47" i="17"/>
  <c r="F64" i="18"/>
  <c r="D20" i="3"/>
  <c r="D87" i="17"/>
  <c r="F78" i="12"/>
  <c r="F41" i="12"/>
  <c r="D14" i="14"/>
  <c r="D56" i="13"/>
  <c r="D13" i="14"/>
  <c r="D96" i="17"/>
  <c r="D7" i="14"/>
  <c r="F75" i="12"/>
  <c r="D54" i="13"/>
  <c r="D8" i="14"/>
  <c r="D99" i="17"/>
  <c r="F61" i="18"/>
  <c r="D57" i="13"/>
  <c r="F44" i="18"/>
  <c r="D92" i="17"/>
  <c r="D53" i="13"/>
  <c r="D93" i="17"/>
  <c r="D51" i="13"/>
  <c r="D55" i="13"/>
  <c r="D52" i="13"/>
  <c r="P35" i="13"/>
  <c r="N24" i="10"/>
  <c r="N46" i="4"/>
  <c r="N11" i="10"/>
  <c r="N14" i="2"/>
  <c r="N22" i="10"/>
  <c r="N8" i="10"/>
  <c r="N10" i="10"/>
  <c r="N6" i="10"/>
  <c r="N11" i="4"/>
  <c r="N12" i="2"/>
  <c r="N6" i="15"/>
  <c r="N12" i="10"/>
  <c r="N21" i="10"/>
  <c r="N15" i="10"/>
  <c r="N63" i="10"/>
  <c r="P27" i="13"/>
  <c r="P16" i="13"/>
  <c r="N18" i="10"/>
  <c r="N64" i="10"/>
  <c r="N25" i="4"/>
  <c r="N7" i="10"/>
  <c r="N14" i="10"/>
  <c r="N17" i="10"/>
  <c r="N23" i="10"/>
  <c r="N9" i="10"/>
  <c r="P46" i="13"/>
  <c r="N39" i="11"/>
  <c r="N45" i="10"/>
  <c r="N53" i="4"/>
  <c r="N18" i="2"/>
  <c r="N20" i="10"/>
  <c r="P19" i="13"/>
  <c r="N61" i="10"/>
  <c r="N32" i="4"/>
  <c r="N16" i="2"/>
  <c r="N13" i="10"/>
  <c r="N19" i="10"/>
  <c r="R33" i="17"/>
  <c r="R31" i="13"/>
  <c r="P26" i="10"/>
  <c r="R19" i="17"/>
  <c r="R54" i="17"/>
  <c r="R44" i="17"/>
  <c r="R17" i="3"/>
  <c r="R56" i="17"/>
  <c r="R65" i="17"/>
  <c r="R24" i="17"/>
  <c r="R76" i="17"/>
  <c r="R42" i="17"/>
  <c r="R58" i="17"/>
  <c r="O9" i="9"/>
  <c r="O9" i="5"/>
  <c r="R81" i="17"/>
  <c r="T24" i="18"/>
  <c r="R19" i="14"/>
  <c r="R10" i="17"/>
  <c r="R35" i="17"/>
  <c r="R80" i="17"/>
  <c r="R26" i="17"/>
  <c r="R70" i="17"/>
  <c r="R83" i="17"/>
  <c r="R60" i="17"/>
  <c r="R75" i="17"/>
  <c r="AA63" i="17"/>
  <c r="AA64" i="17"/>
  <c r="AA43" i="17"/>
  <c r="AA34" i="17"/>
  <c r="AA18" i="14"/>
  <c r="AA80" i="17"/>
  <c r="X8" i="9"/>
  <c r="X8" i="5"/>
  <c r="AA73" i="17"/>
  <c r="AA69" i="17"/>
  <c r="AA53" i="17"/>
  <c r="AA18" i="17"/>
  <c r="AA41" i="17"/>
  <c r="AA61" i="17"/>
  <c r="AA79" i="17"/>
  <c r="AA59" i="17"/>
  <c r="AA25" i="17"/>
  <c r="AA18" i="3"/>
  <c r="AA72" i="17"/>
  <c r="AA9" i="17"/>
  <c r="AA32" i="17"/>
  <c r="AA55" i="17"/>
  <c r="AA66" i="17"/>
  <c r="AA78" i="17"/>
  <c r="AA15" i="3"/>
  <c r="AA23" i="17"/>
  <c r="D14" i="18"/>
  <c r="D21" i="18"/>
  <c r="D56" i="12"/>
  <c r="D13" i="12"/>
  <c r="D28" i="18"/>
  <c r="D31" i="12"/>
  <c r="D10" i="18"/>
  <c r="D15" i="18"/>
  <c r="D45" i="18"/>
  <c r="D11" i="18"/>
  <c r="D34" i="12"/>
  <c r="D67" i="12"/>
  <c r="D61" i="12"/>
  <c r="D63" i="12"/>
  <c r="D50" i="18"/>
  <c r="D74" i="12"/>
  <c r="D65" i="12"/>
  <c r="D79" i="12"/>
  <c r="D64" i="12"/>
  <c r="D24" i="18"/>
  <c r="D68" i="12"/>
  <c r="D72" i="12"/>
  <c r="M59" i="17"/>
  <c r="M30" i="17"/>
  <c r="M90" i="17"/>
  <c r="M12" i="14"/>
  <c r="M16" i="14"/>
  <c r="M71" i="17"/>
  <c r="M50" i="17"/>
  <c r="M41" i="17"/>
  <c r="M78" i="17"/>
  <c r="M48" i="17"/>
  <c r="M61" i="17"/>
  <c r="M19" i="3"/>
  <c r="M82" i="17"/>
  <c r="O21" i="18"/>
  <c r="M63" i="17"/>
  <c r="M32" i="17"/>
  <c r="M89" i="17"/>
  <c r="M15" i="3"/>
  <c r="M23" i="17"/>
  <c r="M66" i="17"/>
  <c r="M68" i="17"/>
  <c r="O11" i="18"/>
  <c r="M77" i="17"/>
  <c r="M7" i="17"/>
  <c r="F19" i="3"/>
  <c r="F82" i="17"/>
  <c r="H35" i="18"/>
  <c r="F44" i="17"/>
  <c r="F62" i="17"/>
  <c r="F60" i="17"/>
  <c r="F10" i="17"/>
  <c r="F26" i="17"/>
  <c r="F74" i="17"/>
  <c r="H75" i="18"/>
  <c r="H31" i="18"/>
  <c r="H85" i="18"/>
  <c r="H37" i="18"/>
  <c r="H59" i="18"/>
  <c r="H16" i="18"/>
  <c r="F11" i="14"/>
  <c r="F67" i="17"/>
  <c r="H9" i="18"/>
  <c r="F58" i="17"/>
  <c r="F70" i="17"/>
  <c r="F64" i="17"/>
  <c r="H26" i="18"/>
  <c r="H24" i="18"/>
  <c r="G51" i="17"/>
  <c r="G19" i="14"/>
  <c r="I24" i="18"/>
  <c r="I43" i="18"/>
  <c r="D8" i="9"/>
  <c r="D8" i="5"/>
  <c r="G73" i="17"/>
  <c r="G22" i="17"/>
  <c r="G40" i="17"/>
  <c r="G67" i="17"/>
  <c r="G94" i="17"/>
  <c r="I14" i="18"/>
  <c r="G60" i="17"/>
  <c r="G49" i="17"/>
  <c r="G79" i="17"/>
  <c r="I59" i="18"/>
  <c r="I41" i="18"/>
  <c r="I49" i="18"/>
  <c r="I37" i="18"/>
  <c r="I16" i="18"/>
  <c r="G62" i="17"/>
  <c r="I17" i="18"/>
  <c r="G33" i="17"/>
  <c r="I8" i="18"/>
  <c r="C31" i="12"/>
  <c r="C61" i="12"/>
  <c r="C65" i="12"/>
  <c r="C52" i="12"/>
  <c r="C23" i="12"/>
  <c r="C24" i="18"/>
  <c r="C60" i="12"/>
  <c r="C31" i="18"/>
  <c r="C34" i="12"/>
  <c r="C41" i="18"/>
  <c r="C70" i="12"/>
  <c r="C38" i="18"/>
  <c r="C21" i="18"/>
  <c r="C25" i="18"/>
  <c r="C16" i="18"/>
  <c r="C73" i="12"/>
  <c r="C8" i="18"/>
  <c r="C64" i="12"/>
  <c r="C9" i="18"/>
  <c r="C56" i="12"/>
  <c r="C67" i="12"/>
  <c r="C47" i="12"/>
  <c r="H50" i="13"/>
  <c r="J43" i="12"/>
  <c r="H13" i="14"/>
  <c r="H96" i="17"/>
  <c r="H7" i="14"/>
  <c r="H99" i="17"/>
  <c r="H8" i="14"/>
  <c r="H51" i="13"/>
  <c r="H53" i="13"/>
  <c r="H52" i="13"/>
  <c r="F18" i="7"/>
  <c r="F50" i="11"/>
  <c r="F56" i="10"/>
  <c r="H92" i="17"/>
  <c r="H88" i="17"/>
  <c r="J61" i="18"/>
  <c r="F6" i="7"/>
  <c r="H20" i="3"/>
  <c r="H87" i="17"/>
  <c r="H93" i="17"/>
  <c r="H57" i="13"/>
  <c r="F19" i="7"/>
  <c r="F51" i="11"/>
  <c r="F57" i="10"/>
  <c r="F18" i="4"/>
  <c r="F20" i="2"/>
  <c r="J77" i="12"/>
  <c r="J78" i="12"/>
  <c r="H56" i="13"/>
  <c r="J58" i="18"/>
  <c r="H14" i="14"/>
  <c r="H55" i="13"/>
  <c r="V67" i="17"/>
  <c r="X51" i="18"/>
  <c r="V58" i="17"/>
  <c r="V26" i="17"/>
  <c r="X37" i="18"/>
  <c r="X41" i="18"/>
  <c r="X28" i="18"/>
  <c r="S9" i="9"/>
  <c r="S9" i="5"/>
  <c r="V81" i="17"/>
  <c r="V10" i="17"/>
  <c r="V17" i="3"/>
  <c r="V56" i="17"/>
  <c r="X16" i="18"/>
  <c r="V70" i="17"/>
  <c r="X9" i="18"/>
  <c r="X11" i="18"/>
  <c r="V19" i="3"/>
  <c r="V82" i="17"/>
  <c r="V44" i="17"/>
  <c r="V60" i="17"/>
  <c r="V75" i="17"/>
  <c r="V11" i="14"/>
  <c r="X24" i="18"/>
  <c r="X26" i="18"/>
  <c r="X35" i="18"/>
  <c r="E53" i="13"/>
  <c r="G82" i="18"/>
  <c r="E57" i="13"/>
  <c r="C19" i="7"/>
  <c r="C51" i="11"/>
  <c r="C57" i="10"/>
  <c r="C18" i="4"/>
  <c r="C20" i="2"/>
  <c r="E54" i="13"/>
  <c r="G77" i="12"/>
  <c r="E55" i="13"/>
  <c r="E51" i="13"/>
  <c r="G61" i="18"/>
  <c r="E88" i="17"/>
  <c r="E93" i="17"/>
  <c r="G76" i="12"/>
  <c r="E13" i="14"/>
  <c r="C6" i="7"/>
  <c r="E20" i="3"/>
  <c r="E87" i="17"/>
  <c r="E50" i="13"/>
  <c r="E8" i="14"/>
  <c r="E56" i="13"/>
  <c r="E7" i="14"/>
  <c r="E96" i="17"/>
  <c r="G48" i="12"/>
  <c r="E99" i="17"/>
  <c r="G63" i="18"/>
  <c r="E14" i="14"/>
  <c r="E74" i="17"/>
  <c r="G78" i="18"/>
  <c r="G9" i="18"/>
  <c r="G30" i="18"/>
  <c r="E17" i="3"/>
  <c r="E56" i="17"/>
  <c r="G69" i="18"/>
  <c r="E35" i="17"/>
  <c r="E58" i="17"/>
  <c r="G35" i="18"/>
  <c r="E80" i="17"/>
  <c r="G18" i="18"/>
  <c r="G41" i="18"/>
  <c r="G68" i="18"/>
  <c r="E75" i="17"/>
  <c r="E94" i="17"/>
  <c r="G33" i="18"/>
  <c r="G59" i="18"/>
  <c r="G26" i="18"/>
  <c r="G37" i="18"/>
  <c r="E19" i="17"/>
  <c r="G16" i="18"/>
  <c r="E70" i="17"/>
  <c r="R54" i="18"/>
  <c r="P7" i="14"/>
  <c r="P57" i="13"/>
  <c r="N19" i="7"/>
  <c r="N51" i="11"/>
  <c r="N57" i="10"/>
  <c r="N18" i="4"/>
  <c r="N20" i="2"/>
  <c r="R76" i="12"/>
  <c r="P8" i="14"/>
  <c r="P93" i="17"/>
  <c r="P54" i="13"/>
  <c r="P53" i="13"/>
  <c r="P14" i="14"/>
  <c r="P52" i="13"/>
  <c r="N18" i="7"/>
  <c r="N50" i="11"/>
  <c r="N56" i="10"/>
  <c r="R36" i="18"/>
  <c r="P56" i="13"/>
  <c r="P96" i="17"/>
  <c r="N6" i="7"/>
  <c r="P20" i="3"/>
  <c r="P87" i="17"/>
  <c r="P51" i="13"/>
  <c r="R101" i="18"/>
  <c r="R42" i="12"/>
  <c r="R81" i="18"/>
  <c r="P88" i="17"/>
  <c r="P50" i="13"/>
  <c r="R45" i="12"/>
  <c r="P13" i="14"/>
  <c r="AA74" i="18"/>
  <c r="AA66" i="18"/>
  <c r="Z22" i="17"/>
  <c r="AA14" i="18"/>
  <c r="Z40" i="17"/>
  <c r="AA50" i="18"/>
  <c r="AA65" i="18"/>
  <c r="AA43" i="18"/>
  <c r="Z78" i="17"/>
  <c r="AA68" i="18"/>
  <c r="Z27" i="17"/>
  <c r="AA67" i="18"/>
  <c r="Z11" i="17"/>
  <c r="AA22" i="18"/>
  <c r="AA41" i="18"/>
  <c r="Z49" i="17"/>
  <c r="Z64" i="17"/>
  <c r="AA11" i="18"/>
  <c r="Z62" i="17"/>
  <c r="AA12" i="18"/>
  <c r="Z74" i="17"/>
  <c r="Z80" i="17"/>
  <c r="S50" i="13"/>
  <c r="S92" i="17"/>
  <c r="U54" i="18"/>
  <c r="S53" i="13"/>
  <c r="S54" i="13"/>
  <c r="U53" i="18"/>
  <c r="S51" i="13"/>
  <c r="U78" i="12"/>
  <c r="S13" i="14"/>
  <c r="S93" i="17"/>
  <c r="S57" i="13"/>
  <c r="Q19" i="7"/>
  <c r="Q51" i="11"/>
  <c r="Q57" i="10"/>
  <c r="Q18" i="4"/>
  <c r="Q20" i="2"/>
  <c r="U75" i="12"/>
  <c r="S52" i="13"/>
  <c r="Q18" i="7"/>
  <c r="Q50" i="11"/>
  <c r="Q56" i="10"/>
  <c r="S88" i="17"/>
  <c r="U95" i="18"/>
  <c r="S96" i="17"/>
  <c r="S14" i="14"/>
  <c r="S8" i="14"/>
  <c r="S55" i="13"/>
  <c r="S7" i="14"/>
  <c r="S56" i="13"/>
  <c r="S99" i="17"/>
  <c r="O77" i="17"/>
  <c r="Q23" i="18"/>
  <c r="Q11" i="18"/>
  <c r="O9" i="17"/>
  <c r="O25" i="17"/>
  <c r="Q38" i="18"/>
  <c r="Q88" i="18"/>
  <c r="O94" i="17"/>
  <c r="O59" i="17"/>
  <c r="Q57" i="18"/>
  <c r="O83" i="17"/>
  <c r="O71" i="17"/>
  <c r="Q25" i="18"/>
  <c r="Q8" i="18"/>
  <c r="Q46" i="18"/>
  <c r="O43" i="17"/>
  <c r="Q74" i="18"/>
  <c r="Q15" i="18"/>
  <c r="O61" i="17"/>
  <c r="L9" i="9"/>
  <c r="L9" i="5"/>
  <c r="O81" i="17"/>
  <c r="O90" i="17"/>
  <c r="Q42" i="18"/>
  <c r="Z53" i="13"/>
  <c r="Z96" i="17"/>
  <c r="Z51" i="13"/>
  <c r="Z13" i="14"/>
  <c r="Z14" i="14"/>
  <c r="AA75" i="12"/>
  <c r="Z92" i="17"/>
  <c r="Z56" i="13"/>
  <c r="AA62" i="18"/>
  <c r="AA64" i="18"/>
  <c r="Z55" i="13"/>
  <c r="Z8" i="14"/>
  <c r="AA44" i="18"/>
  <c r="Z99" i="17"/>
  <c r="Z7" i="14"/>
  <c r="X6" i="7"/>
  <c r="Z20" i="3"/>
  <c r="Z87" i="17"/>
  <c r="Z57" i="13"/>
  <c r="X19" i="7"/>
  <c r="X51" i="11"/>
  <c r="X57" i="10"/>
  <c r="X18" i="4"/>
  <c r="X20" i="2"/>
  <c r="Z52" i="13"/>
  <c r="X18" i="7"/>
  <c r="X50" i="11"/>
  <c r="X56" i="10"/>
  <c r="Z50" i="13"/>
  <c r="Z93" i="17"/>
  <c r="AA78" i="12"/>
  <c r="AA44" i="12"/>
  <c r="E62" i="18"/>
  <c r="C56" i="13"/>
  <c r="C96" i="17"/>
  <c r="C55" i="13"/>
  <c r="C7" i="14"/>
  <c r="C88" i="17"/>
  <c r="C54" i="13"/>
  <c r="C50" i="13"/>
  <c r="C93" i="17"/>
  <c r="E76" i="12"/>
  <c r="C8" i="14"/>
  <c r="C14" i="14"/>
  <c r="E75" i="12"/>
  <c r="C13" i="14"/>
  <c r="C53" i="13"/>
  <c r="E78" i="12"/>
  <c r="E63" i="18"/>
  <c r="C52" i="13"/>
  <c r="E44" i="18"/>
  <c r="C99" i="17"/>
  <c r="C51" i="13"/>
  <c r="C92" i="17"/>
  <c r="M30" i="18"/>
  <c r="H8" i="9"/>
  <c r="H8" i="5"/>
  <c r="K73" i="17"/>
  <c r="M27" i="18"/>
  <c r="M14" i="18"/>
  <c r="K29" i="17"/>
  <c r="M10" i="18"/>
  <c r="M20" i="18"/>
  <c r="M22" i="18"/>
  <c r="K78" i="17"/>
  <c r="M32" i="18"/>
  <c r="M12" i="18"/>
  <c r="M72" i="18"/>
  <c r="K18" i="3"/>
  <c r="K72" i="17"/>
  <c r="K91" i="17"/>
  <c r="K90" i="17"/>
  <c r="K55" i="17"/>
  <c r="M88" i="18"/>
  <c r="K47" i="17"/>
  <c r="M43" i="18"/>
  <c r="M48" i="18"/>
  <c r="K69" i="17"/>
  <c r="M56" i="18"/>
  <c r="L85" i="18"/>
  <c r="L40" i="18"/>
  <c r="L22" i="18"/>
  <c r="J51" i="17"/>
  <c r="L49" i="18"/>
  <c r="L12" i="18"/>
  <c r="L30" i="18"/>
  <c r="G8" i="9"/>
  <c r="G8" i="5"/>
  <c r="J73" i="17"/>
  <c r="L57" i="18"/>
  <c r="L102" i="18"/>
  <c r="J64" i="17"/>
  <c r="J18" i="3"/>
  <c r="J72" i="17"/>
  <c r="L20" i="18"/>
  <c r="L14" i="18"/>
  <c r="L48" i="18"/>
  <c r="J78" i="17"/>
  <c r="J55" i="17"/>
  <c r="J22" i="17"/>
  <c r="L56" i="18"/>
  <c r="L69" i="18"/>
  <c r="J40" i="17"/>
  <c r="L43" i="18"/>
  <c r="F11" i="18"/>
  <c r="F35" i="18"/>
  <c r="D70" i="17"/>
  <c r="D12" i="17"/>
  <c r="F26" i="18"/>
  <c r="F75" i="18"/>
  <c r="F41" i="18"/>
  <c r="F28" i="18"/>
  <c r="F50" i="18"/>
  <c r="D80" i="17"/>
  <c r="D54" i="17"/>
  <c r="F9" i="18"/>
  <c r="D28" i="17"/>
  <c r="D74" i="17"/>
  <c r="F33" i="18"/>
  <c r="F31" i="18"/>
  <c r="F22" i="18"/>
  <c r="F21" i="18"/>
  <c r="F18" i="18"/>
  <c r="D89" i="17"/>
  <c r="D46" i="17"/>
  <c r="F72" i="18"/>
  <c r="W51" i="18"/>
  <c r="U17" i="3"/>
  <c r="U56" i="17"/>
  <c r="W11" i="18"/>
  <c r="W45" i="18"/>
  <c r="W31" i="18"/>
  <c r="W9" i="18"/>
  <c r="W52" i="18"/>
  <c r="U54" i="17"/>
  <c r="U65" i="17"/>
  <c r="W16" i="18"/>
  <c r="W84" i="18"/>
  <c r="W41" i="18"/>
  <c r="U19" i="17"/>
  <c r="W28" i="18"/>
  <c r="W26" i="18"/>
  <c r="W18" i="18"/>
  <c r="U94" i="17"/>
  <c r="U75" i="17"/>
  <c r="W78" i="18"/>
  <c r="W35" i="18"/>
  <c r="U35" i="17"/>
  <c r="W33" i="18"/>
  <c r="P18" i="3"/>
  <c r="P72" i="17"/>
  <c r="P91" i="17"/>
  <c r="P61" i="17"/>
  <c r="R91" i="18"/>
  <c r="R25" i="18"/>
  <c r="R13" i="18"/>
  <c r="P18" i="14"/>
  <c r="R38" i="18"/>
  <c r="R17" i="18"/>
  <c r="R10" i="18"/>
  <c r="P32" i="17"/>
  <c r="P48" i="17"/>
  <c r="P77" i="17"/>
  <c r="P71" i="17"/>
  <c r="P68" i="17"/>
  <c r="R42" i="18"/>
  <c r="R15" i="18"/>
  <c r="P50" i="17"/>
  <c r="R56" i="18"/>
  <c r="P94" i="17"/>
  <c r="R52" i="18"/>
  <c r="R23" i="18"/>
  <c r="Y11" i="18"/>
  <c r="Y41" i="18"/>
  <c r="Y24" i="18"/>
  <c r="Y14" i="18"/>
  <c r="Y26" i="18"/>
  <c r="Y17" i="18"/>
  <c r="Y50" i="18"/>
  <c r="X19" i="3"/>
  <c r="X82" i="17"/>
  <c r="X60" i="17"/>
  <c r="Y16" i="18"/>
  <c r="Y51" i="18"/>
  <c r="X75" i="17"/>
  <c r="X8" i="17"/>
  <c r="X24" i="17"/>
  <c r="Y9" i="18"/>
  <c r="Y35" i="18"/>
  <c r="Y37" i="18"/>
  <c r="Y28" i="18"/>
  <c r="Y33" i="18"/>
  <c r="X70" i="17"/>
  <c r="X42" i="17"/>
  <c r="X80" i="17"/>
  <c r="C78" i="12"/>
  <c r="C77" i="12"/>
  <c r="C44" i="12"/>
  <c r="C82" i="18"/>
  <c r="C62" i="18"/>
  <c r="C75" i="12"/>
  <c r="C46" i="12"/>
  <c r="C64" i="18"/>
  <c r="C49" i="12"/>
  <c r="C76" i="12"/>
  <c r="C43" i="12"/>
  <c r="C45" i="12"/>
  <c r="C48" i="12"/>
  <c r="C44" i="18"/>
  <c r="C41" i="12"/>
  <c r="C36" i="18"/>
  <c r="C42" i="12"/>
  <c r="N89" i="17"/>
  <c r="N78" i="17"/>
  <c r="N18" i="17"/>
  <c r="P17" i="18"/>
  <c r="P12" i="18"/>
  <c r="P27" i="18"/>
  <c r="P34" i="18"/>
  <c r="P25" i="18"/>
  <c r="N34" i="17"/>
  <c r="P56" i="18"/>
  <c r="P10" i="18"/>
  <c r="P15" i="18"/>
  <c r="P8" i="18"/>
  <c r="P30" i="18"/>
  <c r="N66" i="17"/>
  <c r="P32" i="18"/>
  <c r="N90" i="17"/>
  <c r="N74" i="17"/>
  <c r="P42" i="18"/>
  <c r="N59" i="17"/>
  <c r="P46" i="18"/>
  <c r="P48" i="18"/>
  <c r="T53" i="13"/>
  <c r="V75" i="12"/>
  <c r="T50" i="13"/>
  <c r="V44" i="18"/>
  <c r="T93" i="17"/>
  <c r="V41" i="12"/>
  <c r="T13" i="14"/>
  <c r="T52" i="13"/>
  <c r="R18" i="7"/>
  <c r="R50" i="11"/>
  <c r="R56" i="10"/>
  <c r="T8" i="14"/>
  <c r="R6" i="7"/>
  <c r="T20" i="3"/>
  <c r="T87" i="17"/>
  <c r="T92" i="17"/>
  <c r="T96" i="17"/>
  <c r="V130" i="18"/>
  <c r="T57" i="13"/>
  <c r="R19" i="7"/>
  <c r="R51" i="11"/>
  <c r="R57" i="10"/>
  <c r="R18" i="4"/>
  <c r="R20" i="2"/>
  <c r="T14" i="14"/>
  <c r="T54" i="13"/>
  <c r="T51" i="13"/>
  <c r="V78" i="12"/>
  <c r="V53" i="18"/>
  <c r="T7" i="14"/>
  <c r="T56" i="13"/>
  <c r="T99" i="17"/>
  <c r="Y74" i="17"/>
  <c r="Z18" i="18"/>
  <c r="Z9" i="18"/>
  <c r="Z41" i="18"/>
  <c r="Y31" i="17"/>
  <c r="Z22" i="18"/>
  <c r="Z126" i="18"/>
  <c r="Y75" i="17"/>
  <c r="Z24" i="18"/>
  <c r="Z35" i="18"/>
  <c r="Z37" i="18"/>
  <c r="Z50" i="18"/>
  <c r="Z14" i="18"/>
  <c r="Z16" i="18"/>
  <c r="Z51" i="18"/>
  <c r="Y17" i="14"/>
  <c r="Y67" i="17"/>
  <c r="Y90" i="17"/>
  <c r="Z25" i="18"/>
  <c r="Y51" i="17"/>
  <c r="Y71" i="17"/>
  <c r="Z17" i="18"/>
  <c r="O34" i="18"/>
  <c r="O74" i="18"/>
  <c r="O27" i="18"/>
  <c r="O20" i="18"/>
  <c r="M83" i="17"/>
  <c r="M11" i="17"/>
  <c r="O57" i="18"/>
  <c r="M69" i="17"/>
  <c r="M18" i="3"/>
  <c r="M72" i="17"/>
  <c r="O17" i="18"/>
  <c r="O25" i="18"/>
  <c r="M27" i="17"/>
  <c r="O46" i="18"/>
  <c r="O22" i="18"/>
  <c r="O10" i="18"/>
  <c r="O32" i="18"/>
  <c r="M91" i="17"/>
  <c r="M55" i="17"/>
  <c r="O30" i="18"/>
  <c r="O70" i="18"/>
  <c r="O40" i="18"/>
  <c r="O8" i="18"/>
  <c r="H79" i="17"/>
  <c r="J14" i="18"/>
  <c r="J17" i="18"/>
  <c r="J59" i="18"/>
  <c r="H42" i="17"/>
  <c r="J8" i="18"/>
  <c r="J25" i="18"/>
  <c r="J37" i="18"/>
  <c r="H51" i="17"/>
  <c r="H24" i="17"/>
  <c r="H80" i="17"/>
  <c r="J43" i="18"/>
  <c r="J22" i="18"/>
  <c r="J49" i="18"/>
  <c r="H8" i="17"/>
  <c r="J102" i="18"/>
  <c r="J57" i="18"/>
  <c r="H62" i="17"/>
  <c r="J24" i="18"/>
  <c r="J40" i="18"/>
  <c r="J16" i="18"/>
  <c r="J18" i="18"/>
  <c r="I31" i="17"/>
  <c r="I64" i="17"/>
  <c r="I49" i="17"/>
  <c r="K40" i="18"/>
  <c r="K57" i="18"/>
  <c r="I90" i="17"/>
  <c r="K25" i="18"/>
  <c r="F8" i="9"/>
  <c r="F8" i="5"/>
  <c r="I73" i="17"/>
  <c r="I79" i="17"/>
  <c r="K48" i="18"/>
  <c r="K78" i="18"/>
  <c r="K8" i="18"/>
  <c r="I53" i="17"/>
  <c r="K43" i="18"/>
  <c r="K12" i="18"/>
  <c r="K49" i="18"/>
  <c r="K14" i="18"/>
  <c r="K9" i="18"/>
  <c r="K30" i="18"/>
  <c r="K22" i="18"/>
  <c r="I17" i="14"/>
  <c r="K24" i="18"/>
  <c r="D132" i="18"/>
  <c r="D48" i="12"/>
  <c r="D41" i="12"/>
  <c r="D42" i="12"/>
  <c r="D44" i="12"/>
  <c r="D76" i="12"/>
  <c r="D49" i="12"/>
  <c r="D45" i="12"/>
  <c r="D44" i="18"/>
  <c r="D63" i="18"/>
  <c r="D46" i="12"/>
  <c r="D77" i="12"/>
  <c r="D36" i="18"/>
  <c r="D75" i="12"/>
  <c r="D43" i="12"/>
  <c r="D78" i="12"/>
  <c r="D64" i="18"/>
  <c r="C81" i="17"/>
  <c r="E22" i="18"/>
  <c r="E21" i="18"/>
  <c r="E51" i="18"/>
  <c r="C65" i="17"/>
  <c r="E18" i="18"/>
  <c r="E13" i="18"/>
  <c r="E14" i="18"/>
  <c r="C77" i="17"/>
  <c r="E33" i="18"/>
  <c r="C21" i="17"/>
  <c r="E15" i="18"/>
  <c r="E28" i="18"/>
  <c r="E68" i="18"/>
  <c r="E65" i="18"/>
  <c r="C80" i="17"/>
  <c r="E11" i="18"/>
  <c r="E45" i="18"/>
  <c r="E50" i="18"/>
  <c r="E96" i="18"/>
  <c r="E8" i="18"/>
  <c r="E72" i="18"/>
  <c r="V11" i="18"/>
  <c r="T89" i="17"/>
  <c r="V28" i="18"/>
  <c r="T12" i="17"/>
  <c r="V18" i="18"/>
  <c r="V91" i="18"/>
  <c r="T28" i="17"/>
  <c r="T52" i="17"/>
  <c r="T46" i="17"/>
  <c r="V26" i="18"/>
  <c r="T76" i="17"/>
  <c r="V9" i="18"/>
  <c r="T68" i="17"/>
  <c r="T65" i="17"/>
  <c r="V52" i="18"/>
  <c r="V23" i="18"/>
  <c r="V31" i="18"/>
  <c r="V33" i="18"/>
  <c r="V77" i="18"/>
  <c r="V100" i="18"/>
  <c r="V45" i="18"/>
  <c r="V21" i="18"/>
  <c r="O8" i="14"/>
  <c r="Q78" i="12"/>
  <c r="Q55" i="18"/>
  <c r="O56" i="13"/>
  <c r="Q58" i="18"/>
  <c r="M6" i="7"/>
  <c r="O20" i="3"/>
  <c r="O87" i="17"/>
  <c r="Q75" i="12"/>
  <c r="O51" i="13"/>
  <c r="O57" i="13"/>
  <c r="M19" i="7"/>
  <c r="M51" i="11"/>
  <c r="M57" i="10"/>
  <c r="M18" i="4"/>
  <c r="M20" i="2"/>
  <c r="Q36" i="18"/>
  <c r="O55" i="13"/>
  <c r="O13" i="14"/>
  <c r="O54" i="13"/>
  <c r="O88" i="17"/>
  <c r="O96" i="17"/>
  <c r="O7" i="14"/>
  <c r="Q44" i="12"/>
  <c r="O99" i="17"/>
  <c r="O14" i="14"/>
  <c r="O93" i="17"/>
  <c r="O50" i="13"/>
  <c r="O52" i="13"/>
  <c r="M18" i="7"/>
  <c r="M50" i="11"/>
  <c r="M56" i="10"/>
  <c r="I57" i="13"/>
  <c r="G19" i="7"/>
  <c r="G51" i="11"/>
  <c r="G57" i="10"/>
  <c r="G18" i="4"/>
  <c r="G20" i="2"/>
  <c r="I52" i="13"/>
  <c r="G18" i="7"/>
  <c r="G50" i="11"/>
  <c r="G56" i="10"/>
  <c r="I99" i="17"/>
  <c r="I92" i="17"/>
  <c r="K58" i="18"/>
  <c r="I96" i="17"/>
  <c r="I55" i="13"/>
  <c r="I14" i="14"/>
  <c r="K62" i="18"/>
  <c r="I51" i="13"/>
  <c r="G6" i="7"/>
  <c r="I20" i="3"/>
  <c r="I87" i="17"/>
  <c r="I93" i="17"/>
  <c r="K78" i="12"/>
  <c r="K75" i="12"/>
  <c r="I54" i="13"/>
  <c r="I7" i="14"/>
  <c r="I8" i="14"/>
  <c r="I53" i="13"/>
  <c r="K95" i="18"/>
  <c r="K44" i="12"/>
  <c r="I13" i="14"/>
  <c r="I50" i="13"/>
  <c r="J56" i="13"/>
  <c r="H6" i="7"/>
  <c r="J20" i="3"/>
  <c r="J87" i="17"/>
  <c r="J57" i="13"/>
  <c r="H19" i="7"/>
  <c r="H51" i="11"/>
  <c r="H57" i="10"/>
  <c r="H18" i="4"/>
  <c r="H20" i="2"/>
  <c r="J92" i="17"/>
  <c r="J52" i="13"/>
  <c r="H18" i="7"/>
  <c r="H50" i="11"/>
  <c r="H56" i="10"/>
  <c r="L41" i="12"/>
  <c r="J7" i="14"/>
  <c r="L58" i="18"/>
  <c r="J51" i="13"/>
  <c r="L61" i="18"/>
  <c r="J14" i="14"/>
  <c r="J53" i="13"/>
  <c r="J13" i="14"/>
  <c r="J96" i="17"/>
  <c r="J55" i="13"/>
  <c r="L81" i="18"/>
  <c r="J50" i="13"/>
  <c r="J8" i="14"/>
  <c r="J93" i="17"/>
  <c r="L75" i="12"/>
  <c r="L76" i="12"/>
  <c r="J99" i="17"/>
  <c r="Q50" i="13"/>
  <c r="Q13" i="14"/>
  <c r="Q7" i="14"/>
  <c r="S77" i="12"/>
  <c r="S133" i="18"/>
  <c r="S42" i="12"/>
  <c r="S53" i="18"/>
  <c r="Q93" i="17"/>
  <c r="S76" i="12"/>
  <c r="Q55" i="13"/>
  <c r="Q56" i="13"/>
  <c r="Q8" i="14"/>
  <c r="O6" i="7"/>
  <c r="Q20" i="3"/>
  <c r="Q87" i="17"/>
  <c r="Q54" i="13"/>
  <c r="Q57" i="13"/>
  <c r="O19" i="7"/>
  <c r="O51" i="11"/>
  <c r="O57" i="10"/>
  <c r="O18" i="4"/>
  <c r="O20" i="2"/>
  <c r="Q88" i="17"/>
  <c r="S55" i="18"/>
  <c r="Q92" i="17"/>
  <c r="Q53" i="13"/>
  <c r="Q51" i="13"/>
  <c r="Q52" i="13"/>
  <c r="O18" i="7"/>
  <c r="O50" i="11"/>
  <c r="O56" i="10"/>
  <c r="S36" i="18"/>
  <c r="G13" i="14"/>
  <c r="G56" i="13"/>
  <c r="G50" i="13"/>
  <c r="G51" i="13"/>
  <c r="I61" i="18"/>
  <c r="I95" i="18"/>
  <c r="G96" i="17"/>
  <c r="G52" i="13"/>
  <c r="E18" i="7"/>
  <c r="E50" i="11"/>
  <c r="E56" i="10"/>
  <c r="G53" i="13"/>
  <c r="I46" i="12"/>
  <c r="G14" i="14"/>
  <c r="E6" i="7"/>
  <c r="G20" i="3"/>
  <c r="G87" i="17"/>
  <c r="I77" i="12"/>
  <c r="I82" i="18"/>
  <c r="G88" i="17"/>
  <c r="I75" i="12"/>
  <c r="G7" i="14"/>
  <c r="G54" i="13"/>
  <c r="I58" i="18"/>
  <c r="G92" i="17"/>
  <c r="G55" i="13"/>
  <c r="G57" i="13"/>
  <c r="E19" i="7"/>
  <c r="E51" i="11"/>
  <c r="E57" i="10"/>
  <c r="E18" i="4"/>
  <c r="E20" i="2"/>
  <c r="T52" i="18"/>
  <c r="T38" i="18"/>
  <c r="R48" i="17"/>
  <c r="T21" i="18"/>
  <c r="T17" i="18"/>
  <c r="T11" i="18"/>
  <c r="T45" i="18"/>
  <c r="T25" i="18"/>
  <c r="R89" i="17"/>
  <c r="T8" i="18"/>
  <c r="T14" i="18"/>
  <c r="T31" i="18"/>
  <c r="R50" i="17"/>
  <c r="R63" i="17"/>
  <c r="T23" i="18"/>
  <c r="R16" i="14"/>
  <c r="T13" i="18"/>
  <c r="T28" i="18"/>
  <c r="R19" i="3"/>
  <c r="R82" i="17"/>
  <c r="T42" i="18"/>
  <c r="R91" i="17"/>
  <c r="R30" i="17"/>
  <c r="K13" i="14"/>
  <c r="K96" i="17"/>
  <c r="M42" i="12"/>
  <c r="K57" i="13"/>
  <c r="I19" i="7"/>
  <c r="I51" i="11"/>
  <c r="I57" i="10"/>
  <c r="I18" i="4"/>
  <c r="I20" i="2"/>
  <c r="K50" i="13"/>
  <c r="K51" i="13"/>
  <c r="M62" i="18"/>
  <c r="K7" i="14"/>
  <c r="K88" i="17"/>
  <c r="K14" i="14"/>
  <c r="K8" i="14"/>
  <c r="K52" i="13"/>
  <c r="I18" i="7"/>
  <c r="I50" i="11"/>
  <c r="I56" i="10"/>
  <c r="K99" i="17"/>
  <c r="K92" i="17"/>
  <c r="M76" i="12"/>
  <c r="M55" i="18"/>
  <c r="I6" i="7"/>
  <c r="K20" i="3"/>
  <c r="K87" i="17"/>
  <c r="K55" i="13"/>
  <c r="K54" i="13"/>
  <c r="K93" i="17"/>
  <c r="M48" i="12"/>
  <c r="K53" i="13"/>
  <c r="Q79" i="17"/>
  <c r="S70" i="18"/>
  <c r="Q7" i="17"/>
  <c r="S21" i="18"/>
  <c r="S15" i="18"/>
  <c r="S56" i="18"/>
  <c r="S46" i="18"/>
  <c r="Q15" i="3"/>
  <c r="Q23" i="17"/>
  <c r="S13" i="18"/>
  <c r="Q41" i="17"/>
  <c r="Q71" i="17"/>
  <c r="S38" i="18"/>
  <c r="S17" i="18"/>
  <c r="Q94" i="17"/>
  <c r="S25" i="18"/>
  <c r="Q91" i="17"/>
  <c r="S88" i="18"/>
  <c r="S42" i="18"/>
  <c r="S48" i="18"/>
  <c r="S10" i="18"/>
  <c r="S23" i="18"/>
  <c r="S34" i="18"/>
  <c r="W44" i="12"/>
  <c r="W54" i="18"/>
  <c r="U53" i="13"/>
  <c r="W77" i="12"/>
  <c r="U99" i="17"/>
  <c r="U93" i="17"/>
  <c r="U14" i="14"/>
  <c r="U55" i="13"/>
  <c r="U8" i="14"/>
  <c r="U51" i="13"/>
  <c r="U88" i="17"/>
  <c r="W76" i="12"/>
  <c r="U54" i="13"/>
  <c r="W44" i="18"/>
  <c r="U56" i="13"/>
  <c r="U7" i="14"/>
  <c r="W48" i="12"/>
  <c r="U13" i="14"/>
  <c r="S6" i="7"/>
  <c r="U20" i="3"/>
  <c r="U87" i="17"/>
  <c r="U96" i="17"/>
  <c r="U52" i="13"/>
  <c r="S18" i="7"/>
  <c r="S50" i="11"/>
  <c r="S56" i="10"/>
  <c r="W53" i="18"/>
  <c r="O46" i="12"/>
  <c r="M14" i="14"/>
  <c r="M88" i="17"/>
  <c r="M52" i="13"/>
  <c r="K18" i="7"/>
  <c r="K50" i="11"/>
  <c r="K56" i="10"/>
  <c r="M55" i="13"/>
  <c r="M92" i="17"/>
  <c r="M53" i="13"/>
  <c r="O61" i="18"/>
  <c r="M99" i="17"/>
  <c r="O54" i="18"/>
  <c r="O129" i="18"/>
  <c r="O77" i="12"/>
  <c r="M13" i="14"/>
  <c r="M96" i="17"/>
  <c r="M54" i="13"/>
  <c r="O36" i="18"/>
  <c r="M50" i="13"/>
  <c r="M8" i="14"/>
  <c r="M7" i="14"/>
  <c r="M57" i="13"/>
  <c r="K19" i="7"/>
  <c r="K51" i="11"/>
  <c r="K57" i="10"/>
  <c r="K18" i="4"/>
  <c r="K20" i="2"/>
  <c r="M56" i="13"/>
  <c r="O48" i="12"/>
  <c r="F50" i="13"/>
  <c r="H61" i="18"/>
  <c r="H76" i="12"/>
  <c r="F57" i="13"/>
  <c r="D19" i="7"/>
  <c r="D51" i="11"/>
  <c r="D57" i="10"/>
  <c r="D18" i="4"/>
  <c r="D20" i="2"/>
  <c r="F96" i="17"/>
  <c r="F51" i="13"/>
  <c r="F8" i="14"/>
  <c r="F88" i="17"/>
  <c r="H63" i="18"/>
  <c r="F53" i="13"/>
  <c r="F55" i="13"/>
  <c r="H128" i="18"/>
  <c r="D6" i="7"/>
  <c r="F20" i="3"/>
  <c r="F87" i="17"/>
  <c r="F14" i="14"/>
  <c r="H62" i="18"/>
  <c r="F52" i="13"/>
  <c r="D18" i="7"/>
  <c r="D50" i="11"/>
  <c r="D56" i="10"/>
  <c r="H44" i="18"/>
  <c r="F56" i="13"/>
  <c r="H77" i="12"/>
  <c r="H49" i="12"/>
  <c r="H45" i="12"/>
  <c r="F7" i="14"/>
  <c r="L55" i="13"/>
  <c r="L52" i="13"/>
  <c r="J18" i="7"/>
  <c r="J50" i="11"/>
  <c r="J56" i="10"/>
  <c r="L14" i="14"/>
  <c r="N49" i="12"/>
  <c r="L51" i="13"/>
  <c r="N55" i="18"/>
  <c r="N101" i="18"/>
  <c r="L13" i="14"/>
  <c r="N61" i="18"/>
  <c r="L57" i="13"/>
  <c r="J19" i="7"/>
  <c r="J51" i="11"/>
  <c r="J57" i="10"/>
  <c r="J18" i="4"/>
  <c r="J20" i="2"/>
  <c r="L99" i="17"/>
  <c r="N58" i="18"/>
  <c r="L54" i="13"/>
  <c r="L92" i="17"/>
  <c r="L53" i="13"/>
  <c r="L88" i="17"/>
  <c r="N77" i="12"/>
  <c r="N78" i="12"/>
  <c r="L50" i="13"/>
  <c r="L8" i="14"/>
  <c r="L7" i="14"/>
  <c r="J6" i="7"/>
  <c r="L20" i="3"/>
  <c r="L87" i="17"/>
  <c r="S19" i="3"/>
  <c r="S82" i="17"/>
  <c r="U15" i="18"/>
  <c r="U46" i="18"/>
  <c r="U42" i="18"/>
  <c r="S83" i="17"/>
  <c r="U84" i="18"/>
  <c r="S17" i="3"/>
  <c r="S56" i="17"/>
  <c r="S21" i="17"/>
  <c r="U11" i="18"/>
  <c r="U17" i="18"/>
  <c r="U25" i="18"/>
  <c r="S76" i="17"/>
  <c r="U8" i="18"/>
  <c r="U13" i="18"/>
  <c r="U70" i="18"/>
  <c r="S65" i="17"/>
  <c r="S54" i="17"/>
  <c r="S77" i="17"/>
  <c r="U28" i="18"/>
  <c r="U18" i="18"/>
  <c r="U45" i="18"/>
  <c r="U21" i="18"/>
  <c r="Y55" i="18"/>
  <c r="Y46" i="12"/>
  <c r="X93" i="17"/>
  <c r="X56" i="13"/>
  <c r="X52" i="13"/>
  <c r="V18" i="7"/>
  <c r="V50" i="11"/>
  <c r="V56" i="10"/>
  <c r="X51" i="13"/>
  <c r="X55" i="13"/>
  <c r="V6" i="7"/>
  <c r="X20" i="3"/>
  <c r="X87" i="17"/>
  <c r="X50" i="13"/>
  <c r="X57" i="13"/>
  <c r="V19" i="7"/>
  <c r="V51" i="11"/>
  <c r="V57" i="10"/>
  <c r="V18" i="4"/>
  <c r="V20" i="2"/>
  <c r="X92" i="17"/>
  <c r="Y41" i="12"/>
  <c r="Y75" i="12"/>
  <c r="Y77" i="12"/>
  <c r="X14" i="14"/>
  <c r="Y53" i="18"/>
  <c r="X96" i="17"/>
  <c r="X99" i="17"/>
  <c r="X7" i="14"/>
  <c r="X8" i="14"/>
  <c r="X53" i="13"/>
  <c r="X88" i="17"/>
  <c r="N17" i="18"/>
  <c r="L18" i="3"/>
  <c r="L72" i="17"/>
  <c r="L36" i="17"/>
  <c r="L53" i="17"/>
  <c r="N34" i="18"/>
  <c r="N10" i="18"/>
  <c r="L91" i="17"/>
  <c r="N49" i="18"/>
  <c r="N43" i="18"/>
  <c r="N20" i="18"/>
  <c r="N32" i="18"/>
  <c r="N56" i="18"/>
  <c r="N27" i="18"/>
  <c r="N24" i="18"/>
  <c r="L69" i="17"/>
  <c r="N16" i="18"/>
  <c r="N12" i="18"/>
  <c r="N85" i="18"/>
  <c r="N22" i="18"/>
  <c r="N14" i="18"/>
  <c r="L20" i="17"/>
  <c r="L76" i="17"/>
  <c r="J65" i="18"/>
  <c r="J13" i="18"/>
  <c r="J38" i="18"/>
  <c r="H91" i="17"/>
  <c r="J89" i="18"/>
  <c r="J31" i="18"/>
  <c r="J41" i="18"/>
  <c r="J66" i="18"/>
  <c r="J15" i="18"/>
  <c r="J51" i="18"/>
  <c r="J33" i="18"/>
  <c r="E9" i="9"/>
  <c r="E9" i="5"/>
  <c r="H81" i="17"/>
  <c r="J11" i="18"/>
  <c r="J68" i="18"/>
  <c r="J21" i="18"/>
  <c r="J28" i="18"/>
  <c r="J83" i="18"/>
  <c r="J50" i="18"/>
  <c r="J114" i="18"/>
  <c r="J23" i="18"/>
  <c r="J71" i="18"/>
  <c r="J67" i="18"/>
  <c r="D93" i="18"/>
  <c r="D8" i="18"/>
  <c r="D34" i="18"/>
  <c r="D73" i="18"/>
  <c r="D32" i="18"/>
  <c r="D65" i="18"/>
  <c r="D31" i="18"/>
  <c r="D20" i="18"/>
  <c r="D23" i="18"/>
  <c r="D66" i="18"/>
  <c r="D79" i="18"/>
  <c r="D27" i="18"/>
  <c r="D52" i="18"/>
  <c r="D17" i="18"/>
  <c r="D25" i="18"/>
  <c r="D103" i="18"/>
  <c r="D89" i="18"/>
  <c r="D13" i="18"/>
  <c r="D38" i="18"/>
  <c r="D46" i="18"/>
  <c r="D67" i="18"/>
  <c r="D42" i="18"/>
  <c r="H13" i="18"/>
  <c r="H25" i="18"/>
  <c r="H51" i="18"/>
  <c r="H45" i="18"/>
  <c r="H68" i="18"/>
  <c r="H69" i="18"/>
  <c r="H23" i="18"/>
  <c r="H50" i="18"/>
  <c r="F83" i="17"/>
  <c r="H18" i="18"/>
  <c r="H8" i="18"/>
  <c r="H21" i="18"/>
  <c r="H41" i="18"/>
  <c r="H15" i="18"/>
  <c r="H33" i="18"/>
  <c r="H115" i="18"/>
  <c r="H67" i="18"/>
  <c r="H117" i="18"/>
  <c r="H89" i="18"/>
  <c r="H52" i="18"/>
  <c r="H38" i="18"/>
  <c r="H73" i="18"/>
  <c r="C88" i="18"/>
  <c r="C86" i="18"/>
  <c r="C20" i="18"/>
  <c r="C48" i="18"/>
  <c r="C17" i="18"/>
  <c r="C40" i="18"/>
  <c r="C23" i="18"/>
  <c r="C65" i="18"/>
  <c r="C32" i="18"/>
  <c r="C27" i="18"/>
  <c r="C42" i="18"/>
  <c r="C12" i="18"/>
  <c r="C22" i="18"/>
  <c r="C13" i="18"/>
  <c r="C46" i="18"/>
  <c r="C66" i="18"/>
  <c r="C34" i="18"/>
  <c r="C52" i="18"/>
  <c r="C15" i="18"/>
  <c r="C30" i="18"/>
  <c r="C10" i="18"/>
  <c r="C67" i="18"/>
  <c r="T20" i="7"/>
  <c r="T63" i="11"/>
  <c r="T69" i="10"/>
  <c r="V55" i="13"/>
  <c r="V53" i="13"/>
  <c r="X76" i="12"/>
  <c r="V7" i="14"/>
  <c r="X45" i="12"/>
  <c r="X53" i="18"/>
  <c r="V56" i="13"/>
  <c r="V96" i="17"/>
  <c r="X63" i="18"/>
  <c r="V14" i="14"/>
  <c r="V8" i="14"/>
  <c r="V88" i="17"/>
  <c r="X44" i="18"/>
  <c r="V54" i="13"/>
  <c r="V57" i="13"/>
  <c r="T19" i="7"/>
  <c r="T51" i="11"/>
  <c r="T57" i="10"/>
  <c r="T18" i="4"/>
  <c r="T20" i="2"/>
  <c r="V13" i="14"/>
  <c r="X58" i="18"/>
  <c r="V93" i="17"/>
  <c r="T6" i="7"/>
  <c r="V20" i="3"/>
  <c r="V87" i="17"/>
  <c r="V51" i="13"/>
  <c r="V50" i="13"/>
  <c r="R40" i="18"/>
  <c r="R69" i="18"/>
  <c r="R49" i="18"/>
  <c r="R20" i="18"/>
  <c r="M8" i="9"/>
  <c r="M8" i="5"/>
  <c r="P73" i="17"/>
  <c r="R59" i="18"/>
  <c r="R68" i="18"/>
  <c r="R24" i="18"/>
  <c r="R104" i="18"/>
  <c r="R75" i="18"/>
  <c r="R14" i="18"/>
  <c r="R67" i="18"/>
  <c r="R79" i="18"/>
  <c r="R32" i="18"/>
  <c r="R37" i="18"/>
  <c r="R27" i="18"/>
  <c r="R50" i="18"/>
  <c r="R57" i="18"/>
  <c r="R66" i="18"/>
  <c r="R22" i="18"/>
  <c r="R97" i="18"/>
  <c r="R30" i="18"/>
  <c r="X13" i="18"/>
  <c r="X75" i="18"/>
  <c r="X15" i="18"/>
  <c r="X89" i="18"/>
  <c r="X17" i="18"/>
  <c r="X48" i="18"/>
  <c r="X38" i="18"/>
  <c r="X91" i="18"/>
  <c r="X103" i="18"/>
  <c r="V83" i="17"/>
  <c r="X31" i="18"/>
  <c r="X96" i="18"/>
  <c r="X33" i="18"/>
  <c r="X8" i="18"/>
  <c r="X85" i="18"/>
  <c r="X21" i="18"/>
  <c r="X18" i="18"/>
  <c r="X23" i="18"/>
  <c r="X25" i="18"/>
  <c r="X69" i="18"/>
  <c r="X42" i="18"/>
  <c r="X56" i="18"/>
  <c r="T36" i="18"/>
  <c r="T55" i="18"/>
  <c r="T77" i="12"/>
  <c r="T43" i="12"/>
  <c r="T61" i="18"/>
  <c r="T54" i="18"/>
  <c r="R92" i="17"/>
  <c r="T49" i="12"/>
  <c r="R99" i="17"/>
  <c r="R52" i="13"/>
  <c r="P18" i="7"/>
  <c r="P50" i="11"/>
  <c r="P56" i="10"/>
  <c r="R53" i="13"/>
  <c r="R55" i="13"/>
  <c r="R88" i="17"/>
  <c r="R50" i="13"/>
  <c r="R8" i="14"/>
  <c r="R57" i="13"/>
  <c r="P19" i="7"/>
  <c r="P51" i="11"/>
  <c r="P57" i="10"/>
  <c r="P18" i="4"/>
  <c r="P20" i="2"/>
  <c r="R54" i="13"/>
  <c r="R7" i="14"/>
  <c r="R56" i="13"/>
  <c r="R13" i="14"/>
  <c r="R93" i="17"/>
  <c r="R51" i="13"/>
  <c r="L51" i="18"/>
  <c r="L66" i="18"/>
  <c r="L33" i="18"/>
  <c r="L9" i="18"/>
  <c r="L37" i="18"/>
  <c r="L16" i="18"/>
  <c r="L28" i="18"/>
  <c r="L18" i="18"/>
  <c r="L35" i="18"/>
  <c r="L21" i="18"/>
  <c r="L71" i="18"/>
  <c r="J89" i="17"/>
  <c r="L26" i="18"/>
  <c r="L11" i="18"/>
  <c r="L41" i="18"/>
  <c r="L45" i="18"/>
  <c r="J79" i="17"/>
  <c r="L38" i="18"/>
  <c r="L31" i="18"/>
  <c r="L65" i="18"/>
  <c r="L13" i="18"/>
  <c r="L52" i="18"/>
  <c r="Y13" i="14"/>
  <c r="Y57" i="13"/>
  <c r="W19" i="7"/>
  <c r="W51" i="11"/>
  <c r="W57" i="10"/>
  <c r="W18" i="4"/>
  <c r="W20" i="2"/>
  <c r="Y53" i="13"/>
  <c r="Y55" i="13"/>
  <c r="Y54" i="13"/>
  <c r="W6" i="7"/>
  <c r="Y20" i="3"/>
  <c r="Y87" i="17"/>
  <c r="Y96" i="17"/>
  <c r="Z58" i="18"/>
  <c r="Y52" i="13"/>
  <c r="W18" i="7"/>
  <c r="W50" i="11"/>
  <c r="W56" i="10"/>
  <c r="Z36" i="18"/>
  <c r="Y51" i="13"/>
  <c r="Y99" i="17"/>
  <c r="Y92" i="17"/>
  <c r="Z77" i="12"/>
  <c r="Y56" i="13"/>
  <c r="Y50" i="13"/>
  <c r="Z54" i="18"/>
  <c r="Y14" i="14"/>
  <c r="Z43" i="12"/>
  <c r="Y7" i="14"/>
  <c r="Y93" i="17"/>
  <c r="Z78" i="12"/>
  <c r="M24" i="18"/>
  <c r="M18" i="18"/>
  <c r="M138" i="18"/>
  <c r="M142" i="18"/>
  <c r="K89" i="17"/>
  <c r="M38" i="18"/>
  <c r="M31" i="18"/>
  <c r="M37" i="18"/>
  <c r="M26" i="18"/>
  <c r="M35" i="18"/>
  <c r="M16" i="18"/>
  <c r="M33" i="18"/>
  <c r="M51" i="18"/>
  <c r="M65" i="18"/>
  <c r="M76" i="18"/>
  <c r="M92" i="18"/>
  <c r="M66" i="18"/>
  <c r="M11" i="18"/>
  <c r="M21" i="18"/>
  <c r="M41" i="18"/>
  <c r="M78" i="18"/>
  <c r="M28" i="18"/>
  <c r="I45" i="18"/>
  <c r="I42" i="18"/>
  <c r="I38" i="18"/>
  <c r="I23" i="18"/>
  <c r="I13" i="18"/>
  <c r="I28" i="18"/>
  <c r="I26" i="18"/>
  <c r="I80" i="18"/>
  <c r="I46" i="18"/>
  <c r="I25" i="18"/>
  <c r="I52" i="18"/>
  <c r="I11" i="18"/>
  <c r="I51" i="18"/>
  <c r="G74" i="17"/>
  <c r="I76" i="18"/>
  <c r="I21" i="18"/>
  <c r="I9" i="18"/>
  <c r="I92" i="18"/>
  <c r="I31" i="18"/>
  <c r="I15" i="18"/>
  <c r="I119" i="18"/>
  <c r="I35" i="18"/>
  <c r="S67" i="18"/>
  <c r="S20" i="18"/>
  <c r="S65" i="18"/>
  <c r="S22" i="18"/>
  <c r="S59" i="18"/>
  <c r="S136" i="18"/>
  <c r="S50" i="18"/>
  <c r="S57" i="18"/>
  <c r="S14" i="18"/>
  <c r="S27" i="18"/>
  <c r="S12" i="18"/>
  <c r="Q90" i="17"/>
  <c r="S86" i="18"/>
  <c r="S30" i="18"/>
  <c r="S49" i="18"/>
  <c r="S35" i="18"/>
  <c r="Q80" i="17"/>
  <c r="S37" i="18"/>
  <c r="S40" i="18"/>
  <c r="S66" i="18"/>
  <c r="S32" i="18"/>
  <c r="S72" i="18"/>
  <c r="P33" i="18"/>
  <c r="P120" i="18"/>
  <c r="P41" i="18"/>
  <c r="N75" i="17"/>
  <c r="P24" i="18"/>
  <c r="P43" i="18"/>
  <c r="P65" i="18"/>
  <c r="P26" i="18"/>
  <c r="N94" i="17"/>
  <c r="P31" i="18"/>
  <c r="P59" i="18"/>
  <c r="P83" i="18"/>
  <c r="P69" i="18"/>
  <c r="P22" i="18"/>
  <c r="P67" i="18"/>
  <c r="P50" i="18"/>
  <c r="P35" i="18"/>
  <c r="P16" i="18"/>
  <c r="P97" i="18"/>
  <c r="P37" i="18"/>
  <c r="P68" i="18"/>
  <c r="P14" i="18"/>
  <c r="O24" i="18"/>
  <c r="O92" i="18"/>
  <c r="O9" i="18"/>
  <c r="O76" i="18"/>
  <c r="O86" i="18"/>
  <c r="O31" i="18"/>
  <c r="M94" i="17"/>
  <c r="O14" i="18"/>
  <c r="O33" i="18"/>
  <c r="O59" i="18"/>
  <c r="O26" i="18"/>
  <c r="O18" i="18"/>
  <c r="O35" i="18"/>
  <c r="O68" i="18"/>
  <c r="O41" i="18"/>
  <c r="O90" i="18"/>
  <c r="O71" i="18"/>
  <c r="O51" i="18"/>
  <c r="O28" i="18"/>
  <c r="O49" i="18"/>
  <c r="O43" i="18"/>
  <c r="O16" i="18"/>
  <c r="Z38" i="18"/>
  <c r="Z103" i="18"/>
  <c r="Z57" i="18"/>
  <c r="Z45" i="18"/>
  <c r="Z27" i="18"/>
  <c r="Z11" i="18"/>
  <c r="Z48" i="18"/>
  <c r="Z56" i="18"/>
  <c r="Z99" i="18"/>
  <c r="Z15" i="18"/>
  <c r="Y91" i="17"/>
  <c r="Z83" i="18"/>
  <c r="Z21" i="18"/>
  <c r="Z31" i="18"/>
  <c r="Z13" i="18"/>
  <c r="Z89" i="18"/>
  <c r="Z42" i="18"/>
  <c r="Y18" i="3"/>
  <c r="Y72" i="17"/>
  <c r="Z49" i="18"/>
  <c r="Z23" i="18"/>
  <c r="Z28" i="18"/>
  <c r="Z32" i="18"/>
  <c r="W8" i="18"/>
  <c r="W49" i="18"/>
  <c r="W25" i="18"/>
  <c r="W72" i="18"/>
  <c r="W17" i="18"/>
  <c r="W40" i="18"/>
  <c r="W43" i="18"/>
  <c r="W48" i="18"/>
  <c r="W23" i="18"/>
  <c r="W10" i="18"/>
  <c r="W42" i="18"/>
  <c r="W70" i="18"/>
  <c r="W69" i="18"/>
  <c r="W34" i="18"/>
  <c r="W30" i="18"/>
  <c r="W13" i="18"/>
  <c r="W15" i="18"/>
  <c r="U76" i="17"/>
  <c r="W32" i="18"/>
  <c r="W59" i="18"/>
  <c r="W57" i="18"/>
  <c r="W27" i="18"/>
  <c r="Q43" i="18"/>
  <c r="Q33" i="18"/>
  <c r="Q66" i="18"/>
  <c r="Q50" i="18"/>
  <c r="Q68" i="18"/>
  <c r="Q69" i="18"/>
  <c r="Q37" i="18"/>
  <c r="Q16" i="18"/>
  <c r="Q34" i="18"/>
  <c r="Q93" i="18"/>
  <c r="Q40" i="18"/>
  <c r="Q20" i="18"/>
  <c r="Q49" i="18"/>
  <c r="Q12" i="18"/>
  <c r="Q67" i="18"/>
  <c r="Q30" i="18"/>
  <c r="Q14" i="18"/>
  <c r="O19" i="3"/>
  <c r="O82" i="17"/>
  <c r="Q59" i="18"/>
  <c r="Q24" i="18"/>
  <c r="Q17" i="18"/>
  <c r="Q22" i="18"/>
  <c r="G13" i="18"/>
  <c r="G23" i="18"/>
  <c r="G70" i="18"/>
  <c r="G45" i="18"/>
  <c r="G32" i="18"/>
  <c r="G42" i="18"/>
  <c r="G27" i="18"/>
  <c r="G28" i="18"/>
  <c r="G22" i="18"/>
  <c r="G52" i="18"/>
  <c r="G66" i="18"/>
  <c r="Y70" i="18"/>
  <c r="E76" i="17"/>
  <c r="Y76" i="18"/>
  <c r="G25" i="18"/>
  <c r="Y32" i="18"/>
  <c r="G11" i="18"/>
  <c r="G17" i="18"/>
  <c r="Y52" i="18"/>
  <c r="G15" i="18"/>
  <c r="Y34" i="18"/>
  <c r="G72" i="18"/>
  <c r="Y13" i="18"/>
  <c r="Y25" i="18"/>
  <c r="G103" i="18"/>
  <c r="G34" i="18"/>
  <c r="Y30" i="18"/>
  <c r="Y42" i="18"/>
  <c r="Y57" i="18"/>
  <c r="G31" i="18"/>
  <c r="Y38" i="18"/>
  <c r="Y46" i="18"/>
  <c r="Y15" i="18"/>
  <c r="G8" i="18"/>
  <c r="Y92" i="18"/>
  <c r="Y45" i="18"/>
  <c r="Y40" i="18"/>
  <c r="Y21" i="18"/>
  <c r="G116" i="18"/>
  <c r="Y20" i="18"/>
  <c r="Y49" i="18"/>
  <c r="U9" i="9"/>
  <c r="U9" i="5"/>
  <c r="X81" i="17"/>
  <c r="Y23" i="18"/>
  <c r="X91" i="17"/>
  <c r="E86" i="18"/>
  <c r="C78" i="17"/>
  <c r="E48" i="18"/>
  <c r="E80" i="18"/>
  <c r="E12" i="18"/>
  <c r="E10" i="18"/>
  <c r="E32" i="18"/>
  <c r="E17" i="18"/>
  <c r="E20" i="18"/>
  <c r="E34" i="18"/>
  <c r="E40" i="18"/>
  <c r="E42" i="18"/>
  <c r="E43" i="18"/>
  <c r="E25" i="18"/>
  <c r="E71" i="18"/>
  <c r="E27" i="18"/>
  <c r="E38" i="18"/>
  <c r="E30" i="18"/>
  <c r="E46" i="18"/>
  <c r="E24" i="18"/>
  <c r="E56" i="18"/>
  <c r="E70" i="18"/>
  <c r="N11" i="18"/>
  <c r="N38" i="18"/>
  <c r="N35" i="18"/>
  <c r="L77" i="17"/>
  <c r="N83" i="18"/>
  <c r="N98" i="18"/>
  <c r="N23" i="18"/>
  <c r="N52" i="18"/>
  <c r="N41" i="18"/>
  <c r="N31" i="18"/>
  <c r="N33" i="18"/>
  <c r="N67" i="18"/>
  <c r="N45" i="18"/>
  <c r="N26" i="18"/>
  <c r="N18" i="18"/>
  <c r="N9" i="18"/>
  <c r="N73" i="18"/>
  <c r="N50" i="18"/>
  <c r="N28" i="18"/>
  <c r="N79" i="18"/>
  <c r="N37" i="18"/>
  <c r="N71" i="18"/>
  <c r="K13" i="18"/>
  <c r="K28" i="18"/>
  <c r="K38" i="18"/>
  <c r="K67" i="18"/>
  <c r="K26" i="18"/>
  <c r="K31" i="18"/>
  <c r="K33" i="18"/>
  <c r="K46" i="18"/>
  <c r="K18" i="18"/>
  <c r="K66" i="18"/>
  <c r="K68" i="18"/>
  <c r="I18" i="3"/>
  <c r="I72" i="17"/>
  <c r="K80" i="18"/>
  <c r="K65" i="18"/>
  <c r="K35" i="18"/>
  <c r="K90" i="18"/>
  <c r="I91" i="17"/>
  <c r="K23" i="18"/>
  <c r="K51" i="18"/>
  <c r="K41" i="18"/>
  <c r="K21" i="18"/>
  <c r="K50" i="18"/>
  <c r="T66" i="18"/>
  <c r="T37" i="18"/>
  <c r="T56" i="18"/>
  <c r="T30" i="18"/>
  <c r="T50" i="18"/>
  <c r="T48" i="18"/>
  <c r="T73" i="18"/>
  <c r="T79" i="18"/>
  <c r="T65" i="18"/>
  <c r="T20" i="18"/>
  <c r="T49" i="18"/>
  <c r="R71" i="17"/>
  <c r="T34" i="18"/>
  <c r="T43" i="18"/>
  <c r="T57" i="18"/>
  <c r="R90" i="17"/>
  <c r="T32" i="18"/>
  <c r="T12" i="18"/>
  <c r="T22" i="18"/>
  <c r="T89" i="18"/>
  <c r="T40" i="18"/>
  <c r="T27" i="18"/>
  <c r="F17" i="18"/>
  <c r="F42" i="18"/>
  <c r="F87" i="18"/>
  <c r="F23" i="18"/>
  <c r="F52" i="18"/>
  <c r="F45" i="18"/>
  <c r="F15" i="18"/>
  <c r="F14" i="18"/>
  <c r="F10" i="18"/>
  <c r="F46" i="18"/>
  <c r="F48" i="18"/>
  <c r="F20" i="18"/>
  <c r="F34" i="18"/>
  <c r="F93" i="18"/>
  <c r="F40" i="18"/>
  <c r="F30" i="18"/>
  <c r="F71" i="18"/>
  <c r="F27" i="18"/>
  <c r="F99" i="18"/>
  <c r="F32" i="18"/>
  <c r="F25" i="18"/>
  <c r="F135" i="18"/>
  <c r="V43" i="18"/>
  <c r="V24" i="18"/>
  <c r="V15" i="18"/>
  <c r="V75" i="18"/>
  <c r="V42" i="18"/>
  <c r="V30" i="18"/>
  <c r="T19" i="3"/>
  <c r="T82" i="17"/>
  <c r="V96" i="18"/>
  <c r="V27" i="18"/>
  <c r="V14" i="18"/>
  <c r="V25" i="18"/>
  <c r="V145" i="18"/>
  <c r="V17" i="18"/>
  <c r="V71" i="18"/>
  <c r="V46" i="18"/>
  <c r="V48" i="18"/>
  <c r="V20" i="18"/>
  <c r="V34" i="18"/>
  <c r="V10" i="18"/>
  <c r="V32" i="18"/>
  <c r="V40" i="18"/>
  <c r="T66" i="17"/>
  <c r="U37" i="18"/>
  <c r="U50" i="18"/>
  <c r="U30" i="18"/>
  <c r="U27" i="18"/>
  <c r="U80" i="18"/>
  <c r="U86" i="18"/>
  <c r="U56" i="18"/>
  <c r="U20" i="18"/>
  <c r="U93" i="18"/>
  <c r="U65" i="18"/>
  <c r="U68" i="18"/>
  <c r="U48" i="18"/>
  <c r="S78" i="17"/>
  <c r="U40" i="18"/>
  <c r="U43" i="18"/>
  <c r="U57" i="18"/>
  <c r="U24" i="18"/>
  <c r="U32" i="18"/>
  <c r="U10" i="18"/>
  <c r="U12" i="18"/>
  <c r="U59" i="18"/>
  <c r="U34" i="18"/>
  <c r="I56" i="18"/>
  <c r="I123" i="18"/>
  <c r="I12" i="18"/>
  <c r="G64" i="17"/>
  <c r="G80" i="17"/>
  <c r="G90" i="17"/>
  <c r="I89" i="18"/>
  <c r="I73" i="18"/>
  <c r="I91" i="18"/>
  <c r="I22" i="18"/>
  <c r="G71" i="17"/>
  <c r="I20" i="18"/>
  <c r="I117" i="18"/>
  <c r="I70" i="18"/>
  <c r="I57" i="18"/>
  <c r="I154" i="18"/>
  <c r="I34" i="18"/>
  <c r="I146" i="18"/>
  <c r="I32" i="18"/>
  <c r="I40" i="18"/>
  <c r="I30" i="18"/>
  <c r="I75" i="18"/>
  <c r="D49" i="18"/>
  <c r="D57" i="18"/>
  <c r="D16" i="18"/>
  <c r="D56" i="18"/>
  <c r="D12" i="18"/>
  <c r="D86" i="18"/>
  <c r="D9" i="18"/>
  <c r="D107" i="18"/>
  <c r="D77" i="18"/>
  <c r="D33" i="18"/>
  <c r="D127" i="18"/>
  <c r="D18" i="18"/>
  <c r="D30" i="18"/>
  <c r="D22" i="18"/>
  <c r="D35" i="18"/>
  <c r="D70" i="18"/>
  <c r="D26" i="18"/>
  <c r="D48" i="18"/>
  <c r="D72" i="18"/>
  <c r="D43" i="18"/>
  <c r="D40" i="18"/>
  <c r="D37" i="18"/>
  <c r="AA57" i="18"/>
  <c r="AA18" i="18"/>
  <c r="AA23" i="18"/>
  <c r="AA37" i="18"/>
  <c r="AA28" i="18"/>
  <c r="AA48" i="18"/>
  <c r="AA46" i="18"/>
  <c r="AA38" i="18"/>
  <c r="AA17" i="18"/>
  <c r="AA21" i="18"/>
  <c r="AA33" i="18"/>
  <c r="AA26" i="18"/>
  <c r="AA78" i="18"/>
  <c r="Z89" i="17"/>
  <c r="AA34" i="18"/>
  <c r="AA9" i="18"/>
  <c r="AA90" i="18"/>
  <c r="AA56" i="18"/>
  <c r="AA13" i="18"/>
  <c r="AA31" i="18"/>
  <c r="Z79" i="17"/>
  <c r="AA24" i="18"/>
  <c r="M52" i="18"/>
  <c r="M87" i="18"/>
  <c r="M34" i="18"/>
  <c r="M45" i="18"/>
  <c r="M71" i="18"/>
  <c r="M102" i="18"/>
  <c r="M8" i="18"/>
  <c r="K67" i="17"/>
  <c r="M42" i="18"/>
  <c r="M85" i="18"/>
  <c r="M116" i="18"/>
  <c r="M140" i="18"/>
  <c r="M119" i="18"/>
  <c r="K60" i="17"/>
  <c r="M17" i="18"/>
  <c r="M98" i="18"/>
  <c r="K83" i="17"/>
  <c r="M69" i="18"/>
  <c r="M46" i="18"/>
  <c r="M15" i="18"/>
  <c r="M25" i="18"/>
  <c r="K76" i="17"/>
  <c r="H56" i="18"/>
  <c r="H43" i="18"/>
  <c r="H34" i="18"/>
  <c r="H22" i="18"/>
  <c r="H123" i="18"/>
  <c r="H49" i="18"/>
  <c r="H116" i="18"/>
  <c r="H48" i="18"/>
  <c r="H40" i="18"/>
  <c r="C8" i="9"/>
  <c r="C8" i="5"/>
  <c r="F73" i="17"/>
  <c r="H42" i="18"/>
  <c r="H14" i="18"/>
  <c r="H30" i="18"/>
  <c r="H135" i="18"/>
  <c r="H66" i="18"/>
  <c r="H84" i="18"/>
  <c r="H70" i="18"/>
  <c r="H32" i="18"/>
  <c r="H17" i="18"/>
  <c r="H91" i="18"/>
  <c r="F80" i="17"/>
  <c r="H99" i="18"/>
  <c r="J73" i="18"/>
  <c r="H90" i="17"/>
  <c r="J115" i="18"/>
  <c r="J20" i="18"/>
  <c r="J98" i="18"/>
  <c r="H55" i="17"/>
  <c r="J45" i="18"/>
  <c r="J12" i="18"/>
  <c r="H78" i="17"/>
  <c r="J140" i="18"/>
  <c r="J27" i="18"/>
  <c r="J30" i="18"/>
  <c r="J56" i="18"/>
  <c r="J118" i="18"/>
  <c r="J48" i="18"/>
  <c r="J46" i="18"/>
  <c r="J42" i="18"/>
  <c r="J32" i="18"/>
  <c r="H71" i="17"/>
  <c r="J87" i="18"/>
  <c r="J94" i="18"/>
  <c r="J80" i="18"/>
  <c r="Y69" i="17"/>
  <c r="Z67" i="18"/>
  <c r="Y78" i="17"/>
  <c r="Z68" i="18"/>
  <c r="Z75" i="18"/>
  <c r="Z12" i="18"/>
  <c r="Z121" i="18"/>
  <c r="Z80" i="18"/>
  <c r="Z30" i="18"/>
  <c r="Z161" i="18"/>
  <c r="Z40" i="18"/>
  <c r="Z87" i="18"/>
  <c r="Z20" i="18"/>
  <c r="Z66" i="18"/>
  <c r="Z43" i="18"/>
  <c r="Z46" i="18"/>
  <c r="Z59" i="18"/>
  <c r="Y62" i="17"/>
  <c r="Z71" i="18"/>
  <c r="Z73" i="18"/>
  <c r="Z93" i="18"/>
  <c r="Z65" i="18"/>
  <c r="Q51" i="18"/>
  <c r="O18" i="3"/>
  <c r="O72" i="17"/>
  <c r="Q94" i="18"/>
  <c r="O79" i="17"/>
  <c r="Q31" i="18"/>
  <c r="Q119" i="18"/>
  <c r="Q41" i="18"/>
  <c r="Q48" i="18"/>
  <c r="Q13" i="18"/>
  <c r="Q65" i="18"/>
  <c r="Q97" i="18"/>
  <c r="O17" i="3"/>
  <c r="O56" i="17"/>
  <c r="Q28" i="18"/>
  <c r="Q21" i="18"/>
  <c r="Q138" i="18"/>
  <c r="Q52" i="18"/>
  <c r="Q83" i="18"/>
  <c r="Q76" i="18"/>
  <c r="O91" i="17"/>
  <c r="Q90" i="18"/>
  <c r="Q140" i="18"/>
  <c r="Q84" i="18"/>
  <c r="Y12" i="18"/>
  <c r="X71" i="17"/>
  <c r="X78" i="17"/>
  <c r="Y56" i="18"/>
  <c r="Y80" i="18"/>
  <c r="Y89" i="18"/>
  <c r="Y103" i="18"/>
  <c r="Y149" i="18"/>
  <c r="Y73" i="18"/>
  <c r="Y160" i="18"/>
  <c r="Y136" i="18"/>
  <c r="Y43" i="18"/>
  <c r="X90" i="17"/>
  <c r="X55" i="17"/>
  <c r="Y96" i="18"/>
  <c r="Y22" i="18"/>
  <c r="Y68" i="18"/>
  <c r="Y59" i="18"/>
  <c r="Y67" i="18"/>
  <c r="Y91" i="18"/>
  <c r="Y75" i="18"/>
  <c r="Y66" i="18"/>
  <c r="G84" i="18"/>
  <c r="G77" i="18"/>
  <c r="G99" i="18"/>
  <c r="G150" i="18"/>
  <c r="G49" i="18"/>
  <c r="G48" i="18"/>
  <c r="G79" i="18"/>
  <c r="G93" i="18"/>
  <c r="E19" i="3"/>
  <c r="E82" i="17"/>
  <c r="G14" i="18"/>
  <c r="G40" i="18"/>
  <c r="G57" i="18"/>
  <c r="G75" i="18"/>
  <c r="G24" i="18"/>
  <c r="G86" i="18"/>
  <c r="E66" i="17"/>
  <c r="E50" i="17"/>
  <c r="G96" i="18"/>
  <c r="G135" i="18"/>
  <c r="G43" i="18"/>
  <c r="G91" i="18"/>
  <c r="E73" i="17"/>
  <c r="X67" i="18"/>
  <c r="X59" i="18"/>
  <c r="X154" i="18"/>
  <c r="V80" i="17"/>
  <c r="X43" i="18"/>
  <c r="X68" i="18"/>
  <c r="X40" i="18"/>
  <c r="X50" i="18"/>
  <c r="S8" i="9"/>
  <c r="S8" i="5"/>
  <c r="V73" i="17"/>
  <c r="X49" i="18"/>
  <c r="V64" i="17"/>
  <c r="X30" i="18"/>
  <c r="X84" i="18"/>
  <c r="X66" i="18"/>
  <c r="X14" i="18"/>
  <c r="X34" i="18"/>
  <c r="X77" i="18"/>
  <c r="X136" i="18"/>
  <c r="X22" i="18"/>
  <c r="X32" i="18"/>
  <c r="X120" i="18"/>
  <c r="X73" i="18"/>
  <c r="J9" i="9"/>
  <c r="J9" i="5"/>
  <c r="M81" i="17"/>
  <c r="M74" i="17"/>
  <c r="O67" i="18"/>
  <c r="M58" i="17"/>
  <c r="O13" i="18"/>
  <c r="O98" i="18"/>
  <c r="O52" i="18"/>
  <c r="M65" i="17"/>
  <c r="O124" i="18"/>
  <c r="O83" i="18"/>
  <c r="O161" i="18"/>
  <c r="O45" i="18"/>
  <c r="O146" i="18"/>
  <c r="O42" i="18"/>
  <c r="O85" i="18"/>
  <c r="O23" i="18"/>
  <c r="O78" i="18"/>
  <c r="O69" i="18"/>
  <c r="O38" i="18"/>
  <c r="O15" i="18"/>
  <c r="O114" i="18"/>
  <c r="O50" i="18"/>
  <c r="P52" i="18"/>
  <c r="P77" i="18"/>
  <c r="P57" i="18"/>
  <c r="P124" i="18"/>
  <c r="P74" i="18"/>
  <c r="N49" i="17"/>
  <c r="P85" i="18"/>
  <c r="P13" i="18"/>
  <c r="N65" i="17"/>
  <c r="P114" i="18"/>
  <c r="P92" i="18"/>
  <c r="P51" i="18"/>
  <c r="P23" i="18"/>
  <c r="K9" i="9"/>
  <c r="K9" i="5"/>
  <c r="N81" i="17"/>
  <c r="P38" i="18"/>
  <c r="N91" i="17"/>
  <c r="P71" i="18"/>
  <c r="N18" i="3"/>
  <c r="N72" i="17"/>
  <c r="P98" i="18"/>
  <c r="P21" i="18"/>
  <c r="P76" i="18"/>
  <c r="P90" i="18"/>
  <c r="C79" i="18"/>
  <c r="C28" i="18"/>
  <c r="C26" i="18"/>
  <c r="C72" i="18"/>
  <c r="C11" i="18"/>
  <c r="C59" i="18"/>
  <c r="C57" i="18"/>
  <c r="C50" i="18"/>
  <c r="C18" i="18"/>
  <c r="C37" i="18"/>
  <c r="C56" i="18"/>
  <c r="C74" i="18"/>
  <c r="C49" i="18"/>
  <c r="C154" i="18"/>
  <c r="C111" i="18"/>
  <c r="C14" i="18"/>
  <c r="C70" i="18"/>
  <c r="C107" i="18"/>
  <c r="C96" i="18"/>
  <c r="C35" i="18"/>
  <c r="C100" i="18"/>
  <c r="C45" i="18"/>
  <c r="P63" i="17"/>
  <c r="R45" i="18"/>
  <c r="R11" i="18"/>
  <c r="R21" i="18"/>
  <c r="R18" i="18"/>
  <c r="R88" i="18"/>
  <c r="R74" i="18"/>
  <c r="R72" i="18"/>
  <c r="R28" i="18"/>
  <c r="R90" i="18"/>
  <c r="R41" i="18"/>
  <c r="R65" i="18"/>
  <c r="R94" i="18"/>
  <c r="R35" i="18"/>
  <c r="R51" i="18"/>
  <c r="P79" i="17"/>
  <c r="R142" i="18"/>
  <c r="P89" i="17"/>
  <c r="R33" i="18"/>
  <c r="P70" i="17"/>
  <c r="R83" i="18"/>
  <c r="R31" i="18"/>
  <c r="N42" i="18"/>
  <c r="N92" i="18"/>
  <c r="N138" i="18"/>
  <c r="N46" i="18"/>
  <c r="N78" i="18"/>
  <c r="N70" i="18"/>
  <c r="L83" i="17"/>
  <c r="N59" i="18"/>
  <c r="N15" i="18"/>
  <c r="N25" i="18"/>
  <c r="N154" i="18"/>
  <c r="N87" i="18"/>
  <c r="N114" i="18"/>
  <c r="N8" i="18"/>
  <c r="L74" i="17"/>
  <c r="N123" i="18"/>
  <c r="N94" i="18"/>
  <c r="N76" i="18"/>
  <c r="N116" i="18"/>
  <c r="N117" i="18"/>
  <c r="L51" i="17"/>
  <c r="L67" i="17"/>
  <c r="L119" i="18"/>
  <c r="L124" i="18"/>
  <c r="L89" i="18"/>
  <c r="L46" i="18"/>
  <c r="L73" i="18"/>
  <c r="J76" i="17"/>
  <c r="L118" i="18"/>
  <c r="L150" i="18"/>
  <c r="L87" i="18"/>
  <c r="L116" i="18"/>
  <c r="L17" i="18"/>
  <c r="L78" i="18"/>
  <c r="L34" i="18"/>
  <c r="J53" i="17"/>
  <c r="L27" i="18"/>
  <c r="L140" i="18"/>
  <c r="L10" i="18"/>
  <c r="J69" i="17"/>
  <c r="L25" i="18"/>
  <c r="L115" i="18"/>
  <c r="L80" i="18"/>
  <c r="L135" i="18"/>
  <c r="T124" i="18"/>
  <c r="T77" i="18"/>
  <c r="T16" i="18"/>
  <c r="T146" i="18"/>
  <c r="T74" i="18"/>
  <c r="R68" i="17"/>
  <c r="T86" i="18"/>
  <c r="T33" i="18"/>
  <c r="R77" i="17"/>
  <c r="T72" i="18"/>
  <c r="T100" i="18"/>
  <c r="T120" i="18"/>
  <c r="T35" i="18"/>
  <c r="T67" i="18"/>
  <c r="T9" i="18"/>
  <c r="T94" i="18"/>
  <c r="T88" i="18"/>
  <c r="T70" i="18"/>
  <c r="R61" i="17"/>
  <c r="T26" i="18"/>
  <c r="T18" i="18"/>
  <c r="T104" i="18"/>
  <c r="W77" i="18"/>
  <c r="W24" i="18"/>
  <c r="W93" i="18"/>
  <c r="R8" i="9"/>
  <c r="R8" i="5"/>
  <c r="U73" i="17"/>
  <c r="W104" i="18"/>
  <c r="W121" i="18"/>
  <c r="W75" i="18"/>
  <c r="W125" i="18"/>
  <c r="U66" i="17"/>
  <c r="W91" i="18"/>
  <c r="W86" i="18"/>
  <c r="W22" i="18"/>
  <c r="W37" i="18"/>
  <c r="W96" i="18"/>
  <c r="U19" i="3"/>
  <c r="U82" i="17"/>
  <c r="W66" i="18"/>
  <c r="U50" i="17"/>
  <c r="W138" i="18"/>
  <c r="W14" i="18"/>
  <c r="W100" i="18"/>
  <c r="W68" i="18"/>
  <c r="W142" i="18"/>
  <c r="V37" i="18"/>
  <c r="T59" i="17"/>
  <c r="V50" i="18"/>
  <c r="T94" i="17"/>
  <c r="V65" i="18"/>
  <c r="V16" i="18"/>
  <c r="V138" i="18"/>
  <c r="V125" i="18"/>
  <c r="V87" i="18"/>
  <c r="V86" i="18"/>
  <c r="V51" i="18"/>
  <c r="V93" i="18"/>
  <c r="V140" i="18"/>
  <c r="V41" i="18"/>
  <c r="V70" i="18"/>
  <c r="V35" i="18"/>
  <c r="V79" i="18"/>
  <c r="T75" i="17"/>
  <c r="V68" i="18"/>
  <c r="V97" i="18"/>
  <c r="V84" i="18"/>
  <c r="V88" i="18"/>
  <c r="AA32" i="18"/>
  <c r="AA145" i="18"/>
  <c r="AA49" i="18"/>
  <c r="AA125" i="18"/>
  <c r="AA71" i="18"/>
  <c r="AA103" i="18"/>
  <c r="AA93" i="18"/>
  <c r="AA80" i="18"/>
  <c r="AA10" i="18"/>
  <c r="Z53" i="17"/>
  <c r="AA27" i="18"/>
  <c r="Z69" i="17"/>
  <c r="AA75" i="18"/>
  <c r="AA40" i="18"/>
  <c r="AA99" i="18"/>
  <c r="AA121" i="18"/>
  <c r="AA87" i="18"/>
  <c r="AA89" i="18"/>
  <c r="AA73" i="18"/>
  <c r="Z76" i="17"/>
  <c r="AA20" i="18"/>
  <c r="AA30" i="18"/>
  <c r="S41" i="18"/>
  <c r="S90" i="18"/>
  <c r="S114" i="18"/>
  <c r="S74" i="18"/>
  <c r="S11" i="18"/>
  <c r="S28" i="18"/>
  <c r="S160" i="18"/>
  <c r="S26" i="18"/>
  <c r="S149" i="18"/>
  <c r="S79" i="18"/>
  <c r="Q77" i="17"/>
  <c r="S125" i="18"/>
  <c r="S120" i="18"/>
  <c r="S18" i="18"/>
  <c r="S94" i="18"/>
  <c r="S31" i="18"/>
  <c r="S104" i="18"/>
  <c r="Q89" i="17"/>
  <c r="Q70" i="17"/>
  <c r="S45" i="18"/>
  <c r="S97" i="18"/>
  <c r="Q54" i="17"/>
  <c r="K20" i="18"/>
  <c r="K89" i="18"/>
  <c r="K118" i="18"/>
  <c r="K74" i="18"/>
  <c r="I78" i="17"/>
  <c r="K102" i="18"/>
  <c r="K91" i="18"/>
  <c r="I62" i="17"/>
  <c r="K32" i="18"/>
  <c r="K115" i="18"/>
  <c r="K10" i="18"/>
  <c r="K99" i="18"/>
  <c r="K73" i="18"/>
  <c r="K17" i="18"/>
  <c r="K34" i="18"/>
  <c r="K87" i="18"/>
  <c r="K56" i="18"/>
  <c r="I69" i="17"/>
  <c r="K27" i="18"/>
  <c r="K75" i="18"/>
  <c r="K117" i="18"/>
  <c r="K71" i="18"/>
  <c r="E74" i="18"/>
  <c r="E88" i="18"/>
  <c r="E77" i="18"/>
  <c r="E84" i="18"/>
  <c r="C75" i="17"/>
  <c r="E37" i="18"/>
  <c r="E59" i="18"/>
  <c r="E35" i="18"/>
  <c r="E121" i="18"/>
  <c r="C68" i="17"/>
  <c r="E93" i="18"/>
  <c r="C83" i="18"/>
  <c r="E9" i="18"/>
  <c r="C98" i="18"/>
  <c r="C109" i="18"/>
  <c r="C94" i="17"/>
  <c r="C78" i="18"/>
  <c r="E100" i="18"/>
  <c r="C97" i="18"/>
  <c r="E123" i="18"/>
  <c r="C112" i="18"/>
  <c r="E26" i="18"/>
  <c r="C52" i="17"/>
  <c r="C114" i="18"/>
  <c r="C69" i="18"/>
  <c r="E127" i="18"/>
  <c r="C71" i="18"/>
  <c r="E90" i="18"/>
  <c r="C126" i="18"/>
  <c r="E57" i="18"/>
  <c r="C92" i="18"/>
  <c r="E79" i="18"/>
  <c r="C125" i="18"/>
  <c r="C108" i="18"/>
  <c r="E16" i="18"/>
  <c r="C94" i="18"/>
  <c r="C85" i="18"/>
  <c r="C104" i="18"/>
  <c r="C87" i="18"/>
  <c r="C76" i="18"/>
  <c r="C113" i="18"/>
  <c r="C90" i="18"/>
  <c r="C147" i="18"/>
  <c r="C157" i="18"/>
  <c r="D94" i="17"/>
  <c r="F43" i="18"/>
  <c r="F70" i="18"/>
  <c r="F88" i="18"/>
  <c r="D59" i="17"/>
  <c r="F103" i="18"/>
  <c r="F24" i="18"/>
  <c r="D19" i="3"/>
  <c r="D82" i="17"/>
  <c r="F122" i="18"/>
  <c r="F137" i="18"/>
  <c r="F84" i="18"/>
  <c r="F77" i="18"/>
  <c r="F51" i="18"/>
  <c r="F37" i="18"/>
  <c r="F96" i="18"/>
  <c r="F86" i="18"/>
  <c r="F68" i="18"/>
  <c r="F79" i="18"/>
  <c r="F16" i="18"/>
  <c r="D75" i="17"/>
  <c r="D66" i="17"/>
  <c r="F91" i="18"/>
  <c r="J93" i="18"/>
  <c r="J117" i="18"/>
  <c r="J88" i="18"/>
  <c r="J97" i="18"/>
  <c r="J152" i="18"/>
  <c r="J70" i="18"/>
  <c r="J74" i="18"/>
  <c r="J99" i="18"/>
  <c r="J91" i="18"/>
  <c r="J72" i="18"/>
  <c r="J121" i="18"/>
  <c r="J96" i="18"/>
  <c r="J75" i="18"/>
  <c r="J126" i="18"/>
  <c r="J86" i="18"/>
  <c r="J103" i="18"/>
  <c r="J104" i="18"/>
  <c r="J84" i="18"/>
  <c r="J77" i="18"/>
  <c r="J137" i="18"/>
  <c r="J79" i="18"/>
  <c r="J127" i="18"/>
  <c r="U9" i="18"/>
  <c r="U90" i="18"/>
  <c r="U114" i="18"/>
  <c r="U124" i="18"/>
  <c r="U74" i="18"/>
  <c r="U67" i="18"/>
  <c r="U26" i="18"/>
  <c r="U16" i="18"/>
  <c r="U88" i="18"/>
  <c r="U33" i="18"/>
  <c r="U35" i="18"/>
  <c r="U77" i="18"/>
  <c r="U100" i="18"/>
  <c r="S75" i="17"/>
  <c r="S52" i="17"/>
  <c r="U94" i="18"/>
  <c r="U72" i="18"/>
  <c r="U51" i="18"/>
  <c r="U79" i="18"/>
  <c r="S94" i="17"/>
  <c r="S68" i="17"/>
  <c r="U83" i="18"/>
  <c r="D87" i="18"/>
  <c r="D139" i="18"/>
  <c r="D92" i="18"/>
  <c r="D69" i="18"/>
  <c r="D121" i="18"/>
  <c r="D104" i="18"/>
  <c r="D83" i="18"/>
  <c r="D100" i="18"/>
  <c r="D144" i="18"/>
  <c r="D108" i="18"/>
  <c r="D76" i="18"/>
  <c r="D143" i="18"/>
  <c r="D141" i="18"/>
  <c r="D111" i="18"/>
  <c r="D90" i="18"/>
  <c r="D78" i="18"/>
  <c r="D85" i="18"/>
  <c r="D88" i="18"/>
  <c r="D74" i="18"/>
  <c r="D94" i="18"/>
  <c r="D59" i="18"/>
  <c r="D137" i="18"/>
  <c r="M77" i="18"/>
  <c r="M75" i="18"/>
  <c r="M68" i="18"/>
  <c r="K11" i="20"/>
  <c r="M110" i="18"/>
  <c r="M89" i="18"/>
  <c r="M99" i="18"/>
  <c r="M123" i="18"/>
  <c r="M118" i="18"/>
  <c r="M103" i="18"/>
  <c r="M84" i="18"/>
  <c r="M139" i="18"/>
  <c r="M147" i="18"/>
  <c r="M73" i="18"/>
  <c r="M115" i="18"/>
  <c r="M80" i="18"/>
  <c r="M70" i="18"/>
  <c r="M126" i="18"/>
  <c r="M86" i="18"/>
  <c r="M91" i="18"/>
  <c r="M157" i="18"/>
  <c r="M122" i="18"/>
  <c r="M93" i="18"/>
  <c r="Y135" i="18"/>
  <c r="Y83" i="18"/>
  <c r="Y119" i="18"/>
  <c r="Y124" i="18"/>
  <c r="Y123" i="18"/>
  <c r="Y120" i="18"/>
  <c r="Y151" i="18"/>
  <c r="Y143" i="18"/>
  <c r="Y74" i="18"/>
  <c r="Y90" i="18"/>
  <c r="Y77" i="18"/>
  <c r="Y84" i="18"/>
  <c r="Y94" i="18"/>
  <c r="Y65" i="18"/>
  <c r="Y150" i="18"/>
  <c r="Y86" i="18"/>
  <c r="Y88" i="18"/>
  <c r="Y104" i="18"/>
  <c r="Y48" i="18"/>
  <c r="Y72" i="18"/>
  <c r="Y79" i="18"/>
  <c r="Y97" i="18"/>
  <c r="F9" i="21"/>
  <c r="H74" i="18"/>
  <c r="F13" i="20"/>
  <c r="H112" i="18"/>
  <c r="H88" i="18"/>
  <c r="H57" i="18"/>
  <c r="H156" i="18"/>
  <c r="H97" i="18"/>
  <c r="H96" i="18"/>
  <c r="H94" i="18"/>
  <c r="H103" i="18"/>
  <c r="H72" i="18"/>
  <c r="H77" i="18"/>
  <c r="H90" i="18"/>
  <c r="H86" i="18"/>
  <c r="H83" i="18"/>
  <c r="H65" i="18"/>
  <c r="H104" i="18"/>
  <c r="H126" i="18"/>
  <c r="H147" i="18"/>
  <c r="H100" i="18"/>
  <c r="H79" i="18"/>
  <c r="H139" i="18"/>
  <c r="Q135" i="18"/>
  <c r="Q102" i="18"/>
  <c r="Q71" i="18"/>
  <c r="Q122" i="18"/>
  <c r="Q116" i="18"/>
  <c r="Q78" i="18"/>
  <c r="Q89" i="18"/>
  <c r="Q127" i="18"/>
  <c r="Q118" i="18"/>
  <c r="Q115" i="18"/>
  <c r="Q162" i="18"/>
  <c r="Q103" i="18"/>
  <c r="Q80" i="18"/>
  <c r="Q114" i="18"/>
  <c r="Q156" i="18"/>
  <c r="Q73" i="18"/>
  <c r="Q85" i="18"/>
  <c r="Q92" i="18"/>
  <c r="Q87" i="18"/>
  <c r="Q99" i="18"/>
  <c r="Q98" i="18"/>
  <c r="Q56" i="18"/>
  <c r="I74" i="18"/>
  <c r="I84" i="18"/>
  <c r="I79" i="18"/>
  <c r="I86" i="18"/>
  <c r="I97" i="18"/>
  <c r="I127" i="18"/>
  <c r="I72" i="18"/>
  <c r="I48" i="18"/>
  <c r="I83" i="18"/>
  <c r="I104" i="18"/>
  <c r="I103" i="18"/>
  <c r="I141" i="18"/>
  <c r="I77" i="18"/>
  <c r="I88" i="18"/>
  <c r="I126" i="18"/>
  <c r="I135" i="18"/>
  <c r="I93" i="18"/>
  <c r="I65" i="18"/>
  <c r="I90" i="18"/>
  <c r="I94" i="18"/>
  <c r="I144" i="18"/>
  <c r="I96" i="18"/>
  <c r="V114" i="18"/>
  <c r="V119" i="18"/>
  <c r="V135" i="18"/>
  <c r="V67" i="18"/>
  <c r="V92" i="18"/>
  <c r="V76" i="18"/>
  <c r="V117" i="18"/>
  <c r="V72" i="18"/>
  <c r="V78" i="18"/>
  <c r="V83" i="18"/>
  <c r="V69" i="18"/>
  <c r="V59" i="18"/>
  <c r="V115" i="18"/>
  <c r="V98" i="18"/>
  <c r="V74" i="18"/>
  <c r="V102" i="18"/>
  <c r="V57" i="18"/>
  <c r="V94" i="18"/>
  <c r="V90" i="18"/>
  <c r="V85" i="18"/>
  <c r="V118" i="18"/>
  <c r="V137" i="18"/>
  <c r="X76" i="18"/>
  <c r="X104" i="18"/>
  <c r="X94" i="18"/>
  <c r="X79" i="18"/>
  <c r="X97" i="18"/>
  <c r="X72" i="18"/>
  <c r="X135" i="18"/>
  <c r="X123" i="18"/>
  <c r="X90" i="18"/>
  <c r="X98" i="18"/>
  <c r="X115" i="18"/>
  <c r="X83" i="18"/>
  <c r="X65" i="18"/>
  <c r="X117" i="18"/>
  <c r="X74" i="18"/>
  <c r="X119" i="18"/>
  <c r="X92" i="18"/>
  <c r="X114" i="18"/>
  <c r="X57" i="18"/>
  <c r="X86" i="18"/>
  <c r="X100" i="18"/>
  <c r="X88" i="18"/>
  <c r="R123" i="18"/>
  <c r="R78" i="18"/>
  <c r="R139" i="18"/>
  <c r="R71" i="18"/>
  <c r="R46" i="18"/>
  <c r="R116" i="18"/>
  <c r="R150" i="18"/>
  <c r="R85" i="18"/>
  <c r="R163" i="18"/>
  <c r="R119" i="18"/>
  <c r="R73" i="18"/>
  <c r="R76" i="18"/>
  <c r="R80" i="18"/>
  <c r="R126" i="18"/>
  <c r="R103" i="18"/>
  <c r="R89" i="18"/>
  <c r="R118" i="18"/>
  <c r="R87" i="18"/>
  <c r="R92" i="18"/>
  <c r="R122" i="18"/>
  <c r="R102" i="18"/>
  <c r="R135" i="18"/>
  <c r="O84" i="18"/>
  <c r="O87" i="18"/>
  <c r="O116" i="18"/>
  <c r="O100" i="18"/>
  <c r="O73" i="18"/>
  <c r="O137" i="18"/>
  <c r="O121" i="18"/>
  <c r="O117" i="18"/>
  <c r="O77" i="18"/>
  <c r="O89" i="18"/>
  <c r="O96" i="18"/>
  <c r="O118" i="18"/>
  <c r="O91" i="18"/>
  <c r="O80" i="18"/>
  <c r="O127" i="18"/>
  <c r="O66" i="18"/>
  <c r="O115" i="18"/>
  <c r="O102" i="18"/>
  <c r="O56" i="18"/>
  <c r="O99" i="18"/>
  <c r="O93" i="18"/>
  <c r="O75" i="18"/>
  <c r="Z147" i="18"/>
  <c r="Z84" i="18"/>
  <c r="Z117" i="18"/>
  <c r="Z74" i="18"/>
  <c r="Z118" i="18"/>
  <c r="Y14" i="20"/>
  <c r="Z113" i="18"/>
  <c r="Z90" i="18"/>
  <c r="Z124" i="18"/>
  <c r="Z96" i="18"/>
  <c r="Z91" i="18"/>
  <c r="Z86" i="18"/>
  <c r="Z94" i="18"/>
  <c r="Z97" i="18"/>
  <c r="Z79" i="18"/>
  <c r="Z72" i="18"/>
  <c r="Z115" i="18"/>
  <c r="Z157" i="18"/>
  <c r="Z88" i="18"/>
  <c r="Z163" i="18"/>
  <c r="Z77" i="18"/>
  <c r="Z104" i="18"/>
  <c r="Z70" i="18"/>
  <c r="N148" i="18"/>
  <c r="N80" i="18"/>
  <c r="N104" i="18"/>
  <c r="N66" i="18"/>
  <c r="N93" i="18"/>
  <c r="N91" i="18"/>
  <c r="N141" i="18"/>
  <c r="N139" i="18"/>
  <c r="N151" i="18"/>
  <c r="N84" i="18"/>
  <c r="L7" i="21"/>
  <c r="N126" i="18"/>
  <c r="N77" i="18"/>
  <c r="N122" i="18"/>
  <c r="N75" i="18"/>
  <c r="N68" i="18"/>
  <c r="N100" i="18"/>
  <c r="N51" i="18"/>
  <c r="N127" i="18"/>
  <c r="N86" i="18"/>
  <c r="N99" i="18"/>
  <c r="N89" i="18"/>
  <c r="P121" i="18"/>
  <c r="P93" i="18"/>
  <c r="P127" i="18"/>
  <c r="P103" i="18"/>
  <c r="P73" i="18"/>
  <c r="P89" i="18"/>
  <c r="P118" i="18"/>
  <c r="P75" i="18"/>
  <c r="P84" i="18"/>
  <c r="P87" i="18"/>
  <c r="P137" i="18"/>
  <c r="P91" i="18"/>
  <c r="P78" i="18"/>
  <c r="P99" i="18"/>
  <c r="P80" i="18"/>
  <c r="P66" i="18"/>
  <c r="P49" i="18"/>
  <c r="P96" i="18"/>
  <c r="P115" i="18"/>
  <c r="P144" i="18"/>
  <c r="P143" i="18"/>
  <c r="P102" i="18"/>
  <c r="W94" i="18"/>
  <c r="W114" i="18"/>
  <c r="W98" i="18"/>
  <c r="W83" i="18"/>
  <c r="W97" i="18"/>
  <c r="U12" i="21"/>
  <c r="W79" i="18"/>
  <c r="W115" i="18"/>
  <c r="W67" i="18"/>
  <c r="W119" i="18"/>
  <c r="W65" i="18"/>
  <c r="W143" i="18"/>
  <c r="W137" i="18"/>
  <c r="W76" i="18"/>
  <c r="W50" i="18"/>
  <c r="W116" i="18"/>
  <c r="W92" i="18"/>
  <c r="W74" i="18"/>
  <c r="W85" i="18"/>
  <c r="W90" i="18"/>
  <c r="W88" i="18"/>
  <c r="U14" i="21"/>
  <c r="S123" i="18"/>
  <c r="S71" i="18"/>
  <c r="S69" i="18"/>
  <c r="S155" i="18"/>
  <c r="S102" i="18"/>
  <c r="S126" i="18"/>
  <c r="S83" i="18"/>
  <c r="S73" i="18"/>
  <c r="S141" i="18"/>
  <c r="S92" i="18"/>
  <c r="S89" i="18"/>
  <c r="S80" i="18"/>
  <c r="S148" i="18"/>
  <c r="S52" i="18"/>
  <c r="S117" i="18"/>
  <c r="S76" i="18"/>
  <c r="S116" i="18"/>
  <c r="S87" i="18"/>
  <c r="S78" i="18"/>
  <c r="S103" i="18"/>
  <c r="S85" i="18"/>
  <c r="S98" i="18"/>
  <c r="K93" i="18"/>
  <c r="K94" i="18"/>
  <c r="K143" i="18"/>
  <c r="K42" i="18"/>
  <c r="K125" i="18"/>
  <c r="K121" i="18"/>
  <c r="K77" i="18"/>
  <c r="K83" i="18"/>
  <c r="K122" i="18"/>
  <c r="K84" i="18"/>
  <c r="K70" i="18"/>
  <c r="K45" i="18"/>
  <c r="K72" i="18"/>
  <c r="K96" i="18"/>
  <c r="K100" i="18"/>
  <c r="K104" i="18"/>
  <c r="K88" i="18"/>
  <c r="K76" i="18"/>
  <c r="K59" i="18"/>
  <c r="K103" i="18"/>
  <c r="K79" i="18"/>
  <c r="K86" i="18"/>
  <c r="T98" i="18"/>
  <c r="T151" i="18"/>
  <c r="T78" i="18"/>
  <c r="T123" i="18"/>
  <c r="T59" i="18"/>
  <c r="T71" i="18"/>
  <c r="T90" i="18"/>
  <c r="T137" i="18"/>
  <c r="T114" i="18"/>
  <c r="T117" i="18"/>
  <c r="T80" i="18"/>
  <c r="T102" i="18"/>
  <c r="T83" i="18"/>
  <c r="T85" i="18"/>
  <c r="T87" i="18"/>
  <c r="T127" i="18"/>
  <c r="T69" i="18"/>
  <c r="T139" i="18"/>
  <c r="T76" i="18"/>
  <c r="T99" i="18"/>
  <c r="T116" i="18"/>
  <c r="T92" i="18"/>
  <c r="G104" i="18"/>
  <c r="G94" i="18"/>
  <c r="G137" i="18"/>
  <c r="G71" i="18"/>
  <c r="G143" i="18"/>
  <c r="G100" i="18"/>
  <c r="G148" i="18"/>
  <c r="G97" i="18"/>
  <c r="G125" i="18"/>
  <c r="G88" i="18"/>
  <c r="G126" i="18"/>
  <c r="G76" i="18"/>
  <c r="G74" i="18"/>
  <c r="G90" i="18"/>
  <c r="G122" i="18"/>
  <c r="G50" i="18"/>
  <c r="G85" i="18"/>
  <c r="G121" i="18"/>
  <c r="G65" i="18"/>
  <c r="G92" i="18"/>
  <c r="G83" i="18"/>
  <c r="G67" i="18"/>
  <c r="L91" i="18"/>
  <c r="L122" i="18"/>
  <c r="L75" i="18"/>
  <c r="L68" i="18"/>
  <c r="L74" i="18"/>
  <c r="L84" i="18"/>
  <c r="L99" i="18"/>
  <c r="L77" i="18"/>
  <c r="L125" i="18"/>
  <c r="L100" i="18"/>
  <c r="L88" i="18"/>
  <c r="L86" i="18"/>
  <c r="L96" i="18"/>
  <c r="L155" i="18"/>
  <c r="L93" i="18"/>
  <c r="L79" i="18"/>
  <c r="L72" i="18"/>
  <c r="L90" i="18"/>
  <c r="L32" i="18"/>
  <c r="L103" i="18"/>
  <c r="L70" i="18"/>
  <c r="L97" i="18"/>
  <c r="U78" i="18"/>
  <c r="U89" i="18"/>
  <c r="U31" i="18"/>
  <c r="U69" i="18"/>
  <c r="U147" i="18"/>
  <c r="U71" i="18"/>
  <c r="U73" i="18"/>
  <c r="U127" i="18"/>
  <c r="U117" i="18"/>
  <c r="U139" i="18"/>
  <c r="U98" i="18"/>
  <c r="U115" i="18"/>
  <c r="U85" i="18"/>
  <c r="U76" i="18"/>
  <c r="U87" i="18"/>
  <c r="U52" i="18"/>
  <c r="U123" i="18"/>
  <c r="U99" i="18"/>
  <c r="U92" i="18"/>
  <c r="U102" i="18"/>
  <c r="U118" i="18"/>
  <c r="U141" i="18"/>
  <c r="D160" i="18"/>
  <c r="D120" i="18"/>
  <c r="D80" i="18"/>
  <c r="D71" i="18"/>
  <c r="D109" i="18"/>
  <c r="D41" i="18"/>
  <c r="D99" i="18"/>
  <c r="D102" i="18"/>
  <c r="D119" i="18"/>
  <c r="D51" i="18"/>
  <c r="D84" i="18"/>
  <c r="D98" i="18"/>
  <c r="D114" i="18"/>
  <c r="D145" i="18"/>
  <c r="D91" i="18"/>
  <c r="D123" i="18"/>
  <c r="D117" i="18"/>
  <c r="D68" i="18"/>
  <c r="D110" i="18"/>
  <c r="D124" i="18"/>
  <c r="D75" i="18"/>
  <c r="D116" i="18"/>
  <c r="E89" i="18"/>
  <c r="E98" i="18"/>
  <c r="E76" i="18"/>
  <c r="E124" i="18"/>
  <c r="E67" i="18"/>
  <c r="E94" i="18"/>
  <c r="E87" i="18"/>
  <c r="E114" i="18"/>
  <c r="E85" i="18"/>
  <c r="E73" i="18"/>
  <c r="E115" i="18"/>
  <c r="E151" i="18"/>
  <c r="E69" i="18"/>
  <c r="E92" i="18"/>
  <c r="E83" i="18"/>
  <c r="E139" i="18"/>
  <c r="E31" i="18"/>
  <c r="E52" i="18"/>
  <c r="E102" i="18"/>
  <c r="E78" i="18"/>
  <c r="E153" i="18"/>
  <c r="E141" i="18"/>
  <c r="E105" i="18"/>
  <c r="E64" i="18"/>
  <c r="E55" i="18"/>
  <c r="E82" i="18"/>
  <c r="C20" i="3"/>
  <c r="C87" i="17"/>
  <c r="E36" i="18"/>
  <c r="E167" i="18"/>
  <c r="E101" i="18"/>
  <c r="C24" i="20"/>
  <c r="E58" i="18"/>
  <c r="E54" i="18"/>
  <c r="E95" i="18"/>
  <c r="E128" i="18"/>
  <c r="E81" i="18"/>
  <c r="E131" i="18"/>
  <c r="E130" i="18"/>
  <c r="E132" i="18"/>
  <c r="E53" i="18"/>
  <c r="C22" i="20"/>
  <c r="E168" i="18"/>
  <c r="E134" i="18"/>
  <c r="E61" i="18"/>
  <c r="AA104" i="18"/>
  <c r="AA124" i="18"/>
  <c r="AA118" i="18"/>
  <c r="AA115" i="18"/>
  <c r="AA86" i="18"/>
  <c r="AA100" i="18"/>
  <c r="AA138" i="18"/>
  <c r="AA88" i="18"/>
  <c r="AA72" i="18"/>
  <c r="AA140" i="18"/>
  <c r="AA117" i="18"/>
  <c r="AA91" i="18"/>
  <c r="AA83" i="18"/>
  <c r="AA94" i="18"/>
  <c r="AA122" i="18"/>
  <c r="AA162" i="18"/>
  <c r="AA79" i="18"/>
  <c r="AA70" i="18"/>
  <c r="AA96" i="18"/>
  <c r="AA77" i="18"/>
  <c r="AA45" i="18"/>
  <c r="AA84" i="18"/>
  <c r="F138" i="18"/>
  <c r="F125" i="18"/>
  <c r="F57" i="18"/>
  <c r="F119" i="18"/>
  <c r="F114" i="18"/>
  <c r="F78" i="18"/>
  <c r="F97" i="18"/>
  <c r="F74" i="18"/>
  <c r="F69" i="18"/>
  <c r="F121" i="18"/>
  <c r="F85" i="18"/>
  <c r="F98" i="18"/>
  <c r="F92" i="18"/>
  <c r="F83" i="18"/>
  <c r="F67" i="18"/>
  <c r="F76" i="18"/>
  <c r="F100" i="18"/>
  <c r="F94" i="18"/>
  <c r="F80" i="18"/>
  <c r="F90" i="18"/>
  <c r="F59" i="18"/>
  <c r="F159" i="18"/>
  <c r="Y146" i="18"/>
  <c r="X8" i="20"/>
  <c r="Y108" i="18"/>
  <c r="Y102" i="18"/>
  <c r="Y87" i="18"/>
  <c r="Y71" i="18"/>
  <c r="Y117" i="18"/>
  <c r="Y98" i="18"/>
  <c r="Y141" i="18"/>
  <c r="Y114" i="18"/>
  <c r="Y78" i="18"/>
  <c r="Y159" i="18"/>
  <c r="X11" i="20"/>
  <c r="Y110" i="18"/>
  <c r="Y126" i="18"/>
  <c r="Y121" i="18"/>
  <c r="Y69" i="18"/>
  <c r="X12" i="21"/>
  <c r="X23" i="21"/>
  <c r="Y85" i="18"/>
  <c r="Y127" i="18"/>
  <c r="Y137" i="18"/>
  <c r="Y158" i="18"/>
  <c r="X7" i="21"/>
  <c r="C80" i="18"/>
  <c r="C33" i="18"/>
  <c r="C73" i="18"/>
  <c r="C77" i="18"/>
  <c r="C136" i="18"/>
  <c r="C120" i="18"/>
  <c r="C91" i="18"/>
  <c r="C75" i="18"/>
  <c r="C117" i="18"/>
  <c r="C51" i="18"/>
  <c r="C89" i="18"/>
  <c r="C110" i="18"/>
  <c r="C103" i="18"/>
  <c r="C68" i="18"/>
  <c r="C123" i="18"/>
  <c r="C93" i="18"/>
  <c r="C43" i="18"/>
  <c r="C84" i="18"/>
  <c r="C139" i="18"/>
  <c r="C102" i="18"/>
  <c r="C116" i="18"/>
  <c r="C146" i="18"/>
  <c r="V141" i="18"/>
  <c r="V146" i="18"/>
  <c r="V144" i="18"/>
  <c r="V122" i="18"/>
  <c r="V158" i="18"/>
  <c r="V49" i="18"/>
  <c r="V149" i="18"/>
  <c r="V66" i="18"/>
  <c r="T23" i="21"/>
  <c r="V89" i="18"/>
  <c r="V123" i="18"/>
  <c r="V56" i="18"/>
  <c r="V160" i="18"/>
  <c r="V99" i="18"/>
  <c r="V73" i="18"/>
  <c r="V121" i="18"/>
  <c r="V161" i="18"/>
  <c r="V80" i="18"/>
  <c r="V38" i="18"/>
  <c r="V159" i="18"/>
  <c r="V153" i="18"/>
  <c r="V103" i="18"/>
  <c r="W146" i="18"/>
  <c r="W38" i="18"/>
  <c r="W149" i="18"/>
  <c r="W99" i="18"/>
  <c r="W163" i="18"/>
  <c r="W135" i="18"/>
  <c r="W46" i="18"/>
  <c r="W89" i="18"/>
  <c r="W126" i="18"/>
  <c r="W158" i="18"/>
  <c r="W153" i="18"/>
  <c r="W80" i="18"/>
  <c r="W103" i="18"/>
  <c r="W87" i="18"/>
  <c r="W122" i="18"/>
  <c r="W73" i="18"/>
  <c r="W71" i="18"/>
  <c r="W160" i="18"/>
  <c r="W56" i="18"/>
  <c r="W152" i="18"/>
  <c r="U7" i="21"/>
  <c r="U16" i="3"/>
  <c r="U37" i="17"/>
  <c r="U6" i="19"/>
  <c r="T162" i="18"/>
  <c r="T84" i="18"/>
  <c r="R23" i="3"/>
  <c r="R18" i="21"/>
  <c r="P23" i="2"/>
  <c r="T121" i="18"/>
  <c r="T160" i="18"/>
  <c r="T154" i="18"/>
  <c r="T91" i="18"/>
  <c r="T147" i="18"/>
  <c r="T118" i="18"/>
  <c r="T161" i="18"/>
  <c r="T149" i="18"/>
  <c r="T93" i="18"/>
  <c r="T75" i="18"/>
  <c r="T153" i="18"/>
  <c r="T68" i="18"/>
  <c r="T103" i="18"/>
  <c r="T163" i="18"/>
  <c r="T125" i="18"/>
  <c r="T144" i="18"/>
  <c r="T51" i="18"/>
  <c r="T141" i="18"/>
  <c r="T41" i="18"/>
  <c r="Y14" i="21"/>
  <c r="Z141" i="18"/>
  <c r="Z85" i="18"/>
  <c r="Z34" i="18"/>
  <c r="Z52" i="18"/>
  <c r="Z76" i="18"/>
  <c r="Z152" i="18"/>
  <c r="Z98" i="18"/>
  <c r="Z151" i="18"/>
  <c r="Z158" i="18"/>
  <c r="Z102" i="18"/>
  <c r="Z135" i="18"/>
  <c r="Z69" i="18"/>
  <c r="Z148" i="18"/>
  <c r="Z92" i="18"/>
  <c r="Z137" i="18"/>
  <c r="Y16" i="21"/>
  <c r="Z119" i="18"/>
  <c r="Z127" i="18"/>
  <c r="Z78" i="18"/>
  <c r="Z143" i="18"/>
  <c r="Z114" i="18"/>
  <c r="S91" i="18"/>
  <c r="S96" i="18"/>
  <c r="S127" i="18"/>
  <c r="Q16" i="3"/>
  <c r="Q37" i="17"/>
  <c r="Q6" i="19"/>
  <c r="S51" i="18"/>
  <c r="S153" i="18"/>
  <c r="S77" i="18"/>
  <c r="S162" i="18"/>
  <c r="S118" i="18"/>
  <c r="S43" i="18"/>
  <c r="S100" i="18"/>
  <c r="Q7" i="20"/>
  <c r="S107" i="18"/>
  <c r="S154" i="18"/>
  <c r="S93" i="18"/>
  <c r="S139" i="18"/>
  <c r="Q11" i="20"/>
  <c r="S110" i="18"/>
  <c r="S68" i="18"/>
  <c r="S147" i="18"/>
  <c r="S75" i="18"/>
  <c r="S144" i="18"/>
  <c r="S33" i="18"/>
  <c r="S84" i="18"/>
  <c r="X87" i="18"/>
  <c r="X46" i="18"/>
  <c r="X71" i="18"/>
  <c r="X158" i="18"/>
  <c r="X159" i="18"/>
  <c r="X163" i="18"/>
  <c r="X121" i="18"/>
  <c r="V23" i="21"/>
  <c r="X139" i="18"/>
  <c r="X99" i="18"/>
  <c r="V11" i="20"/>
  <c r="X110" i="18"/>
  <c r="X141" i="18"/>
  <c r="X80" i="18"/>
  <c r="V23" i="3"/>
  <c r="V18" i="21"/>
  <c r="T23" i="2"/>
  <c r="X116" i="18"/>
  <c r="V16" i="21"/>
  <c r="X152" i="18"/>
  <c r="X160" i="18"/>
  <c r="X78" i="18"/>
  <c r="X143" i="18"/>
  <c r="X137" i="18"/>
  <c r="X126" i="18"/>
  <c r="Q120" i="18"/>
  <c r="Q96" i="18"/>
  <c r="O28" i="21"/>
  <c r="Q142" i="18"/>
  <c r="Q75" i="18"/>
  <c r="O13" i="20"/>
  <c r="Q112" i="18"/>
  <c r="Q100" i="18"/>
  <c r="Q125" i="18"/>
  <c r="Q155" i="18"/>
  <c r="O7" i="21"/>
  <c r="Q91" i="18"/>
  <c r="Q70" i="18"/>
  <c r="Q86" i="18"/>
  <c r="Q144" i="18"/>
  <c r="Q45" i="18"/>
  <c r="Q136" i="18"/>
  <c r="Q104" i="18"/>
  <c r="Q79" i="18"/>
  <c r="Q150" i="18"/>
  <c r="Q35" i="18"/>
  <c r="O24" i="21"/>
  <c r="Q77" i="18"/>
  <c r="F115" i="18"/>
  <c r="F73" i="18"/>
  <c r="F141" i="18"/>
  <c r="F151" i="18"/>
  <c r="D29" i="21"/>
  <c r="F56" i="18"/>
  <c r="F158" i="18"/>
  <c r="F89" i="18"/>
  <c r="F142" i="18"/>
  <c r="F143" i="18"/>
  <c r="F49" i="18"/>
  <c r="F152" i="18"/>
  <c r="F38" i="18"/>
  <c r="D9" i="20"/>
  <c r="F109" i="18"/>
  <c r="F118" i="18"/>
  <c r="F66" i="18"/>
  <c r="D11" i="21"/>
  <c r="F146" i="18"/>
  <c r="F139" i="18"/>
  <c r="F102" i="18"/>
  <c r="F117" i="18"/>
  <c r="F123" i="18"/>
  <c r="M67" i="18"/>
  <c r="M156" i="18"/>
  <c r="M50" i="18"/>
  <c r="M150" i="18"/>
  <c r="M97" i="18"/>
  <c r="M100" i="18"/>
  <c r="M124" i="18"/>
  <c r="M90" i="18"/>
  <c r="M57" i="18"/>
  <c r="M155" i="18"/>
  <c r="M120" i="18"/>
  <c r="M74" i="18"/>
  <c r="M136" i="18"/>
  <c r="K9" i="21"/>
  <c r="M83" i="18"/>
  <c r="M117" i="18"/>
  <c r="M104" i="18"/>
  <c r="M145" i="18"/>
  <c r="M153" i="18"/>
  <c r="M79" i="18"/>
  <c r="M40" i="18"/>
  <c r="M94" i="18"/>
  <c r="G87" i="18"/>
  <c r="E7" i="20"/>
  <c r="G107" i="18"/>
  <c r="G98" i="18"/>
  <c r="G89" i="18"/>
  <c r="G149" i="18"/>
  <c r="G138" i="18"/>
  <c r="E13" i="21"/>
  <c r="G80" i="18"/>
  <c r="E17" i="21"/>
  <c r="G152" i="18"/>
  <c r="G151" i="18"/>
  <c r="G123" i="18"/>
  <c r="E21" i="21"/>
  <c r="G46" i="18"/>
  <c r="G56" i="18"/>
  <c r="G139" i="18"/>
  <c r="G119" i="18"/>
  <c r="G115" i="18"/>
  <c r="G38" i="18"/>
  <c r="G146" i="18"/>
  <c r="G73" i="18"/>
  <c r="G114" i="18"/>
  <c r="J92" i="18"/>
  <c r="J145" i="18"/>
  <c r="J135" i="18"/>
  <c r="J78" i="18"/>
  <c r="J124" i="18"/>
  <c r="H9" i="21"/>
  <c r="H13" i="20"/>
  <c r="J112" i="18"/>
  <c r="J156" i="18"/>
  <c r="H21" i="21"/>
  <c r="J119" i="18"/>
  <c r="J34" i="18"/>
  <c r="J76" i="18"/>
  <c r="J151" i="18"/>
  <c r="J85" i="18"/>
  <c r="H17" i="21"/>
  <c r="J52" i="18"/>
  <c r="H16" i="3"/>
  <c r="H37" i="17"/>
  <c r="H6" i="19"/>
  <c r="J90" i="18"/>
  <c r="J148" i="18"/>
  <c r="J69" i="18"/>
  <c r="J143" i="18"/>
  <c r="J157" i="18"/>
  <c r="H76" i="18"/>
  <c r="H78" i="18"/>
  <c r="H137" i="18"/>
  <c r="H92" i="18"/>
  <c r="H141" i="18"/>
  <c r="H87" i="18"/>
  <c r="H121" i="18"/>
  <c r="H151" i="18"/>
  <c r="F28" i="21"/>
  <c r="H80" i="18"/>
  <c r="H98" i="18"/>
  <c r="H158" i="18"/>
  <c r="H46" i="18"/>
  <c r="H152" i="18"/>
  <c r="H143" i="18"/>
  <c r="H157" i="18"/>
  <c r="H119" i="18"/>
  <c r="H120" i="18"/>
  <c r="H71" i="18"/>
  <c r="F7" i="20"/>
  <c r="H107" i="18"/>
  <c r="H136" i="18"/>
  <c r="H114" i="18"/>
  <c r="N120" i="18"/>
  <c r="N65" i="18"/>
  <c r="L7" i="20"/>
  <c r="N107" i="18"/>
  <c r="N97" i="18"/>
  <c r="L11" i="21"/>
  <c r="N30" i="18"/>
  <c r="N72" i="18"/>
  <c r="N48" i="18"/>
  <c r="N90" i="18"/>
  <c r="N74" i="18"/>
  <c r="N88" i="18"/>
  <c r="L30" i="21"/>
  <c r="N150" i="18"/>
  <c r="N57" i="18"/>
  <c r="N147" i="18"/>
  <c r="N140" i="18"/>
  <c r="N40" i="18"/>
  <c r="L13" i="21"/>
  <c r="N136" i="18"/>
  <c r="N145" i="18"/>
  <c r="N115" i="18"/>
  <c r="N124" i="18"/>
  <c r="P155" i="18"/>
  <c r="P142" i="18"/>
  <c r="N29" i="21"/>
  <c r="P147" i="18"/>
  <c r="P72" i="18"/>
  <c r="N16" i="3"/>
  <c r="N37" i="17"/>
  <c r="N6" i="19"/>
  <c r="P150" i="18"/>
  <c r="P70" i="18"/>
  <c r="N11" i="21"/>
  <c r="P79" i="18"/>
  <c r="P138" i="18"/>
  <c r="P125" i="18"/>
  <c r="N7" i="21"/>
  <c r="P88" i="18"/>
  <c r="N9" i="21"/>
  <c r="P122" i="18"/>
  <c r="P104" i="18"/>
  <c r="N15" i="21"/>
  <c r="P161" i="18"/>
  <c r="P45" i="18"/>
  <c r="P86" i="18"/>
  <c r="P136" i="18"/>
  <c r="E152" i="18"/>
  <c r="E41" i="18"/>
  <c r="E66" i="18"/>
  <c r="C24" i="21"/>
  <c r="C15" i="21"/>
  <c r="C8" i="21"/>
  <c r="E75" i="18"/>
  <c r="E99" i="18"/>
  <c r="C9" i="20"/>
  <c r="E109" i="18"/>
  <c r="E140" i="18"/>
  <c r="E91" i="18"/>
  <c r="E49" i="18"/>
  <c r="E116" i="18"/>
  <c r="C17" i="21"/>
  <c r="C7" i="20"/>
  <c r="E107" i="18"/>
  <c r="E158" i="18"/>
  <c r="E137" i="18"/>
  <c r="E149" i="18"/>
  <c r="E125" i="18"/>
  <c r="E146" i="18"/>
  <c r="E117" i="18"/>
  <c r="E118" i="18"/>
  <c r="R127" i="18"/>
  <c r="R77" i="18"/>
  <c r="R86" i="18"/>
  <c r="R159" i="18"/>
  <c r="R155" i="18"/>
  <c r="P16" i="21"/>
  <c r="R70" i="18"/>
  <c r="R136" i="18"/>
  <c r="R138" i="18"/>
  <c r="R162" i="18"/>
  <c r="P15" i="21"/>
  <c r="R84" i="18"/>
  <c r="R125" i="18"/>
  <c r="R120" i="18"/>
  <c r="R93" i="18"/>
  <c r="R100" i="18"/>
  <c r="R140" i="18"/>
  <c r="R43" i="18"/>
  <c r="R96" i="18"/>
  <c r="R147" i="18"/>
  <c r="R156" i="18"/>
  <c r="R144" i="18"/>
  <c r="I137" i="18"/>
  <c r="I114" i="18"/>
  <c r="I157" i="18"/>
  <c r="I121" i="18"/>
  <c r="I151" i="18"/>
  <c r="I124" i="18"/>
  <c r="I71" i="18"/>
  <c r="G11" i="21"/>
  <c r="I156" i="18"/>
  <c r="I85" i="18"/>
  <c r="I120" i="18"/>
  <c r="I87" i="18"/>
  <c r="G23" i="21"/>
  <c r="I98" i="18"/>
  <c r="I145" i="18"/>
  <c r="I143" i="18"/>
  <c r="I102" i="18"/>
  <c r="I69" i="18"/>
  <c r="I148" i="18"/>
  <c r="I78" i="18"/>
  <c r="I139" i="18"/>
  <c r="I136" i="18"/>
  <c r="O48" i="18"/>
  <c r="M21" i="21"/>
  <c r="O138" i="18"/>
  <c r="O150" i="18"/>
  <c r="M9" i="21"/>
  <c r="O145" i="18"/>
  <c r="O122" i="18"/>
  <c r="O152" i="18"/>
  <c r="O88" i="18"/>
  <c r="O148" i="18"/>
  <c r="O65" i="18"/>
  <c r="O37" i="18"/>
  <c r="O136" i="18"/>
  <c r="O140" i="18"/>
  <c r="O154" i="18"/>
  <c r="O142" i="18"/>
  <c r="O155" i="18"/>
  <c r="O97" i="18"/>
  <c r="O104" i="18"/>
  <c r="O120" i="18"/>
  <c r="O72" i="18"/>
  <c r="O79" i="18"/>
  <c r="AA158" i="18"/>
  <c r="AA76" i="18"/>
  <c r="AA157" i="18"/>
  <c r="AA135" i="18"/>
  <c r="AA143" i="18"/>
  <c r="AA69" i="18"/>
  <c r="Z7" i="21"/>
  <c r="AA152" i="18"/>
  <c r="Z8" i="20"/>
  <c r="AA108" i="18"/>
  <c r="AA119" i="18"/>
  <c r="AA42" i="18"/>
  <c r="AA141" i="18"/>
  <c r="AA85" i="18"/>
  <c r="AA126" i="18"/>
  <c r="AA148" i="18"/>
  <c r="AA59" i="18"/>
  <c r="AA92" i="18"/>
  <c r="AA102" i="18"/>
  <c r="AA159" i="18"/>
  <c r="AA52" i="18"/>
  <c r="AA146" i="18"/>
  <c r="Z11" i="20"/>
  <c r="AA110" i="18"/>
  <c r="K157" i="18"/>
  <c r="K119" i="18"/>
  <c r="I13" i="20"/>
  <c r="K112" i="18"/>
  <c r="K146" i="18"/>
  <c r="K69" i="18"/>
  <c r="K135" i="18"/>
  <c r="K126" i="18"/>
  <c r="K138" i="18"/>
  <c r="K92" i="18"/>
  <c r="K52" i="18"/>
  <c r="I13" i="21"/>
  <c r="K145" i="18"/>
  <c r="K148" i="18"/>
  <c r="K152" i="18"/>
  <c r="K85" i="18"/>
  <c r="K124" i="18"/>
  <c r="K142" i="18"/>
  <c r="K98" i="18"/>
  <c r="K140" i="18"/>
  <c r="K137" i="18"/>
  <c r="K156" i="18"/>
  <c r="I17" i="21"/>
  <c r="L149" i="18"/>
  <c r="L67" i="18"/>
  <c r="L156" i="18"/>
  <c r="J9" i="20"/>
  <c r="L109" i="18"/>
  <c r="L117" i="18"/>
  <c r="L146" i="18"/>
  <c r="L59" i="18"/>
  <c r="L138" i="18"/>
  <c r="L42" i="18"/>
  <c r="L126" i="18"/>
  <c r="L145" i="18"/>
  <c r="L148" i="18"/>
  <c r="L76" i="18"/>
  <c r="L143" i="18"/>
  <c r="J11" i="21"/>
  <c r="L50" i="18"/>
  <c r="L142" i="18"/>
  <c r="L92" i="18"/>
  <c r="J21" i="21"/>
  <c r="L94" i="18"/>
  <c r="L121" i="18"/>
  <c r="L83" i="18"/>
  <c r="J55" i="18"/>
  <c r="J134" i="18"/>
  <c r="J133" i="18"/>
  <c r="J132" i="18"/>
  <c r="J131" i="18"/>
  <c r="J82" i="18"/>
  <c r="J101" i="18"/>
  <c r="J128" i="18"/>
  <c r="J53" i="18"/>
  <c r="J168" i="18"/>
  <c r="J81" i="18"/>
  <c r="J130" i="18"/>
  <c r="H24" i="20"/>
  <c r="J63" i="18"/>
  <c r="J167" i="18"/>
  <c r="J54" i="18"/>
  <c r="J36" i="18"/>
  <c r="J105" i="18"/>
  <c r="J64" i="18"/>
  <c r="J62" i="18"/>
  <c r="J44" i="18"/>
  <c r="J95" i="18"/>
  <c r="U49" i="18"/>
  <c r="U163" i="18"/>
  <c r="U160" i="18"/>
  <c r="S16" i="3"/>
  <c r="S37" i="17"/>
  <c r="S6" i="19"/>
  <c r="U75" i="18"/>
  <c r="S7" i="20"/>
  <c r="U107" i="18"/>
  <c r="U136" i="18"/>
  <c r="U66" i="18"/>
  <c r="U41" i="18"/>
  <c r="U146" i="18"/>
  <c r="U121" i="18"/>
  <c r="U116" i="18"/>
  <c r="U154" i="18"/>
  <c r="U120" i="18"/>
  <c r="U96" i="18"/>
  <c r="U91" i="18"/>
  <c r="U137" i="18"/>
  <c r="U125" i="18"/>
  <c r="U104" i="18"/>
  <c r="U149" i="18"/>
  <c r="U153" i="18"/>
  <c r="U144" i="18"/>
  <c r="P95" i="18"/>
  <c r="N24" i="20"/>
  <c r="P44" i="18"/>
  <c r="P131" i="18"/>
  <c r="P64" i="18"/>
  <c r="N99" i="17"/>
  <c r="N17" i="20"/>
  <c r="P134" i="18"/>
  <c r="P82" i="18"/>
  <c r="P129" i="18"/>
  <c r="P101" i="18"/>
  <c r="P105" i="18"/>
  <c r="P63" i="18"/>
  <c r="P81" i="18"/>
  <c r="P62" i="18"/>
  <c r="P58" i="18"/>
  <c r="P133" i="18"/>
  <c r="P128" i="18"/>
  <c r="P168" i="18"/>
  <c r="P61" i="18"/>
  <c r="P55" i="18"/>
  <c r="N18" i="20"/>
  <c r="L128" i="18"/>
  <c r="L53" i="18"/>
  <c r="L95" i="18"/>
  <c r="L129" i="18"/>
  <c r="L130" i="18"/>
  <c r="L131" i="18"/>
  <c r="L105" i="18"/>
  <c r="L63" i="18"/>
  <c r="L55" i="18"/>
  <c r="L168" i="18"/>
  <c r="L36" i="18"/>
  <c r="L133" i="18"/>
  <c r="L62" i="18"/>
  <c r="L44" i="18"/>
  <c r="L54" i="18"/>
  <c r="L64" i="18"/>
  <c r="L101" i="18"/>
  <c r="L132" i="18"/>
  <c r="J22" i="20"/>
  <c r="L82" i="18"/>
  <c r="J88" i="17"/>
  <c r="L166" i="18"/>
  <c r="U134" i="18"/>
  <c r="U81" i="18"/>
  <c r="U129" i="18"/>
  <c r="Q6" i="7"/>
  <c r="S20" i="3"/>
  <c r="S87" i="17"/>
  <c r="U64" i="18"/>
  <c r="U44" i="18"/>
  <c r="U165" i="18"/>
  <c r="U62" i="18"/>
  <c r="U101" i="18"/>
  <c r="U61" i="18"/>
  <c r="U132" i="18"/>
  <c r="U36" i="18"/>
  <c r="U128" i="18"/>
  <c r="U58" i="18"/>
  <c r="U55" i="18"/>
  <c r="U63" i="18"/>
  <c r="U105" i="18"/>
  <c r="S22" i="20"/>
  <c r="U131" i="18"/>
  <c r="U130" i="18"/>
  <c r="U82" i="18"/>
  <c r="U164" i="18"/>
  <c r="E92" i="17"/>
  <c r="G105" i="18"/>
  <c r="E18" i="20"/>
  <c r="G167" i="18"/>
  <c r="G128" i="18"/>
  <c r="E22" i="20"/>
  <c r="G58" i="18"/>
  <c r="G134" i="18"/>
  <c r="G55" i="18"/>
  <c r="G53" i="18"/>
  <c r="G54" i="18"/>
  <c r="G62" i="18"/>
  <c r="E24" i="20"/>
  <c r="G44" i="18"/>
  <c r="G166" i="18"/>
  <c r="G36" i="18"/>
  <c r="G168" i="18"/>
  <c r="G81" i="18"/>
  <c r="G130" i="18"/>
  <c r="G132" i="18"/>
  <c r="G64" i="18"/>
  <c r="G129" i="18"/>
  <c r="F132" i="18"/>
  <c r="F82" i="18"/>
  <c r="F131" i="18"/>
  <c r="F63" i="18"/>
  <c r="F105" i="18"/>
  <c r="F134" i="18"/>
  <c r="F165" i="18"/>
  <c r="F55" i="18"/>
  <c r="D16" i="20"/>
  <c r="F36" i="18"/>
  <c r="D18" i="20"/>
  <c r="F128" i="18"/>
  <c r="F53" i="18"/>
  <c r="F130" i="18"/>
  <c r="F62" i="18"/>
  <c r="F54" i="18"/>
  <c r="F95" i="18"/>
  <c r="D88" i="17"/>
  <c r="F58" i="18"/>
  <c r="F167" i="18"/>
  <c r="F101" i="18"/>
  <c r="F81" i="18"/>
  <c r="Z101" i="18"/>
  <c r="Z134" i="18"/>
  <c r="Z44" i="18"/>
  <c r="Z64" i="18"/>
  <c r="Z131" i="18"/>
  <c r="Z63" i="18"/>
  <c r="Z61" i="18"/>
  <c r="Z128" i="18"/>
  <c r="Z133" i="18"/>
  <c r="Z55" i="18"/>
  <c r="Z130" i="18"/>
  <c r="Z167" i="18"/>
  <c r="Y88" i="17"/>
  <c r="Y19" i="20"/>
  <c r="Z53" i="18"/>
  <c r="Z81" i="18"/>
  <c r="Z82" i="18"/>
  <c r="Z105" i="18"/>
  <c r="Z95" i="18"/>
  <c r="Z62" i="18"/>
  <c r="Z132" i="18"/>
  <c r="Y17" i="20"/>
  <c r="I64" i="18"/>
  <c r="I44" i="18"/>
  <c r="I54" i="18"/>
  <c r="I133" i="18"/>
  <c r="I55" i="18"/>
  <c r="G99" i="17"/>
  <c r="G93" i="17"/>
  <c r="I130" i="18"/>
  <c r="I36" i="18"/>
  <c r="G16" i="20"/>
  <c r="I63" i="18"/>
  <c r="I105" i="18"/>
  <c r="I166" i="18"/>
  <c r="I128" i="18"/>
  <c r="I167" i="18"/>
  <c r="I62" i="18"/>
  <c r="I53" i="18"/>
  <c r="G24" i="20"/>
  <c r="G22" i="20"/>
  <c r="I101" i="18"/>
  <c r="I81" i="18"/>
  <c r="I132" i="18"/>
  <c r="T131" i="18"/>
  <c r="T63" i="18"/>
  <c r="T82" i="18"/>
  <c r="T164" i="18"/>
  <c r="T64" i="18"/>
  <c r="T129" i="18"/>
  <c r="T101" i="18"/>
  <c r="P6" i="7"/>
  <c r="R20" i="3"/>
  <c r="R87" i="17"/>
  <c r="T105" i="18"/>
  <c r="T58" i="18"/>
  <c r="T95" i="18"/>
  <c r="R96" i="17"/>
  <c r="T62" i="18"/>
  <c r="T134" i="18"/>
  <c r="T132" i="18"/>
  <c r="R16" i="20"/>
  <c r="T53" i="18"/>
  <c r="R19" i="20"/>
  <c r="T130" i="18"/>
  <c r="T81" i="18"/>
  <c r="T133" i="18"/>
  <c r="T44" i="18"/>
  <c r="V63" i="18"/>
  <c r="V81" i="18"/>
  <c r="V165" i="18"/>
  <c r="V129" i="18"/>
  <c r="T16" i="20"/>
  <c r="V134" i="18"/>
  <c r="T88" i="17"/>
  <c r="T17" i="20"/>
  <c r="V62" i="18"/>
  <c r="V132" i="18"/>
  <c r="V36" i="18"/>
  <c r="V58" i="18"/>
  <c r="V64" i="18"/>
  <c r="V128" i="18"/>
  <c r="V105" i="18"/>
  <c r="V55" i="18"/>
  <c r="V82" i="18"/>
  <c r="V54" i="18"/>
  <c r="V101" i="18"/>
  <c r="V131" i="18"/>
  <c r="V61" i="18"/>
  <c r="V95" i="18"/>
  <c r="Y64" i="18"/>
  <c r="Y165" i="18"/>
  <c r="Y61" i="18"/>
  <c r="Y44" i="18"/>
  <c r="Y63" i="18"/>
  <c r="Y82" i="18"/>
  <c r="Y134" i="18"/>
  <c r="Y133" i="18"/>
  <c r="Y58" i="18"/>
  <c r="Y36" i="18"/>
  <c r="Y95" i="18"/>
  <c r="Y130" i="18"/>
  <c r="Y132" i="18"/>
  <c r="Y62" i="18"/>
  <c r="Y54" i="18"/>
  <c r="Y105" i="18"/>
  <c r="Y166" i="18"/>
  <c r="Y128" i="18"/>
  <c r="Y164" i="18"/>
  <c r="Y167" i="18"/>
  <c r="Y101" i="18"/>
  <c r="Y81" i="18"/>
  <c r="Q129" i="18"/>
  <c r="Q131" i="18"/>
  <c r="O92" i="17"/>
  <c r="Q82" i="18"/>
  <c r="Q134" i="18"/>
  <c r="Q64" i="18"/>
  <c r="Q54" i="18"/>
  <c r="Q44" i="18"/>
  <c r="Q53" i="18"/>
  <c r="Q81" i="18"/>
  <c r="Q63" i="18"/>
  <c r="Q164" i="18"/>
  <c r="Q62" i="18"/>
  <c r="Q101" i="18"/>
  <c r="Q95" i="18"/>
  <c r="Q130" i="18"/>
  <c r="Q132" i="18"/>
  <c r="Q105" i="18"/>
  <c r="Q168" i="18"/>
  <c r="Q133" i="18"/>
  <c r="Q128" i="18"/>
  <c r="Q61" i="18"/>
  <c r="R63" i="18"/>
  <c r="R134" i="18"/>
  <c r="R55" i="18"/>
  <c r="R133" i="18"/>
  <c r="R64" i="18"/>
  <c r="R62" i="18"/>
  <c r="R82" i="18"/>
  <c r="P16" i="20"/>
  <c r="R61" i="18"/>
  <c r="R44" i="18"/>
  <c r="R164" i="18"/>
  <c r="R132" i="18"/>
  <c r="R105" i="18"/>
  <c r="R95" i="18"/>
  <c r="P92" i="17"/>
  <c r="R129" i="18"/>
  <c r="P22" i="20"/>
  <c r="P18" i="20"/>
  <c r="R53" i="18"/>
  <c r="R58" i="18"/>
  <c r="R131" i="18"/>
  <c r="P99" i="17"/>
  <c r="K131" i="18"/>
  <c r="K168" i="18"/>
  <c r="K61" i="18"/>
  <c r="I21" i="20"/>
  <c r="K54" i="18"/>
  <c r="K105" i="18"/>
  <c r="K82" i="18"/>
  <c r="K64" i="18"/>
  <c r="K130" i="18"/>
  <c r="I22" i="20"/>
  <c r="K134" i="18"/>
  <c r="K81" i="18"/>
  <c r="K44" i="18"/>
  <c r="K55" i="18"/>
  <c r="K63" i="18"/>
  <c r="K53" i="18"/>
  <c r="K128" i="18"/>
  <c r="K36" i="18"/>
  <c r="K133" i="18"/>
  <c r="K101" i="18"/>
  <c r="I19" i="20"/>
  <c r="I88" i="17"/>
  <c r="M82" i="18"/>
  <c r="M81" i="18"/>
  <c r="K18" i="20"/>
  <c r="M44" i="18"/>
  <c r="M132" i="18"/>
  <c r="M130" i="18"/>
  <c r="M95" i="18"/>
  <c r="M53" i="18"/>
  <c r="M166" i="18"/>
  <c r="M131" i="18"/>
  <c r="M101" i="18"/>
  <c r="M129" i="18"/>
  <c r="K19" i="20"/>
  <c r="M63" i="18"/>
  <c r="M64" i="18"/>
  <c r="M36" i="18"/>
  <c r="M61" i="18"/>
  <c r="M58" i="18"/>
  <c r="M105" i="18"/>
  <c r="M54" i="18"/>
  <c r="M133" i="18"/>
  <c r="M128" i="18"/>
  <c r="U19" i="20"/>
  <c r="W63" i="18"/>
  <c r="W166" i="18"/>
  <c r="W62" i="18"/>
  <c r="W58" i="18"/>
  <c r="W134" i="18"/>
  <c r="W81" i="18"/>
  <c r="W64" i="18"/>
  <c r="W165" i="18"/>
  <c r="W95" i="18"/>
  <c r="W130" i="18"/>
  <c r="W36" i="18"/>
  <c r="W132" i="18"/>
  <c r="W168" i="18"/>
  <c r="W128" i="18"/>
  <c r="W82" i="18"/>
  <c r="W129" i="18"/>
  <c r="W105" i="18"/>
  <c r="U92" i="17"/>
  <c r="W55" i="18"/>
  <c r="W61" i="18"/>
  <c r="U22" i="20"/>
  <c r="AA132" i="18"/>
  <c r="AA54" i="18"/>
  <c r="AA55" i="18"/>
  <c r="AA130" i="18"/>
  <c r="AA134" i="18"/>
  <c r="AA63" i="18"/>
  <c r="AA95" i="18"/>
  <c r="AA131" i="18"/>
  <c r="AA105" i="18"/>
  <c r="AA58" i="18"/>
  <c r="AA81" i="18"/>
  <c r="AA165" i="18"/>
  <c r="AA82" i="18"/>
  <c r="AA53" i="18"/>
  <c r="AA164" i="18"/>
  <c r="AA61" i="18"/>
  <c r="AA36" i="18"/>
  <c r="Z88" i="17"/>
  <c r="AA133" i="18"/>
  <c r="AA101" i="18"/>
  <c r="AA128" i="18"/>
  <c r="Z23" i="20"/>
  <c r="G140" i="18"/>
  <c r="G124" i="18"/>
  <c r="G147" i="18"/>
  <c r="G160" i="18"/>
  <c r="G102" i="18"/>
  <c r="G142" i="18"/>
  <c r="E10" i="21"/>
  <c r="G162" i="18"/>
  <c r="G163" i="18"/>
  <c r="E22" i="21"/>
  <c r="G136" i="18"/>
  <c r="E8" i="21"/>
  <c r="G127" i="18"/>
  <c r="G161" i="18"/>
  <c r="G118" i="18"/>
  <c r="G153" i="18"/>
  <c r="G158" i="18"/>
  <c r="E6" i="20"/>
  <c r="G106" i="18"/>
  <c r="G144" i="18"/>
  <c r="G120" i="18"/>
  <c r="E14" i="21"/>
  <c r="E7" i="21"/>
  <c r="N131" i="18"/>
  <c r="N62" i="18"/>
  <c r="N54" i="18"/>
  <c r="N168" i="18"/>
  <c r="N53" i="18"/>
  <c r="L19" i="20"/>
  <c r="N129" i="18"/>
  <c r="N133" i="18"/>
  <c r="N82" i="18"/>
  <c r="L21" i="20"/>
  <c r="N81" i="18"/>
  <c r="N128" i="18"/>
  <c r="N63" i="18"/>
  <c r="N95" i="18"/>
  <c r="N105" i="18"/>
  <c r="N167" i="18"/>
  <c r="N36" i="18"/>
  <c r="N44" i="18"/>
  <c r="N130" i="18"/>
  <c r="L93" i="17"/>
  <c r="L96" i="17"/>
  <c r="N64" i="18"/>
  <c r="D154" i="18"/>
  <c r="D142" i="18"/>
  <c r="D146" i="18"/>
  <c r="D138" i="18"/>
  <c r="D118" i="18"/>
  <c r="D136" i="18"/>
  <c r="D122" i="18"/>
  <c r="D149" i="18"/>
  <c r="D125" i="18"/>
  <c r="D106" i="18"/>
  <c r="D155" i="18"/>
  <c r="D147" i="18"/>
  <c r="D163" i="18"/>
  <c r="D158" i="18"/>
  <c r="D113" i="18"/>
  <c r="D157" i="18"/>
  <c r="D162" i="18"/>
  <c r="D115" i="18"/>
  <c r="D140" i="18"/>
  <c r="D161" i="18"/>
  <c r="D153" i="18"/>
  <c r="D97" i="18"/>
  <c r="S167" i="18"/>
  <c r="S62" i="18"/>
  <c r="S61" i="18"/>
  <c r="S129" i="18"/>
  <c r="S131" i="18"/>
  <c r="S132" i="18"/>
  <c r="S64" i="18"/>
  <c r="S82" i="18"/>
  <c r="Q23" i="20"/>
  <c r="S130" i="18"/>
  <c r="S58" i="18"/>
  <c r="Q99" i="17"/>
  <c r="S54" i="18"/>
  <c r="Q24" i="20"/>
  <c r="S63" i="18"/>
  <c r="S101" i="18"/>
  <c r="S95" i="18"/>
  <c r="S44" i="18"/>
  <c r="S128" i="18"/>
  <c r="S134" i="18"/>
  <c r="S81" i="18"/>
  <c r="Q96" i="17"/>
  <c r="C127" i="18"/>
  <c r="C99" i="18"/>
  <c r="C115" i="18"/>
  <c r="C149" i="18"/>
  <c r="C140" i="18"/>
  <c r="C119" i="18"/>
  <c r="C122" i="18"/>
  <c r="C162" i="18"/>
  <c r="C118" i="18"/>
  <c r="C155" i="18"/>
  <c r="C141" i="18"/>
  <c r="C138" i="18"/>
  <c r="C144" i="18"/>
  <c r="C106" i="18"/>
  <c r="C135" i="18"/>
  <c r="C156" i="18"/>
  <c r="C142" i="18"/>
  <c r="C150" i="18"/>
  <c r="C148" i="18"/>
  <c r="C160" i="18"/>
  <c r="C124" i="18"/>
  <c r="C153" i="18"/>
  <c r="W102" i="18"/>
  <c r="W156" i="18"/>
  <c r="U15" i="21"/>
  <c r="W162" i="18"/>
  <c r="W136" i="18"/>
  <c r="U17" i="21"/>
  <c r="W140" i="18"/>
  <c r="W123" i="18"/>
  <c r="W150" i="18"/>
  <c r="W127" i="18"/>
  <c r="U25" i="21"/>
  <c r="W161" i="18"/>
  <c r="W120" i="18"/>
  <c r="W145" i="18"/>
  <c r="W118" i="18"/>
  <c r="U11" i="21"/>
  <c r="U6" i="20"/>
  <c r="W106" i="18"/>
  <c r="U7" i="20"/>
  <c r="W107" i="18"/>
  <c r="W144" i="18"/>
  <c r="W139" i="18"/>
  <c r="U32" i="21"/>
  <c r="W147" i="18"/>
  <c r="O8" i="21"/>
  <c r="Q137" i="18"/>
  <c r="O11" i="21"/>
  <c r="Q143" i="18"/>
  <c r="O10" i="21"/>
  <c r="O12" i="20"/>
  <c r="Q111" i="18"/>
  <c r="O6" i="20"/>
  <c r="Q106" i="18"/>
  <c r="O14" i="20"/>
  <c r="Q113" i="18"/>
  <c r="O25" i="21"/>
  <c r="Q146" i="18"/>
  <c r="Q117" i="18"/>
  <c r="Q157" i="18"/>
  <c r="Q148" i="18"/>
  <c r="Q151" i="18"/>
  <c r="Q152" i="18"/>
  <c r="Q141" i="18"/>
  <c r="Q158" i="18"/>
  <c r="Q121" i="18"/>
  <c r="O17" i="21"/>
  <c r="Q124" i="18"/>
  <c r="Q126" i="18"/>
  <c r="O9" i="20"/>
  <c r="Q109" i="18"/>
  <c r="F160" i="18"/>
  <c r="F149" i="18"/>
  <c r="F124" i="18"/>
  <c r="F116" i="18"/>
  <c r="F136" i="18"/>
  <c r="D35" i="21"/>
  <c r="F161" i="18"/>
  <c r="F104" i="18"/>
  <c r="F145" i="18"/>
  <c r="F127" i="18"/>
  <c r="D34" i="21"/>
  <c r="F140" i="18"/>
  <c r="D12" i="21"/>
  <c r="F154" i="18"/>
  <c r="F120" i="18"/>
  <c r="F156" i="18"/>
  <c r="F153" i="18"/>
  <c r="F162" i="18"/>
  <c r="F147" i="18"/>
  <c r="F155" i="18"/>
  <c r="D16" i="21"/>
  <c r="F144" i="18"/>
  <c r="O58" i="18"/>
  <c r="O101" i="18"/>
  <c r="O55" i="18"/>
  <c r="O105" i="18"/>
  <c r="M93" i="17"/>
  <c r="O132" i="18"/>
  <c r="O64" i="18"/>
  <c r="K6" i="7"/>
  <c r="M20" i="3"/>
  <c r="M87" i="17"/>
  <c r="O81" i="18"/>
  <c r="O130" i="18"/>
  <c r="O44" i="18"/>
  <c r="O95" i="18"/>
  <c r="O133" i="18"/>
  <c r="O53" i="18"/>
  <c r="O128" i="18"/>
  <c r="O82" i="18"/>
  <c r="M16" i="20"/>
  <c r="O166" i="18"/>
  <c r="O62" i="18"/>
  <c r="O134" i="18"/>
  <c r="O131" i="18"/>
  <c r="O63" i="18"/>
  <c r="X12" i="20"/>
  <c r="Y111" i="18"/>
  <c r="Y142" i="18"/>
  <c r="X13" i="20"/>
  <c r="Y112" i="18"/>
  <c r="Y156" i="18"/>
  <c r="X13" i="21"/>
  <c r="Y118" i="18"/>
  <c r="X30" i="21"/>
  <c r="Y93" i="18"/>
  <c r="Y125" i="18"/>
  <c r="X17" i="21"/>
  <c r="Y163" i="18"/>
  <c r="Y140" i="18"/>
  <c r="Y116" i="18"/>
  <c r="Y154" i="18"/>
  <c r="Y122" i="18"/>
  <c r="X16" i="3"/>
  <c r="X37" i="17"/>
  <c r="X6" i="19"/>
  <c r="X31" i="21"/>
  <c r="X21" i="21"/>
  <c r="Y147" i="18"/>
  <c r="Y144" i="18"/>
  <c r="Y161" i="18"/>
  <c r="Y100" i="18"/>
  <c r="F16" i="20"/>
  <c r="H81" i="18"/>
  <c r="H133" i="18"/>
  <c r="H130" i="18"/>
  <c r="H82" i="18"/>
  <c r="F92" i="17"/>
  <c r="F99" i="17"/>
  <c r="H95" i="18"/>
  <c r="H132" i="18"/>
  <c r="H165" i="18"/>
  <c r="H64" i="18"/>
  <c r="H129" i="18"/>
  <c r="H58" i="18"/>
  <c r="H55" i="18"/>
  <c r="H53" i="18"/>
  <c r="F93" i="17"/>
  <c r="H134" i="18"/>
  <c r="H36" i="18"/>
  <c r="H54" i="18"/>
  <c r="H101" i="18"/>
  <c r="H131" i="18"/>
  <c r="H105" i="18"/>
  <c r="X62" i="18"/>
  <c r="X101" i="18"/>
  <c r="X131" i="18"/>
  <c r="X132" i="18"/>
  <c r="X129" i="18"/>
  <c r="X95" i="18"/>
  <c r="X54" i="18"/>
  <c r="X55" i="18"/>
  <c r="X61" i="18"/>
  <c r="X165" i="18"/>
  <c r="X81" i="18"/>
  <c r="V16" i="20"/>
  <c r="X36" i="18"/>
  <c r="X130" i="18"/>
  <c r="X128" i="18"/>
  <c r="X133" i="18"/>
  <c r="V99" i="17"/>
  <c r="X105" i="18"/>
  <c r="X64" i="18"/>
  <c r="V92" i="17"/>
  <c r="X82" i="18"/>
  <c r="X134" i="18"/>
  <c r="H93" i="18"/>
  <c r="F8" i="21"/>
  <c r="H127" i="18"/>
  <c r="H125" i="18"/>
  <c r="F12" i="21"/>
  <c r="H149" i="18"/>
  <c r="H122" i="18"/>
  <c r="F14" i="20"/>
  <c r="H113" i="18"/>
  <c r="H140" i="18"/>
  <c r="F10" i="21"/>
  <c r="H163" i="18"/>
  <c r="H144" i="18"/>
  <c r="H154" i="18"/>
  <c r="H150" i="18"/>
  <c r="F11" i="20"/>
  <c r="H110" i="18"/>
  <c r="H160" i="18"/>
  <c r="H153" i="18"/>
  <c r="H102" i="18"/>
  <c r="H142" i="18"/>
  <c r="H118" i="18"/>
  <c r="H138" i="18"/>
  <c r="H159" i="18"/>
  <c r="T9" i="20"/>
  <c r="V109" i="18"/>
  <c r="V151" i="18"/>
  <c r="V104" i="18"/>
  <c r="T11" i="20"/>
  <c r="V110" i="18"/>
  <c r="V142" i="18"/>
  <c r="V120" i="18"/>
  <c r="T9" i="21"/>
  <c r="V136" i="18"/>
  <c r="V124" i="18"/>
  <c r="V162" i="18"/>
  <c r="V126" i="18"/>
  <c r="V143" i="18"/>
  <c r="T10" i="21"/>
  <c r="V127" i="18"/>
  <c r="V147" i="18"/>
  <c r="V155" i="18"/>
  <c r="T13" i="20"/>
  <c r="V112" i="18"/>
  <c r="V156" i="18"/>
  <c r="V116" i="18"/>
  <c r="V139" i="18"/>
  <c r="V154" i="18"/>
  <c r="T24" i="21"/>
  <c r="T143" i="18"/>
  <c r="R10" i="21"/>
  <c r="T142" i="18"/>
  <c r="R12" i="20"/>
  <c r="T111" i="18"/>
  <c r="T136" i="18"/>
  <c r="T148" i="18"/>
  <c r="T145" i="18"/>
  <c r="R26" i="21"/>
  <c r="T156" i="18"/>
  <c r="R15" i="21"/>
  <c r="T135" i="18"/>
  <c r="T155" i="18"/>
  <c r="T96" i="18"/>
  <c r="T138" i="18"/>
  <c r="R24" i="21"/>
  <c r="T122" i="18"/>
  <c r="T157" i="18"/>
  <c r="T126" i="18"/>
  <c r="T140" i="18"/>
  <c r="T119" i="18"/>
  <c r="T115" i="18"/>
  <c r="T97" i="18"/>
  <c r="N162" i="18"/>
  <c r="N149" i="18"/>
  <c r="N121" i="18"/>
  <c r="N159" i="18"/>
  <c r="N146" i="18"/>
  <c r="L8" i="21"/>
  <c r="N125" i="18"/>
  <c r="N144" i="18"/>
  <c r="L6" i="20"/>
  <c r="N106" i="18"/>
  <c r="N143" i="18"/>
  <c r="N137" i="18"/>
  <c r="N103" i="18"/>
  <c r="N96" i="18"/>
  <c r="N152" i="18"/>
  <c r="L10" i="21"/>
  <c r="N153" i="18"/>
  <c r="N135" i="18"/>
  <c r="L8" i="20"/>
  <c r="N108" i="18"/>
  <c r="N119" i="18"/>
  <c r="L22" i="21"/>
  <c r="L16" i="21"/>
  <c r="N157" i="18"/>
  <c r="AA150" i="18"/>
  <c r="AA114" i="18"/>
  <c r="Z24" i="21"/>
  <c r="AA137" i="18"/>
  <c r="Z17" i="21"/>
  <c r="AA120" i="18"/>
  <c r="AA149" i="18"/>
  <c r="AA136" i="18"/>
  <c r="AA155" i="18"/>
  <c r="AA97" i="18"/>
  <c r="AA98" i="18"/>
  <c r="AA144" i="18"/>
  <c r="AA147" i="18"/>
  <c r="AA127" i="18"/>
  <c r="Z9" i="20"/>
  <c r="AA109" i="18"/>
  <c r="AA116" i="18"/>
  <c r="AA161" i="18"/>
  <c r="AA123" i="18"/>
  <c r="AA163" i="18"/>
  <c r="AA139" i="18"/>
  <c r="Z35" i="21"/>
  <c r="AA154" i="18"/>
  <c r="K147" i="18"/>
  <c r="K127" i="18"/>
  <c r="K123" i="18"/>
  <c r="K154" i="18"/>
  <c r="K163" i="18"/>
  <c r="K136" i="18"/>
  <c r="K144" i="18"/>
  <c r="I14" i="20"/>
  <c r="K113" i="18"/>
  <c r="K162" i="18"/>
  <c r="K114" i="18"/>
  <c r="K161" i="18"/>
  <c r="I32" i="21"/>
  <c r="K149" i="18"/>
  <c r="K159" i="18"/>
  <c r="K120" i="18"/>
  <c r="I26" i="21"/>
  <c r="K158" i="18"/>
  <c r="I16" i="21"/>
  <c r="K141" i="18"/>
  <c r="K116" i="18"/>
  <c r="I14" i="21"/>
  <c r="K139" i="18"/>
  <c r="L120" i="18"/>
  <c r="L139" i="18"/>
  <c r="J14" i="21"/>
  <c r="L114" i="18"/>
  <c r="J6" i="20"/>
  <c r="L106" i="18"/>
  <c r="J7" i="21"/>
  <c r="J8" i="20"/>
  <c r="L108" i="18"/>
  <c r="L104" i="18"/>
  <c r="L137" i="18"/>
  <c r="L159" i="18"/>
  <c r="L123" i="18"/>
  <c r="L154" i="18"/>
  <c r="L152" i="18"/>
  <c r="L127" i="18"/>
  <c r="L153" i="18"/>
  <c r="L147" i="18"/>
  <c r="L136" i="18"/>
  <c r="L98" i="18"/>
  <c r="L141" i="18"/>
  <c r="J11" i="20"/>
  <c r="L110" i="18"/>
  <c r="L161" i="18"/>
  <c r="J23" i="3"/>
  <c r="J18" i="21"/>
  <c r="H23" i="2"/>
  <c r="I138" i="18"/>
  <c r="I116" i="18"/>
  <c r="I160" i="18"/>
  <c r="I158" i="18"/>
  <c r="I150" i="18"/>
  <c r="I125" i="18"/>
  <c r="G14" i="21"/>
  <c r="I142" i="18"/>
  <c r="I118" i="18"/>
  <c r="G12" i="21"/>
  <c r="I122" i="18"/>
  <c r="I100" i="18"/>
  <c r="G33" i="21"/>
  <c r="I163" i="18"/>
  <c r="I115" i="18"/>
  <c r="G27" i="21"/>
  <c r="I149" i="18"/>
  <c r="I161" i="18"/>
  <c r="I159" i="18"/>
  <c r="I99" i="18"/>
  <c r="G16" i="21"/>
  <c r="I147" i="18"/>
  <c r="P100" i="18"/>
  <c r="P151" i="18"/>
  <c r="N23" i="3"/>
  <c r="N18" i="21"/>
  <c r="L23" i="2"/>
  <c r="P139" i="18"/>
  <c r="P148" i="18"/>
  <c r="P123" i="18"/>
  <c r="P119" i="18"/>
  <c r="P149" i="18"/>
  <c r="P117" i="18"/>
  <c r="P141" i="18"/>
  <c r="P146" i="18"/>
  <c r="P158" i="18"/>
  <c r="N6" i="20"/>
  <c r="P106" i="18"/>
  <c r="N13" i="21"/>
  <c r="P152" i="18"/>
  <c r="P145" i="18"/>
  <c r="P160" i="18"/>
  <c r="P157" i="18"/>
  <c r="P135" i="18"/>
  <c r="P94" i="18"/>
  <c r="P126" i="18"/>
  <c r="P159" i="18"/>
  <c r="E160" i="18"/>
  <c r="C8" i="20"/>
  <c r="E108" i="18"/>
  <c r="C22" i="21"/>
  <c r="E104" i="18"/>
  <c r="E120" i="18"/>
  <c r="C14" i="21"/>
  <c r="C16" i="3"/>
  <c r="C37" i="17"/>
  <c r="C6" i="19"/>
  <c r="C10" i="21"/>
  <c r="E163" i="18"/>
  <c r="E136" i="18"/>
  <c r="E138" i="18"/>
  <c r="E126" i="18"/>
  <c r="E147" i="18"/>
  <c r="E145" i="18"/>
  <c r="E144" i="18"/>
  <c r="E97" i="18"/>
  <c r="E122" i="18"/>
  <c r="E150" i="18"/>
  <c r="E103" i="18"/>
  <c r="E154" i="18"/>
  <c r="E142" i="18"/>
  <c r="E155" i="18"/>
  <c r="M137" i="18"/>
  <c r="M148" i="18"/>
  <c r="M135" i="18"/>
  <c r="K25" i="21"/>
  <c r="K12" i="20"/>
  <c r="M111" i="18"/>
  <c r="M163" i="18"/>
  <c r="M125" i="18"/>
  <c r="M143" i="18"/>
  <c r="M160" i="18"/>
  <c r="M121" i="18"/>
  <c r="M162" i="18"/>
  <c r="M159" i="18"/>
  <c r="K15" i="21"/>
  <c r="M146" i="18"/>
  <c r="M161" i="18"/>
  <c r="M114" i="18"/>
  <c r="K31" i="21"/>
  <c r="M152" i="18"/>
  <c r="M144" i="18"/>
  <c r="M141" i="18"/>
  <c r="K14" i="20"/>
  <c r="M113" i="18"/>
  <c r="M96" i="18"/>
  <c r="J125" i="18"/>
  <c r="J147" i="18"/>
  <c r="H12" i="20"/>
  <c r="J111" i="18"/>
  <c r="J149" i="18"/>
  <c r="J116" i="18"/>
  <c r="J158" i="18"/>
  <c r="H22" i="21"/>
  <c r="J100" i="18"/>
  <c r="H7" i="21"/>
  <c r="J154" i="18"/>
  <c r="H6" i="20"/>
  <c r="J106" i="18"/>
  <c r="J161" i="18"/>
  <c r="J136" i="18"/>
  <c r="J150" i="18"/>
  <c r="J123" i="18"/>
  <c r="H11" i="20"/>
  <c r="J110" i="18"/>
  <c r="J155" i="18"/>
  <c r="J120" i="18"/>
  <c r="J139" i="18"/>
  <c r="J141" i="18"/>
  <c r="H8" i="20"/>
  <c r="J108" i="18"/>
  <c r="J163" i="18"/>
  <c r="Z156" i="18"/>
  <c r="Z145" i="18"/>
  <c r="Z125" i="18"/>
  <c r="Z142" i="18"/>
  <c r="Y11" i="21"/>
  <c r="Z116" i="18"/>
  <c r="Y9" i="21"/>
  <c r="Y7" i="21"/>
  <c r="Z140" i="18"/>
  <c r="Z155" i="18"/>
  <c r="Y13" i="20"/>
  <c r="Z112" i="18"/>
  <c r="Z123" i="18"/>
  <c r="Z150" i="18"/>
  <c r="Z149" i="18"/>
  <c r="Z154" i="18"/>
  <c r="Z120" i="18"/>
  <c r="Z136" i="18"/>
  <c r="Z100" i="18"/>
  <c r="Z138" i="18"/>
  <c r="Y6" i="20"/>
  <c r="Z106" i="18"/>
  <c r="Z122" i="18"/>
  <c r="Z139" i="18"/>
  <c r="X144" i="18"/>
  <c r="V8" i="21"/>
  <c r="X157" i="18"/>
  <c r="X102" i="18"/>
  <c r="X147" i="18"/>
  <c r="V13" i="20"/>
  <c r="X112" i="18"/>
  <c r="V7" i="20"/>
  <c r="X107" i="18"/>
  <c r="X150" i="18"/>
  <c r="X149" i="18"/>
  <c r="X125" i="18"/>
  <c r="X122" i="18"/>
  <c r="V15" i="21"/>
  <c r="X93" i="18"/>
  <c r="X153" i="18"/>
  <c r="X140" i="18"/>
  <c r="X145" i="18"/>
  <c r="X127" i="18"/>
  <c r="X118" i="18"/>
  <c r="X138" i="18"/>
  <c r="V22" i="21"/>
  <c r="X156" i="18"/>
  <c r="X142" i="18"/>
  <c r="U138" i="18"/>
  <c r="S9" i="20"/>
  <c r="U109" i="18"/>
  <c r="U97" i="18"/>
  <c r="U126" i="18"/>
  <c r="U158" i="18"/>
  <c r="S17" i="21"/>
  <c r="U103" i="18"/>
  <c r="U152" i="18"/>
  <c r="S12" i="21"/>
  <c r="U148" i="18"/>
  <c r="U151" i="18"/>
  <c r="U135" i="18"/>
  <c r="U142" i="18"/>
  <c r="U150" i="18"/>
  <c r="S8" i="21"/>
  <c r="S22" i="21"/>
  <c r="U155" i="18"/>
  <c r="S8" i="20"/>
  <c r="U108" i="18"/>
  <c r="U145" i="18"/>
  <c r="U140" i="18"/>
  <c r="U122" i="18"/>
  <c r="U119" i="18"/>
  <c r="O158" i="18"/>
  <c r="M14" i="20"/>
  <c r="O113" i="18"/>
  <c r="O135" i="18"/>
  <c r="O123" i="18"/>
  <c r="O151" i="18"/>
  <c r="O125" i="18"/>
  <c r="O160" i="18"/>
  <c r="O144" i="18"/>
  <c r="O157" i="18"/>
  <c r="O103" i="18"/>
  <c r="O153" i="18"/>
  <c r="O141" i="18"/>
  <c r="M8" i="20"/>
  <c r="O108" i="18"/>
  <c r="O119" i="18"/>
  <c r="O139" i="18"/>
  <c r="M9" i="20"/>
  <c r="O109" i="18"/>
  <c r="O143" i="18"/>
  <c r="O94" i="18"/>
  <c r="O126" i="18"/>
  <c r="O159" i="18"/>
  <c r="M12" i="21"/>
  <c r="M12" i="20"/>
  <c r="O111" i="18"/>
  <c r="R153" i="18"/>
  <c r="R99" i="18"/>
  <c r="R98" i="18"/>
  <c r="R124" i="18"/>
  <c r="R149" i="18"/>
  <c r="P14" i="20"/>
  <c r="R113" i="18"/>
  <c r="P13" i="21"/>
  <c r="P23" i="3"/>
  <c r="P18" i="21"/>
  <c r="N23" i="2"/>
  <c r="R121" i="18"/>
  <c r="R137" i="18"/>
  <c r="R117" i="18"/>
  <c r="P35" i="21"/>
  <c r="R146" i="18"/>
  <c r="R143" i="18"/>
  <c r="R160" i="18"/>
  <c r="R115" i="18"/>
  <c r="R114" i="18"/>
  <c r="R148" i="18"/>
  <c r="R145" i="18"/>
  <c r="R158" i="18"/>
  <c r="R157" i="18"/>
  <c r="R141" i="18"/>
  <c r="O36" i="21"/>
  <c r="O44" i="21"/>
  <c r="Q123" i="18"/>
  <c r="Q159" i="18"/>
  <c r="Q145" i="18"/>
  <c r="O15" i="21"/>
  <c r="O27" i="21"/>
  <c r="Q139" i="18"/>
  <c r="Q161" i="18"/>
  <c r="O7" i="20"/>
  <c r="Q107" i="18"/>
  <c r="O23" i="3"/>
  <c r="O18" i="21"/>
  <c r="M23" i="2"/>
  <c r="Q26" i="22"/>
  <c r="Q149" i="18"/>
  <c r="O26" i="21"/>
  <c r="O64" i="21"/>
  <c r="O43" i="21"/>
  <c r="O21" i="21"/>
  <c r="O24" i="3"/>
  <c r="O37" i="21"/>
  <c r="O46" i="21"/>
  <c r="O40" i="21"/>
  <c r="Q153" i="18"/>
  <c r="O13" i="21"/>
  <c r="AA29" i="21"/>
  <c r="AA11" i="21"/>
  <c r="AA67" i="17"/>
  <c r="AA31" i="21"/>
  <c r="AA83" i="17"/>
  <c r="AA12" i="20"/>
  <c r="AA30" i="21"/>
  <c r="AA29" i="17"/>
  <c r="AA6" i="20"/>
  <c r="AA11" i="20"/>
  <c r="AA14" i="21"/>
  <c r="AA47" i="17"/>
  <c r="AA17" i="21"/>
  <c r="AA7" i="21"/>
  <c r="AA51" i="17"/>
  <c r="AA89" i="17"/>
  <c r="AA60" i="17"/>
  <c r="AA14" i="20"/>
  <c r="AA76" i="17"/>
  <c r="AA9" i="21"/>
  <c r="AA74" i="17"/>
  <c r="AA90" i="17"/>
  <c r="S151" i="18"/>
  <c r="S150" i="18"/>
  <c r="Q13" i="21"/>
  <c r="Q8" i="21"/>
  <c r="S137" i="18"/>
  <c r="Q12" i="20"/>
  <c r="S111" i="18"/>
  <c r="S140" i="18"/>
  <c r="S115" i="18"/>
  <c r="Q21" i="21"/>
  <c r="S156" i="18"/>
  <c r="S119" i="18"/>
  <c r="S157" i="18"/>
  <c r="S142" i="18"/>
  <c r="S122" i="18"/>
  <c r="S121" i="18"/>
  <c r="S138" i="18"/>
  <c r="Q9" i="20"/>
  <c r="S109" i="18"/>
  <c r="S146" i="18"/>
  <c r="S99" i="18"/>
  <c r="S135" i="18"/>
  <c r="Q12" i="21"/>
  <c r="S124" i="18"/>
  <c r="R13" i="20"/>
  <c r="T112" i="18"/>
  <c r="R14" i="21"/>
  <c r="R16" i="3"/>
  <c r="R37" i="17"/>
  <c r="R6" i="19"/>
  <c r="R24" i="3"/>
  <c r="R37" i="21"/>
  <c r="R7" i="20"/>
  <c r="T107" i="18"/>
  <c r="R42" i="21"/>
  <c r="R13" i="21"/>
  <c r="T9" i="22"/>
  <c r="R25" i="21"/>
  <c r="R12" i="21"/>
  <c r="R49" i="21"/>
  <c r="R45" i="21"/>
  <c r="R9" i="20"/>
  <c r="T109" i="18"/>
  <c r="T150" i="18"/>
  <c r="T8" i="22"/>
  <c r="R21" i="21"/>
  <c r="R36" i="21"/>
  <c r="R8" i="21"/>
  <c r="R27" i="21"/>
  <c r="T158" i="18"/>
  <c r="R34" i="21"/>
  <c r="T24" i="22"/>
  <c r="W90" i="17"/>
  <c r="W16" i="3"/>
  <c r="W37" i="17"/>
  <c r="W6" i="19"/>
  <c r="W10" i="21"/>
  <c r="T9" i="9"/>
  <c r="T9" i="5"/>
  <c r="W81" i="17"/>
  <c r="W14" i="21"/>
  <c r="W54" i="21"/>
  <c r="W64" i="17"/>
  <c r="W33" i="17"/>
  <c r="W33" i="21"/>
  <c r="W94" i="17"/>
  <c r="W11" i="20"/>
  <c r="W80" i="17"/>
  <c r="W58" i="17"/>
  <c r="W12" i="21"/>
  <c r="W23" i="21"/>
  <c r="W74" i="17"/>
  <c r="W34" i="21"/>
  <c r="W8" i="20"/>
  <c r="T8" i="9"/>
  <c r="T8" i="5"/>
  <c r="W73" i="17"/>
  <c r="W71" i="17"/>
  <c r="W9" i="21"/>
  <c r="W17" i="21"/>
  <c r="I9" i="21"/>
  <c r="I31" i="21"/>
  <c r="I45" i="21"/>
  <c r="K97" i="18"/>
  <c r="K150" i="18"/>
  <c r="K9" i="22"/>
  <c r="I6" i="20"/>
  <c r="K106" i="18"/>
  <c r="I44" i="21"/>
  <c r="I43" i="21"/>
  <c r="K155" i="18"/>
  <c r="I28" i="21"/>
  <c r="I49" i="21"/>
  <c r="I7" i="21"/>
  <c r="I8" i="20"/>
  <c r="K108" i="18"/>
  <c r="I27" i="21"/>
  <c r="I11" i="20"/>
  <c r="K110" i="18"/>
  <c r="I64" i="21"/>
  <c r="I11" i="21"/>
  <c r="I16" i="3"/>
  <c r="I37" i="17"/>
  <c r="I6" i="19"/>
  <c r="I21" i="21"/>
  <c r="I22" i="21"/>
  <c r="K151" i="18"/>
  <c r="W117" i="18"/>
  <c r="W13" i="22"/>
  <c r="W148" i="18"/>
  <c r="U40" i="21"/>
  <c r="W151" i="18"/>
  <c r="U23" i="21"/>
  <c r="U23" i="3"/>
  <c r="U18" i="21"/>
  <c r="S23" i="2"/>
  <c r="U41" i="21"/>
  <c r="U47" i="21"/>
  <c r="U36" i="21"/>
  <c r="U13" i="20"/>
  <c r="W112" i="18"/>
  <c r="U49" i="21"/>
  <c r="U26" i="21"/>
  <c r="U11" i="20"/>
  <c r="W110" i="18"/>
  <c r="U24" i="3"/>
  <c r="U37" i="21"/>
  <c r="W124" i="18"/>
  <c r="U35" i="21"/>
  <c r="U9" i="20"/>
  <c r="W109" i="18"/>
  <c r="W23" i="22"/>
  <c r="W155" i="18"/>
  <c r="U8" i="21"/>
  <c r="U10" i="21"/>
  <c r="M6" i="20"/>
  <c r="O106" i="18"/>
  <c r="M22" i="21"/>
  <c r="M29" i="21"/>
  <c r="O147" i="18"/>
  <c r="M46" i="21"/>
  <c r="M60" i="21"/>
  <c r="M13" i="21"/>
  <c r="M7" i="21"/>
  <c r="M41" i="21"/>
  <c r="M27" i="21"/>
  <c r="M62" i="21"/>
  <c r="K25" i="2"/>
  <c r="M11" i="20"/>
  <c r="O110" i="18"/>
  <c r="M24" i="3"/>
  <c r="M37" i="21"/>
  <c r="M28" i="21"/>
  <c r="M30" i="21"/>
  <c r="M42" i="21"/>
  <c r="M40" i="21"/>
  <c r="O163" i="18"/>
  <c r="M45" i="21"/>
  <c r="M11" i="21"/>
  <c r="M16" i="21"/>
  <c r="O156" i="18"/>
  <c r="C168" i="18"/>
  <c r="C132" i="18"/>
  <c r="C61" i="18"/>
  <c r="C81" i="18"/>
  <c r="C101" i="18"/>
  <c r="C128" i="18"/>
  <c r="C165" i="18"/>
  <c r="C105" i="18"/>
  <c r="C164" i="18"/>
  <c r="C63" i="18"/>
  <c r="C134" i="18"/>
  <c r="C133" i="18"/>
  <c r="C55" i="18"/>
  <c r="C130" i="18"/>
  <c r="C167" i="18"/>
  <c r="C54" i="18"/>
  <c r="C95" i="18"/>
  <c r="C53" i="18"/>
  <c r="C129" i="18"/>
  <c r="C131" i="18"/>
  <c r="C166" i="18"/>
  <c r="C58" i="18"/>
  <c r="AA142" i="18"/>
  <c r="Z34" i="21"/>
  <c r="Z11" i="21"/>
  <c r="Z16" i="21"/>
  <c r="AA151" i="18"/>
  <c r="Z22" i="21"/>
  <c r="Z14" i="21"/>
  <c r="Z33" i="21"/>
  <c r="Z61" i="21"/>
  <c r="Z16" i="3"/>
  <c r="Z37" i="17"/>
  <c r="Z6" i="19"/>
  <c r="Z50" i="21"/>
  <c r="Z32" i="21"/>
  <c r="AA156" i="18"/>
  <c r="Z6" i="20"/>
  <c r="AA106" i="18"/>
  <c r="Z14" i="20"/>
  <c r="AA113" i="18"/>
  <c r="Z13" i="20"/>
  <c r="AA112" i="18"/>
  <c r="Z46" i="21"/>
  <c r="Z47" i="21"/>
  <c r="AA160" i="18"/>
  <c r="Z54" i="21"/>
  <c r="Z23" i="21"/>
  <c r="Z62" i="21"/>
  <c r="X25" i="2"/>
  <c r="P116" i="18"/>
  <c r="N54" i="21"/>
  <c r="N9" i="20"/>
  <c r="P109" i="18"/>
  <c r="P13" i="22"/>
  <c r="P154" i="18"/>
  <c r="N28" i="21"/>
  <c r="N14" i="20"/>
  <c r="P113" i="18"/>
  <c r="N25" i="21"/>
  <c r="N21" i="21"/>
  <c r="P8" i="22"/>
  <c r="P163" i="18"/>
  <c r="N12" i="20"/>
  <c r="P111" i="18"/>
  <c r="P12" i="22"/>
  <c r="N43" i="21"/>
  <c r="N60" i="21"/>
  <c r="N40" i="21"/>
  <c r="N24" i="3"/>
  <c r="N37" i="21"/>
  <c r="N42" i="21"/>
  <c r="N8" i="20"/>
  <c r="P108" i="18"/>
  <c r="N46" i="21"/>
  <c r="P162" i="18"/>
  <c r="N16" i="21"/>
  <c r="R152" i="18"/>
  <c r="P27" i="21"/>
  <c r="P46" i="21"/>
  <c r="P40" i="21"/>
  <c r="P36" i="21"/>
  <c r="R161" i="18"/>
  <c r="P10" i="21"/>
  <c r="P6" i="20"/>
  <c r="R106" i="18"/>
  <c r="P50" i="21"/>
  <c r="P28" i="21"/>
  <c r="P9" i="20"/>
  <c r="R109" i="18"/>
  <c r="P7" i="21"/>
  <c r="P52" i="21"/>
  <c r="P26" i="21"/>
  <c r="P45" i="21"/>
  <c r="P44" i="21"/>
  <c r="P11" i="21"/>
  <c r="P41" i="21"/>
  <c r="P7" i="20"/>
  <c r="R107" i="18"/>
  <c r="P12" i="20"/>
  <c r="R111" i="18"/>
  <c r="P8" i="21"/>
  <c r="P9" i="21"/>
  <c r="Q16" i="21"/>
  <c r="Q52" i="21"/>
  <c r="Q27" i="21"/>
  <c r="Q36" i="21"/>
  <c r="S41" i="22"/>
  <c r="S25" i="22"/>
  <c r="Q24" i="21"/>
  <c r="Q23" i="3"/>
  <c r="Q18" i="21"/>
  <c r="O23" i="2"/>
  <c r="Q6" i="20"/>
  <c r="S106" i="18"/>
  <c r="S152" i="18"/>
  <c r="Q35" i="21"/>
  <c r="Q41" i="21"/>
  <c r="Q62" i="21"/>
  <c r="O25" i="2"/>
  <c r="Q47" i="21"/>
  <c r="Q43" i="21"/>
  <c r="Q15" i="21"/>
  <c r="Q26" i="21"/>
  <c r="S159" i="18"/>
  <c r="Q14" i="20"/>
  <c r="S113" i="18"/>
  <c r="S143" i="18"/>
  <c r="Q25" i="21"/>
  <c r="Q42" i="21"/>
  <c r="L151" i="18"/>
  <c r="J29" i="21"/>
  <c r="J28" i="21"/>
  <c r="J46" i="21"/>
  <c r="L20" i="22"/>
  <c r="J44" i="21"/>
  <c r="J32" i="21"/>
  <c r="J22" i="21"/>
  <c r="J17" i="21"/>
  <c r="J16" i="3"/>
  <c r="J37" i="17"/>
  <c r="J6" i="19"/>
  <c r="L163" i="18"/>
  <c r="J62" i="21"/>
  <c r="H25" i="2"/>
  <c r="J14" i="20"/>
  <c r="L113" i="18"/>
  <c r="J33" i="21"/>
  <c r="J43" i="21"/>
  <c r="J16" i="21"/>
  <c r="J26" i="21"/>
  <c r="J13" i="20"/>
  <c r="L112" i="18"/>
  <c r="L158" i="18"/>
  <c r="J54" i="21"/>
  <c r="J41" i="21"/>
  <c r="J42" i="21"/>
  <c r="H28" i="21"/>
  <c r="H27" i="21"/>
  <c r="H45" i="21"/>
  <c r="H64" i="21"/>
  <c r="H12" i="21"/>
  <c r="H30" i="21"/>
  <c r="H42" i="21"/>
  <c r="H31" i="21"/>
  <c r="H23" i="21"/>
  <c r="H48" i="21"/>
  <c r="H7" i="20"/>
  <c r="J107" i="18"/>
  <c r="J142" i="18"/>
  <c r="H16" i="21"/>
  <c r="H14" i="21"/>
  <c r="H44" i="21"/>
  <c r="J138" i="18"/>
  <c r="H43" i="21"/>
  <c r="H49" i="21"/>
  <c r="J144" i="18"/>
  <c r="J160" i="18"/>
  <c r="J122" i="18"/>
  <c r="J153" i="18"/>
  <c r="E31" i="21"/>
  <c r="E29" i="21"/>
  <c r="E43" i="21"/>
  <c r="E13" i="20"/>
  <c r="G112" i="18"/>
  <c r="E16" i="3"/>
  <c r="E37" i="17"/>
  <c r="E6" i="19"/>
  <c r="G117" i="18"/>
  <c r="E23" i="3"/>
  <c r="E18" i="21"/>
  <c r="C23" i="2"/>
  <c r="G14" i="22"/>
  <c r="G13" i="22"/>
  <c r="E12" i="21"/>
  <c r="E32" i="21"/>
  <c r="E15" i="21"/>
  <c r="E23" i="21"/>
  <c r="G145" i="18"/>
  <c r="G155" i="18"/>
  <c r="E35" i="21"/>
  <c r="E44" i="21"/>
  <c r="E30" i="21"/>
  <c r="E11" i="20"/>
  <c r="G110" i="18"/>
  <c r="G156" i="18"/>
  <c r="E49" i="21"/>
  <c r="E9" i="20"/>
  <c r="G109" i="18"/>
  <c r="X124" i="18"/>
  <c r="V9" i="20"/>
  <c r="X109" i="18"/>
  <c r="V25" i="21"/>
  <c r="V40" i="21"/>
  <c r="V36" i="21"/>
  <c r="V47" i="21"/>
  <c r="X146" i="18"/>
  <c r="V14" i="21"/>
  <c r="X162" i="18"/>
  <c r="V26" i="21"/>
  <c r="V16" i="3"/>
  <c r="V37" i="17"/>
  <c r="V6" i="19"/>
  <c r="V61" i="21"/>
  <c r="V32" i="21"/>
  <c r="V12" i="21"/>
  <c r="V33" i="21"/>
  <c r="X151" i="18"/>
  <c r="X155" i="18"/>
  <c r="V14" i="20"/>
  <c r="X113" i="18"/>
  <c r="X14" i="22"/>
  <c r="V24" i="3"/>
  <c r="V37" i="21"/>
  <c r="V10" i="21"/>
  <c r="V8" i="20"/>
  <c r="X108" i="18"/>
  <c r="X6" i="20"/>
  <c r="Y106" i="18"/>
  <c r="X34" i="21"/>
  <c r="X54" i="21"/>
  <c r="X64" i="21"/>
  <c r="X7" i="20"/>
  <c r="Y107" i="18"/>
  <c r="X24" i="21"/>
  <c r="X14" i="21"/>
  <c r="X8" i="21"/>
  <c r="X9" i="21"/>
  <c r="Y162" i="18"/>
  <c r="Y148" i="18"/>
  <c r="X10" i="21"/>
  <c r="Y157" i="18"/>
  <c r="Y145" i="18"/>
  <c r="Y153" i="18"/>
  <c r="Y138" i="18"/>
  <c r="Y115" i="18"/>
  <c r="Y12" i="22"/>
  <c r="X36" i="21"/>
  <c r="Y99" i="18"/>
  <c r="X24" i="3"/>
  <c r="X37" i="21"/>
  <c r="X35" i="21"/>
  <c r="Y15" i="21"/>
  <c r="Y8" i="20"/>
  <c r="Z108" i="18"/>
  <c r="Y32" i="21"/>
  <c r="Y11" i="20"/>
  <c r="Z110" i="18"/>
  <c r="Y46" i="21"/>
  <c r="Y54" i="21"/>
  <c r="Y35" i="21"/>
  <c r="Y31" i="21"/>
  <c r="Y16" i="3"/>
  <c r="Y37" i="17"/>
  <c r="Y6" i="19"/>
  <c r="Y24" i="3"/>
  <c r="Y37" i="21"/>
  <c r="Y34" i="21"/>
  <c r="Y33" i="21"/>
  <c r="Y12" i="21"/>
  <c r="Y50" i="21"/>
  <c r="Z153" i="18"/>
  <c r="Y64" i="21"/>
  <c r="Z144" i="18"/>
  <c r="Z160" i="18"/>
  <c r="Y10" i="21"/>
  <c r="Y22" i="21"/>
  <c r="Z22" i="22"/>
  <c r="Y17" i="21"/>
  <c r="G7" i="20"/>
  <c r="I107" i="18"/>
  <c r="G29" i="21"/>
  <c r="G34" i="21"/>
  <c r="G52" i="21"/>
  <c r="G24" i="21"/>
  <c r="G8" i="21"/>
  <c r="G48" i="21"/>
  <c r="I153" i="18"/>
  <c r="I162" i="18"/>
  <c r="G35" i="21"/>
  <c r="G10" i="21"/>
  <c r="I12" i="22"/>
  <c r="G9" i="21"/>
  <c r="G28" i="21"/>
  <c r="G16" i="3"/>
  <c r="G37" i="17"/>
  <c r="G6" i="19"/>
  <c r="G17" i="21"/>
  <c r="G30" i="21"/>
  <c r="G13" i="20"/>
  <c r="I112" i="18"/>
  <c r="I140" i="18"/>
  <c r="G11" i="20"/>
  <c r="I110" i="18"/>
  <c r="G45" i="21"/>
  <c r="G8" i="20"/>
  <c r="I108" i="18"/>
  <c r="L27" i="21"/>
  <c r="L40" i="21"/>
  <c r="L14" i="20"/>
  <c r="N113" i="18"/>
  <c r="L31" i="21"/>
  <c r="L42" i="21"/>
  <c r="N142" i="18"/>
  <c r="N156" i="18"/>
  <c r="N14" i="22"/>
  <c r="L14" i="21"/>
  <c r="L21" i="21"/>
  <c r="L11" i="20"/>
  <c r="N110" i="18"/>
  <c r="N161" i="18"/>
  <c r="L9" i="21"/>
  <c r="N102" i="18"/>
  <c r="L12" i="20"/>
  <c r="N111" i="18"/>
  <c r="L41" i="21"/>
  <c r="N118" i="18"/>
  <c r="L45" i="21"/>
  <c r="L26" i="21"/>
  <c r="L60" i="21"/>
  <c r="L44" i="21"/>
  <c r="N163" i="18"/>
  <c r="K64" i="21"/>
  <c r="K26" i="21"/>
  <c r="K13" i="20"/>
  <c r="M112" i="18"/>
  <c r="K30" i="21"/>
  <c r="M8" i="22"/>
  <c r="K7" i="21"/>
  <c r="K8" i="20"/>
  <c r="M108" i="18"/>
  <c r="K62" i="21"/>
  <c r="I25" i="2"/>
  <c r="K6" i="20"/>
  <c r="M106" i="18"/>
  <c r="K43" i="21"/>
  <c r="K44" i="21"/>
  <c r="K14" i="21"/>
  <c r="M158" i="18"/>
  <c r="M127" i="18"/>
  <c r="K11" i="21"/>
  <c r="K41" i="21"/>
  <c r="K42" i="21"/>
  <c r="K32" i="21"/>
  <c r="K29" i="21"/>
  <c r="K13" i="21"/>
  <c r="M149" i="18"/>
  <c r="M154" i="18"/>
  <c r="C9" i="21"/>
  <c r="C32" i="21"/>
  <c r="C23" i="3"/>
  <c r="C18" i="21"/>
  <c r="C23" i="21"/>
  <c r="C13" i="20"/>
  <c r="E112" i="18"/>
  <c r="E119" i="18"/>
  <c r="E148" i="18"/>
  <c r="C60" i="21"/>
  <c r="C24" i="3"/>
  <c r="C37" i="21"/>
  <c r="C31" i="21"/>
  <c r="E143" i="18"/>
  <c r="E157" i="18"/>
  <c r="E162" i="18"/>
  <c r="C34" i="21"/>
  <c r="C52" i="21"/>
  <c r="E135" i="18"/>
  <c r="C33" i="21"/>
  <c r="C25" i="21"/>
  <c r="C12" i="20"/>
  <c r="E111" i="18"/>
  <c r="C49" i="21"/>
  <c r="E22" i="22"/>
  <c r="C12" i="21"/>
  <c r="T40" i="21"/>
  <c r="T47" i="21"/>
  <c r="T25" i="21"/>
  <c r="T42" i="21"/>
  <c r="T46" i="21"/>
  <c r="T8" i="21"/>
  <c r="V157" i="18"/>
  <c r="V152" i="18"/>
  <c r="T12" i="20"/>
  <c r="V111" i="18"/>
  <c r="V27" i="22"/>
  <c r="T35" i="21"/>
  <c r="T28" i="21"/>
  <c r="T34" i="21"/>
  <c r="T17" i="21"/>
  <c r="T7" i="20"/>
  <c r="V107" i="18"/>
  <c r="T41" i="21"/>
  <c r="T61" i="21"/>
  <c r="T49" i="21"/>
  <c r="T16" i="3"/>
  <c r="T37" i="17"/>
  <c r="T6" i="19"/>
  <c r="T12" i="21"/>
  <c r="V150" i="18"/>
  <c r="V148" i="18"/>
  <c r="S13" i="21"/>
  <c r="S24" i="21"/>
  <c r="S13" i="20"/>
  <c r="U112" i="18"/>
  <c r="S10" i="21"/>
  <c r="S23" i="3"/>
  <c r="S18" i="21"/>
  <c r="Q23" i="2"/>
  <c r="S25" i="21"/>
  <c r="U157" i="18"/>
  <c r="S34" i="21"/>
  <c r="S46" i="21"/>
  <c r="S12" i="20"/>
  <c r="U111" i="18"/>
  <c r="S15" i="21"/>
  <c r="S40" i="21"/>
  <c r="S21" i="21"/>
  <c r="S33" i="21"/>
  <c r="S49" i="21"/>
  <c r="S42" i="21"/>
  <c r="S24" i="3"/>
  <c r="S37" i="21"/>
  <c r="S61" i="21"/>
  <c r="S41" i="21"/>
  <c r="S45" i="21"/>
  <c r="U162" i="18"/>
  <c r="S28" i="21"/>
  <c r="D131" i="18"/>
  <c r="D62" i="18"/>
  <c r="D129" i="18"/>
  <c r="D130" i="18"/>
  <c r="D133" i="18"/>
  <c r="D105" i="18"/>
  <c r="D101" i="18"/>
  <c r="D55" i="18"/>
  <c r="D164" i="18"/>
  <c r="D128" i="18"/>
  <c r="D167" i="18"/>
  <c r="D58" i="18"/>
  <c r="D82" i="18"/>
  <c r="D95" i="18"/>
  <c r="D54" i="18"/>
  <c r="D134" i="18"/>
  <c r="D61" i="18"/>
  <c r="D53" i="18"/>
  <c r="D166" i="18"/>
  <c r="D168" i="18"/>
  <c r="D81" i="18"/>
  <c r="D165" i="18"/>
  <c r="U21" i="21"/>
  <c r="U22" i="21"/>
  <c r="W24" i="22"/>
  <c r="U30" i="21"/>
  <c r="W141" i="18"/>
  <c r="U13" i="21"/>
  <c r="W27" i="22"/>
  <c r="U61" i="21"/>
  <c r="U12" i="20"/>
  <c r="W111" i="18"/>
  <c r="W159" i="18"/>
  <c r="U14" i="20"/>
  <c r="W113" i="18"/>
  <c r="W41" i="22"/>
  <c r="U43" i="21"/>
  <c r="W154" i="18"/>
  <c r="W157" i="18"/>
  <c r="U31" i="21"/>
  <c r="U29" i="21"/>
  <c r="U16" i="21"/>
  <c r="U9" i="21"/>
  <c r="U8" i="20"/>
  <c r="W108" i="18"/>
  <c r="U44" i="21"/>
  <c r="W38" i="22"/>
  <c r="D7" i="20"/>
  <c r="F107" i="18"/>
  <c r="D31" i="21"/>
  <c r="D22" i="21"/>
  <c r="D12" i="20"/>
  <c r="F111" i="18"/>
  <c r="D11" i="20"/>
  <c r="F110" i="18"/>
  <c r="D17" i="21"/>
  <c r="D30" i="21"/>
  <c r="D24" i="21"/>
  <c r="F148" i="18"/>
  <c r="D32" i="21"/>
  <c r="F150" i="18"/>
  <c r="D13" i="20"/>
  <c r="F112" i="18"/>
  <c r="F126" i="18"/>
  <c r="D8" i="21"/>
  <c r="F157" i="18"/>
  <c r="D49" i="21"/>
  <c r="D10" i="21"/>
  <c r="D23" i="21"/>
  <c r="F43" i="22"/>
  <c r="D14" i="21"/>
  <c r="D47" i="21"/>
  <c r="D16" i="3"/>
  <c r="D37" i="17"/>
  <c r="D6" i="19"/>
  <c r="J17" i="9"/>
  <c r="J27" i="6"/>
  <c r="J19" i="6"/>
  <c r="J24" i="6"/>
  <c r="J17" i="5"/>
  <c r="K13" i="7"/>
  <c r="J30" i="6"/>
  <c r="J18" i="5"/>
  <c r="J17" i="6"/>
  <c r="K62" i="11"/>
  <c r="J26" i="6"/>
  <c r="J18" i="9"/>
  <c r="M10" i="24"/>
  <c r="J25" i="6"/>
  <c r="M49" i="13"/>
  <c r="K17" i="7"/>
  <c r="K49" i="11"/>
  <c r="K55" i="10"/>
  <c r="M10" i="3"/>
  <c r="K17" i="4"/>
  <c r="M16" i="23"/>
  <c r="K12" i="7"/>
  <c r="J20" i="6"/>
  <c r="J18" i="6"/>
  <c r="M8" i="23"/>
  <c r="M66" i="21"/>
  <c r="K14" i="7"/>
  <c r="K44" i="11"/>
  <c r="K50" i="10"/>
  <c r="M9" i="3"/>
  <c r="K11" i="7"/>
  <c r="W27" i="21"/>
  <c r="W23" i="3"/>
  <c r="W18" i="21"/>
  <c r="U23" i="2"/>
  <c r="W42" i="21"/>
  <c r="W35" i="21"/>
  <c r="W16" i="21"/>
  <c r="W36" i="21"/>
  <c r="W15" i="21"/>
  <c r="W52" i="21"/>
  <c r="W21" i="21"/>
  <c r="W12" i="20"/>
  <c r="W41" i="21"/>
  <c r="W24" i="3"/>
  <c r="W37" i="21"/>
  <c r="W13" i="20"/>
  <c r="W7" i="20"/>
  <c r="W14" i="20"/>
  <c r="W24" i="21"/>
  <c r="W13" i="21"/>
  <c r="W9" i="20"/>
  <c r="W47" i="21"/>
  <c r="W28" i="21"/>
  <c r="W8" i="21"/>
  <c r="W45" i="21"/>
  <c r="J159" i="18"/>
  <c r="H54" i="21"/>
  <c r="H23" i="3"/>
  <c r="H18" i="21"/>
  <c r="F23" i="2"/>
  <c r="J40" i="22"/>
  <c r="H35" i="21"/>
  <c r="H24" i="21"/>
  <c r="H34" i="21"/>
  <c r="J43" i="22"/>
  <c r="J16" i="22"/>
  <c r="J146" i="18"/>
  <c r="H13" i="21"/>
  <c r="H25" i="21"/>
  <c r="J12" i="22"/>
  <c r="H24" i="3"/>
  <c r="H37" i="21"/>
  <c r="J18" i="22"/>
  <c r="H10" i="21"/>
  <c r="H14" i="20"/>
  <c r="J113" i="18"/>
  <c r="H9" i="20"/>
  <c r="J109" i="18"/>
  <c r="H26" i="21"/>
  <c r="H8" i="21"/>
  <c r="H36" i="21"/>
  <c r="J162" i="18"/>
  <c r="Z29" i="21"/>
  <c r="Z42" i="21"/>
  <c r="Z23" i="3"/>
  <c r="Z18" i="21"/>
  <c r="X23" i="2"/>
  <c r="Z21" i="21"/>
  <c r="Z25" i="21"/>
  <c r="Z41" i="21"/>
  <c r="Z40" i="21"/>
  <c r="AA9" i="22"/>
  <c r="AA10" i="22"/>
  <c r="Z8" i="21"/>
  <c r="AA153" i="18"/>
  <c r="Z12" i="20"/>
  <c r="AA111" i="18"/>
  <c r="Z26" i="21"/>
  <c r="Z15" i="21"/>
  <c r="AA12" i="22"/>
  <c r="Z64" i="21"/>
  <c r="Z12" i="21"/>
  <c r="Z43" i="21"/>
  <c r="AA18" i="22"/>
  <c r="Z28" i="21"/>
  <c r="Z10" i="21"/>
  <c r="Z7" i="20"/>
  <c r="AA107" i="18"/>
  <c r="H124" i="18"/>
  <c r="F15" i="21"/>
  <c r="F9" i="20"/>
  <c r="H109" i="18"/>
  <c r="F32" i="21"/>
  <c r="F22" i="21"/>
  <c r="H148" i="18"/>
  <c r="F44" i="21"/>
  <c r="F52" i="21"/>
  <c r="H162" i="18"/>
  <c r="H146" i="18"/>
  <c r="F14" i="21"/>
  <c r="H155" i="18"/>
  <c r="F30" i="21"/>
  <c r="F16" i="3"/>
  <c r="F37" i="17"/>
  <c r="F6" i="19"/>
  <c r="F8" i="20"/>
  <c r="H108" i="18"/>
  <c r="H145" i="18"/>
  <c r="F23" i="21"/>
  <c r="F33" i="21"/>
  <c r="F29" i="21"/>
  <c r="F36" i="21"/>
  <c r="F23" i="3"/>
  <c r="F18" i="21"/>
  <c r="D23" i="2"/>
  <c r="F45" i="21"/>
  <c r="P29" i="21"/>
  <c r="R17" i="22"/>
  <c r="P11" i="20"/>
  <c r="R110" i="18"/>
  <c r="P17" i="21"/>
  <c r="R10" i="22"/>
  <c r="R154" i="18"/>
  <c r="R15" i="22"/>
  <c r="AA32" i="21"/>
  <c r="P14" i="21"/>
  <c r="AA42" i="21"/>
  <c r="P16" i="3"/>
  <c r="P37" i="17"/>
  <c r="P6" i="19"/>
  <c r="P22" i="21"/>
  <c r="AA33" i="21"/>
  <c r="AA16" i="3"/>
  <c r="AA37" i="17"/>
  <c r="AA6" i="19"/>
  <c r="R13" i="22"/>
  <c r="AA35" i="21"/>
  <c r="P12" i="21"/>
  <c r="P23" i="21"/>
  <c r="AA15" i="21"/>
  <c r="AA41" i="21"/>
  <c r="R11" i="22"/>
  <c r="P34" i="21"/>
  <c r="P13" i="20"/>
  <c r="R112" i="18"/>
  <c r="AA25" i="21"/>
  <c r="P33" i="21"/>
  <c r="AA10" i="21"/>
  <c r="AA8" i="21"/>
  <c r="P32" i="21"/>
  <c r="AA64" i="21"/>
  <c r="AA23" i="3"/>
  <c r="AA18" i="21"/>
  <c r="Y23" i="2"/>
  <c r="P8" i="20"/>
  <c r="R108" i="18"/>
  <c r="AA24" i="21"/>
  <c r="R19" i="22"/>
  <c r="AA50" i="21"/>
  <c r="R151" i="18"/>
  <c r="AA62" i="21"/>
  <c r="Y25" i="2"/>
  <c r="AA12" i="21"/>
  <c r="P47" i="21"/>
  <c r="AA13" i="20"/>
  <c r="AA7" i="20"/>
  <c r="AA36" i="21"/>
  <c r="AA47" i="21"/>
  <c r="AA8" i="20"/>
  <c r="AA23" i="21"/>
  <c r="C28" i="21"/>
  <c r="C61" i="21"/>
  <c r="E161" i="18"/>
  <c r="C45" i="21"/>
  <c r="E156" i="18"/>
  <c r="C27" i="21"/>
  <c r="E30" i="22"/>
  <c r="C13" i="21"/>
  <c r="C42" i="21"/>
  <c r="C41" i="21"/>
  <c r="C16" i="21"/>
  <c r="C7" i="21"/>
  <c r="C14" i="20"/>
  <c r="E113" i="18"/>
  <c r="E159" i="18"/>
  <c r="C11" i="21"/>
  <c r="C43" i="21"/>
  <c r="C11" i="20"/>
  <c r="E110" i="18"/>
  <c r="C46" i="21"/>
  <c r="C6" i="20"/>
  <c r="E106" i="18"/>
  <c r="C21" i="21"/>
  <c r="E9" i="22"/>
  <c r="C40" i="21"/>
  <c r="J50" i="21"/>
  <c r="J35" i="21"/>
  <c r="L157" i="18"/>
  <c r="J25" i="21"/>
  <c r="J12" i="20"/>
  <c r="L111" i="18"/>
  <c r="L34" i="22"/>
  <c r="J47" i="21"/>
  <c r="J15" i="21"/>
  <c r="J8" i="21"/>
  <c r="L160" i="18"/>
  <c r="J10" i="21"/>
  <c r="J34" i="21"/>
  <c r="J23" i="21"/>
  <c r="J7" i="20"/>
  <c r="L107" i="18"/>
  <c r="J61" i="21"/>
  <c r="L144" i="18"/>
  <c r="J24" i="21"/>
  <c r="J12" i="21"/>
  <c r="L37" i="22"/>
  <c r="L10" i="22"/>
  <c r="J40" i="21"/>
  <c r="L162" i="18"/>
  <c r="P153" i="18"/>
  <c r="P37" i="22"/>
  <c r="N31" i="21"/>
  <c r="N36" i="21"/>
  <c r="N22" i="21"/>
  <c r="N48" i="21"/>
  <c r="N30" i="21"/>
  <c r="N17" i="21"/>
  <c r="P15" i="22"/>
  <c r="N12" i="21"/>
  <c r="N11" i="20"/>
  <c r="P110" i="18"/>
  <c r="N24" i="21"/>
  <c r="N34" i="21"/>
  <c r="N14" i="21"/>
  <c r="N7" i="20"/>
  <c r="P107" i="18"/>
  <c r="N10" i="21"/>
  <c r="P156" i="18"/>
  <c r="N35" i="21"/>
  <c r="P140" i="18"/>
  <c r="N13" i="20"/>
  <c r="P112" i="18"/>
  <c r="P34" i="22"/>
  <c r="N8" i="21"/>
  <c r="Z14" i="22"/>
  <c r="Y25" i="21"/>
  <c r="Y12" i="20"/>
  <c r="Z111" i="18"/>
  <c r="Z159" i="18"/>
  <c r="Y9" i="20"/>
  <c r="Z109" i="18"/>
  <c r="Y8" i="21"/>
  <c r="Y44" i="21"/>
  <c r="Y7" i="20"/>
  <c r="Z107" i="18"/>
  <c r="Y21" i="21"/>
  <c r="Y28" i="21"/>
  <c r="Y26" i="21"/>
  <c r="Z12" i="22"/>
  <c r="Y40" i="21"/>
  <c r="Z18" i="22"/>
  <c r="Y49" i="21"/>
  <c r="Y27" i="21"/>
  <c r="Z16" i="22"/>
  <c r="Z146" i="18"/>
  <c r="Y13" i="21"/>
  <c r="Z162" i="18"/>
  <c r="Y45" i="21"/>
  <c r="Y43" i="21"/>
  <c r="S14" i="21"/>
  <c r="S9" i="21"/>
  <c r="S11" i="21"/>
  <c r="S23" i="21"/>
  <c r="S11" i="20"/>
  <c r="U110" i="18"/>
  <c r="S32" i="21"/>
  <c r="S27" i="21"/>
  <c r="U24" i="22"/>
  <c r="U143" i="18"/>
  <c r="U9" i="22"/>
  <c r="S52" i="21"/>
  <c r="S6" i="20"/>
  <c r="U106" i="18"/>
  <c r="U159" i="18"/>
  <c r="S16" i="21"/>
  <c r="U161" i="18"/>
  <c r="U26" i="22"/>
  <c r="U156" i="18"/>
  <c r="S14" i="20"/>
  <c r="U113" i="18"/>
  <c r="S31" i="21"/>
  <c r="S43" i="21"/>
  <c r="S60" i="21"/>
  <c r="S7" i="21"/>
  <c r="I7" i="20"/>
  <c r="K107" i="18"/>
  <c r="I40" i="21"/>
  <c r="I12" i="20"/>
  <c r="K111" i="18"/>
  <c r="I33" i="21"/>
  <c r="I12" i="21"/>
  <c r="K153" i="18"/>
  <c r="K160" i="18"/>
  <c r="I9" i="20"/>
  <c r="K109" i="18"/>
  <c r="K12" i="22"/>
  <c r="I46" i="21"/>
  <c r="I54" i="21"/>
  <c r="I8" i="21"/>
  <c r="K10" i="22"/>
  <c r="I50" i="21"/>
  <c r="I25" i="21"/>
  <c r="K37" i="22"/>
  <c r="I35" i="21"/>
  <c r="I34" i="21"/>
  <c r="I15" i="21"/>
  <c r="I10" i="21"/>
  <c r="K40" i="22"/>
  <c r="I24" i="3"/>
  <c r="I37" i="21"/>
  <c r="G36" i="21"/>
  <c r="G21" i="21"/>
  <c r="G15" i="21"/>
  <c r="G23" i="3"/>
  <c r="G18" i="21"/>
  <c r="E23" i="2"/>
  <c r="I16" i="22"/>
  <c r="G7" i="21"/>
  <c r="I155" i="18"/>
  <c r="I33" i="22"/>
  <c r="I152" i="18"/>
  <c r="G54" i="21"/>
  <c r="I18" i="22"/>
  <c r="I14" i="22"/>
  <c r="G6" i="20"/>
  <c r="I106" i="18"/>
  <c r="G42" i="21"/>
  <c r="G47" i="21"/>
  <c r="G12" i="20"/>
  <c r="I111" i="18"/>
  <c r="I11" i="22"/>
  <c r="G24" i="3"/>
  <c r="G37" i="21"/>
  <c r="G13" i="21"/>
  <c r="G41" i="21"/>
  <c r="G14" i="20"/>
  <c r="I113" i="18"/>
  <c r="G9" i="20"/>
  <c r="I109" i="18"/>
  <c r="K17" i="6"/>
  <c r="K18" i="6"/>
  <c r="K20" i="6"/>
  <c r="N8" i="23"/>
  <c r="L11" i="7"/>
  <c r="K19" i="6"/>
  <c r="N10" i="24"/>
  <c r="L62" i="11"/>
  <c r="K25" i="6"/>
  <c r="N16" i="23"/>
  <c r="N49" i="13"/>
  <c r="L17" i="7"/>
  <c r="L49" i="11"/>
  <c r="L55" i="10"/>
  <c r="N10" i="3"/>
  <c r="L17" i="4"/>
  <c r="K24" i="6"/>
  <c r="K17" i="5"/>
  <c r="N50" i="24"/>
  <c r="L13" i="7"/>
  <c r="K27" i="6"/>
  <c r="K17" i="9"/>
  <c r="K26" i="6"/>
  <c r="L12" i="7"/>
  <c r="L14" i="7"/>
  <c r="L44" i="11"/>
  <c r="L50" i="10"/>
  <c r="N9" i="3"/>
  <c r="K30" i="6"/>
  <c r="K18" i="5"/>
  <c r="K18" i="9"/>
  <c r="T14" i="7"/>
  <c r="T44" i="11"/>
  <c r="T50" i="10"/>
  <c r="V9" i="3"/>
  <c r="T13" i="7"/>
  <c r="S17" i="6"/>
  <c r="T62" i="11"/>
  <c r="S18" i="6"/>
  <c r="S19" i="6"/>
  <c r="V49" i="13"/>
  <c r="T17" i="7"/>
  <c r="T49" i="11"/>
  <c r="T55" i="10"/>
  <c r="V10" i="3"/>
  <c r="T17" i="4"/>
  <c r="T56" i="11"/>
  <c r="V59" i="21"/>
  <c r="S20" i="6"/>
  <c r="V9" i="24"/>
  <c r="S25" i="6"/>
  <c r="S24" i="6"/>
  <c r="S17" i="5"/>
  <c r="V18" i="23"/>
  <c r="S18" i="9"/>
  <c r="S27" i="6"/>
  <c r="V66" i="21"/>
  <c r="T12" i="7"/>
  <c r="S26" i="6"/>
  <c r="S17" i="9"/>
  <c r="S30" i="6"/>
  <c r="S18" i="5"/>
  <c r="T11" i="7"/>
  <c r="E26" i="21"/>
  <c r="E12" i="20"/>
  <c r="G111" i="18"/>
  <c r="E41" i="21"/>
  <c r="E9" i="21"/>
  <c r="E24" i="3"/>
  <c r="E37" i="21"/>
  <c r="Y11" i="22"/>
  <c r="X42" i="21"/>
  <c r="E42" i="21"/>
  <c r="E40" i="21"/>
  <c r="Y139" i="18"/>
  <c r="E61" i="21"/>
  <c r="X27" i="21"/>
  <c r="Y23" i="22"/>
  <c r="E24" i="21"/>
  <c r="X9" i="20"/>
  <c r="Y109" i="18"/>
  <c r="G141" i="18"/>
  <c r="G9" i="22"/>
  <c r="X45" i="21"/>
  <c r="X49" i="21"/>
  <c r="E16" i="21"/>
  <c r="E8" i="20"/>
  <c r="G108" i="18"/>
  <c r="Y152" i="18"/>
  <c r="E36" i="21"/>
  <c r="Y35" i="22"/>
  <c r="X23" i="3"/>
  <c r="X18" i="21"/>
  <c r="V23" i="2"/>
  <c r="E25" i="21"/>
  <c r="E14" i="20"/>
  <c r="G113" i="18"/>
  <c r="X25" i="21"/>
  <c r="G22" i="22"/>
  <c r="Y155" i="18"/>
  <c r="G154" i="18"/>
  <c r="Y14" i="22"/>
  <c r="G159" i="18"/>
  <c r="Y16" i="22"/>
  <c r="G157" i="18"/>
  <c r="X26" i="21"/>
  <c r="E47" i="21"/>
  <c r="X43" i="21"/>
  <c r="X16" i="21"/>
  <c r="E11" i="21"/>
  <c r="X28" i="21"/>
  <c r="Y32" i="22"/>
  <c r="X14" i="20"/>
  <c r="Y113" i="18"/>
  <c r="X11" i="21"/>
  <c r="T8" i="20"/>
  <c r="V108" i="18"/>
  <c r="T32" i="21"/>
  <c r="L62" i="21"/>
  <c r="J25" i="2"/>
  <c r="L23" i="21"/>
  <c r="T30" i="21"/>
  <c r="T6" i="20"/>
  <c r="V106" i="18"/>
  <c r="T14" i="21"/>
  <c r="T16" i="21"/>
  <c r="T15" i="21"/>
  <c r="T52" i="21"/>
  <c r="V26" i="22"/>
  <c r="T13" i="21"/>
  <c r="V163" i="18"/>
  <c r="V19" i="22"/>
  <c r="T7" i="21"/>
  <c r="T22" i="21"/>
  <c r="T43" i="21"/>
  <c r="T33" i="21"/>
  <c r="T11" i="21"/>
  <c r="T29" i="21"/>
  <c r="T14" i="20"/>
  <c r="V113" i="18"/>
  <c r="T31" i="21"/>
  <c r="V9" i="22"/>
  <c r="V31" i="22"/>
  <c r="Q163" i="18"/>
  <c r="Q34" i="22"/>
  <c r="O16" i="3"/>
  <c r="O37" i="17"/>
  <c r="O6" i="19"/>
  <c r="Q17" i="22"/>
  <c r="O31" i="21"/>
  <c r="O11" i="20"/>
  <c r="Q110" i="18"/>
  <c r="Q15" i="22"/>
  <c r="O9" i="21"/>
  <c r="O29" i="21"/>
  <c r="O8" i="20"/>
  <c r="Q108" i="18"/>
  <c r="O35" i="21"/>
  <c r="Q154" i="18"/>
  <c r="Q13" i="22"/>
  <c r="Q31" i="22"/>
  <c r="O50" i="21"/>
  <c r="O60" i="21"/>
  <c r="O12" i="21"/>
  <c r="Q160" i="18"/>
  <c r="O22" i="21"/>
  <c r="O14" i="21"/>
  <c r="Q147" i="18"/>
  <c r="O32" i="21"/>
  <c r="L16" i="3"/>
  <c r="L37" i="17"/>
  <c r="L6" i="19"/>
  <c r="L9" i="20"/>
  <c r="N109" i="18"/>
  <c r="L50" i="21"/>
  <c r="N155" i="18"/>
  <c r="L13" i="20"/>
  <c r="N112" i="18"/>
  <c r="L12" i="21"/>
  <c r="L24" i="3"/>
  <c r="L37" i="21"/>
  <c r="N8" i="22"/>
  <c r="N158" i="18"/>
  <c r="L48" i="21"/>
  <c r="L33" i="21"/>
  <c r="L15" i="21"/>
  <c r="N20" i="22"/>
  <c r="L24" i="21"/>
  <c r="L17" i="21"/>
  <c r="L23" i="3"/>
  <c r="L18" i="21"/>
  <c r="J23" i="2"/>
  <c r="N10" i="22"/>
  <c r="L32" i="21"/>
  <c r="N160" i="18"/>
  <c r="L36" i="21"/>
  <c r="K36" i="21"/>
  <c r="K8" i="21"/>
  <c r="K12" i="21"/>
  <c r="K35" i="21"/>
  <c r="K16" i="3"/>
  <c r="K37" i="17"/>
  <c r="K6" i="19"/>
  <c r="M151" i="18"/>
  <c r="K23" i="3"/>
  <c r="K18" i="21"/>
  <c r="I23" i="2"/>
  <c r="K16" i="21"/>
  <c r="K10" i="21"/>
  <c r="K47" i="21"/>
  <c r="K24" i="21"/>
  <c r="M10" i="22"/>
  <c r="K7" i="20"/>
  <c r="M107" i="18"/>
  <c r="M31" i="22"/>
  <c r="K33" i="21"/>
  <c r="K23" i="21"/>
  <c r="K17" i="21"/>
  <c r="K48" i="21"/>
  <c r="M20" i="22"/>
  <c r="M18" i="22"/>
  <c r="K9" i="20"/>
  <c r="M109" i="18"/>
  <c r="K50" i="21"/>
  <c r="W14" i="7"/>
  <c r="W44" i="11"/>
  <c r="W50" i="10"/>
  <c r="Y9" i="3"/>
  <c r="V25" i="6"/>
  <c r="V19" i="6"/>
  <c r="V20" i="6"/>
  <c r="V24" i="6"/>
  <c r="V17" i="5"/>
  <c r="W62" i="11"/>
  <c r="W56" i="11"/>
  <c r="Y59" i="21"/>
  <c r="V26" i="6"/>
  <c r="V17" i="9"/>
  <c r="Y66" i="21"/>
  <c r="W13" i="7"/>
  <c r="Y20" i="23"/>
  <c r="V27" i="6"/>
  <c r="Y49" i="13"/>
  <c r="W17" i="7"/>
  <c r="W49" i="11"/>
  <c r="W55" i="10"/>
  <c r="Y10" i="3"/>
  <c r="W17" i="4"/>
  <c r="W12" i="7"/>
  <c r="W11" i="7"/>
  <c r="V18" i="9"/>
  <c r="V30" i="6"/>
  <c r="V18" i="5"/>
  <c r="Y14" i="23"/>
  <c r="V18" i="6"/>
  <c r="V17" i="6"/>
  <c r="V27" i="21"/>
  <c r="V11" i="21"/>
  <c r="X27" i="22"/>
  <c r="V7" i="21"/>
  <c r="V30" i="21"/>
  <c r="V28" i="21"/>
  <c r="V44" i="21"/>
  <c r="V9" i="21"/>
  <c r="X38" i="22"/>
  <c r="X24" i="22"/>
  <c r="V6" i="20"/>
  <c r="X106" i="18"/>
  <c r="V21" i="21"/>
  <c r="X25" i="22"/>
  <c r="X35" i="22"/>
  <c r="V29" i="21"/>
  <c r="V52" i="21"/>
  <c r="X148" i="18"/>
  <c r="X161" i="18"/>
  <c r="X41" i="22"/>
  <c r="V41" i="21"/>
  <c r="V12" i="20"/>
  <c r="X111" i="18"/>
  <c r="V45" i="21"/>
  <c r="Q33" i="21"/>
  <c r="Q29" i="21"/>
  <c r="S161" i="18"/>
  <c r="S11" i="22"/>
  <c r="Q30" i="21"/>
  <c r="Q34" i="21"/>
  <c r="S163" i="18"/>
  <c r="S15" i="22"/>
  <c r="Q22" i="21"/>
  <c r="Q44" i="21"/>
  <c r="S26" i="22"/>
  <c r="S158" i="18"/>
  <c r="Q9" i="21"/>
  <c r="Q23" i="21"/>
  <c r="Q8" i="20"/>
  <c r="S108" i="18"/>
  <c r="Q48" i="21"/>
  <c r="Q13" i="20"/>
  <c r="S112" i="18"/>
  <c r="Q11" i="21"/>
  <c r="Q7" i="21"/>
  <c r="Q17" i="21"/>
  <c r="S17" i="22"/>
  <c r="S145" i="18"/>
  <c r="R11" i="21"/>
  <c r="R9" i="21"/>
  <c r="T19" i="22"/>
  <c r="R11" i="20"/>
  <c r="T110" i="18"/>
  <c r="R31" i="21"/>
  <c r="R16" i="21"/>
  <c r="R33" i="21"/>
  <c r="R14" i="20"/>
  <c r="T113" i="18"/>
  <c r="T152" i="18"/>
  <c r="R6" i="20"/>
  <c r="T106" i="18"/>
  <c r="R48" i="21"/>
  <c r="R32" i="21"/>
  <c r="T159" i="18"/>
  <c r="R30" i="21"/>
  <c r="R8" i="20"/>
  <c r="T108" i="18"/>
  <c r="R7" i="21"/>
  <c r="T17" i="22"/>
  <c r="R44" i="21"/>
  <c r="R43" i="21"/>
  <c r="T25" i="22"/>
  <c r="R52" i="21"/>
  <c r="T11" i="22"/>
  <c r="I26" i="6"/>
  <c r="J11" i="7"/>
  <c r="J56" i="11"/>
  <c r="L59" i="21"/>
  <c r="I18" i="9"/>
  <c r="I25" i="6"/>
  <c r="L66" i="21"/>
  <c r="I19" i="6"/>
  <c r="I27" i="6"/>
  <c r="J62" i="11"/>
  <c r="I24" i="6"/>
  <c r="I17" i="5"/>
  <c r="J14" i="7"/>
  <c r="J44" i="11"/>
  <c r="J50" i="10"/>
  <c r="L9" i="3"/>
  <c r="J12" i="7"/>
  <c r="L18" i="23"/>
  <c r="L49" i="13"/>
  <c r="J17" i="7"/>
  <c r="J49" i="11"/>
  <c r="J55" i="10"/>
  <c r="L10" i="3"/>
  <c r="J17" i="4"/>
  <c r="I20" i="6"/>
  <c r="I30" i="6"/>
  <c r="I18" i="5"/>
  <c r="I17" i="6"/>
  <c r="L10" i="23"/>
  <c r="I17" i="9"/>
  <c r="J13" i="7"/>
  <c r="I18" i="6"/>
  <c r="R20" i="6"/>
  <c r="U9" i="24"/>
  <c r="S14" i="7"/>
  <c r="S44" i="11"/>
  <c r="S50" i="10"/>
  <c r="U9" i="3"/>
  <c r="R18" i="9"/>
  <c r="S11" i="7"/>
  <c r="R17" i="6"/>
  <c r="R24" i="6"/>
  <c r="R17" i="5"/>
  <c r="R18" i="6"/>
  <c r="U18" i="23"/>
  <c r="R27" i="6"/>
  <c r="U51" i="24"/>
  <c r="R19" i="6"/>
  <c r="R25" i="6"/>
  <c r="S62" i="11"/>
  <c r="R30" i="6"/>
  <c r="R18" i="5"/>
  <c r="S12" i="7"/>
  <c r="U49" i="13"/>
  <c r="S17" i="7"/>
  <c r="S49" i="11"/>
  <c r="S55" i="10"/>
  <c r="U10" i="3"/>
  <c r="S17" i="4"/>
  <c r="S13" i="7"/>
  <c r="R26" i="6"/>
  <c r="R17" i="9"/>
  <c r="S56" i="11"/>
  <c r="U59" i="21"/>
  <c r="M16" i="3"/>
  <c r="M37" i="17"/>
  <c r="M6" i="19"/>
  <c r="M48" i="21"/>
  <c r="O8" i="22"/>
  <c r="M7" i="20"/>
  <c r="O107" i="18"/>
  <c r="M15" i="21"/>
  <c r="M31" i="21"/>
  <c r="O20" i="22"/>
  <c r="M50" i="21"/>
  <c r="M10" i="21"/>
  <c r="M14" i="21"/>
  <c r="M32" i="21"/>
  <c r="O10" i="22"/>
  <c r="M34" i="21"/>
  <c r="O149" i="18"/>
  <c r="O162" i="18"/>
  <c r="M24" i="21"/>
  <c r="M23" i="21"/>
  <c r="M33" i="21"/>
  <c r="M13" i="20"/>
  <c r="O112" i="18"/>
  <c r="M8" i="21"/>
  <c r="M17" i="21"/>
  <c r="O43" i="22"/>
  <c r="D7" i="21"/>
  <c r="D14" i="20"/>
  <c r="F113" i="18"/>
  <c r="D28" i="21"/>
  <c r="D40" i="21"/>
  <c r="F30" i="22"/>
  <c r="D61" i="21"/>
  <c r="F9" i="22"/>
  <c r="D33" i="21"/>
  <c r="F22" i="22"/>
  <c r="D42" i="21"/>
  <c r="D41" i="21"/>
  <c r="D25" i="21"/>
  <c r="D46" i="21"/>
  <c r="D8" i="20"/>
  <c r="F108" i="18"/>
  <c r="D13" i="21"/>
  <c r="D52" i="21"/>
  <c r="D43" i="21"/>
  <c r="D6" i="20"/>
  <c r="F106" i="18"/>
  <c r="D9" i="21"/>
  <c r="F163" i="18"/>
  <c r="D15" i="21"/>
  <c r="F23" i="22"/>
  <c r="V56" i="11"/>
  <c r="X59" i="21"/>
  <c r="X49" i="13"/>
  <c r="V17" i="7"/>
  <c r="V49" i="11"/>
  <c r="V55" i="10"/>
  <c r="X10" i="3"/>
  <c r="V17" i="4"/>
  <c r="U17" i="6"/>
  <c r="U25" i="6"/>
  <c r="U26" i="6"/>
  <c r="X8" i="23"/>
  <c r="U24" i="6"/>
  <c r="U17" i="5"/>
  <c r="U18" i="6"/>
  <c r="V13" i="7"/>
  <c r="V14" i="7"/>
  <c r="V44" i="11"/>
  <c r="V50" i="10"/>
  <c r="X9" i="3"/>
  <c r="U20" i="6"/>
  <c r="V11" i="7"/>
  <c r="V12" i="7"/>
  <c r="X16" i="23"/>
  <c r="X66" i="21"/>
  <c r="U30" i="6"/>
  <c r="U18" i="5"/>
  <c r="U17" i="9"/>
  <c r="U27" i="6"/>
  <c r="U18" i="9"/>
  <c r="U19" i="6"/>
  <c r="V62" i="11"/>
  <c r="G27" i="6"/>
  <c r="H14" i="7"/>
  <c r="H44" i="11"/>
  <c r="H50" i="10"/>
  <c r="J9" i="3"/>
  <c r="H11" i="7"/>
  <c r="G17" i="6"/>
  <c r="H56" i="11"/>
  <c r="J59" i="21"/>
  <c r="G19" i="6"/>
  <c r="H12" i="7"/>
  <c r="H13" i="7"/>
  <c r="J66" i="21"/>
  <c r="G24" i="6"/>
  <c r="G17" i="5"/>
  <c r="G25" i="6"/>
  <c r="G30" i="6"/>
  <c r="G18" i="5"/>
  <c r="G17" i="9"/>
  <c r="J23" i="23"/>
  <c r="G20" i="6"/>
  <c r="G18" i="9"/>
  <c r="G26" i="6"/>
  <c r="G18" i="6"/>
  <c r="J14" i="23"/>
  <c r="J49" i="13"/>
  <c r="H17" i="7"/>
  <c r="H49" i="11"/>
  <c r="H55" i="10"/>
  <c r="J10" i="3"/>
  <c r="H17" i="4"/>
  <c r="H62" i="11"/>
  <c r="X19" i="6"/>
  <c r="AA18" i="23"/>
  <c r="X17" i="9"/>
  <c r="AA10" i="23"/>
  <c r="X24" i="6"/>
  <c r="X17" i="5"/>
  <c r="Y56" i="11"/>
  <c r="AA59" i="21"/>
  <c r="Y11" i="7"/>
  <c r="X26" i="6"/>
  <c r="Y14" i="7"/>
  <c r="Y44" i="11"/>
  <c r="Y50" i="10"/>
  <c r="AA9" i="3"/>
  <c r="Y12" i="7"/>
  <c r="Y13" i="7"/>
  <c r="AA49" i="13"/>
  <c r="Y17" i="7"/>
  <c r="Y49" i="11"/>
  <c r="Y55" i="10"/>
  <c r="AA10" i="3"/>
  <c r="Y17" i="4"/>
  <c r="X20" i="6"/>
  <c r="X18" i="9"/>
  <c r="X30" i="6"/>
  <c r="X18" i="5"/>
  <c r="AA66" i="21"/>
  <c r="X27" i="6"/>
  <c r="X17" i="6"/>
  <c r="X25" i="6"/>
  <c r="X18" i="6"/>
  <c r="Y62" i="11"/>
  <c r="W17" i="6"/>
  <c r="X11" i="7"/>
  <c r="W30" i="6"/>
  <c r="W18" i="5"/>
  <c r="Z14" i="23"/>
  <c r="W19" i="6"/>
  <c r="W18" i="9"/>
  <c r="W17" i="9"/>
  <c r="X62" i="11"/>
  <c r="W26" i="6"/>
  <c r="X13" i="7"/>
  <c r="Z49" i="13"/>
  <c r="X17" i="7"/>
  <c r="X49" i="11"/>
  <c r="X55" i="10"/>
  <c r="Z10" i="3"/>
  <c r="X17" i="4"/>
  <c r="Z66" i="21"/>
  <c r="W27" i="6"/>
  <c r="X12" i="7"/>
  <c r="W18" i="6"/>
  <c r="X14" i="7"/>
  <c r="X44" i="11"/>
  <c r="X50" i="10"/>
  <c r="Z9" i="3"/>
  <c r="Z23" i="23"/>
  <c r="W24" i="6"/>
  <c r="W17" i="5"/>
  <c r="W20" i="6"/>
  <c r="W25" i="6"/>
  <c r="X56" i="11"/>
  <c r="Z59" i="21"/>
  <c r="T18" i="9"/>
  <c r="U56" i="11"/>
  <c r="W59" i="21"/>
  <c r="T17" i="9"/>
  <c r="T20" i="6"/>
  <c r="U12" i="7"/>
  <c r="T18" i="6"/>
  <c r="T24" i="6"/>
  <c r="T17" i="5"/>
  <c r="T25" i="6"/>
  <c r="U13" i="7"/>
  <c r="W11" i="24"/>
  <c r="T19" i="6"/>
  <c r="W16" i="23"/>
  <c r="U14" i="7"/>
  <c r="U44" i="11"/>
  <c r="U50" i="10"/>
  <c r="W9" i="3"/>
  <c r="U62" i="11"/>
  <c r="W66" i="21"/>
  <c r="T30" i="6"/>
  <c r="T18" i="5"/>
  <c r="T26" i="6"/>
  <c r="W49" i="13"/>
  <c r="U17" i="7"/>
  <c r="U49" i="11"/>
  <c r="U55" i="10"/>
  <c r="W10" i="3"/>
  <c r="U17" i="4"/>
  <c r="U11" i="7"/>
  <c r="T17" i="6"/>
  <c r="T27" i="6"/>
  <c r="F13" i="21"/>
  <c r="F21" i="21"/>
  <c r="F24" i="21"/>
  <c r="F7" i="21"/>
  <c r="F16" i="21"/>
  <c r="H9" i="22"/>
  <c r="H16" i="22"/>
  <c r="F41" i="21"/>
  <c r="F31" i="21"/>
  <c r="H14" i="22"/>
  <c r="F27" i="21"/>
  <c r="F11" i="21"/>
  <c r="F6" i="20"/>
  <c r="H106" i="18"/>
  <c r="F24" i="3"/>
  <c r="F37" i="21"/>
  <c r="F49" i="21"/>
  <c r="F47" i="21"/>
  <c r="F26" i="21"/>
  <c r="F40" i="21"/>
  <c r="F61" i="21"/>
  <c r="H161" i="18"/>
  <c r="F25" i="21"/>
  <c r="F12" i="20"/>
  <c r="H111" i="18"/>
  <c r="D12" i="7"/>
  <c r="C18" i="6"/>
  <c r="C30" i="6"/>
  <c r="C18" i="5"/>
  <c r="F49" i="13"/>
  <c r="D17" i="7"/>
  <c r="D49" i="11"/>
  <c r="D55" i="10"/>
  <c r="F10" i="3"/>
  <c r="D17" i="4"/>
  <c r="D14" i="7"/>
  <c r="D44" i="11"/>
  <c r="D50" i="10"/>
  <c r="F9" i="3"/>
  <c r="D56" i="11"/>
  <c r="F59" i="21"/>
  <c r="C18" i="9"/>
  <c r="F66" i="21"/>
  <c r="C25" i="6"/>
  <c r="C19" i="6"/>
  <c r="F11" i="24"/>
  <c r="C26" i="6"/>
  <c r="C24" i="6"/>
  <c r="C17" i="5"/>
  <c r="F15" i="23"/>
  <c r="D60" i="11"/>
  <c r="D13" i="7"/>
  <c r="C17" i="9"/>
  <c r="D11" i="7"/>
  <c r="C27" i="6"/>
  <c r="C17" i="6"/>
  <c r="C20" i="6"/>
  <c r="D62" i="11"/>
  <c r="C152" i="18"/>
  <c r="C42" i="22"/>
  <c r="C11" i="22"/>
  <c r="C121" i="18"/>
  <c r="C32" i="22"/>
  <c r="C158" i="18"/>
  <c r="C137" i="18"/>
  <c r="C13" i="22"/>
  <c r="C159" i="18"/>
  <c r="C39" i="22"/>
  <c r="C24" i="22"/>
  <c r="C161" i="18"/>
  <c r="C28" i="22"/>
  <c r="C145" i="18"/>
  <c r="C17" i="22"/>
  <c r="C143" i="18"/>
  <c r="C163" i="18"/>
  <c r="C25" i="22"/>
  <c r="C15" i="22"/>
  <c r="C151" i="18"/>
  <c r="C8" i="22"/>
  <c r="C23" i="22"/>
  <c r="H17" i="6"/>
  <c r="H18" i="9"/>
  <c r="H18" i="6"/>
  <c r="K23" i="23"/>
  <c r="H25" i="6"/>
  <c r="H26" i="6"/>
  <c r="H17" i="9"/>
  <c r="H27" i="6"/>
  <c r="I11" i="7"/>
  <c r="H20" i="6"/>
  <c r="I56" i="11"/>
  <c r="K59" i="21"/>
  <c r="H30" i="6"/>
  <c r="H18" i="5"/>
  <c r="K66" i="21"/>
  <c r="I13" i="7"/>
  <c r="I12" i="7"/>
  <c r="H24" i="6"/>
  <c r="H17" i="5"/>
  <c r="H19" i="6"/>
  <c r="K49" i="13"/>
  <c r="I17" i="7"/>
  <c r="I49" i="11"/>
  <c r="I55" i="10"/>
  <c r="K10" i="3"/>
  <c r="I17" i="4"/>
  <c r="I62" i="11"/>
  <c r="K10" i="23"/>
  <c r="I14" i="7"/>
  <c r="I44" i="11"/>
  <c r="I50" i="10"/>
  <c r="K9" i="3"/>
  <c r="D18" i="9"/>
  <c r="G19" i="23"/>
  <c r="E61" i="11"/>
  <c r="D17" i="9"/>
  <c r="E13" i="7"/>
  <c r="D25" i="6"/>
  <c r="G49" i="13"/>
  <c r="E17" i="7"/>
  <c r="E49" i="11"/>
  <c r="E55" i="10"/>
  <c r="G10" i="3"/>
  <c r="E17" i="4"/>
  <c r="E11" i="7"/>
  <c r="D30" i="6"/>
  <c r="D18" i="5"/>
  <c r="D17" i="6"/>
  <c r="D19" i="6"/>
  <c r="E14" i="7"/>
  <c r="E44" i="11"/>
  <c r="E50" i="10"/>
  <c r="G9" i="3"/>
  <c r="D18" i="6"/>
  <c r="G66" i="21"/>
  <c r="G15" i="23"/>
  <c r="E60" i="11"/>
  <c r="E12" i="7"/>
  <c r="D26" i="6"/>
  <c r="E56" i="11"/>
  <c r="G59" i="21"/>
  <c r="D24" i="6"/>
  <c r="D17" i="5"/>
  <c r="D20" i="6"/>
  <c r="D27" i="6"/>
  <c r="E62" i="11"/>
  <c r="F27" i="6"/>
  <c r="F19" i="6"/>
  <c r="G13" i="7"/>
  <c r="F17" i="6"/>
  <c r="F26" i="6"/>
  <c r="I49" i="13"/>
  <c r="G17" i="7"/>
  <c r="G49" i="11"/>
  <c r="G55" i="10"/>
  <c r="I10" i="3"/>
  <c r="G17" i="4"/>
  <c r="G12" i="7"/>
  <c r="F20" i="6"/>
  <c r="F18" i="6"/>
  <c r="F30" i="6"/>
  <c r="F18" i="5"/>
  <c r="F25" i="6"/>
  <c r="G56" i="11"/>
  <c r="I59" i="21"/>
  <c r="I66" i="21"/>
  <c r="F18" i="9"/>
  <c r="F24" i="6"/>
  <c r="F17" i="5"/>
  <c r="I7" i="24"/>
  <c r="G62" i="11"/>
  <c r="I17" i="23"/>
  <c r="G14" i="7"/>
  <c r="G44" i="11"/>
  <c r="G50" i="10"/>
  <c r="I9" i="3"/>
  <c r="G11" i="7"/>
  <c r="F17" i="9"/>
  <c r="C62" i="11"/>
  <c r="C13" i="7"/>
  <c r="C11" i="7"/>
  <c r="E49" i="13"/>
  <c r="C17" i="7"/>
  <c r="C49" i="11"/>
  <c r="C55" i="10"/>
  <c r="E10" i="3"/>
  <c r="C17" i="4"/>
  <c r="E17" i="23"/>
  <c r="C56" i="11"/>
  <c r="E59" i="21"/>
  <c r="C12" i="7"/>
  <c r="E23" i="23"/>
  <c r="E11" i="24"/>
  <c r="C14" i="7"/>
  <c r="C44" i="11"/>
  <c r="C50" i="10"/>
  <c r="E9" i="3"/>
  <c r="D148" i="18"/>
  <c r="D126" i="18"/>
  <c r="D17" i="22"/>
  <c r="D30" i="22"/>
  <c r="D39" i="22"/>
  <c r="D159" i="18"/>
  <c r="D36" i="22"/>
  <c r="D151" i="18"/>
  <c r="D9" i="22"/>
  <c r="D11" i="22"/>
  <c r="D156" i="18"/>
  <c r="D150" i="18"/>
  <c r="D96" i="18"/>
  <c r="D152" i="18"/>
  <c r="D19" i="22"/>
  <c r="D8" i="22"/>
  <c r="D33" i="22"/>
  <c r="D13" i="22"/>
  <c r="D112" i="18"/>
  <c r="D24" i="22"/>
  <c r="D42" i="22"/>
  <c r="D135" i="18"/>
  <c r="T8" i="23"/>
  <c r="Q24" i="6"/>
  <c r="Q17" i="5"/>
  <c r="Q25" i="6"/>
  <c r="T49" i="13"/>
  <c r="R17" i="7"/>
  <c r="R49" i="11"/>
  <c r="R55" i="10"/>
  <c r="T10" i="3"/>
  <c r="R17" i="4"/>
  <c r="R12" i="7"/>
  <c r="Q30" i="6"/>
  <c r="Q18" i="5"/>
  <c r="T20" i="23"/>
  <c r="R14" i="7"/>
  <c r="R44" i="11"/>
  <c r="R50" i="10"/>
  <c r="T9" i="3"/>
  <c r="R62" i="11"/>
  <c r="Q17" i="6"/>
  <c r="Q26" i="6"/>
  <c r="R11" i="7"/>
  <c r="T7" i="24"/>
  <c r="Q18" i="9"/>
  <c r="R13" i="7"/>
  <c r="Q27" i="6"/>
  <c r="Q17" i="9"/>
  <c r="Q19" i="6"/>
  <c r="Q18" i="6"/>
  <c r="Q20" i="6"/>
  <c r="T14" i="23"/>
  <c r="E27" i="6"/>
  <c r="E19" i="6"/>
  <c r="H13" i="23"/>
  <c r="F59" i="11"/>
  <c r="F38" i="4"/>
  <c r="E30" i="6"/>
  <c r="E18" i="5"/>
  <c r="E24" i="6"/>
  <c r="E17" i="5"/>
  <c r="F62" i="11"/>
  <c r="F12" i="7"/>
  <c r="E26" i="6"/>
  <c r="H8" i="23"/>
  <c r="E17" i="9"/>
  <c r="E18" i="9"/>
  <c r="E20" i="6"/>
  <c r="F13" i="7"/>
  <c r="E17" i="6"/>
  <c r="E18" i="6"/>
  <c r="H49" i="13"/>
  <c r="F17" i="7"/>
  <c r="F49" i="11"/>
  <c r="F55" i="10"/>
  <c r="H10" i="3"/>
  <c r="F17" i="4"/>
  <c r="E25" i="6"/>
  <c r="F11" i="7"/>
  <c r="F14" i="7"/>
  <c r="F44" i="11"/>
  <c r="F50" i="10"/>
  <c r="H9" i="3"/>
  <c r="H66" i="21"/>
  <c r="F56" i="11"/>
  <c r="H59" i="21"/>
  <c r="G17" i="22"/>
  <c r="G10" i="22"/>
  <c r="E33" i="21"/>
  <c r="G8" i="22"/>
  <c r="E62" i="21"/>
  <c r="C25" i="2"/>
  <c r="E64" i="21"/>
  <c r="E52" i="21"/>
  <c r="G11" i="22"/>
  <c r="G24" i="22"/>
  <c r="G41" i="22"/>
  <c r="G38" i="22"/>
  <c r="E48" i="21"/>
  <c r="E50" i="21"/>
  <c r="G31" i="22"/>
  <c r="E46" i="21"/>
  <c r="G23" i="22"/>
  <c r="E60" i="21"/>
  <c r="G19" i="22"/>
  <c r="G20" i="22"/>
  <c r="G35" i="22"/>
  <c r="E28" i="21"/>
  <c r="G27" i="22"/>
  <c r="M30" i="6"/>
  <c r="M18" i="5"/>
  <c r="N62" i="11"/>
  <c r="M27" i="6"/>
  <c r="N12" i="7"/>
  <c r="N13" i="7"/>
  <c r="P18" i="23"/>
  <c r="N11" i="7"/>
  <c r="M20" i="6"/>
  <c r="N14" i="7"/>
  <c r="N44" i="11"/>
  <c r="N50" i="10"/>
  <c r="P9" i="3"/>
  <c r="M26" i="6"/>
  <c r="M25" i="6"/>
  <c r="P23" i="23"/>
  <c r="P15" i="23"/>
  <c r="N60" i="11"/>
  <c r="P14" i="23"/>
  <c r="M18" i="9"/>
  <c r="M17" i="6"/>
  <c r="M24" i="6"/>
  <c r="M17" i="5"/>
  <c r="M17" i="9"/>
  <c r="M18" i="6"/>
  <c r="M19" i="6"/>
  <c r="P49" i="13"/>
  <c r="N17" i="7"/>
  <c r="N49" i="11"/>
  <c r="N55" i="10"/>
  <c r="P10" i="3"/>
  <c r="N17" i="4"/>
  <c r="I17" i="22"/>
  <c r="I9" i="22"/>
  <c r="I19" i="22"/>
  <c r="I22" i="22"/>
  <c r="I28" i="22"/>
  <c r="I36" i="22"/>
  <c r="I32" i="22"/>
  <c r="I42" i="22"/>
  <c r="G44" i="21"/>
  <c r="G31" i="21"/>
  <c r="G46" i="21"/>
  <c r="G49" i="21"/>
  <c r="I35" i="22"/>
  <c r="I25" i="22"/>
  <c r="I13" i="22"/>
  <c r="G61" i="21"/>
  <c r="I15" i="22"/>
  <c r="I23" i="22"/>
  <c r="G40" i="21"/>
  <c r="G22" i="21"/>
  <c r="I39" i="22"/>
  <c r="G26" i="21"/>
  <c r="D9" i="23"/>
  <c r="D9" i="3"/>
  <c r="D49" i="13"/>
  <c r="D10" i="3"/>
  <c r="D7" i="24"/>
  <c r="D53" i="24"/>
  <c r="D17" i="23"/>
  <c r="AA17" i="22"/>
  <c r="Z49" i="21"/>
  <c r="AA26" i="22"/>
  <c r="AA40" i="22"/>
  <c r="Z45" i="21"/>
  <c r="AA34" i="22"/>
  <c r="AA23" i="22"/>
  <c r="AA37" i="22"/>
  <c r="Z13" i="21"/>
  <c r="Z44" i="21"/>
  <c r="Z52" i="21"/>
  <c r="AA16" i="22"/>
  <c r="Z36" i="21"/>
  <c r="Z9" i="21"/>
  <c r="AA14" i="22"/>
  <c r="Z27" i="21"/>
  <c r="AA25" i="22"/>
  <c r="AA11" i="22"/>
  <c r="Z31" i="21"/>
  <c r="AA15" i="22"/>
  <c r="AA31" i="22"/>
  <c r="AA19" i="22"/>
  <c r="H11" i="21"/>
  <c r="J9" i="22"/>
  <c r="J22" i="22"/>
  <c r="J11" i="22"/>
  <c r="H33" i="21"/>
  <c r="H40" i="21"/>
  <c r="J14" i="22"/>
  <c r="H47" i="21"/>
  <c r="J24" i="22"/>
  <c r="J15" i="22"/>
  <c r="J36" i="22"/>
  <c r="J30" i="22"/>
  <c r="H52" i="21"/>
  <c r="J39" i="22"/>
  <c r="H15" i="21"/>
  <c r="H29" i="21"/>
  <c r="J33" i="22"/>
  <c r="J23" i="22"/>
  <c r="J42" i="22"/>
  <c r="J19" i="22"/>
  <c r="J17" i="22"/>
  <c r="H61" i="21"/>
  <c r="M12" i="7"/>
  <c r="L19" i="6"/>
  <c r="O50" i="24"/>
  <c r="L18" i="6"/>
  <c r="L17" i="9"/>
  <c r="O14" i="23"/>
  <c r="L24" i="6"/>
  <c r="L17" i="5"/>
  <c r="L25" i="6"/>
  <c r="M13" i="7"/>
  <c r="L27" i="6"/>
  <c r="O49" i="13"/>
  <c r="M17" i="7"/>
  <c r="M49" i="11"/>
  <c r="M55" i="10"/>
  <c r="O10" i="3"/>
  <c r="M17" i="4"/>
  <c r="M11" i="7"/>
  <c r="M62" i="11"/>
  <c r="L17" i="6"/>
  <c r="L18" i="9"/>
  <c r="O17" i="23"/>
  <c r="L26" i="6"/>
  <c r="L30" i="6"/>
  <c r="L18" i="5"/>
  <c r="O66" i="21"/>
  <c r="L20" i="6"/>
  <c r="M14" i="7"/>
  <c r="M44" i="11"/>
  <c r="M50" i="10"/>
  <c r="O9" i="3"/>
  <c r="Z23" i="22"/>
  <c r="Z43" i="22"/>
  <c r="Z25" i="22"/>
  <c r="Z26" i="22"/>
  <c r="Y36" i="21"/>
  <c r="Y47" i="21"/>
  <c r="Y23" i="3"/>
  <c r="Y18" i="21"/>
  <c r="W23" i="2"/>
  <c r="Y52" i="21"/>
  <c r="Z9" i="22"/>
  <c r="Z19" i="22"/>
  <c r="Z15" i="22"/>
  <c r="Y42" i="21"/>
  <c r="Z40" i="22"/>
  <c r="Z17" i="22"/>
  <c r="Z30" i="22"/>
  <c r="Z24" i="22"/>
  <c r="Y24" i="21"/>
  <c r="Z13" i="22"/>
  <c r="Z27" i="22"/>
  <c r="Y61" i="21"/>
  <c r="Y29" i="21"/>
  <c r="Z11" i="22"/>
  <c r="D38" i="24"/>
  <c r="D25" i="24"/>
  <c r="F166" i="18"/>
  <c r="D58" i="24"/>
  <c r="D21" i="24"/>
  <c r="F133" i="18"/>
  <c r="F164" i="18"/>
  <c r="D19" i="20"/>
  <c r="D71" i="24"/>
  <c r="D17" i="24"/>
  <c r="D62" i="24"/>
  <c r="D21" i="20"/>
  <c r="D19" i="24"/>
  <c r="F129" i="18"/>
  <c r="D65" i="21"/>
  <c r="D22" i="20"/>
  <c r="D24" i="20"/>
  <c r="D17" i="20"/>
  <c r="D23" i="20"/>
  <c r="D68" i="24"/>
  <c r="D29" i="24"/>
  <c r="F168" i="18"/>
  <c r="P62" i="11"/>
  <c r="O18" i="6"/>
  <c r="R19" i="23"/>
  <c r="P61" i="11"/>
  <c r="O17" i="6"/>
  <c r="P11" i="7"/>
  <c r="O24" i="6"/>
  <c r="O17" i="5"/>
  <c r="P12" i="7"/>
  <c r="P13" i="7"/>
  <c r="O26" i="6"/>
  <c r="O27" i="6"/>
  <c r="O17" i="9"/>
  <c r="O20" i="6"/>
  <c r="R10" i="23"/>
  <c r="O25" i="6"/>
  <c r="R49" i="13"/>
  <c r="P17" i="7"/>
  <c r="P49" i="11"/>
  <c r="P55" i="10"/>
  <c r="R10" i="3"/>
  <c r="P17" i="4"/>
  <c r="R13" i="23"/>
  <c r="P59" i="11"/>
  <c r="P38" i="4"/>
  <c r="O18" i="9"/>
  <c r="O30" i="6"/>
  <c r="O18" i="5"/>
  <c r="R16" i="23"/>
  <c r="P14" i="7"/>
  <c r="P44" i="11"/>
  <c r="P50" i="10"/>
  <c r="R9" i="3"/>
  <c r="O19" i="6"/>
  <c r="E24" i="22"/>
  <c r="E10" i="22"/>
  <c r="E36" i="22"/>
  <c r="C64" i="21"/>
  <c r="E25" i="22"/>
  <c r="C44" i="21"/>
  <c r="E13" i="22"/>
  <c r="C30" i="21"/>
  <c r="E11" i="22"/>
  <c r="C35" i="21"/>
  <c r="C50" i="21"/>
  <c r="E33" i="22"/>
  <c r="C62" i="21"/>
  <c r="E20" i="22"/>
  <c r="E39" i="22"/>
  <c r="E19" i="22"/>
  <c r="E15" i="22"/>
  <c r="C48" i="21"/>
  <c r="E8" i="22"/>
  <c r="E23" i="22"/>
  <c r="C26" i="21"/>
  <c r="E26" i="22"/>
  <c r="K33" i="22"/>
  <c r="K26" i="22"/>
  <c r="K19" i="22"/>
  <c r="I29" i="21"/>
  <c r="K25" i="22"/>
  <c r="I47" i="21"/>
  <c r="K18" i="22"/>
  <c r="I52" i="21"/>
  <c r="I61" i="21"/>
  <c r="I42" i="21"/>
  <c r="K15" i="22"/>
  <c r="K16" i="22"/>
  <c r="I60" i="21"/>
  <c r="K23" i="22"/>
  <c r="K11" i="22"/>
  <c r="I24" i="21"/>
  <c r="K30" i="22"/>
  <c r="K17" i="22"/>
  <c r="K14" i="22"/>
  <c r="I23" i="3"/>
  <c r="I18" i="21"/>
  <c r="G23" i="2"/>
  <c r="I36" i="21"/>
  <c r="K13" i="22"/>
  <c r="C20" i="23"/>
  <c r="C19" i="23"/>
  <c r="C13" i="23"/>
  <c r="C9" i="3"/>
  <c r="C49" i="13"/>
  <c r="C10" i="3"/>
  <c r="C53" i="24"/>
  <c r="AA21" i="24"/>
  <c r="AA29" i="24"/>
  <c r="AA96" i="17"/>
  <c r="AA24" i="20"/>
  <c r="AA14" i="14"/>
  <c r="AA88" i="17"/>
  <c r="AA30" i="24"/>
  <c r="AA21" i="20"/>
  <c r="AA18" i="24"/>
  <c r="AA18" i="20"/>
  <c r="Y23" i="7"/>
  <c r="AA65" i="21"/>
  <c r="AA16" i="20"/>
  <c r="AA17" i="20"/>
  <c r="AA25" i="24"/>
  <c r="AA39" i="24"/>
  <c r="AA23" i="20"/>
  <c r="AA22" i="20"/>
  <c r="AA19" i="20"/>
  <c r="AA65" i="24"/>
  <c r="AA24" i="24"/>
  <c r="AA38" i="24"/>
  <c r="AA13" i="24"/>
  <c r="N22" i="22"/>
  <c r="N12" i="22"/>
  <c r="L47" i="21"/>
  <c r="N39" i="22"/>
  <c r="N23" i="22"/>
  <c r="L29" i="21"/>
  <c r="L54" i="21"/>
  <c r="N11" i="22"/>
  <c r="N18" i="22"/>
  <c r="N36" i="22"/>
  <c r="N35" i="22"/>
  <c r="N9" i="22"/>
  <c r="L61" i="21"/>
  <c r="L43" i="21"/>
  <c r="L25" i="21"/>
  <c r="L34" i="21"/>
  <c r="L52" i="21"/>
  <c r="N42" i="22"/>
  <c r="L49" i="21"/>
  <c r="N32" i="22"/>
  <c r="N28" i="22"/>
  <c r="L64" i="21"/>
  <c r="R43" i="24"/>
  <c r="R21" i="20"/>
  <c r="R26" i="24"/>
  <c r="R22" i="20"/>
  <c r="R40" i="24"/>
  <c r="T167" i="18"/>
  <c r="R24" i="20"/>
  <c r="R55" i="24"/>
  <c r="R63" i="24"/>
  <c r="T168" i="18"/>
  <c r="R18" i="20"/>
  <c r="R19" i="24"/>
  <c r="R31" i="24"/>
  <c r="R17" i="20"/>
  <c r="R23" i="20"/>
  <c r="R15" i="24"/>
  <c r="P23" i="7"/>
  <c r="R65" i="21"/>
  <c r="R61" i="24"/>
  <c r="R22" i="24"/>
  <c r="T166" i="18"/>
  <c r="T165" i="18"/>
  <c r="T128" i="18"/>
  <c r="O13" i="7"/>
  <c r="O14" i="7"/>
  <c r="O44" i="11"/>
  <c r="O50" i="10"/>
  <c r="Q9" i="3"/>
  <c r="N18" i="9"/>
  <c r="O62" i="11"/>
  <c r="O11" i="7"/>
  <c r="Q49" i="13"/>
  <c r="O17" i="7"/>
  <c r="O49" i="11"/>
  <c r="O55" i="10"/>
  <c r="Q10" i="3"/>
  <c r="O17" i="4"/>
  <c r="N30" i="6"/>
  <c r="N18" i="5"/>
  <c r="Q10" i="23"/>
  <c r="N17" i="6"/>
  <c r="N20" i="6"/>
  <c r="Q15" i="23"/>
  <c r="O60" i="11"/>
  <c r="Q66" i="21"/>
  <c r="N24" i="6"/>
  <c r="N17" i="5"/>
  <c r="N19" i="6"/>
  <c r="N18" i="6"/>
  <c r="N26" i="6"/>
  <c r="N25" i="6"/>
  <c r="N17" i="9"/>
  <c r="N27" i="6"/>
  <c r="Q7" i="23"/>
  <c r="O12" i="7"/>
  <c r="AA168" i="18"/>
  <c r="Z21" i="24"/>
  <c r="Z22" i="20"/>
  <c r="Z37" i="24"/>
  <c r="Z19" i="20"/>
  <c r="Z16" i="20"/>
  <c r="Z13" i="24"/>
  <c r="Z73" i="24"/>
  <c r="X23" i="7"/>
  <c r="Z65" i="21"/>
  <c r="Z17" i="20"/>
  <c r="Z38" i="24"/>
  <c r="Z18" i="24"/>
  <c r="Z16" i="24"/>
  <c r="AA167" i="18"/>
  <c r="Z29" i="24"/>
  <c r="Z21" i="20"/>
  <c r="Z18" i="20"/>
  <c r="Z24" i="24"/>
  <c r="AA129" i="18"/>
  <c r="Z24" i="20"/>
  <c r="AA166" i="18"/>
  <c r="Z65" i="24"/>
  <c r="U43" i="22"/>
  <c r="S50" i="21"/>
  <c r="U11" i="22"/>
  <c r="U15" i="22"/>
  <c r="S62" i="21"/>
  <c r="Q25" i="2"/>
  <c r="S64" i="21"/>
  <c r="S30" i="21"/>
  <c r="U10" i="22"/>
  <c r="U25" i="22"/>
  <c r="U40" i="22"/>
  <c r="U30" i="22"/>
  <c r="U13" i="22"/>
  <c r="U33" i="22"/>
  <c r="S48" i="21"/>
  <c r="S35" i="21"/>
  <c r="U8" i="22"/>
  <c r="S26" i="21"/>
  <c r="U20" i="22"/>
  <c r="S44" i="21"/>
  <c r="U37" i="22"/>
  <c r="U19" i="22"/>
  <c r="U36" i="22"/>
  <c r="X29" i="21"/>
  <c r="X47" i="21"/>
  <c r="X61" i="21"/>
  <c r="Y8" i="22"/>
  <c r="Y15" i="22"/>
  <c r="X44" i="21"/>
  <c r="X40" i="21"/>
  <c r="Y19" i="22"/>
  <c r="X60" i="21"/>
  <c r="X52" i="21"/>
  <c r="X22" i="21"/>
  <c r="Y9" i="22"/>
  <c r="Y13" i="22"/>
  <c r="Y25" i="22"/>
  <c r="X15" i="21"/>
  <c r="Y36" i="22"/>
  <c r="X33" i="21"/>
  <c r="Y39" i="22"/>
  <c r="Y20" i="22"/>
  <c r="Y17" i="22"/>
  <c r="Y33" i="22"/>
  <c r="X46" i="21"/>
  <c r="N47" i="21"/>
  <c r="P16" i="22"/>
  <c r="N49" i="21"/>
  <c r="P40" i="22"/>
  <c r="P20" i="22"/>
  <c r="P23" i="22"/>
  <c r="N23" i="21"/>
  <c r="P36" i="22"/>
  <c r="P22" i="22"/>
  <c r="N41" i="21"/>
  <c r="P43" i="22"/>
  <c r="P18" i="22"/>
  <c r="P30" i="22"/>
  <c r="N50" i="21"/>
  <c r="N64" i="21"/>
  <c r="N32" i="21"/>
  <c r="N45" i="21"/>
  <c r="N61" i="21"/>
  <c r="P33" i="22"/>
  <c r="N62" i="21"/>
  <c r="L25" i="2"/>
  <c r="P10" i="22"/>
  <c r="N27" i="21"/>
  <c r="S16" i="22"/>
  <c r="Q50" i="21"/>
  <c r="S42" i="22"/>
  <c r="Q64" i="21"/>
  <c r="S13" i="22"/>
  <c r="S39" i="22"/>
  <c r="Q46" i="21"/>
  <c r="S18" i="22"/>
  <c r="Q60" i="21"/>
  <c r="S10" i="22"/>
  <c r="S12" i="22"/>
  <c r="S8" i="22"/>
  <c r="Q14" i="21"/>
  <c r="S20" i="22"/>
  <c r="Q28" i="21"/>
  <c r="Q45" i="21"/>
  <c r="S22" i="22"/>
  <c r="Q10" i="21"/>
  <c r="Q54" i="21"/>
  <c r="Q32" i="21"/>
  <c r="S14" i="22"/>
  <c r="Q24" i="3"/>
  <c r="Q37" i="21"/>
  <c r="T18" i="22"/>
  <c r="T15" i="22"/>
  <c r="R28" i="21"/>
  <c r="T39" i="22"/>
  <c r="R41" i="21"/>
  <c r="T10" i="22"/>
  <c r="T16" i="22"/>
  <c r="R23" i="21"/>
  <c r="R50" i="21"/>
  <c r="R54" i="21"/>
  <c r="R64" i="21"/>
  <c r="R17" i="21"/>
  <c r="R35" i="21"/>
  <c r="T13" i="22"/>
  <c r="R60" i="21"/>
  <c r="T12" i="22"/>
  <c r="R62" i="21"/>
  <c r="P25" i="2"/>
  <c r="T33" i="22"/>
  <c r="R46" i="21"/>
  <c r="T22" i="22"/>
  <c r="T30" i="22"/>
  <c r="T36" i="22"/>
  <c r="M12" i="22"/>
  <c r="K34" i="21"/>
  <c r="M32" i="22"/>
  <c r="M17" i="22"/>
  <c r="M35" i="22"/>
  <c r="K61" i="21"/>
  <c r="M24" i="22"/>
  <c r="M16" i="22"/>
  <c r="K40" i="21"/>
  <c r="M19" i="22"/>
  <c r="K49" i="21"/>
  <c r="M9" i="22"/>
  <c r="M14" i="22"/>
  <c r="K22" i="21"/>
  <c r="K54" i="21"/>
  <c r="K45" i="21"/>
  <c r="K27" i="21"/>
  <c r="M27" i="22"/>
  <c r="M23" i="22"/>
  <c r="M28" i="22"/>
  <c r="K52" i="21"/>
  <c r="D62" i="21"/>
  <c r="M11" i="22"/>
  <c r="F20" i="22"/>
  <c r="D64" i="21"/>
  <c r="F27" i="22"/>
  <c r="F15" i="22"/>
  <c r="D26" i="21"/>
  <c r="F17" i="22"/>
  <c r="F26" i="22"/>
  <c r="D54" i="21"/>
  <c r="D21" i="21"/>
  <c r="D60" i="21"/>
  <c r="J9" i="21"/>
  <c r="L12" i="22"/>
  <c r="F12" i="22"/>
  <c r="L9" i="22"/>
  <c r="F31" i="22"/>
  <c r="J52" i="21"/>
  <c r="L40" i="22"/>
  <c r="D48" i="21"/>
  <c r="L19" i="22"/>
  <c r="F10" i="22"/>
  <c r="F19" i="22"/>
  <c r="L16" i="22"/>
  <c r="F13" i="22"/>
  <c r="D50" i="21"/>
  <c r="J27" i="21"/>
  <c r="L14" i="22"/>
  <c r="F11" i="22"/>
  <c r="L23" i="22"/>
  <c r="L22" i="22"/>
  <c r="F8" i="22"/>
  <c r="J31" i="21"/>
  <c r="D44" i="21"/>
  <c r="L38" i="22"/>
  <c r="D24" i="3"/>
  <c r="D37" i="21"/>
  <c r="J49" i="21"/>
  <c r="L17" i="22"/>
  <c r="L24" i="22"/>
  <c r="L27" i="22"/>
  <c r="J36" i="21"/>
  <c r="L11" i="22"/>
  <c r="J45" i="21"/>
  <c r="J13" i="21"/>
  <c r="J64" i="21"/>
  <c r="H25" i="22"/>
  <c r="H41" i="22"/>
  <c r="F48" i="21"/>
  <c r="H19" i="22"/>
  <c r="H13" i="22"/>
  <c r="H42" i="22"/>
  <c r="H15" i="22"/>
  <c r="H35" i="22"/>
  <c r="H8" i="22"/>
  <c r="H32" i="22"/>
  <c r="H24" i="22"/>
  <c r="F17" i="21"/>
  <c r="F60" i="21"/>
  <c r="H26" i="22"/>
  <c r="H27" i="22"/>
  <c r="F46" i="21"/>
  <c r="F42" i="21"/>
  <c r="H38" i="22"/>
  <c r="F35" i="21"/>
  <c r="H28" i="22"/>
  <c r="H17" i="22"/>
  <c r="H11" i="22"/>
  <c r="T48" i="21"/>
  <c r="V8" i="22"/>
  <c r="V40" i="22"/>
  <c r="V13" i="22"/>
  <c r="T24" i="3"/>
  <c r="T37" i="21"/>
  <c r="V15" i="22"/>
  <c r="V10" i="22"/>
  <c r="V18" i="22"/>
  <c r="T62" i="21"/>
  <c r="R25" i="2"/>
  <c r="T21" i="21"/>
  <c r="V30" i="22"/>
  <c r="V20" i="22"/>
  <c r="T44" i="21"/>
  <c r="V11" i="22"/>
  <c r="T60" i="21"/>
  <c r="T50" i="21"/>
  <c r="V17" i="22"/>
  <c r="V43" i="22"/>
  <c r="V34" i="22"/>
  <c r="V37" i="22"/>
  <c r="T26" i="21"/>
  <c r="T64" i="21"/>
  <c r="O45" i="21"/>
  <c r="O23" i="21"/>
  <c r="Q37" i="22"/>
  <c r="Q20" i="22"/>
  <c r="Q9" i="22"/>
  <c r="O47" i="21"/>
  <c r="O41" i="21"/>
  <c r="Q14" i="22"/>
  <c r="Q40" i="22"/>
  <c r="Q28" i="22"/>
  <c r="O61" i="21"/>
  <c r="O48" i="21"/>
  <c r="O34" i="21"/>
  <c r="O30" i="21"/>
  <c r="O62" i="21"/>
  <c r="M25" i="2"/>
  <c r="Q18" i="22"/>
  <c r="Q12" i="22"/>
  <c r="Q16" i="22"/>
  <c r="O54" i="21"/>
  <c r="Q8" i="22"/>
  <c r="O16" i="21"/>
  <c r="Q10" i="22"/>
  <c r="O16" i="22"/>
  <c r="O39" i="22"/>
  <c r="M49" i="21"/>
  <c r="O36" i="22"/>
  <c r="M52" i="21"/>
  <c r="O42" i="22"/>
  <c r="O30" i="22"/>
  <c r="O14" i="22"/>
  <c r="M47" i="21"/>
  <c r="O22" i="22"/>
  <c r="M25" i="21"/>
  <c r="O9" i="22"/>
  <c r="O18" i="22"/>
  <c r="M43" i="21"/>
  <c r="M23" i="3"/>
  <c r="M18" i="21"/>
  <c r="K23" i="2"/>
  <c r="M54" i="21"/>
  <c r="O33" i="22"/>
  <c r="M64" i="21"/>
  <c r="O28" i="22"/>
  <c r="O12" i="22"/>
  <c r="M36" i="21"/>
  <c r="M61" i="21"/>
  <c r="P25" i="6"/>
  <c r="P27" i="6"/>
  <c r="S8" i="23"/>
  <c r="P17" i="9"/>
  <c r="P18" i="9"/>
  <c r="S49" i="13"/>
  <c r="Q17" i="7"/>
  <c r="Q49" i="11"/>
  <c r="Q55" i="10"/>
  <c r="S10" i="3"/>
  <c r="Q17" i="4"/>
  <c r="P19" i="6"/>
  <c r="P24" i="6"/>
  <c r="P17" i="5"/>
  <c r="P20" i="6"/>
  <c r="Q12" i="7"/>
  <c r="Q62" i="11"/>
  <c r="S13" i="23"/>
  <c r="Q59" i="11"/>
  <c r="Q38" i="4"/>
  <c r="Q13" i="7"/>
  <c r="P18" i="6"/>
  <c r="P17" i="6"/>
  <c r="Q56" i="11"/>
  <c r="S59" i="21"/>
  <c r="P26" i="6"/>
  <c r="Q11" i="7"/>
  <c r="Q14" i="7"/>
  <c r="Q44" i="11"/>
  <c r="Q50" i="10"/>
  <c r="S9" i="3"/>
  <c r="P30" i="6"/>
  <c r="P18" i="5"/>
  <c r="S66" i="21"/>
  <c r="W19" i="22"/>
  <c r="W20" i="22"/>
  <c r="U46" i="21"/>
  <c r="U60" i="21"/>
  <c r="U48" i="21"/>
  <c r="W10" i="22"/>
  <c r="U33" i="21"/>
  <c r="U64" i="21"/>
  <c r="W17" i="22"/>
  <c r="U28" i="21"/>
  <c r="W18" i="22"/>
  <c r="U50" i="21"/>
  <c r="W34" i="22"/>
  <c r="U42" i="21"/>
  <c r="U62" i="21"/>
  <c r="S25" i="2"/>
  <c r="W37" i="22"/>
  <c r="U52" i="21"/>
  <c r="W9" i="22"/>
  <c r="W8" i="22"/>
  <c r="W11" i="22"/>
  <c r="W31" i="22"/>
  <c r="U24" i="21"/>
  <c r="P43" i="21"/>
  <c r="P25" i="21"/>
  <c r="P24" i="3"/>
  <c r="P37" i="21"/>
  <c r="P48" i="21"/>
  <c r="P54" i="21"/>
  <c r="P64" i="21"/>
  <c r="R35" i="22"/>
  <c r="P21" i="21"/>
  <c r="R32" i="22"/>
  <c r="R34" i="22"/>
  <c r="R14" i="22"/>
  <c r="R12" i="22"/>
  <c r="R16" i="22"/>
  <c r="R18" i="22"/>
  <c r="R20" i="22"/>
  <c r="P30" i="21"/>
  <c r="R8" i="22"/>
  <c r="R31" i="22"/>
  <c r="P60" i="21"/>
  <c r="R22" i="22"/>
  <c r="P62" i="21"/>
  <c r="N25" i="2"/>
  <c r="P61" i="21"/>
  <c r="C17" i="20"/>
  <c r="C68" i="24"/>
  <c r="C30" i="24"/>
  <c r="C15" i="24"/>
  <c r="E133" i="18"/>
  <c r="C21" i="20"/>
  <c r="C22" i="24"/>
  <c r="C18" i="20"/>
  <c r="C16" i="20"/>
  <c r="E165" i="18"/>
  <c r="E129" i="18"/>
  <c r="E164" i="18"/>
  <c r="C19" i="24"/>
  <c r="C60" i="24"/>
  <c r="C58" i="24"/>
  <c r="C17" i="24"/>
  <c r="C65" i="21"/>
  <c r="C23" i="20"/>
  <c r="E166" i="18"/>
  <c r="C19" i="20"/>
  <c r="C39" i="24"/>
  <c r="C38" i="24"/>
  <c r="S16" i="20"/>
  <c r="U133" i="18"/>
  <c r="S40" i="24"/>
  <c r="S17" i="24"/>
  <c r="S19" i="24"/>
  <c r="U168" i="18"/>
  <c r="S22" i="24"/>
  <c r="Q23" i="7"/>
  <c r="S65" i="21"/>
  <c r="U167" i="18"/>
  <c r="S24" i="20"/>
  <c r="U166" i="18"/>
  <c r="S21" i="20"/>
  <c r="S41" i="24"/>
  <c r="S65" i="24"/>
  <c r="S55" i="24"/>
  <c r="S26" i="24"/>
  <c r="S17" i="20"/>
  <c r="S19" i="20"/>
  <c r="S30" i="24"/>
  <c r="S18" i="20"/>
  <c r="S31" i="24"/>
  <c r="S23" i="20"/>
  <c r="M23" i="20"/>
  <c r="O167" i="18"/>
  <c r="K23" i="7"/>
  <c r="M65" i="21"/>
  <c r="M71" i="24"/>
  <c r="M18" i="20"/>
  <c r="M36" i="24"/>
  <c r="M47" i="24"/>
  <c r="M20" i="24"/>
  <c r="M23" i="24"/>
  <c r="M45" i="24"/>
  <c r="O168" i="18"/>
  <c r="M24" i="20"/>
  <c r="M28" i="24"/>
  <c r="M19" i="20"/>
  <c r="M22" i="20"/>
  <c r="O164" i="18"/>
  <c r="M18" i="24"/>
  <c r="O165" i="18"/>
  <c r="M44" i="24"/>
  <c r="M21" i="20"/>
  <c r="M63" i="24"/>
  <c r="M17" i="20"/>
  <c r="X9" i="22"/>
  <c r="V46" i="21"/>
  <c r="X13" i="22"/>
  <c r="X20" i="22"/>
  <c r="V62" i="21"/>
  <c r="T25" i="2"/>
  <c r="V60" i="21"/>
  <c r="V49" i="21"/>
  <c r="X10" i="22"/>
  <c r="X17" i="22"/>
  <c r="V50" i="21"/>
  <c r="X15" i="22"/>
  <c r="X11" i="22"/>
  <c r="X19" i="22"/>
  <c r="V13" i="21"/>
  <c r="V35" i="21"/>
  <c r="V42" i="21"/>
  <c r="V31" i="21"/>
  <c r="X8" i="22"/>
  <c r="X42" i="22"/>
  <c r="V48" i="21"/>
  <c r="V24" i="21"/>
  <c r="V17" i="21"/>
  <c r="W25" i="24"/>
  <c r="W42" i="24"/>
  <c r="W19" i="24"/>
  <c r="U23" i="7"/>
  <c r="W65" i="21"/>
  <c r="W21" i="20"/>
  <c r="W38" i="24"/>
  <c r="W22" i="20"/>
  <c r="W18" i="20"/>
  <c r="W29" i="24"/>
  <c r="W93" i="17"/>
  <c r="W39" i="24"/>
  <c r="W23" i="20"/>
  <c r="W16" i="20"/>
  <c r="W19" i="20"/>
  <c r="W99" i="17"/>
  <c r="W13" i="24"/>
  <c r="W59" i="24"/>
  <c r="W55" i="24"/>
  <c r="W24" i="20"/>
  <c r="W92" i="17"/>
  <c r="W30" i="24"/>
  <c r="W17" i="20"/>
  <c r="C36" i="21"/>
  <c r="E17" i="22"/>
  <c r="E16" i="22"/>
  <c r="E12" i="22"/>
  <c r="C9" i="25"/>
  <c r="C45" i="17"/>
  <c r="E27" i="22"/>
  <c r="E14" i="22"/>
  <c r="C29" i="21"/>
  <c r="E38" i="22"/>
  <c r="E35" i="22"/>
  <c r="E43" i="22"/>
  <c r="E37" i="22"/>
  <c r="E28" i="22"/>
  <c r="E34" i="22"/>
  <c r="E18" i="22"/>
  <c r="E40" i="22"/>
  <c r="E41" i="22"/>
  <c r="C47" i="21"/>
  <c r="E32" i="22"/>
  <c r="E42" i="22"/>
  <c r="C54" i="21"/>
  <c r="E31" i="22"/>
  <c r="S164" i="18"/>
  <c r="Q18" i="20"/>
  <c r="S166" i="18"/>
  <c r="S105" i="18"/>
  <c r="S165" i="18"/>
  <c r="S168" i="18"/>
  <c r="Q65" i="24"/>
  <c r="Q17" i="20"/>
  <c r="Q16" i="20"/>
  <c r="Q22" i="20"/>
  <c r="Q17" i="24"/>
  <c r="Q73" i="24"/>
  <c r="Q22" i="24"/>
  <c r="Q61" i="24"/>
  <c r="Q19" i="20"/>
  <c r="O23" i="7"/>
  <c r="Q65" i="21"/>
  <c r="Q15" i="24"/>
  <c r="Q43" i="24"/>
  <c r="Q41" i="24"/>
  <c r="Q42" i="24"/>
  <c r="Q12" i="24"/>
  <c r="Q21" i="20"/>
  <c r="N165" i="18"/>
  <c r="J23" i="7"/>
  <c r="L65" i="21"/>
  <c r="L23" i="20"/>
  <c r="L45" i="24"/>
  <c r="N166" i="18"/>
  <c r="N132" i="18"/>
  <c r="N134" i="18"/>
  <c r="L36" i="24"/>
  <c r="L28" i="24"/>
  <c r="L20" i="24"/>
  <c r="L16" i="24"/>
  <c r="L68" i="24"/>
  <c r="L18" i="20"/>
  <c r="L18" i="24"/>
  <c r="N164" i="18"/>
  <c r="L17" i="20"/>
  <c r="L47" i="24"/>
  <c r="L22" i="20"/>
  <c r="L16" i="20"/>
  <c r="L13" i="24"/>
  <c r="L24" i="20"/>
  <c r="L37" i="24"/>
  <c r="V18" i="20"/>
  <c r="V25" i="24"/>
  <c r="V22" i="24"/>
  <c r="X167" i="18"/>
  <c r="V19" i="20"/>
  <c r="V22" i="20"/>
  <c r="V39" i="24"/>
  <c r="X166" i="18"/>
  <c r="V24" i="20"/>
  <c r="T23" i="7"/>
  <c r="V65" i="21"/>
  <c r="V21" i="24"/>
  <c r="V42" i="24"/>
  <c r="V38" i="24"/>
  <c r="V55" i="24"/>
  <c r="X164" i="18"/>
  <c r="X168" i="18"/>
  <c r="V17" i="24"/>
  <c r="V19" i="24"/>
  <c r="V41" i="24"/>
  <c r="V21" i="20"/>
  <c r="V17" i="20"/>
  <c r="V23" i="20"/>
  <c r="P15" i="24"/>
  <c r="P23" i="24"/>
  <c r="P17" i="24"/>
  <c r="P24" i="20"/>
  <c r="P23" i="20"/>
  <c r="P36" i="24"/>
  <c r="P21" i="20"/>
  <c r="P63" i="24"/>
  <c r="N23" i="7"/>
  <c r="P65" i="21"/>
  <c r="R167" i="18"/>
  <c r="P12" i="24"/>
  <c r="P42" i="24"/>
  <c r="R168" i="18"/>
  <c r="P31" i="24"/>
  <c r="R128" i="18"/>
  <c r="R166" i="18"/>
  <c r="R130" i="18"/>
  <c r="P17" i="20"/>
  <c r="P45" i="24"/>
  <c r="P22" i="24"/>
  <c r="R165" i="18"/>
  <c r="P19" i="20"/>
  <c r="Y22" i="20"/>
  <c r="Y24" i="24"/>
  <c r="Z129" i="18"/>
  <c r="Y16" i="24"/>
  <c r="Y23" i="20"/>
  <c r="Z168" i="18"/>
  <c r="Y21" i="20"/>
  <c r="Y30" i="24"/>
  <c r="Y73" i="24"/>
  <c r="Z164" i="18"/>
  <c r="W23" i="7"/>
  <c r="Y65" i="21"/>
  <c r="Y61" i="24"/>
  <c r="Z166" i="18"/>
  <c r="Y21" i="24"/>
  <c r="Y63" i="24"/>
  <c r="Y29" i="24"/>
  <c r="Z165" i="18"/>
  <c r="Y16" i="20"/>
  <c r="Y18" i="20"/>
  <c r="Y24" i="20"/>
  <c r="Y40" i="24"/>
  <c r="Y13" i="24"/>
  <c r="E38" i="24"/>
  <c r="E60" i="24"/>
  <c r="E19" i="24"/>
  <c r="E39" i="24"/>
  <c r="E25" i="24"/>
  <c r="E37" i="24"/>
  <c r="E71" i="24"/>
  <c r="G101" i="18"/>
  <c r="G164" i="18"/>
  <c r="C23" i="7"/>
  <c r="E65" i="21"/>
  <c r="G133" i="18"/>
  <c r="E21" i="20"/>
  <c r="E17" i="24"/>
  <c r="G131" i="18"/>
  <c r="E23" i="20"/>
  <c r="E17" i="20"/>
  <c r="E29" i="24"/>
  <c r="G95" i="18"/>
  <c r="E16" i="20"/>
  <c r="G165" i="18"/>
  <c r="E19" i="20"/>
  <c r="E21" i="24"/>
  <c r="O44" i="24"/>
  <c r="O43" i="24"/>
  <c r="O21" i="20"/>
  <c r="Q166" i="18"/>
  <c r="Q167" i="18"/>
  <c r="O26" i="24"/>
  <c r="O22" i="20"/>
  <c r="O24" i="20"/>
  <c r="O23" i="24"/>
  <c r="O45" i="24"/>
  <c r="O20" i="24"/>
  <c r="O28" i="24"/>
  <c r="Q165" i="18"/>
  <c r="O18" i="20"/>
  <c r="O16" i="20"/>
  <c r="O17" i="20"/>
  <c r="O15" i="24"/>
  <c r="O12" i="24"/>
  <c r="O42" i="24"/>
  <c r="M23" i="7"/>
  <c r="O65" i="21"/>
  <c r="O19" i="20"/>
  <c r="O23" i="20"/>
  <c r="I29" i="24"/>
  <c r="I16" i="20"/>
  <c r="K165" i="18"/>
  <c r="G23" i="7"/>
  <c r="I65" i="21"/>
  <c r="I47" i="24"/>
  <c r="I13" i="24"/>
  <c r="I17" i="20"/>
  <c r="I36" i="24"/>
  <c r="K167" i="18"/>
  <c r="K164" i="18"/>
  <c r="I24" i="24"/>
  <c r="I21" i="24"/>
  <c r="K132" i="18"/>
  <c r="I71" i="24"/>
  <c r="I66" i="24"/>
  <c r="I16" i="24"/>
  <c r="I37" i="24"/>
  <c r="K166" i="18"/>
  <c r="K129" i="18"/>
  <c r="I23" i="20"/>
  <c r="I24" i="20"/>
  <c r="I18" i="20"/>
  <c r="U21" i="20"/>
  <c r="U17" i="20"/>
  <c r="U26" i="24"/>
  <c r="U16" i="20"/>
  <c r="I129" i="18"/>
  <c r="G25" i="24"/>
  <c r="W131" i="18"/>
  <c r="U24" i="20"/>
  <c r="G58" i="24"/>
  <c r="G24" i="24"/>
  <c r="U17" i="24"/>
  <c r="U23" i="20"/>
  <c r="E23" i="7"/>
  <c r="G65" i="21"/>
  <c r="G17" i="20"/>
  <c r="U15" i="24"/>
  <c r="U31" i="24"/>
  <c r="G18" i="20"/>
  <c r="I131" i="18"/>
  <c r="I134" i="18"/>
  <c r="S23" i="7"/>
  <c r="U65" i="21"/>
  <c r="G23" i="20"/>
  <c r="G19" i="20"/>
  <c r="W164" i="18"/>
  <c r="W133" i="18"/>
  <c r="G16" i="24"/>
  <c r="U39" i="24"/>
  <c r="U19" i="24"/>
  <c r="U41" i="24"/>
  <c r="W101" i="18"/>
  <c r="I165" i="18"/>
  <c r="U71" i="24"/>
  <c r="G38" i="24"/>
  <c r="G66" i="24"/>
  <c r="U25" i="24"/>
  <c r="G60" i="24"/>
  <c r="W167" i="18"/>
  <c r="G29" i="24"/>
  <c r="U18" i="20"/>
  <c r="I164" i="18"/>
  <c r="U40" i="24"/>
  <c r="G13" i="24"/>
  <c r="G21" i="20"/>
  <c r="G37" i="24"/>
  <c r="I168" i="18"/>
  <c r="P132" i="18"/>
  <c r="N28" i="24"/>
  <c r="N19" i="20"/>
  <c r="P164" i="18"/>
  <c r="N43" i="24"/>
  <c r="N22" i="20"/>
  <c r="N26" i="24"/>
  <c r="P167" i="18"/>
  <c r="N21" i="20"/>
  <c r="N23" i="24"/>
  <c r="N58" i="24"/>
  <c r="N12" i="24"/>
  <c r="P165" i="18"/>
  <c r="N23" i="20"/>
  <c r="N20" i="24"/>
  <c r="N36" i="24"/>
  <c r="P166" i="18"/>
  <c r="N18" i="24"/>
  <c r="N44" i="24"/>
  <c r="N16" i="20"/>
  <c r="L23" i="7"/>
  <c r="N65" i="21"/>
  <c r="P130" i="18"/>
  <c r="H47" i="24"/>
  <c r="J164" i="18"/>
  <c r="H21" i="20"/>
  <c r="H37" i="24"/>
  <c r="H60" i="24"/>
  <c r="F23" i="7"/>
  <c r="H65" i="21"/>
  <c r="J165" i="18"/>
  <c r="H23" i="20"/>
  <c r="H16" i="20"/>
  <c r="J129" i="18"/>
  <c r="H36" i="24"/>
  <c r="H18" i="20"/>
  <c r="H17" i="20"/>
  <c r="H21" i="24"/>
  <c r="J166" i="18"/>
  <c r="H24" i="24"/>
  <c r="H22" i="20"/>
  <c r="H19" i="20"/>
  <c r="H68" i="24"/>
  <c r="H18" i="24"/>
  <c r="H13" i="24"/>
  <c r="H16" i="24"/>
  <c r="K23" i="20"/>
  <c r="K24" i="24"/>
  <c r="M165" i="18"/>
  <c r="M167" i="18"/>
  <c r="K21" i="24"/>
  <c r="K20" i="24"/>
  <c r="K21" i="20"/>
  <c r="K44" i="24"/>
  <c r="K13" i="24"/>
  <c r="K47" i="24"/>
  <c r="M164" i="18"/>
  <c r="K18" i="24"/>
  <c r="K16" i="20"/>
  <c r="M134" i="18"/>
  <c r="I23" i="7"/>
  <c r="K65" i="21"/>
  <c r="K17" i="20"/>
  <c r="K22" i="20"/>
  <c r="K71" i="24"/>
  <c r="K45" i="24"/>
  <c r="K28" i="24"/>
  <c r="K24" i="20"/>
  <c r="M168" i="18"/>
  <c r="V166" i="18"/>
  <c r="T41" i="24"/>
  <c r="T19" i="24"/>
  <c r="T26" i="24"/>
  <c r="T25" i="24"/>
  <c r="R23" i="7"/>
  <c r="T65" i="21"/>
  <c r="T17" i="24"/>
  <c r="T55" i="24"/>
  <c r="V167" i="18"/>
  <c r="T67" i="24"/>
  <c r="T43" i="24"/>
  <c r="T21" i="20"/>
  <c r="T23" i="20"/>
  <c r="T31" i="24"/>
  <c r="V164" i="18"/>
  <c r="T30" i="24"/>
  <c r="V133" i="18"/>
  <c r="T22" i="20"/>
  <c r="T24" i="20"/>
  <c r="T19" i="20"/>
  <c r="V168" i="18"/>
  <c r="T18" i="20"/>
  <c r="L30" i="25"/>
  <c r="L95" i="17"/>
  <c r="L22" i="24"/>
  <c r="L40" i="24"/>
  <c r="L19" i="24"/>
  <c r="L30" i="24"/>
  <c r="L57" i="24"/>
  <c r="L39" i="24"/>
  <c r="L25" i="24"/>
  <c r="L38" i="24"/>
  <c r="L12" i="24"/>
  <c r="L17" i="24"/>
  <c r="L21" i="24"/>
  <c r="L55" i="24"/>
  <c r="L70" i="24"/>
  <c r="L67" i="24"/>
  <c r="L26" i="24"/>
  <c r="L31" i="25"/>
  <c r="L15" i="24"/>
  <c r="L41" i="24"/>
  <c r="L29" i="24"/>
  <c r="L61" i="24"/>
  <c r="L42" i="24"/>
  <c r="C41" i="22"/>
  <c r="C14" i="22"/>
  <c r="C37" i="22"/>
  <c r="C27" i="22"/>
  <c r="C35" i="22"/>
  <c r="C40" i="22"/>
  <c r="C9" i="22"/>
  <c r="C22" i="22"/>
  <c r="C38" i="22"/>
  <c r="C19" i="22"/>
  <c r="C43" i="22"/>
  <c r="C34" i="22"/>
  <c r="C10" i="22"/>
  <c r="C26" i="22"/>
  <c r="C30" i="22"/>
  <c r="C16" i="22"/>
  <c r="C31" i="22"/>
  <c r="C33" i="22"/>
  <c r="C36" i="22"/>
  <c r="C18" i="22"/>
  <c r="C20" i="22"/>
  <c r="C12" i="22"/>
  <c r="J16" i="20"/>
  <c r="J21" i="24"/>
  <c r="J13" i="24"/>
  <c r="J68" i="24"/>
  <c r="J18" i="24"/>
  <c r="J16" i="24"/>
  <c r="J24" i="20"/>
  <c r="J18" i="20"/>
  <c r="L165" i="18"/>
  <c r="J19" i="20"/>
  <c r="J21" i="20"/>
  <c r="J37" i="24"/>
  <c r="J23" i="20"/>
  <c r="L167" i="18"/>
  <c r="L164" i="18"/>
  <c r="J17" i="20"/>
  <c r="J24" i="24"/>
  <c r="L134" i="18"/>
  <c r="J29" i="24"/>
  <c r="J23" i="24"/>
  <c r="H23" i="7"/>
  <c r="J65" i="21"/>
  <c r="J28" i="24"/>
  <c r="X22" i="20"/>
  <c r="X21" i="24"/>
  <c r="V23" i="7"/>
  <c r="X65" i="21"/>
  <c r="X25" i="24"/>
  <c r="X61" i="24"/>
  <c r="X13" i="24"/>
  <c r="X39" i="24"/>
  <c r="X17" i="20"/>
  <c r="X24" i="20"/>
  <c r="X59" i="24"/>
  <c r="X41" i="24"/>
  <c r="Y131" i="18"/>
  <c r="X23" i="20"/>
  <c r="X40" i="24"/>
  <c r="X30" i="24"/>
  <c r="X16" i="24"/>
  <c r="Y168" i="18"/>
  <c r="X16" i="20"/>
  <c r="X19" i="20"/>
  <c r="X21" i="20"/>
  <c r="Y129" i="18"/>
  <c r="X18" i="20"/>
  <c r="X22" i="24"/>
  <c r="X66" i="24"/>
  <c r="X36" i="24"/>
  <c r="X26" i="24"/>
  <c r="X20" i="24"/>
  <c r="X43" i="24"/>
  <c r="X17" i="24"/>
  <c r="X23" i="24"/>
  <c r="X60" i="24"/>
  <c r="X31" i="24"/>
  <c r="X37" i="24"/>
  <c r="X44" i="24"/>
  <c r="X19" i="24"/>
  <c r="X72" i="24"/>
  <c r="X47" i="24"/>
  <c r="X58" i="24"/>
  <c r="X42" i="24"/>
  <c r="X62" i="24"/>
  <c r="X15" i="24"/>
  <c r="X12" i="24"/>
  <c r="X45" i="24"/>
  <c r="X55" i="24"/>
  <c r="F25" i="24"/>
  <c r="D23" i="7"/>
  <c r="F65" i="21"/>
  <c r="F18" i="20"/>
  <c r="F17" i="20"/>
  <c r="F13" i="24"/>
  <c r="H168" i="18"/>
  <c r="F64" i="24"/>
  <c r="F29" i="24"/>
  <c r="F21" i="20"/>
  <c r="H167" i="18"/>
  <c r="F24" i="24"/>
  <c r="F21" i="24"/>
  <c r="F19" i="20"/>
  <c r="H166" i="18"/>
  <c r="F22" i="20"/>
  <c r="F23" i="20"/>
  <c r="F19" i="24"/>
  <c r="F24" i="20"/>
  <c r="F62" i="24"/>
  <c r="F38" i="24"/>
  <c r="H164" i="18"/>
  <c r="F58" i="24"/>
  <c r="U39" i="22"/>
  <c r="U22" i="22"/>
  <c r="U12" i="22"/>
  <c r="U31" i="22"/>
  <c r="U17" i="22"/>
  <c r="U16" i="22"/>
  <c r="U35" i="22"/>
  <c r="P10" i="5"/>
  <c r="S8" i="25"/>
  <c r="Q9" i="2"/>
  <c r="U18" i="22"/>
  <c r="U14" i="22"/>
  <c r="U28" i="22"/>
  <c r="S36" i="21"/>
  <c r="S47" i="21"/>
  <c r="U42" i="22"/>
  <c r="U27" i="22"/>
  <c r="U34" i="22"/>
  <c r="S29" i="21"/>
  <c r="U23" i="22"/>
  <c r="U32" i="22"/>
  <c r="S54" i="21"/>
  <c r="U38" i="22"/>
  <c r="U41" i="22"/>
  <c r="Q32" i="22"/>
  <c r="Q35" i="22"/>
  <c r="O42" i="21"/>
  <c r="Q30" i="22"/>
  <c r="Q22" i="22"/>
  <c r="Q39" i="22"/>
  <c r="Q27" i="22"/>
  <c r="O49" i="21"/>
  <c r="Q23" i="22"/>
  <c r="Q43" i="22"/>
  <c r="Q38" i="22"/>
  <c r="Q19" i="22"/>
  <c r="O33" i="21"/>
  <c r="O10" i="25"/>
  <c r="O57" i="17"/>
  <c r="Q33" i="22"/>
  <c r="O52" i="21"/>
  <c r="Q36" i="22"/>
  <c r="Q42" i="22"/>
  <c r="Q41" i="22"/>
  <c r="Q25" i="22"/>
  <c r="Q24" i="22"/>
  <c r="Q11" i="22"/>
  <c r="T34" i="22"/>
  <c r="T28" i="22"/>
  <c r="T43" i="22"/>
  <c r="T40" i="22"/>
  <c r="R29" i="21"/>
  <c r="T37" i="22"/>
  <c r="T26" i="22"/>
  <c r="R40" i="21"/>
  <c r="R61" i="21"/>
  <c r="T35" i="22"/>
  <c r="T41" i="22"/>
  <c r="T32" i="22"/>
  <c r="T27" i="22"/>
  <c r="T31" i="22"/>
  <c r="T38" i="22"/>
  <c r="T42" i="22"/>
  <c r="R22" i="21"/>
  <c r="T14" i="22"/>
  <c r="O10" i="5"/>
  <c r="R8" i="25"/>
  <c r="P9" i="2"/>
  <c r="R47" i="21"/>
  <c r="T20" i="22"/>
  <c r="T23" i="22"/>
  <c r="L26" i="22"/>
  <c r="L42" i="22"/>
  <c r="L32" i="22"/>
  <c r="J48" i="21"/>
  <c r="L41" i="22"/>
  <c r="L35" i="22"/>
  <c r="G10" i="5"/>
  <c r="J8" i="25"/>
  <c r="H9" i="2"/>
  <c r="L30" i="22"/>
  <c r="L25" i="22"/>
  <c r="J30" i="21"/>
  <c r="L31" i="22"/>
  <c r="L33" i="22"/>
  <c r="L28" i="22"/>
  <c r="J60" i="21"/>
  <c r="L43" i="22"/>
  <c r="L18" i="22"/>
  <c r="L36" i="22"/>
  <c r="L39" i="22"/>
  <c r="L8" i="22"/>
  <c r="L13" i="22"/>
  <c r="L15" i="22"/>
  <c r="J24" i="3"/>
  <c r="J37" i="21"/>
  <c r="N38" i="22"/>
  <c r="N43" i="22"/>
  <c r="N41" i="22"/>
  <c r="L46" i="21"/>
  <c r="L9" i="25"/>
  <c r="L45" i="17"/>
  <c r="N24" i="22"/>
  <c r="N40" i="22"/>
  <c r="N17" i="22"/>
  <c r="N16" i="22"/>
  <c r="N25" i="22"/>
  <c r="L35" i="21"/>
  <c r="N19" i="22"/>
  <c r="N34" i="22"/>
  <c r="N30" i="22"/>
  <c r="N27" i="22"/>
  <c r="N33" i="22"/>
  <c r="N37" i="22"/>
  <c r="N31" i="22"/>
  <c r="N26" i="22"/>
  <c r="L28" i="21"/>
  <c r="N15" i="22"/>
  <c r="N13" i="22"/>
  <c r="O13" i="22"/>
  <c r="O25" i="22"/>
  <c r="O31" i="22"/>
  <c r="M26" i="21"/>
  <c r="M35" i="21"/>
  <c r="J10" i="9"/>
  <c r="M8" i="26"/>
  <c r="O27" i="22"/>
  <c r="O26" i="22"/>
  <c r="O17" i="22"/>
  <c r="O32" i="22"/>
  <c r="O11" i="22"/>
  <c r="O35" i="22"/>
  <c r="O40" i="22"/>
  <c r="M44" i="21"/>
  <c r="O38" i="22"/>
  <c r="O24" i="22"/>
  <c r="O37" i="22"/>
  <c r="O23" i="22"/>
  <c r="O41" i="22"/>
  <c r="O15" i="22"/>
  <c r="M9" i="25"/>
  <c r="M45" i="17"/>
  <c r="O19" i="22"/>
  <c r="D27" i="22"/>
  <c r="D43" i="22"/>
  <c r="D28" i="22"/>
  <c r="D14" i="22"/>
  <c r="D32" i="22"/>
  <c r="D25" i="22"/>
  <c r="D41" i="22"/>
  <c r="D38" i="22"/>
  <c r="D37" i="22"/>
  <c r="D34" i="22"/>
  <c r="D23" i="22"/>
  <c r="D12" i="22"/>
  <c r="D18" i="22"/>
  <c r="D40" i="22"/>
  <c r="D15" i="22"/>
  <c r="D20" i="22"/>
  <c r="D22" i="22"/>
  <c r="D31" i="22"/>
  <c r="D35" i="22"/>
  <c r="D10" i="22"/>
  <c r="D26" i="22"/>
  <c r="D16" i="22"/>
  <c r="X12" i="22"/>
  <c r="X16" i="22"/>
  <c r="X18" i="22"/>
  <c r="X40" i="22"/>
  <c r="V64" i="21"/>
  <c r="X43" i="22"/>
  <c r="X28" i="22"/>
  <c r="X37" i="22"/>
  <c r="V9" i="26"/>
  <c r="X39" i="22"/>
  <c r="X22" i="22"/>
  <c r="X34" i="22"/>
  <c r="X33" i="22"/>
  <c r="X31" i="22"/>
  <c r="V43" i="21"/>
  <c r="X30" i="22"/>
  <c r="X26" i="22"/>
  <c r="V54" i="21"/>
  <c r="X36" i="22"/>
  <c r="V34" i="21"/>
  <c r="X23" i="22"/>
  <c r="X32" i="22"/>
  <c r="H20" i="22"/>
  <c r="H22" i="22"/>
  <c r="H43" i="22"/>
  <c r="H23" i="22"/>
  <c r="F62" i="21"/>
  <c r="D25" i="2"/>
  <c r="F43" i="21"/>
  <c r="H37" i="22"/>
  <c r="H33" i="22"/>
  <c r="H12" i="22"/>
  <c r="H30" i="22"/>
  <c r="H40" i="22"/>
  <c r="H31" i="22"/>
  <c r="F54" i="21"/>
  <c r="F50" i="21"/>
  <c r="H10" i="22"/>
  <c r="F34" i="21"/>
  <c r="H39" i="22"/>
  <c r="H36" i="22"/>
  <c r="H34" i="22"/>
  <c r="F10" i="25"/>
  <c r="F57" i="17"/>
  <c r="F64" i="21"/>
  <c r="H18" i="22"/>
  <c r="AA17" i="23"/>
  <c r="AA20" i="23"/>
  <c r="AA9" i="23"/>
  <c r="AA8" i="23"/>
  <c r="AA9" i="24"/>
  <c r="AA34" i="24"/>
  <c r="AA50" i="24"/>
  <c r="AA7" i="24"/>
  <c r="AA51" i="24"/>
  <c r="AA19" i="23"/>
  <c r="Y61" i="11"/>
  <c r="AA16" i="25"/>
  <c r="AA13" i="23"/>
  <c r="Y59" i="11"/>
  <c r="Y38" i="4"/>
  <c r="AA16" i="23"/>
  <c r="AA54" i="24"/>
  <c r="AA8" i="24"/>
  <c r="AA11" i="24"/>
  <c r="AA10" i="24"/>
  <c r="AA14" i="25"/>
  <c r="AA14" i="23"/>
  <c r="AA15" i="23"/>
  <c r="Y60" i="11"/>
  <c r="AA7" i="23"/>
  <c r="AA23" i="23"/>
  <c r="H22" i="24"/>
  <c r="H30" i="24"/>
  <c r="H26" i="24"/>
  <c r="H17" i="24"/>
  <c r="H42" i="24"/>
  <c r="H45" i="24"/>
  <c r="H20" i="24"/>
  <c r="H23" i="24"/>
  <c r="H43" i="24"/>
  <c r="H39" i="24"/>
  <c r="H63" i="24"/>
  <c r="H12" i="24"/>
  <c r="H59" i="24"/>
  <c r="H61" i="24"/>
  <c r="H15" i="24"/>
  <c r="H40" i="24"/>
  <c r="H31" i="24"/>
  <c r="H41" i="24"/>
  <c r="H64" i="24"/>
  <c r="H25" i="24"/>
  <c r="H19" i="24"/>
  <c r="H44" i="24"/>
  <c r="W28" i="22"/>
  <c r="W33" i="22"/>
  <c r="W39" i="22"/>
  <c r="W43" i="22"/>
  <c r="W16" i="22"/>
  <c r="U45" i="21"/>
  <c r="W25" i="22"/>
  <c r="U54" i="21"/>
  <c r="U27" i="21"/>
  <c r="W32" i="22"/>
  <c r="W14" i="22"/>
  <c r="W35" i="22"/>
  <c r="W30" i="22"/>
  <c r="W15" i="22"/>
  <c r="W40" i="22"/>
  <c r="U34" i="21"/>
  <c r="W36" i="22"/>
  <c r="U9" i="25"/>
  <c r="U45" i="17"/>
  <c r="W12" i="22"/>
  <c r="W26" i="22"/>
  <c r="W22" i="22"/>
  <c r="W42" i="22"/>
  <c r="W46" i="21"/>
  <c r="W64" i="21"/>
  <c r="W48" i="21"/>
  <c r="W40" i="21"/>
  <c r="W6" i="20"/>
  <c r="W50" i="21"/>
  <c r="W43" i="21"/>
  <c r="W29" i="21"/>
  <c r="W30" i="21"/>
  <c r="W26" i="21"/>
  <c r="W7" i="21"/>
  <c r="W22" i="21"/>
  <c r="W31" i="21"/>
  <c r="W61" i="21"/>
  <c r="W10" i="25"/>
  <c r="W57" i="17"/>
  <c r="W44" i="21"/>
  <c r="W32" i="21"/>
  <c r="W25" i="21"/>
  <c r="W62" i="21"/>
  <c r="U25" i="2"/>
  <c r="W60" i="21"/>
  <c r="W11" i="21"/>
  <c r="W49" i="21"/>
  <c r="Y41" i="22"/>
  <c r="Y40" i="22"/>
  <c r="Y10" i="22"/>
  <c r="X48" i="21"/>
  <c r="X62" i="21"/>
  <c r="V25" i="2"/>
  <c r="Y28" i="22"/>
  <c r="Y34" i="22"/>
  <c r="Y38" i="22"/>
  <c r="Y24" i="22"/>
  <c r="X32" i="21"/>
  <c r="Y22" i="22"/>
  <c r="Y27" i="22"/>
  <c r="Y18" i="22"/>
  <c r="Y43" i="22"/>
  <c r="Y42" i="22"/>
  <c r="Y31" i="22"/>
  <c r="Y26" i="22"/>
  <c r="X41" i="21"/>
  <c r="X10" i="25"/>
  <c r="X57" i="17"/>
  <c r="Y30" i="22"/>
  <c r="Y37" i="22"/>
  <c r="X50" i="21"/>
  <c r="G39" i="22"/>
  <c r="G16" i="22"/>
  <c r="E27" i="21"/>
  <c r="E34" i="21"/>
  <c r="G25" i="22"/>
  <c r="G43" i="22"/>
  <c r="G15" i="22"/>
  <c r="G40" i="22"/>
  <c r="G42" i="22"/>
  <c r="E54" i="21"/>
  <c r="G34" i="22"/>
  <c r="E10" i="25"/>
  <c r="E57" i="17"/>
  <c r="G28" i="22"/>
  <c r="G36" i="22"/>
  <c r="E45" i="21"/>
  <c r="G37" i="22"/>
  <c r="G12" i="22"/>
  <c r="G18" i="22"/>
  <c r="G30" i="22"/>
  <c r="G33" i="22"/>
  <c r="G32" i="22"/>
  <c r="G26" i="22"/>
  <c r="G61" i="24"/>
  <c r="G39" i="24"/>
  <c r="G55" i="24"/>
  <c r="G23" i="24"/>
  <c r="G26" i="24"/>
  <c r="G59" i="24"/>
  <c r="G30" i="26"/>
  <c r="G22" i="24"/>
  <c r="G18" i="24"/>
  <c r="G43" i="24"/>
  <c r="G15" i="24"/>
  <c r="G12" i="24"/>
  <c r="G31" i="24"/>
  <c r="D14" i="9"/>
  <c r="G27" i="26"/>
  <c r="G42" i="24"/>
  <c r="G17" i="24"/>
  <c r="G57" i="24"/>
  <c r="G19" i="24"/>
  <c r="G36" i="24"/>
  <c r="G30" i="24"/>
  <c r="G47" i="24"/>
  <c r="G73" i="24"/>
  <c r="S38" i="24"/>
  <c r="S24" i="26"/>
  <c r="S39" i="24"/>
  <c r="S72" i="24"/>
  <c r="S23" i="24"/>
  <c r="S37" i="24"/>
  <c r="S15" i="24"/>
  <c r="S28" i="24"/>
  <c r="S58" i="24"/>
  <c r="S16" i="24"/>
  <c r="S20" i="24"/>
  <c r="S18" i="24"/>
  <c r="S47" i="24"/>
  <c r="S42" i="24"/>
  <c r="S21" i="26"/>
  <c r="S29" i="24"/>
  <c r="S12" i="24"/>
  <c r="S36" i="24"/>
  <c r="S13" i="24"/>
  <c r="S43" i="24"/>
  <c r="S21" i="24"/>
  <c r="S70" i="24"/>
  <c r="P7" i="24"/>
  <c r="P14" i="25"/>
  <c r="P54" i="24"/>
  <c r="P51" i="24"/>
  <c r="P10" i="24"/>
  <c r="P7" i="23"/>
  <c r="N56" i="11"/>
  <c r="P59" i="21"/>
  <c r="P9" i="24"/>
  <c r="P10" i="23"/>
  <c r="P13" i="23"/>
  <c r="N59" i="11"/>
  <c r="N38" i="4"/>
  <c r="P8" i="24"/>
  <c r="P66" i="21"/>
  <c r="P19" i="23"/>
  <c r="N61" i="11"/>
  <c r="P8" i="23"/>
  <c r="P52" i="24"/>
  <c r="P50" i="24"/>
  <c r="P17" i="23"/>
  <c r="P20" i="23"/>
  <c r="P9" i="23"/>
  <c r="P34" i="24"/>
  <c r="P11" i="24"/>
  <c r="P16" i="23"/>
  <c r="J31" i="22"/>
  <c r="J8" i="22"/>
  <c r="J13" i="22"/>
  <c r="J27" i="22"/>
  <c r="J35" i="22"/>
  <c r="J10" i="22"/>
  <c r="J25" i="22"/>
  <c r="H46" i="21"/>
  <c r="H60" i="21"/>
  <c r="J38" i="22"/>
  <c r="J37" i="22"/>
  <c r="J28" i="22"/>
  <c r="J20" i="22"/>
  <c r="J32" i="22"/>
  <c r="H32" i="21"/>
  <c r="J26" i="22"/>
  <c r="J41" i="22"/>
  <c r="H41" i="21"/>
  <c r="E10" i="9"/>
  <c r="H8" i="26"/>
  <c r="J34" i="22"/>
  <c r="H50" i="21"/>
  <c r="H62" i="21"/>
  <c r="F25" i="2"/>
  <c r="P11" i="22"/>
  <c r="N9" i="25"/>
  <c r="N45" i="17"/>
  <c r="N26" i="21"/>
  <c r="P31" i="22"/>
  <c r="P32" i="22"/>
  <c r="N33" i="21"/>
  <c r="P9" i="22"/>
  <c r="P35" i="22"/>
  <c r="N44" i="21"/>
  <c r="P39" i="22"/>
  <c r="P26" i="22"/>
  <c r="P41" i="22"/>
  <c r="P17" i="22"/>
  <c r="P24" i="22"/>
  <c r="P25" i="22"/>
  <c r="P27" i="22"/>
  <c r="P38" i="22"/>
  <c r="P42" i="22"/>
  <c r="P19" i="22"/>
  <c r="P14" i="22"/>
  <c r="P28" i="22"/>
  <c r="N52" i="21"/>
  <c r="G10" i="24"/>
  <c r="G54" i="24"/>
  <c r="G14" i="23"/>
  <c r="G14" i="26"/>
  <c r="G53" i="24"/>
  <c r="G9" i="23"/>
  <c r="G34" i="24"/>
  <c r="G23" i="23"/>
  <c r="G8" i="24"/>
  <c r="G17" i="23"/>
  <c r="G7" i="23"/>
  <c r="G8" i="23"/>
  <c r="G7" i="24"/>
  <c r="G51" i="24"/>
  <c r="G52" i="24"/>
  <c r="G11" i="24"/>
  <c r="G18" i="23"/>
  <c r="G20" i="23"/>
  <c r="G10" i="23"/>
  <c r="G9" i="24"/>
  <c r="G16" i="23"/>
  <c r="G13" i="23"/>
  <c r="E59" i="11"/>
  <c r="E38" i="4"/>
  <c r="Z62" i="24"/>
  <c r="Z71" i="24"/>
  <c r="Z63" i="24"/>
  <c r="Z17" i="24"/>
  <c r="Z23" i="24"/>
  <c r="Z19" i="24"/>
  <c r="Z41" i="24"/>
  <c r="Z22" i="24"/>
  <c r="Z20" i="24"/>
  <c r="Z12" i="24"/>
  <c r="Z30" i="25"/>
  <c r="Z95" i="17"/>
  <c r="Z66" i="24"/>
  <c r="Z31" i="24"/>
  <c r="Z61" i="24"/>
  <c r="Z43" i="24"/>
  <c r="Z44" i="24"/>
  <c r="Z15" i="24"/>
  <c r="Z60" i="24"/>
  <c r="Z40" i="24"/>
  <c r="Z39" i="24"/>
  <c r="Z28" i="24"/>
  <c r="Z42" i="24"/>
  <c r="I7" i="23"/>
  <c r="I9" i="23"/>
  <c r="I19" i="23"/>
  <c r="G61" i="11"/>
  <c r="I15" i="23"/>
  <c r="G60" i="11"/>
  <c r="I53" i="24"/>
  <c r="I16" i="23"/>
  <c r="I15" i="25"/>
  <c r="I50" i="24"/>
  <c r="I9" i="24"/>
  <c r="I51" i="24"/>
  <c r="I20" i="23"/>
  <c r="I8" i="24"/>
  <c r="I52" i="24"/>
  <c r="I23" i="23"/>
  <c r="I10" i="23"/>
  <c r="I8" i="23"/>
  <c r="I14" i="23"/>
  <c r="I13" i="23"/>
  <c r="G59" i="11"/>
  <c r="G38" i="4"/>
  <c r="I11" i="24"/>
  <c r="I18" i="23"/>
  <c r="I34" i="24"/>
  <c r="I10" i="24"/>
  <c r="M7" i="27"/>
  <c r="M97" i="17"/>
  <c r="M19" i="24"/>
  <c r="M24" i="24"/>
  <c r="M30" i="24"/>
  <c r="M26" i="24"/>
  <c r="M59" i="24"/>
  <c r="M25" i="24"/>
  <c r="M12" i="24"/>
  <c r="M40" i="24"/>
  <c r="M17" i="24"/>
  <c r="M42" i="24"/>
  <c r="M37" i="24"/>
  <c r="M72" i="24"/>
  <c r="M67" i="24"/>
  <c r="M16" i="24"/>
  <c r="M22" i="24"/>
  <c r="M43" i="24"/>
  <c r="M70" i="24"/>
  <c r="M29" i="24"/>
  <c r="M15" i="24"/>
  <c r="M21" i="24"/>
  <c r="M20" i="27"/>
  <c r="Y9" i="24"/>
  <c r="Y7" i="24"/>
  <c r="Y18" i="23"/>
  <c r="Y10" i="23"/>
  <c r="Y8" i="23"/>
  <c r="Y23" i="23"/>
  <c r="Y52" i="24"/>
  <c r="Y11" i="24"/>
  <c r="Y19" i="23"/>
  <c r="W61" i="11"/>
  <c r="Y9" i="23"/>
  <c r="Y8" i="24"/>
  <c r="Y53" i="24"/>
  <c r="Y10" i="24"/>
  <c r="Y50" i="24"/>
  <c r="Y7" i="23"/>
  <c r="Y34" i="24"/>
  <c r="Y15" i="26"/>
  <c r="Y16" i="23"/>
  <c r="Y51" i="24"/>
  <c r="Y17" i="23"/>
  <c r="Y15" i="23"/>
  <c r="W60" i="11"/>
  <c r="Y13" i="23"/>
  <c r="W59" i="11"/>
  <c r="W38" i="4"/>
  <c r="AA62" i="24"/>
  <c r="AA19" i="24"/>
  <c r="AA31" i="24"/>
  <c r="AA64" i="24"/>
  <c r="AA22" i="26"/>
  <c r="AA30" i="25"/>
  <c r="AA95" i="17"/>
  <c r="AA47" i="24"/>
  <c r="AA26" i="24"/>
  <c r="AA63" i="24"/>
  <c r="AA22" i="24"/>
  <c r="AA17" i="24"/>
  <c r="AA28" i="24"/>
  <c r="AA6" i="27"/>
  <c r="AA15" i="24"/>
  <c r="AA42" i="24"/>
  <c r="AA12" i="24"/>
  <c r="AA44" i="24"/>
  <c r="AA57" i="24"/>
  <c r="AA20" i="24"/>
  <c r="AA73" i="24"/>
  <c r="AA68" i="24"/>
  <c r="AA45" i="24"/>
  <c r="G60" i="21"/>
  <c r="I26" i="22"/>
  <c r="I27" i="22"/>
  <c r="I24" i="22"/>
  <c r="I10" i="22"/>
  <c r="I8" i="22"/>
  <c r="G43" i="21"/>
  <c r="I30" i="22"/>
  <c r="G32" i="21"/>
  <c r="I40" i="22"/>
  <c r="G64" i="21"/>
  <c r="I37" i="22"/>
  <c r="G25" i="21"/>
  <c r="I34" i="22"/>
  <c r="G62" i="21"/>
  <c r="E25" i="2"/>
  <c r="G50" i="21"/>
  <c r="I41" i="22"/>
  <c r="I38" i="22"/>
  <c r="I20" i="22"/>
  <c r="I31" i="22"/>
  <c r="G10" i="25"/>
  <c r="G57" i="17"/>
  <c r="I43" i="22"/>
  <c r="R47" i="24"/>
  <c r="R39" i="24"/>
  <c r="R21" i="24"/>
  <c r="R30" i="26"/>
  <c r="R62" i="24"/>
  <c r="R41" i="24"/>
  <c r="R13" i="24"/>
  <c r="R45" i="24"/>
  <c r="R25" i="24"/>
  <c r="R16" i="24"/>
  <c r="R36" i="24"/>
  <c r="R12" i="24"/>
  <c r="R23" i="24"/>
  <c r="R30" i="24"/>
  <c r="R29" i="24"/>
  <c r="R18" i="24"/>
  <c r="R20" i="24"/>
  <c r="R66" i="24"/>
  <c r="R28" i="24"/>
  <c r="R64" i="24"/>
  <c r="R67" i="24"/>
  <c r="R20" i="27"/>
  <c r="Z28" i="22"/>
  <c r="Z39" i="22"/>
  <c r="Y41" i="21"/>
  <c r="Z20" i="22"/>
  <c r="Y48" i="21"/>
  <c r="Y23" i="21"/>
  <c r="Z38" i="22"/>
  <c r="Y30" i="21"/>
  <c r="Z31" i="22"/>
  <c r="Y10" i="25"/>
  <c r="Y57" i="17"/>
  <c r="Z36" i="22"/>
  <c r="Z35" i="22"/>
  <c r="Y62" i="21"/>
  <c r="W25" i="2"/>
  <c r="Z41" i="22"/>
  <c r="Z33" i="22"/>
  <c r="Z32" i="22"/>
  <c r="Z42" i="22"/>
  <c r="Z34" i="22"/>
  <c r="Z37" i="22"/>
  <c r="Y60" i="21"/>
  <c r="Z8" i="22"/>
  <c r="Z10" i="22"/>
  <c r="F47" i="24"/>
  <c r="F36" i="24"/>
  <c r="F71" i="24"/>
  <c r="F18" i="24"/>
  <c r="F44" i="24"/>
  <c r="F20" i="24"/>
  <c r="F41" i="24"/>
  <c r="F45" i="24"/>
  <c r="F73" i="24"/>
  <c r="F39" i="24"/>
  <c r="F16" i="24"/>
  <c r="F26" i="24"/>
  <c r="F43" i="24"/>
  <c r="F55" i="24"/>
  <c r="F23" i="24"/>
  <c r="F42" i="24"/>
  <c r="F22" i="24"/>
  <c r="F28" i="24"/>
  <c r="F57" i="24"/>
  <c r="F17" i="24"/>
  <c r="F15" i="24"/>
  <c r="F59" i="24"/>
  <c r="O16" i="24"/>
  <c r="O59" i="24"/>
  <c r="O40" i="24"/>
  <c r="O72" i="24"/>
  <c r="O25" i="24"/>
  <c r="O37" i="24"/>
  <c r="O17" i="24"/>
  <c r="O58" i="24"/>
  <c r="O41" i="24"/>
  <c r="O65" i="24"/>
  <c r="O36" i="24"/>
  <c r="O21" i="24"/>
  <c r="O60" i="24"/>
  <c r="O18" i="24"/>
  <c r="O38" i="24"/>
  <c r="O19" i="24"/>
  <c r="O31" i="24"/>
  <c r="O24" i="24"/>
  <c r="O22" i="24"/>
  <c r="O55" i="24"/>
  <c r="O57" i="24"/>
  <c r="O13" i="24"/>
  <c r="Q20" i="24"/>
  <c r="Q70" i="24"/>
  <c r="Q40" i="24"/>
  <c r="Q19" i="24"/>
  <c r="Q39" i="24"/>
  <c r="Q36" i="24"/>
  <c r="Q64" i="24"/>
  <c r="Q24" i="24"/>
  <c r="Q31" i="24"/>
  <c r="Q21" i="24"/>
  <c r="Q25" i="24"/>
  <c r="Q45" i="24"/>
  <c r="Q38" i="24"/>
  <c r="Q62" i="24"/>
  <c r="Q13" i="24"/>
  <c r="Q30" i="24"/>
  <c r="Q29" i="24"/>
  <c r="Q16" i="24"/>
  <c r="Q23" i="24"/>
  <c r="Q18" i="24"/>
  <c r="Q44" i="24"/>
  <c r="Q60" i="24"/>
  <c r="I73" i="24"/>
  <c r="I28" i="24"/>
  <c r="I26" i="24"/>
  <c r="I19" i="24"/>
  <c r="I20" i="24"/>
  <c r="I30" i="24"/>
  <c r="I12" i="24"/>
  <c r="I61" i="24"/>
  <c r="I65" i="24"/>
  <c r="I41" i="24"/>
  <c r="I22" i="24"/>
  <c r="I15" i="24"/>
  <c r="F14" i="9"/>
  <c r="I27" i="26"/>
  <c r="I31" i="24"/>
  <c r="J52" i="24"/>
  <c r="J11" i="24"/>
  <c r="J16" i="23"/>
  <c r="J17" i="23"/>
  <c r="J19" i="23"/>
  <c r="H61" i="11"/>
  <c r="I40" i="24"/>
  <c r="I17" i="24"/>
  <c r="I44" i="24"/>
  <c r="J7" i="23"/>
  <c r="J7" i="24"/>
  <c r="I23" i="24"/>
  <c r="J50" i="24"/>
  <c r="I63" i="24"/>
  <c r="I42" i="24"/>
  <c r="J10" i="24"/>
  <c r="J9" i="24"/>
  <c r="J34" i="24"/>
  <c r="I62" i="24"/>
  <c r="J10" i="23"/>
  <c r="J13" i="23"/>
  <c r="H59" i="11"/>
  <c r="H38" i="4"/>
  <c r="J15" i="23"/>
  <c r="H60" i="11"/>
  <c r="J9" i="23"/>
  <c r="I59" i="24"/>
  <c r="J14" i="26"/>
  <c r="J51" i="24"/>
  <c r="J54" i="24"/>
  <c r="J20" i="23"/>
  <c r="J15" i="25"/>
  <c r="J18" i="23"/>
  <c r="J8" i="23"/>
  <c r="C20" i="24"/>
  <c r="C31" i="24"/>
  <c r="C21" i="24"/>
  <c r="C37" i="24"/>
  <c r="C18" i="24"/>
  <c r="C26" i="24"/>
  <c r="C23" i="24"/>
  <c r="C72" i="24"/>
  <c r="C41" i="24"/>
  <c r="C40" i="24"/>
  <c r="C43" i="24"/>
  <c r="C28" i="24"/>
  <c r="C67" i="24"/>
  <c r="C36" i="24"/>
  <c r="C42" i="24"/>
  <c r="C47" i="24"/>
  <c r="C64" i="24"/>
  <c r="C13" i="24"/>
  <c r="C29" i="24"/>
  <c r="C12" i="24"/>
  <c r="C16" i="24"/>
  <c r="C55" i="24"/>
  <c r="AA42" i="22"/>
  <c r="AA13" i="22"/>
  <c r="AA36" i="22"/>
  <c r="AA28" i="22"/>
  <c r="AA38" i="22"/>
  <c r="AA32" i="22"/>
  <c r="AA41" i="22"/>
  <c r="Z30" i="21"/>
  <c r="Z60" i="21"/>
  <c r="Z24" i="3"/>
  <c r="Z37" i="21"/>
  <c r="AA43" i="22"/>
  <c r="AA22" i="22"/>
  <c r="AA20" i="22"/>
  <c r="AA8" i="22"/>
  <c r="AA35" i="22"/>
  <c r="Z9" i="26"/>
  <c r="T20" i="24"/>
  <c r="AA39" i="22"/>
  <c r="T64" i="24"/>
  <c r="T44" i="24"/>
  <c r="T45" i="24"/>
  <c r="T60" i="24"/>
  <c r="T37" i="24"/>
  <c r="T68" i="24"/>
  <c r="T16" i="24"/>
  <c r="T66" i="24"/>
  <c r="T21" i="26"/>
  <c r="Z48" i="21"/>
  <c r="AA33" i="22"/>
  <c r="T28" i="24"/>
  <c r="AA24" i="22"/>
  <c r="T23" i="24"/>
  <c r="AA27" i="22"/>
  <c r="T13" i="24"/>
  <c r="AA30" i="22"/>
  <c r="T29" i="24"/>
  <c r="T47" i="24"/>
  <c r="T24" i="26"/>
  <c r="T38" i="24"/>
  <c r="T18" i="24"/>
  <c r="T39" i="24"/>
  <c r="T21" i="24"/>
  <c r="T24" i="24"/>
  <c r="T12" i="24"/>
  <c r="D26" i="24"/>
  <c r="D24" i="24"/>
  <c r="D30" i="24"/>
  <c r="D44" i="24"/>
  <c r="D43" i="24"/>
  <c r="D31" i="24"/>
  <c r="D23" i="24"/>
  <c r="D20" i="24"/>
  <c r="D70" i="24"/>
  <c r="D45" i="24"/>
  <c r="D22" i="24"/>
  <c r="D12" i="24"/>
  <c r="D41" i="24"/>
  <c r="D39" i="24"/>
  <c r="D18" i="24"/>
  <c r="D66" i="24"/>
  <c r="D13" i="24"/>
  <c r="D23" i="26"/>
  <c r="D28" i="24"/>
  <c r="D37" i="24"/>
  <c r="D16" i="24"/>
  <c r="D47" i="24"/>
  <c r="V24" i="24"/>
  <c r="V26" i="24"/>
  <c r="V16" i="24"/>
  <c r="V29" i="24"/>
  <c r="V36" i="24"/>
  <c r="V60" i="24"/>
  <c r="V21" i="26"/>
  <c r="V71" i="24"/>
  <c r="V18" i="24"/>
  <c r="V44" i="24"/>
  <c r="V28" i="24"/>
  <c r="V57" i="24"/>
  <c r="V37" i="24"/>
  <c r="V13" i="24"/>
  <c r="V20" i="24"/>
  <c r="V68" i="24"/>
  <c r="V43" i="24"/>
  <c r="V45" i="24"/>
  <c r="V66" i="24"/>
  <c r="V15" i="24"/>
  <c r="V47" i="24"/>
  <c r="V23" i="24"/>
  <c r="R53" i="24"/>
  <c r="R14" i="25"/>
  <c r="R18" i="23"/>
  <c r="R17" i="23"/>
  <c r="R9" i="24"/>
  <c r="R11" i="24"/>
  <c r="R7" i="23"/>
  <c r="R23" i="23"/>
  <c r="R10" i="24"/>
  <c r="R14" i="23"/>
  <c r="R7" i="24"/>
  <c r="R51" i="24"/>
  <c r="R34" i="24"/>
  <c r="R66" i="21"/>
  <c r="R50" i="24"/>
  <c r="R15" i="23"/>
  <c r="P60" i="11"/>
  <c r="R9" i="23"/>
  <c r="R8" i="23"/>
  <c r="R52" i="24"/>
  <c r="R20" i="23"/>
  <c r="P56" i="11"/>
  <c r="R59" i="21"/>
  <c r="R8" i="24"/>
  <c r="J41" i="24"/>
  <c r="J31" i="24"/>
  <c r="J17" i="24"/>
  <c r="J19" i="24"/>
  <c r="J30" i="24"/>
  <c r="J15" i="24"/>
  <c r="J42" i="24"/>
  <c r="J38" i="24"/>
  <c r="J43" i="24"/>
  <c r="J40" i="24"/>
  <c r="J12" i="24"/>
  <c r="J44" i="24"/>
  <c r="J64" i="24"/>
  <c r="J63" i="24"/>
  <c r="J73" i="24"/>
  <c r="J39" i="24"/>
  <c r="J62" i="24"/>
  <c r="J20" i="24"/>
  <c r="J22" i="24"/>
  <c r="J57" i="24"/>
  <c r="J65" i="24"/>
  <c r="J61" i="24"/>
  <c r="K25" i="24"/>
  <c r="K31" i="24"/>
  <c r="K38" i="24"/>
  <c r="K30" i="24"/>
  <c r="K73" i="24"/>
  <c r="K65" i="24"/>
  <c r="K57" i="24"/>
  <c r="K59" i="24"/>
  <c r="K26" i="24"/>
  <c r="K61" i="24"/>
  <c r="K39" i="24"/>
  <c r="K40" i="24"/>
  <c r="K29" i="24"/>
  <c r="K17" i="24"/>
  <c r="K22" i="24"/>
  <c r="K42" i="24"/>
  <c r="K67" i="24"/>
  <c r="K19" i="24"/>
  <c r="K12" i="24"/>
  <c r="K63" i="24"/>
  <c r="K66" i="24"/>
  <c r="K15" i="24"/>
  <c r="U68" i="24"/>
  <c r="U44" i="24"/>
  <c r="U58" i="24"/>
  <c r="U47" i="24"/>
  <c r="U70" i="24"/>
  <c r="U36" i="24"/>
  <c r="U21" i="24"/>
  <c r="U18" i="24"/>
  <c r="U24" i="24"/>
  <c r="U37" i="24"/>
  <c r="U13" i="24"/>
  <c r="U38" i="24"/>
  <c r="U45" i="24"/>
  <c r="U20" i="24"/>
  <c r="U62" i="24"/>
  <c r="U66" i="24"/>
  <c r="U29" i="24"/>
  <c r="U28" i="24"/>
  <c r="U16" i="24"/>
  <c r="U12" i="24"/>
  <c r="U30" i="26"/>
  <c r="U24" i="26"/>
  <c r="I62" i="21"/>
  <c r="G25" i="2"/>
  <c r="K36" i="22"/>
  <c r="K41" i="22"/>
  <c r="I41" i="21"/>
  <c r="K42" i="22"/>
  <c r="K24" i="22"/>
  <c r="I10" i="25"/>
  <c r="I57" i="17"/>
  <c r="K8" i="22"/>
  <c r="K35" i="22"/>
  <c r="K22" i="22"/>
  <c r="K20" i="22"/>
  <c r="I30" i="21"/>
  <c r="K31" i="22"/>
  <c r="K39" i="22"/>
  <c r="K27" i="22"/>
  <c r="I48" i="21"/>
  <c r="K43" i="22"/>
  <c r="I23" i="21"/>
  <c r="K34" i="22"/>
  <c r="K32" i="22"/>
  <c r="K28" i="22"/>
  <c r="K38" i="22"/>
  <c r="Z10" i="23"/>
  <c r="Z7" i="23"/>
  <c r="Z7" i="24"/>
  <c r="Z50" i="24"/>
  <c r="Z15" i="26"/>
  <c r="Z8" i="23"/>
  <c r="Z17" i="23"/>
  <c r="Z52" i="24"/>
  <c r="Z20" i="23"/>
  <c r="Z51" i="24"/>
  <c r="Z10" i="24"/>
  <c r="Z11" i="24"/>
  <c r="Z9" i="24"/>
  <c r="Z13" i="23"/>
  <c r="X59" i="11"/>
  <c r="X38" i="4"/>
  <c r="Z9" i="23"/>
  <c r="Z16" i="23"/>
  <c r="Z19" i="23"/>
  <c r="X61" i="11"/>
  <c r="Z16" i="25"/>
  <c r="Z18" i="23"/>
  <c r="Z15" i="23"/>
  <c r="X60" i="11"/>
  <c r="Z34" i="24"/>
  <c r="Z54" i="24"/>
  <c r="P43" i="24"/>
  <c r="P59" i="24"/>
  <c r="P18" i="24"/>
  <c r="P60" i="24"/>
  <c r="P21" i="24"/>
  <c r="P21" i="26"/>
  <c r="P72" i="24"/>
  <c r="P38" i="24"/>
  <c r="P30" i="26"/>
  <c r="P37" i="24"/>
  <c r="P58" i="24"/>
  <c r="P62" i="24"/>
  <c r="P13" i="24"/>
  <c r="P30" i="24"/>
  <c r="P67" i="24"/>
  <c r="P25" i="24"/>
  <c r="P55" i="24"/>
  <c r="P28" i="24"/>
  <c r="P41" i="24"/>
  <c r="P16" i="24"/>
  <c r="P24" i="24"/>
  <c r="P29" i="24"/>
  <c r="P42" i="21"/>
  <c r="P9" i="25"/>
  <c r="P45" i="17"/>
  <c r="R41" i="22"/>
  <c r="R28" i="22"/>
  <c r="R33" i="22"/>
  <c r="R30" i="22"/>
  <c r="R42" i="22"/>
  <c r="R40" i="22"/>
  <c r="P31" i="21"/>
  <c r="R24" i="22"/>
  <c r="R38" i="22"/>
  <c r="R37" i="22"/>
  <c r="P24" i="21"/>
  <c r="R27" i="22"/>
  <c r="P49" i="21"/>
  <c r="R26" i="22"/>
  <c r="R39" i="22"/>
  <c r="R9" i="22"/>
  <c r="R43" i="22"/>
  <c r="R25" i="22"/>
  <c r="R23" i="22"/>
  <c r="R36" i="22"/>
  <c r="AA43" i="21"/>
  <c r="AA22" i="21"/>
  <c r="AA10" i="25"/>
  <c r="AA57" i="17"/>
  <c r="AA16" i="21"/>
  <c r="AA21" i="21"/>
  <c r="AA48" i="21"/>
  <c r="AA40" i="21"/>
  <c r="AA13" i="21"/>
  <c r="AA44" i="21"/>
  <c r="AA60" i="21"/>
  <c r="AA24" i="3"/>
  <c r="AA37" i="21"/>
  <c r="AA28" i="21"/>
  <c r="AA34" i="21"/>
  <c r="AA27" i="21"/>
  <c r="AA54" i="21"/>
  <c r="AA49" i="21"/>
  <c r="AA46" i="21"/>
  <c r="AA61" i="21"/>
  <c r="AA26" i="21"/>
  <c r="AA52" i="21"/>
  <c r="AA9" i="20"/>
  <c r="AA45" i="21"/>
  <c r="Y64" i="24"/>
  <c r="Y21" i="26"/>
  <c r="Y36" i="24"/>
  <c r="Y57" i="24"/>
  <c r="Y71" i="24"/>
  <c r="Y15" i="24"/>
  <c r="Y31" i="24"/>
  <c r="Y44" i="24"/>
  <c r="Y22" i="24"/>
  <c r="Y37" i="24"/>
  <c r="Y20" i="24"/>
  <c r="Y12" i="24"/>
  <c r="Y31" i="25"/>
  <c r="Y23" i="24"/>
  <c r="Y59" i="24"/>
  <c r="Y41" i="24"/>
  <c r="Y47" i="24"/>
  <c r="Y28" i="24"/>
  <c r="Y17" i="24"/>
  <c r="Y42" i="24"/>
  <c r="Y68" i="24"/>
  <c r="Y26" i="24"/>
  <c r="N17" i="23"/>
  <c r="N7" i="24"/>
  <c r="N20" i="23"/>
  <c r="N53" i="24"/>
  <c r="N66" i="21"/>
  <c r="N18" i="23"/>
  <c r="L56" i="11"/>
  <c r="N59" i="21"/>
  <c r="N34" i="24"/>
  <c r="N52" i="24"/>
  <c r="N23" i="23"/>
  <c r="N15" i="23"/>
  <c r="L60" i="11"/>
  <c r="N54" i="24"/>
  <c r="N9" i="24"/>
  <c r="N15" i="25"/>
  <c r="N9" i="23"/>
  <c r="N19" i="23"/>
  <c r="L61" i="11"/>
  <c r="N14" i="23"/>
  <c r="N7" i="23"/>
  <c r="N11" i="24"/>
  <c r="N8" i="24"/>
  <c r="N13" i="23"/>
  <c r="L59" i="11"/>
  <c r="L38" i="4"/>
  <c r="N10" i="23"/>
  <c r="N19" i="24"/>
  <c r="N16" i="24"/>
  <c r="N31" i="24"/>
  <c r="N65" i="24"/>
  <c r="N13" i="24"/>
  <c r="N25" i="24"/>
  <c r="N39" i="24"/>
  <c r="N55" i="24"/>
  <c r="N30" i="24"/>
  <c r="N57" i="24"/>
  <c r="N38" i="24"/>
  <c r="N70" i="24"/>
  <c r="N17" i="24"/>
  <c r="N67" i="24"/>
  <c r="N24" i="24"/>
  <c r="N40" i="24"/>
  <c r="N24" i="26"/>
  <c r="N72" i="24"/>
  <c r="N61" i="24"/>
  <c r="N45" i="24"/>
  <c r="N37" i="24"/>
  <c r="N15" i="24"/>
  <c r="W44" i="24"/>
  <c r="W15" i="24"/>
  <c r="W71" i="24"/>
  <c r="W12" i="24"/>
  <c r="W37" i="24"/>
  <c r="W66" i="24"/>
  <c r="W18" i="24"/>
  <c r="W68" i="24"/>
  <c r="W57" i="24"/>
  <c r="W64" i="24"/>
  <c r="W22" i="24"/>
  <c r="W23" i="24"/>
  <c r="W24" i="24"/>
  <c r="W58" i="24"/>
  <c r="W31" i="25"/>
  <c r="W47" i="24"/>
  <c r="W26" i="24"/>
  <c r="W43" i="24"/>
  <c r="W31" i="24"/>
  <c r="W16" i="24"/>
  <c r="W17" i="24"/>
  <c r="W36" i="24"/>
  <c r="K34" i="24"/>
  <c r="K51" i="24"/>
  <c r="K14" i="23"/>
  <c r="K16" i="23"/>
  <c r="K16" i="25"/>
  <c r="K19" i="23"/>
  <c r="I61" i="11"/>
  <c r="K15" i="23"/>
  <c r="I60" i="11"/>
  <c r="K54" i="24"/>
  <c r="K7" i="23"/>
  <c r="K52" i="24"/>
  <c r="K7" i="24"/>
  <c r="K11" i="24"/>
  <c r="K8" i="23"/>
  <c r="K10" i="24"/>
  <c r="K9" i="23"/>
  <c r="K9" i="24"/>
  <c r="K13" i="23"/>
  <c r="I59" i="11"/>
  <c r="I38" i="4"/>
  <c r="K50" i="24"/>
  <c r="K20" i="23"/>
  <c r="K18" i="23"/>
  <c r="K17" i="23"/>
  <c r="K8" i="24"/>
  <c r="M25" i="22"/>
  <c r="M37" i="22"/>
  <c r="M38" i="22"/>
  <c r="M33" i="22"/>
  <c r="M13" i="22"/>
  <c r="M42" i="22"/>
  <c r="M36" i="22"/>
  <c r="K24" i="3"/>
  <c r="K37" i="21"/>
  <c r="M26" i="22"/>
  <c r="M22" i="22"/>
  <c r="M30" i="22"/>
  <c r="K10" i="25"/>
  <c r="K57" i="17"/>
  <c r="M40" i="22"/>
  <c r="K46" i="21"/>
  <c r="K60" i="21"/>
  <c r="M34" i="22"/>
  <c r="M43" i="22"/>
  <c r="K28" i="21"/>
  <c r="M15" i="22"/>
  <c r="M41" i="22"/>
  <c r="K21" i="21"/>
  <c r="M39" i="22"/>
  <c r="Q9" i="25"/>
  <c r="Q45" i="17"/>
  <c r="S37" i="22"/>
  <c r="S40" i="22"/>
  <c r="S38" i="22"/>
  <c r="S28" i="22"/>
  <c r="S23" i="22"/>
  <c r="S33" i="22"/>
  <c r="S27" i="22"/>
  <c r="Q31" i="21"/>
  <c r="S9" i="22"/>
  <c r="S31" i="22"/>
  <c r="S30" i="22"/>
  <c r="S35" i="22"/>
  <c r="Q61" i="21"/>
  <c r="S19" i="22"/>
  <c r="S43" i="22"/>
  <c r="Q49" i="21"/>
  <c r="S32" i="22"/>
  <c r="Q40" i="21"/>
  <c r="S34" i="22"/>
  <c r="S36" i="22"/>
  <c r="S24" i="22"/>
  <c r="W18" i="23"/>
  <c r="W10" i="23"/>
  <c r="W34" i="24"/>
  <c r="W20" i="23"/>
  <c r="W52" i="24"/>
  <c r="W19" i="23"/>
  <c r="U61" i="11"/>
  <c r="W7" i="24"/>
  <c r="W14" i="25"/>
  <c r="W15" i="23"/>
  <c r="U60" i="11"/>
  <c r="W8" i="23"/>
  <c r="W23" i="23"/>
  <c r="W51" i="24"/>
  <c r="W9" i="24"/>
  <c r="W13" i="23"/>
  <c r="U59" i="11"/>
  <c r="U38" i="4"/>
  <c r="W14" i="23"/>
  <c r="W7" i="23"/>
  <c r="W9" i="23"/>
  <c r="W17" i="23"/>
  <c r="W54" i="24"/>
  <c r="W53" i="24"/>
  <c r="W8" i="24"/>
  <c r="W10" i="24"/>
  <c r="E20" i="24"/>
  <c r="E66" i="24"/>
  <c r="E44" i="24"/>
  <c r="E26" i="24"/>
  <c r="E45" i="24"/>
  <c r="E57" i="24"/>
  <c r="E55" i="24"/>
  <c r="E12" i="24"/>
  <c r="E47" i="24"/>
  <c r="E72" i="24"/>
  <c r="E68" i="24"/>
  <c r="E15" i="24"/>
  <c r="E24" i="24"/>
  <c r="E16" i="24"/>
  <c r="E31" i="24"/>
  <c r="E13" i="24"/>
  <c r="E36" i="24"/>
  <c r="E40" i="24"/>
  <c r="E41" i="24"/>
  <c r="E30" i="25"/>
  <c r="E95" i="17"/>
  <c r="E18" i="24"/>
  <c r="E28" i="24"/>
  <c r="T51" i="24"/>
  <c r="T16" i="23"/>
  <c r="T9" i="23"/>
  <c r="T18" i="23"/>
  <c r="T66" i="21"/>
  <c r="T15" i="26"/>
  <c r="T23" i="23"/>
  <c r="T53" i="24"/>
  <c r="T19" i="23"/>
  <c r="R61" i="11"/>
  <c r="R56" i="11"/>
  <c r="T59" i="21"/>
  <c r="T10" i="24"/>
  <c r="T17" i="23"/>
  <c r="T7" i="23"/>
  <c r="T13" i="23"/>
  <c r="R59" i="11"/>
  <c r="R38" i="4"/>
  <c r="T50" i="24"/>
  <c r="T10" i="23"/>
  <c r="T14" i="26"/>
  <c r="T8" i="24"/>
  <c r="T11" i="24"/>
  <c r="T15" i="25"/>
  <c r="T15" i="23"/>
  <c r="R60" i="11"/>
  <c r="T9" i="24"/>
  <c r="L14" i="23"/>
  <c r="L23" i="23"/>
  <c r="L9" i="23"/>
  <c r="L20" i="23"/>
  <c r="L54" i="24"/>
  <c r="L15" i="23"/>
  <c r="J60" i="11"/>
  <c r="L11" i="24"/>
  <c r="L17" i="23"/>
  <c r="L8" i="24"/>
  <c r="L10" i="24"/>
  <c r="L7" i="23"/>
  <c r="L50" i="24"/>
  <c r="L8" i="23"/>
  <c r="L19" i="23"/>
  <c r="J61" i="11"/>
  <c r="L15" i="25"/>
  <c r="L7" i="24"/>
  <c r="L52" i="24"/>
  <c r="L9" i="24"/>
  <c r="L16" i="23"/>
  <c r="L13" i="23"/>
  <c r="J59" i="11"/>
  <c r="J38" i="4"/>
  <c r="L34" i="24"/>
  <c r="L16" i="25"/>
  <c r="M11" i="24"/>
  <c r="M13" i="23"/>
  <c r="K59" i="11"/>
  <c r="K38" i="4"/>
  <c r="M50" i="24"/>
  <c r="M20" i="23"/>
  <c r="M18" i="23"/>
  <c r="M19" i="23"/>
  <c r="K61" i="11"/>
  <c r="M34" i="24"/>
  <c r="K56" i="11"/>
  <c r="M59" i="21"/>
  <c r="M52" i="24"/>
  <c r="M8" i="24"/>
  <c r="M9" i="24"/>
  <c r="M16" i="25"/>
  <c r="M9" i="23"/>
  <c r="M15" i="25"/>
  <c r="M7" i="24"/>
  <c r="M10" i="23"/>
  <c r="M14" i="26"/>
  <c r="M23" i="23"/>
  <c r="M14" i="23"/>
  <c r="M7" i="23"/>
  <c r="M17" i="23"/>
  <c r="M15" i="23"/>
  <c r="K60" i="11"/>
  <c r="E51" i="24"/>
  <c r="E18" i="23"/>
  <c r="E14" i="23"/>
  <c r="E16" i="26"/>
  <c r="E34" i="24"/>
  <c r="E16" i="23"/>
  <c r="E7" i="23"/>
  <c r="E10" i="23"/>
  <c r="E8" i="24"/>
  <c r="E7" i="24"/>
  <c r="E19" i="23"/>
  <c r="C61" i="11"/>
  <c r="E9" i="24"/>
  <c r="E53" i="24"/>
  <c r="E14" i="25"/>
  <c r="E13" i="23"/>
  <c r="C59" i="11"/>
  <c r="C38" i="4"/>
  <c r="E15" i="23"/>
  <c r="C60" i="11"/>
  <c r="E8" i="23"/>
  <c r="E10" i="24"/>
  <c r="E9" i="23"/>
  <c r="E66" i="21"/>
  <c r="E54" i="24"/>
  <c r="E20" i="23"/>
  <c r="F23" i="23"/>
  <c r="F13" i="23"/>
  <c r="D59" i="11"/>
  <c r="D38" i="4"/>
  <c r="F51" i="24"/>
  <c r="F19" i="23"/>
  <c r="D61" i="11"/>
  <c r="F7" i="24"/>
  <c r="F34" i="24"/>
  <c r="F54" i="24"/>
  <c r="F9" i="23"/>
  <c r="F8" i="24"/>
  <c r="F16" i="25"/>
  <c r="F10" i="24"/>
  <c r="F14" i="23"/>
  <c r="F8" i="23"/>
  <c r="F20" i="23"/>
  <c r="F16" i="23"/>
  <c r="F9" i="24"/>
  <c r="F10" i="23"/>
  <c r="F16" i="26"/>
  <c r="F14" i="25"/>
  <c r="F7" i="23"/>
  <c r="F17" i="23"/>
  <c r="F18" i="23"/>
  <c r="Q20" i="23"/>
  <c r="Q9" i="23"/>
  <c r="Q34" i="24"/>
  <c r="Q14" i="25"/>
  <c r="O56" i="11"/>
  <c r="Q59" i="21"/>
  <c r="Q23" i="23"/>
  <c r="Q14" i="23"/>
  <c r="Q52" i="24"/>
  <c r="Q15" i="26"/>
  <c r="Q8" i="23"/>
  <c r="Q19" i="23"/>
  <c r="O61" i="11"/>
  <c r="Q53" i="24"/>
  <c r="Q51" i="24"/>
  <c r="Q7" i="24"/>
  <c r="Q10" i="24"/>
  <c r="Q11" i="24"/>
  <c r="Q18" i="23"/>
  <c r="Q13" i="23"/>
  <c r="O59" i="11"/>
  <c r="O38" i="4"/>
  <c r="Q15" i="25"/>
  <c r="Q16" i="23"/>
  <c r="Q8" i="24"/>
  <c r="Q17" i="23"/>
  <c r="T45" i="21"/>
  <c r="V16" i="22"/>
  <c r="V41" i="22"/>
  <c r="V42" i="22"/>
  <c r="T23" i="3"/>
  <c r="T18" i="21"/>
  <c r="R23" i="2"/>
  <c r="T9" i="25"/>
  <c r="T45" i="17"/>
  <c r="V25" i="22"/>
  <c r="V23" i="22"/>
  <c r="V38" i="22"/>
  <c r="V24" i="22"/>
  <c r="V33" i="22"/>
  <c r="V12" i="22"/>
  <c r="V39" i="22"/>
  <c r="V32" i="22"/>
  <c r="V14" i="22"/>
  <c r="V36" i="22"/>
  <c r="T27" i="21"/>
  <c r="V22" i="22"/>
  <c r="T36" i="21"/>
  <c r="T54" i="21"/>
  <c r="V28" i="22"/>
  <c r="V35" i="22"/>
  <c r="H14" i="23"/>
  <c r="H54" i="24"/>
  <c r="H9" i="23"/>
  <c r="H20" i="23"/>
  <c r="H18" i="23"/>
  <c r="H16" i="23"/>
  <c r="H14" i="25"/>
  <c r="H34" i="24"/>
  <c r="H8" i="24"/>
  <c r="H23" i="23"/>
  <c r="H53" i="24"/>
  <c r="H9" i="24"/>
  <c r="H11" i="24"/>
  <c r="H15" i="23"/>
  <c r="F60" i="11"/>
  <c r="H17" i="23"/>
  <c r="H7" i="23"/>
  <c r="H14" i="26"/>
  <c r="H52" i="24"/>
  <c r="H19" i="23"/>
  <c r="F61" i="11"/>
  <c r="H16" i="26"/>
  <c r="H7" i="24"/>
  <c r="H10" i="23"/>
  <c r="F42" i="22"/>
  <c r="F25" i="22"/>
  <c r="D36" i="21"/>
  <c r="F18" i="22"/>
  <c r="F39" i="22"/>
  <c r="F37" i="22"/>
  <c r="F35" i="22"/>
  <c r="F36" i="22"/>
  <c r="F32" i="22"/>
  <c r="F28" i="22"/>
  <c r="F40" i="22"/>
  <c r="F41" i="22"/>
  <c r="D27" i="21"/>
  <c r="F38" i="22"/>
  <c r="D45" i="21"/>
  <c r="F34" i="22"/>
  <c r="F24" i="22"/>
  <c r="F33" i="22"/>
  <c r="D9" i="26"/>
  <c r="F16" i="22"/>
  <c r="D23" i="3"/>
  <c r="D18" i="21"/>
  <c r="F14" i="22"/>
  <c r="O10" i="23"/>
  <c r="O18" i="23"/>
  <c r="O10" i="24"/>
  <c r="O7" i="24"/>
  <c r="O16" i="25"/>
  <c r="O15" i="25"/>
  <c r="O52" i="24"/>
  <c r="O23" i="23"/>
  <c r="O13" i="23"/>
  <c r="M59" i="11"/>
  <c r="M38" i="4"/>
  <c r="M56" i="11"/>
  <c r="O59" i="21"/>
  <c r="O7" i="23"/>
  <c r="O8" i="23"/>
  <c r="O8" i="24"/>
  <c r="O9" i="23"/>
  <c r="O20" i="23"/>
  <c r="O9" i="24"/>
  <c r="O19" i="23"/>
  <c r="M61" i="11"/>
  <c r="O54" i="24"/>
  <c r="O34" i="24"/>
  <c r="O16" i="23"/>
  <c r="O15" i="23"/>
  <c r="M60" i="11"/>
  <c r="O53" i="24"/>
  <c r="U7" i="24"/>
  <c r="U14" i="23"/>
  <c r="U66" i="21"/>
  <c r="U10" i="23"/>
  <c r="U7" i="23"/>
  <c r="U15" i="25"/>
  <c r="U15" i="23"/>
  <c r="S60" i="11"/>
  <c r="U17" i="23"/>
  <c r="U20" i="23"/>
  <c r="U9" i="23"/>
  <c r="U54" i="24"/>
  <c r="U19" i="23"/>
  <c r="S61" i="11"/>
  <c r="U8" i="23"/>
  <c r="U53" i="24"/>
  <c r="U13" i="23"/>
  <c r="S59" i="11"/>
  <c r="S38" i="4"/>
  <c r="U34" i="24"/>
  <c r="U14" i="25"/>
  <c r="U10" i="24"/>
  <c r="U8" i="24"/>
  <c r="U11" i="24"/>
  <c r="U16" i="23"/>
  <c r="U23" i="23"/>
  <c r="D19" i="23"/>
  <c r="D11" i="24"/>
  <c r="D8" i="23"/>
  <c r="D18" i="23"/>
  <c r="D59" i="21"/>
  <c r="D13" i="23"/>
  <c r="D15" i="26"/>
  <c r="D66" i="21"/>
  <c r="D51" i="24"/>
  <c r="D23" i="23"/>
  <c r="D9" i="24"/>
  <c r="D10" i="23"/>
  <c r="D15" i="25"/>
  <c r="D15" i="23"/>
  <c r="D14" i="23"/>
  <c r="D7" i="23"/>
  <c r="D16" i="23"/>
  <c r="D8" i="24"/>
  <c r="D50" i="24"/>
  <c r="D16" i="25"/>
  <c r="D10" i="24"/>
  <c r="D20" i="23"/>
  <c r="V53" i="24"/>
  <c r="V8" i="23"/>
  <c r="V7" i="24"/>
  <c r="V15" i="23"/>
  <c r="T60" i="11"/>
  <c r="V16" i="23"/>
  <c r="V23" i="23"/>
  <c r="V54" i="24"/>
  <c r="V11" i="24"/>
  <c r="V14" i="25"/>
  <c r="V14" i="23"/>
  <c r="V10" i="24"/>
  <c r="V19" i="23"/>
  <c r="T61" i="11"/>
  <c r="V13" i="23"/>
  <c r="T59" i="11"/>
  <c r="T38" i="4"/>
  <c r="V10" i="23"/>
  <c r="V8" i="24"/>
  <c r="V9" i="23"/>
  <c r="V20" i="23"/>
  <c r="V7" i="23"/>
  <c r="V17" i="23"/>
  <c r="V51" i="24"/>
  <c r="V34" i="24"/>
  <c r="V9" i="28"/>
  <c r="X18" i="23"/>
  <c r="X20" i="23"/>
  <c r="X54" i="24"/>
  <c r="X14" i="26"/>
  <c r="X15" i="23"/>
  <c r="V60" i="11"/>
  <c r="X34" i="24"/>
  <c r="X7" i="24"/>
  <c r="X51" i="24"/>
  <c r="X19" i="23"/>
  <c r="V61" i="11"/>
  <c r="X13" i="23"/>
  <c r="V59" i="11"/>
  <c r="V38" i="4"/>
  <c r="X23" i="23"/>
  <c r="X53" i="24"/>
  <c r="X9" i="23"/>
  <c r="X14" i="23"/>
  <c r="X14" i="25"/>
  <c r="X17" i="23"/>
  <c r="X11" i="24"/>
  <c r="X9" i="24"/>
  <c r="X52" i="24"/>
  <c r="X8" i="24"/>
  <c r="X7" i="23"/>
  <c r="X10" i="23"/>
  <c r="M66" i="24"/>
  <c r="M62" i="24"/>
  <c r="M26" i="26"/>
  <c r="M64" i="24"/>
  <c r="M65" i="24"/>
  <c r="M38" i="24"/>
  <c r="M31" i="24"/>
  <c r="M68" i="24"/>
  <c r="M16" i="27"/>
  <c r="M26" i="25"/>
  <c r="M17" i="27"/>
  <c r="J14" i="5"/>
  <c r="M27" i="25"/>
  <c r="M60" i="24"/>
  <c r="M23" i="26"/>
  <c r="M58" i="24"/>
  <c r="M28" i="26"/>
  <c r="M39" i="24"/>
  <c r="M30" i="25"/>
  <c r="M95" i="17"/>
  <c r="M22" i="26"/>
  <c r="M57" i="24"/>
  <c r="M31" i="26"/>
  <c r="M61" i="24"/>
  <c r="M13" i="24"/>
  <c r="M41" i="24"/>
  <c r="C9" i="23"/>
  <c r="C16" i="23"/>
  <c r="C66" i="21"/>
  <c r="C17" i="23"/>
  <c r="C14" i="25"/>
  <c r="C9" i="24"/>
  <c r="C51" i="24"/>
  <c r="C52" i="24"/>
  <c r="C59" i="21"/>
  <c r="C23" i="23"/>
  <c r="C50" i="24"/>
  <c r="C10" i="24"/>
  <c r="C14" i="23"/>
  <c r="C7" i="23"/>
  <c r="C15" i="23"/>
  <c r="C18" i="23"/>
  <c r="C15" i="25"/>
  <c r="C8" i="23"/>
  <c r="C10" i="23"/>
  <c r="C11" i="24"/>
  <c r="C8" i="24"/>
  <c r="C16" i="25"/>
  <c r="I21" i="26"/>
  <c r="I64" i="24"/>
  <c r="I67" i="24"/>
  <c r="I55" i="24"/>
  <c r="I31" i="25"/>
  <c r="I12" i="27"/>
  <c r="I22" i="25"/>
  <c r="I38" i="24"/>
  <c r="I8" i="27"/>
  <c r="I25" i="24"/>
  <c r="I43" i="24"/>
  <c r="I24" i="26"/>
  <c r="I28" i="26"/>
  <c r="I45" i="24"/>
  <c r="I68" i="24"/>
  <c r="I9" i="27"/>
  <c r="I70" i="24"/>
  <c r="I72" i="24"/>
  <c r="I31" i="26"/>
  <c r="I58" i="24"/>
  <c r="I18" i="24"/>
  <c r="I39" i="24"/>
  <c r="I57" i="24"/>
  <c r="J71" i="24"/>
  <c r="J72" i="24"/>
  <c r="J59" i="24"/>
  <c r="J21" i="27"/>
  <c r="J66" i="24"/>
  <c r="J31" i="25"/>
  <c r="J31" i="26"/>
  <c r="J58" i="24"/>
  <c r="J45" i="24"/>
  <c r="J55" i="24"/>
  <c r="J28" i="26"/>
  <c r="J47" i="24"/>
  <c r="J22" i="26"/>
  <c r="J36" i="24"/>
  <c r="J22" i="27"/>
  <c r="J60" i="24"/>
  <c r="J26" i="26"/>
  <c r="J70" i="24"/>
  <c r="J25" i="24"/>
  <c r="J26" i="24"/>
  <c r="J30" i="25"/>
  <c r="J95" i="17"/>
  <c r="J9" i="27"/>
  <c r="N16" i="27"/>
  <c r="N26" i="25"/>
  <c r="N31" i="26"/>
  <c r="N62" i="24"/>
  <c r="N73" i="24"/>
  <c r="N21" i="24"/>
  <c r="N28" i="26"/>
  <c r="N41" i="24"/>
  <c r="N21" i="26"/>
  <c r="N64" i="24"/>
  <c r="N71" i="24"/>
  <c r="N59" i="24"/>
  <c r="N22" i="24"/>
  <c r="N29" i="24"/>
  <c r="N66" i="24"/>
  <c r="N18" i="27"/>
  <c r="N28" i="25"/>
  <c r="N23" i="26"/>
  <c r="N60" i="24"/>
  <c r="N68" i="24"/>
  <c r="N17" i="27"/>
  <c r="K14" i="5"/>
  <c r="N27" i="25"/>
  <c r="N47" i="24"/>
  <c r="N7" i="27"/>
  <c r="N97" i="17"/>
  <c r="N42" i="24"/>
  <c r="AA16" i="24"/>
  <c r="AA37" i="24"/>
  <c r="AA67" i="24"/>
  <c r="AA40" i="24"/>
  <c r="AA23" i="24"/>
  <c r="AA10" i="27"/>
  <c r="AA21" i="25"/>
  <c r="AA71" i="24"/>
  <c r="AA72" i="24"/>
  <c r="AA41" i="24"/>
  <c r="AA31" i="26"/>
  <c r="AA70" i="24"/>
  <c r="AA55" i="24"/>
  <c r="AA28" i="26"/>
  <c r="AA36" i="24"/>
  <c r="AA60" i="24"/>
  <c r="AA43" i="24"/>
  <c r="AA66" i="24"/>
  <c r="AA9" i="27"/>
  <c r="AA26" i="26"/>
  <c r="AA24" i="26"/>
  <c r="AA61" i="24"/>
  <c r="AA59" i="24"/>
  <c r="P71" i="24"/>
  <c r="P30" i="25"/>
  <c r="P95" i="17"/>
  <c r="P26" i="26"/>
  <c r="P66" i="24"/>
  <c r="P40" i="24"/>
  <c r="P20" i="24"/>
  <c r="P22" i="26"/>
  <c r="P47" i="24"/>
  <c r="P70" i="24"/>
  <c r="P39" i="24"/>
  <c r="P44" i="24"/>
  <c r="P13" i="27"/>
  <c r="P23" i="25"/>
  <c r="P65" i="24"/>
  <c r="P73" i="24"/>
  <c r="P26" i="24"/>
  <c r="P64" i="24"/>
  <c r="P57" i="24"/>
  <c r="P19" i="24"/>
  <c r="P68" i="24"/>
  <c r="P28" i="26"/>
  <c r="P8" i="27"/>
  <c r="P31" i="26"/>
  <c r="K23" i="24"/>
  <c r="K64" i="24"/>
  <c r="K20" i="27"/>
  <c r="K41" i="24"/>
  <c r="K31" i="26"/>
  <c r="K28" i="26"/>
  <c r="K60" i="24"/>
  <c r="K26" i="26"/>
  <c r="K37" i="24"/>
  <c r="K22" i="26"/>
  <c r="K16" i="24"/>
  <c r="K43" i="24"/>
  <c r="K24" i="26"/>
  <c r="K18" i="27"/>
  <c r="K28" i="25"/>
  <c r="K72" i="24"/>
  <c r="K70" i="24"/>
  <c r="K36" i="24"/>
  <c r="K55" i="24"/>
  <c r="K30" i="25"/>
  <c r="K95" i="17"/>
  <c r="K22" i="27"/>
  <c r="K62" i="24"/>
  <c r="K68" i="24"/>
  <c r="S14" i="26"/>
  <c r="S8" i="24"/>
  <c r="S51" i="24"/>
  <c r="S14" i="23"/>
  <c r="S50" i="24"/>
  <c r="S16" i="23"/>
  <c r="S10" i="23"/>
  <c r="S19" i="23"/>
  <c r="Q61" i="11"/>
  <c r="S14" i="25"/>
  <c r="S53" i="24"/>
  <c r="S20" i="23"/>
  <c r="S15" i="25"/>
  <c r="S23" i="23"/>
  <c r="S18" i="23"/>
  <c r="S17" i="23"/>
  <c r="S52" i="24"/>
  <c r="S7" i="23"/>
  <c r="S9" i="24"/>
  <c r="S9" i="23"/>
  <c r="S10" i="24"/>
  <c r="S15" i="23"/>
  <c r="Q60" i="11"/>
  <c r="S11" i="24"/>
  <c r="R38" i="24"/>
  <c r="R65" i="24"/>
  <c r="R44" i="24"/>
  <c r="R71" i="24"/>
  <c r="R22" i="27"/>
  <c r="R73" i="24"/>
  <c r="R7" i="27"/>
  <c r="R97" i="17"/>
  <c r="R42" i="24"/>
  <c r="R30" i="25"/>
  <c r="R95" i="17"/>
  <c r="R68" i="24"/>
  <c r="O14" i="9"/>
  <c r="R27" i="26"/>
  <c r="R70" i="24"/>
  <c r="R60" i="24"/>
  <c r="R37" i="24"/>
  <c r="R31" i="25"/>
  <c r="R26" i="26"/>
  <c r="R24" i="24"/>
  <c r="R58" i="24"/>
  <c r="R72" i="24"/>
  <c r="R23" i="26"/>
  <c r="R57" i="24"/>
  <c r="R17" i="24"/>
  <c r="L66" i="24"/>
  <c r="L73" i="24"/>
  <c r="L23" i="26"/>
  <c r="L26" i="26"/>
  <c r="L64" i="24"/>
  <c r="L24" i="24"/>
  <c r="L59" i="24"/>
  <c r="L43" i="24"/>
  <c r="L23" i="24"/>
  <c r="L63" i="24"/>
  <c r="L72" i="24"/>
  <c r="L9" i="27"/>
  <c r="L8" i="27"/>
  <c r="L31" i="24"/>
  <c r="L62" i="24"/>
  <c r="L21" i="27"/>
  <c r="L18" i="27"/>
  <c r="L28" i="25"/>
  <c r="L60" i="24"/>
  <c r="L71" i="24"/>
  <c r="L58" i="24"/>
  <c r="L10" i="27"/>
  <c r="L21" i="25"/>
  <c r="L44" i="24"/>
  <c r="S31" i="25"/>
  <c r="S61" i="24"/>
  <c r="S25" i="24"/>
  <c r="S63" i="24"/>
  <c r="S6" i="27"/>
  <c r="S21" i="27"/>
  <c r="S30" i="26"/>
  <c r="S24" i="24"/>
  <c r="S60" i="24"/>
  <c r="P14" i="9"/>
  <c r="S27" i="26"/>
  <c r="S44" i="24"/>
  <c r="S12" i="27"/>
  <c r="S22" i="25"/>
  <c r="S59" i="24"/>
  <c r="S64" i="24"/>
  <c r="S62" i="24"/>
  <c r="S71" i="24"/>
  <c r="S45" i="24"/>
  <c r="S57" i="24"/>
  <c r="S73" i="24"/>
  <c r="S68" i="24"/>
  <c r="S67" i="24"/>
  <c r="S30" i="25"/>
  <c r="S95" i="17"/>
  <c r="U55" i="24"/>
  <c r="U43" i="24"/>
  <c r="U57" i="24"/>
  <c r="U30" i="25"/>
  <c r="U95" i="17"/>
  <c r="U72" i="24"/>
  <c r="U17" i="27"/>
  <c r="R14" i="5"/>
  <c r="U27" i="25"/>
  <c r="U30" i="24"/>
  <c r="U65" i="24"/>
  <c r="U12" i="27"/>
  <c r="U22" i="25"/>
  <c r="U23" i="24"/>
  <c r="U6" i="27"/>
  <c r="U42" i="24"/>
  <c r="U67" i="24"/>
  <c r="U31" i="25"/>
  <c r="U59" i="24"/>
  <c r="U13" i="27"/>
  <c r="U23" i="25"/>
  <c r="U22" i="26"/>
  <c r="U22" i="24"/>
  <c r="U73" i="24"/>
  <c r="U63" i="24"/>
  <c r="U61" i="24"/>
  <c r="U60" i="24"/>
  <c r="E58" i="24"/>
  <c r="E70" i="24"/>
  <c r="E30" i="24"/>
  <c r="E62" i="24"/>
  <c r="E22" i="26"/>
  <c r="E31" i="25"/>
  <c r="E22" i="24"/>
  <c r="E23" i="24"/>
  <c r="E42" i="24"/>
  <c r="E6" i="27"/>
  <c r="E67" i="24"/>
  <c r="E65" i="24"/>
  <c r="E73" i="24"/>
  <c r="E12" i="27"/>
  <c r="E22" i="25"/>
  <c r="E59" i="24"/>
  <c r="E30" i="26"/>
  <c r="E22" i="27"/>
  <c r="E24" i="26"/>
  <c r="E63" i="24"/>
  <c r="E43" i="24"/>
  <c r="E61" i="24"/>
  <c r="E9" i="27"/>
  <c r="G20" i="24"/>
  <c r="G44" i="24"/>
  <c r="G71" i="24"/>
  <c r="G10" i="27"/>
  <c r="G21" i="25"/>
  <c r="G65" i="24"/>
  <c r="G64" i="24"/>
  <c r="G72" i="24"/>
  <c r="G67" i="24"/>
  <c r="G40" i="24"/>
  <c r="G21" i="24"/>
  <c r="G22" i="26"/>
  <c r="G45" i="24"/>
  <c r="G41" i="24"/>
  <c r="G9" i="27"/>
  <c r="G24" i="26"/>
  <c r="G28" i="24"/>
  <c r="G23" i="26"/>
  <c r="G70" i="24"/>
  <c r="G31" i="25"/>
  <c r="G68" i="24"/>
  <c r="G20" i="27"/>
  <c r="G63" i="24"/>
  <c r="T6" i="27"/>
  <c r="T72" i="24"/>
  <c r="T70" i="24"/>
  <c r="T22" i="24"/>
  <c r="T65" i="24"/>
  <c r="T61" i="24"/>
  <c r="T62" i="24"/>
  <c r="T40" i="24"/>
  <c r="T63" i="24"/>
  <c r="T31" i="25"/>
  <c r="T71" i="24"/>
  <c r="T8" i="27"/>
  <c r="Q14" i="9"/>
  <c r="T27" i="26"/>
  <c r="T23" i="26"/>
  <c r="T59" i="24"/>
  <c r="T58" i="24"/>
  <c r="T15" i="24"/>
  <c r="T42" i="24"/>
  <c r="T30" i="26"/>
  <c r="T36" i="24"/>
  <c r="T18" i="27"/>
  <c r="T28" i="25"/>
  <c r="T73" i="24"/>
  <c r="H71" i="24"/>
  <c r="H67" i="24"/>
  <c r="H73" i="24"/>
  <c r="H55" i="24"/>
  <c r="H58" i="24"/>
  <c r="H24" i="26"/>
  <c r="H65" i="24"/>
  <c r="H28" i="24"/>
  <c r="H31" i="25"/>
  <c r="H21" i="27"/>
  <c r="H6" i="27"/>
  <c r="H8" i="27"/>
  <c r="H38" i="24"/>
  <c r="H57" i="24"/>
  <c r="H66" i="24"/>
  <c r="H22" i="26"/>
  <c r="H62" i="24"/>
  <c r="H29" i="24"/>
  <c r="H72" i="24"/>
  <c r="H30" i="25"/>
  <c r="H95" i="17"/>
  <c r="H28" i="26"/>
  <c r="H31" i="26"/>
  <c r="O67" i="24"/>
  <c r="O62" i="24"/>
  <c r="O30" i="24"/>
  <c r="O68" i="24"/>
  <c r="O73" i="24"/>
  <c r="O9" i="27"/>
  <c r="O21" i="26"/>
  <c r="O70" i="24"/>
  <c r="O39" i="24"/>
  <c r="O7" i="27"/>
  <c r="O97" i="17"/>
  <c r="O29" i="24"/>
  <c r="O30" i="25"/>
  <c r="O95" i="17"/>
  <c r="O23" i="26"/>
  <c r="O61" i="24"/>
  <c r="O47" i="24"/>
  <c r="O14" i="27"/>
  <c r="O24" i="25"/>
  <c r="O64" i="24"/>
  <c r="O66" i="24"/>
  <c r="O26" i="26"/>
  <c r="O17" i="27"/>
  <c r="L14" i="5"/>
  <c r="O27" i="25"/>
  <c r="O31" i="25"/>
  <c r="O63" i="24"/>
  <c r="Y12" i="27"/>
  <c r="Y22" i="25"/>
  <c r="Y31" i="26"/>
  <c r="V14" i="9"/>
  <c r="Y27" i="26"/>
  <c r="Y24" i="26"/>
  <c r="Y45" i="24"/>
  <c r="Y28" i="26"/>
  <c r="Y70" i="24"/>
  <c r="Y66" i="24"/>
  <c r="Y40" i="29"/>
  <c r="Y72" i="24"/>
  <c r="Y38" i="24"/>
  <c r="Y62" i="24"/>
  <c r="Y22" i="26"/>
  <c r="Y67" i="24"/>
  <c r="Y18" i="24"/>
  <c r="Y39" i="24"/>
  <c r="Y65" i="24"/>
  <c r="Y55" i="24"/>
  <c r="Y19" i="24"/>
  <c r="Y25" i="24"/>
  <c r="Y43" i="24"/>
  <c r="Y58" i="24"/>
  <c r="C44" i="24"/>
  <c r="C62" i="24"/>
  <c r="C11" i="29"/>
  <c r="C24" i="26"/>
  <c r="C25" i="24"/>
  <c r="C73" i="24"/>
  <c r="C45" i="24"/>
  <c r="C31" i="25"/>
  <c r="C70" i="24"/>
  <c r="C24" i="24"/>
  <c r="C12" i="27"/>
  <c r="C22" i="25"/>
  <c r="C71" i="24"/>
  <c r="C21" i="26"/>
  <c r="C30" i="25"/>
  <c r="C95" i="17"/>
  <c r="C6" i="27"/>
  <c r="C63" i="24"/>
  <c r="C57" i="24"/>
  <c r="C61" i="24"/>
  <c r="C65" i="24"/>
  <c r="C59" i="24"/>
  <c r="C27" i="26"/>
  <c r="C30" i="26"/>
  <c r="V7" i="27"/>
  <c r="V97" i="17"/>
  <c r="V63" i="24"/>
  <c r="V6" i="27"/>
  <c r="V22" i="26"/>
  <c r="V58" i="24"/>
  <c r="V61" i="24"/>
  <c r="V65" i="24"/>
  <c r="V73" i="24"/>
  <c r="V30" i="26"/>
  <c r="V31" i="25"/>
  <c r="V67" i="24"/>
  <c r="V62" i="24"/>
  <c r="V59" i="24"/>
  <c r="V70" i="24"/>
  <c r="V24" i="26"/>
  <c r="S14" i="9"/>
  <c r="V27" i="26"/>
  <c r="V31" i="24"/>
  <c r="V40" i="24"/>
  <c r="V64" i="24"/>
  <c r="V30" i="24"/>
  <c r="V14" i="27"/>
  <c r="V24" i="25"/>
  <c r="V12" i="24"/>
  <c r="W28" i="24"/>
  <c r="W10" i="27"/>
  <c r="W21" i="25"/>
  <c r="W6" i="27"/>
  <c r="W73" i="24"/>
  <c r="W45" i="24"/>
  <c r="W72" i="24"/>
  <c r="W16" i="27"/>
  <c r="W26" i="25"/>
  <c r="W40" i="24"/>
  <c r="W60" i="24"/>
  <c r="W20" i="24"/>
  <c r="W70" i="24"/>
  <c r="W22" i="26"/>
  <c r="W63" i="24"/>
  <c r="W61" i="24"/>
  <c r="W7" i="27"/>
  <c r="W97" i="17"/>
  <c r="T14" i="9"/>
  <c r="W27" i="26"/>
  <c r="W41" i="24"/>
  <c r="W65" i="24"/>
  <c r="W21" i="24"/>
  <c r="W67" i="24"/>
  <c r="W24" i="26"/>
  <c r="W23" i="26"/>
  <c r="Q57" i="24"/>
  <c r="N14" i="9"/>
  <c r="Q27" i="26"/>
  <c r="Q21" i="26"/>
  <c r="Q37" i="24"/>
  <c r="Q28" i="24"/>
  <c r="Q63" i="24"/>
  <c r="Q55" i="24"/>
  <c r="Q14" i="27"/>
  <c r="Q24" i="25"/>
  <c r="Q58" i="24"/>
  <c r="Q66" i="24"/>
  <c r="Q17" i="27"/>
  <c r="N14" i="5"/>
  <c r="Q27" i="25"/>
  <c r="Q67" i="24"/>
  <c r="Q30" i="25"/>
  <c r="Q95" i="17"/>
  <c r="Q23" i="26"/>
  <c r="Q7" i="27"/>
  <c r="Q97" i="17"/>
  <c r="Q71" i="24"/>
  <c r="Q47" i="24"/>
  <c r="Q72" i="24"/>
  <c r="Q26" i="24"/>
  <c r="Q30" i="26"/>
  <c r="Q31" i="25"/>
  <c r="Q59" i="24"/>
  <c r="X65" i="24"/>
  <c r="X28" i="26"/>
  <c r="X30" i="26"/>
  <c r="X31" i="25"/>
  <c r="X38" i="24"/>
  <c r="X57" i="24"/>
  <c r="X67" i="24"/>
  <c r="X18" i="24"/>
  <c r="X71" i="24"/>
  <c r="X64" i="24"/>
  <c r="X63" i="24"/>
  <c r="X12" i="27"/>
  <c r="X22" i="25"/>
  <c r="X29" i="24"/>
  <c r="X30" i="25"/>
  <c r="X95" i="17"/>
  <c r="X13" i="27"/>
  <c r="X23" i="25"/>
  <c r="X6" i="27"/>
  <c r="X68" i="24"/>
  <c r="X73" i="24"/>
  <c r="X22" i="26"/>
  <c r="X24" i="26"/>
  <c r="X24" i="24"/>
  <c r="X28" i="24"/>
  <c r="F66" i="24"/>
  <c r="F24" i="26"/>
  <c r="F61" i="24"/>
  <c r="F20" i="27"/>
  <c r="F70" i="24"/>
  <c r="F23" i="26"/>
  <c r="F68" i="24"/>
  <c r="F37" i="24"/>
  <c r="F31" i="24"/>
  <c r="F40" i="24"/>
  <c r="F21" i="26"/>
  <c r="F22" i="26"/>
  <c r="F60" i="24"/>
  <c r="F31" i="25"/>
  <c r="F12" i="24"/>
  <c r="F63" i="24"/>
  <c r="C14" i="9"/>
  <c r="F27" i="26"/>
  <c r="F67" i="24"/>
  <c r="F65" i="24"/>
  <c r="F6" i="27"/>
  <c r="F30" i="26"/>
  <c r="F30" i="24"/>
  <c r="Z10" i="27"/>
  <c r="Z21" i="25"/>
  <c r="Z30" i="24"/>
  <c r="Z28" i="26"/>
  <c r="Z47" i="24"/>
  <c r="Z31" i="25"/>
  <c r="Z68" i="24"/>
  <c r="Z36" i="24"/>
  <c r="Z45" i="24"/>
  <c r="Z25" i="24"/>
  <c r="Z22" i="26"/>
  <c r="Z26" i="24"/>
  <c r="Z31" i="26"/>
  <c r="Z58" i="24"/>
  <c r="Z59" i="24"/>
  <c r="Z6" i="27"/>
  <c r="Z26" i="26"/>
  <c r="Z72" i="24"/>
  <c r="Z64" i="24"/>
  <c r="Z57" i="24"/>
  <c r="Z13" i="27"/>
  <c r="Z23" i="25"/>
  <c r="Z70" i="24"/>
  <c r="Z55" i="24"/>
  <c r="E26" i="34"/>
  <c r="D64" i="24"/>
  <c r="D10" i="27"/>
  <c r="D21" i="25"/>
  <c r="D36" i="24"/>
  <c r="D24" i="26"/>
  <c r="D21" i="26"/>
  <c r="D65" i="24"/>
  <c r="D30" i="25"/>
  <c r="D95" i="17"/>
  <c r="D61" i="24"/>
  <c r="D63" i="24"/>
  <c r="D59" i="24"/>
  <c r="D15" i="24"/>
  <c r="D27" i="26"/>
  <c r="D30" i="26"/>
  <c r="D73" i="24"/>
  <c r="D72" i="24"/>
  <c r="D60" i="24"/>
  <c r="D55" i="24"/>
  <c r="D40" i="24"/>
  <c r="D31" i="25"/>
  <c r="D6" i="27"/>
  <c r="D67" i="24"/>
  <c r="D42" i="24"/>
  <c r="K34" i="25"/>
  <c r="K34" i="26"/>
  <c r="I58" i="11"/>
  <c r="I24" i="4"/>
  <c r="I14" i="11"/>
  <c r="K41" i="13"/>
  <c r="I57" i="11"/>
  <c r="K19" i="26"/>
  <c r="I7" i="11"/>
  <c r="I13" i="11"/>
  <c r="K33" i="26"/>
  <c r="K7" i="13"/>
  <c r="K22" i="13"/>
  <c r="I18" i="11"/>
  <c r="K7" i="3"/>
  <c r="K35" i="25"/>
  <c r="I55" i="11"/>
  <c r="I31" i="4"/>
  <c r="K33" i="25"/>
  <c r="K58" i="21"/>
  <c r="K63" i="21"/>
  <c r="I25" i="11"/>
  <c r="I31" i="10"/>
  <c r="K38" i="13"/>
  <c r="I37" i="11"/>
  <c r="I43" i="10"/>
  <c r="K8" i="3"/>
  <c r="I52" i="4"/>
  <c r="I20" i="11"/>
  <c r="I21" i="11"/>
  <c r="K19" i="25"/>
  <c r="I6" i="11"/>
  <c r="K6" i="3"/>
  <c r="H6" i="16"/>
  <c r="I10" i="4"/>
  <c r="K35" i="26"/>
  <c r="K30" i="13"/>
  <c r="I24" i="11"/>
  <c r="I30" i="10"/>
  <c r="I45" i="4"/>
  <c r="I23" i="11"/>
  <c r="I16" i="11"/>
  <c r="K9" i="11"/>
  <c r="K58" i="11"/>
  <c r="K24" i="4"/>
  <c r="M34" i="25"/>
  <c r="K6" i="11"/>
  <c r="M6" i="3"/>
  <c r="J6" i="16"/>
  <c r="K10" i="4"/>
  <c r="K20" i="11"/>
  <c r="K25" i="11"/>
  <c r="K31" i="10"/>
  <c r="M30" i="13"/>
  <c r="K24" i="11"/>
  <c r="K30" i="10"/>
  <c r="K45" i="4"/>
  <c r="M7" i="13"/>
  <c r="M22" i="13"/>
  <c r="K18" i="11"/>
  <c r="M7" i="3"/>
  <c r="M35" i="25"/>
  <c r="K15" i="11"/>
  <c r="K33" i="11"/>
  <c r="K39" i="10"/>
  <c r="K16" i="11"/>
  <c r="K55" i="11"/>
  <c r="K31" i="4"/>
  <c r="M33" i="25"/>
  <c r="M58" i="21"/>
  <c r="M38" i="13"/>
  <c r="K37" i="11"/>
  <c r="K43" i="10"/>
  <c r="M8" i="3"/>
  <c r="K52" i="4"/>
  <c r="M63" i="21"/>
  <c r="K22" i="11"/>
  <c r="K57" i="11"/>
  <c r="M35" i="26"/>
  <c r="M19" i="26"/>
  <c r="M33" i="26"/>
  <c r="M41" i="13"/>
  <c r="K21" i="11"/>
  <c r="M19" i="25"/>
  <c r="M34" i="26"/>
  <c r="O13" i="11"/>
  <c r="Q34" i="26"/>
  <c r="Q30" i="13"/>
  <c r="O24" i="11"/>
  <c r="O30" i="10"/>
  <c r="O45" i="4"/>
  <c r="Q63" i="21"/>
  <c r="Q34" i="25"/>
  <c r="O22" i="11"/>
  <c r="Q35" i="26"/>
  <c r="O21" i="11"/>
  <c r="Q19" i="25"/>
  <c r="Q19" i="26"/>
  <c r="O33" i="11"/>
  <c r="O39" i="10"/>
  <c r="O55" i="11"/>
  <c r="O31" i="4"/>
  <c r="Q33" i="25"/>
  <c r="Q58" i="21"/>
  <c r="O19" i="11"/>
  <c r="Q7" i="13"/>
  <c r="Q22" i="13"/>
  <c r="O18" i="11"/>
  <c r="Q7" i="3"/>
  <c r="Q35" i="25"/>
  <c r="O20" i="11"/>
  <c r="O25" i="11"/>
  <c r="O31" i="10"/>
  <c r="O57" i="11"/>
  <c r="Q41" i="13"/>
  <c r="Q33" i="26"/>
  <c r="O58" i="11"/>
  <c r="O24" i="4"/>
  <c r="Q38" i="13"/>
  <c r="O37" i="11"/>
  <c r="O43" i="10"/>
  <c r="Q8" i="3"/>
  <c r="O52" i="4"/>
  <c r="O10" i="11"/>
  <c r="O6" i="11"/>
  <c r="Q6" i="3"/>
  <c r="N6" i="16"/>
  <c r="O10" i="4"/>
  <c r="Y19" i="26"/>
  <c r="W34" i="11"/>
  <c r="W40" i="10"/>
  <c r="Y7" i="13"/>
  <c r="Y22" i="13"/>
  <c r="W18" i="11"/>
  <c r="Y7" i="3"/>
  <c r="Y35" i="25"/>
  <c r="W12" i="11"/>
  <c r="Y63" i="21"/>
  <c r="Y35" i="26"/>
  <c r="Y34" i="26"/>
  <c r="W23" i="11"/>
  <c r="W21" i="11"/>
  <c r="Y19" i="25"/>
  <c r="W6" i="11"/>
  <c r="Y6" i="3"/>
  <c r="V6" i="16"/>
  <c r="W10" i="4"/>
  <c r="W32" i="11"/>
  <c r="W38" i="10"/>
  <c r="W11" i="11"/>
  <c r="Y30" i="13"/>
  <c r="W24" i="11"/>
  <c r="W30" i="10"/>
  <c r="W45" i="4"/>
  <c r="W25" i="11"/>
  <c r="W31" i="10"/>
  <c r="W16" i="11"/>
  <c r="Y41" i="13"/>
  <c r="Y34" i="25"/>
  <c r="Y33" i="26"/>
  <c r="Y38" i="13"/>
  <c r="W37" i="11"/>
  <c r="W43" i="10"/>
  <c r="Y8" i="3"/>
  <c r="W52" i="4"/>
  <c r="W58" i="11"/>
  <c r="W24" i="4"/>
  <c r="W55" i="11"/>
  <c r="W31" i="4"/>
  <c r="Y33" i="25"/>
  <c r="Y58" i="21"/>
  <c r="W14" i="11"/>
  <c r="P7" i="13"/>
  <c r="P22" i="13"/>
  <c r="N18" i="11"/>
  <c r="P7" i="3"/>
  <c r="P35" i="25"/>
  <c r="P35" i="26"/>
  <c r="N21" i="11"/>
  <c r="P19" i="25"/>
  <c r="N13" i="11"/>
  <c r="P33" i="26"/>
  <c r="N17" i="11"/>
  <c r="P19" i="26"/>
  <c r="N6" i="11"/>
  <c r="P6" i="3"/>
  <c r="M6" i="16"/>
  <c r="N10" i="4"/>
  <c r="N55" i="11"/>
  <c r="N31" i="4"/>
  <c r="P33" i="25"/>
  <c r="P58" i="21"/>
  <c r="P38" i="13"/>
  <c r="N37" i="11"/>
  <c r="N43" i="10"/>
  <c r="P8" i="3"/>
  <c r="N52" i="4"/>
  <c r="P34" i="26"/>
  <c r="N34" i="11"/>
  <c r="N40" i="10"/>
  <c r="P34" i="25"/>
  <c r="N20" i="11"/>
  <c r="P63" i="21"/>
  <c r="N57" i="11"/>
  <c r="P41" i="13"/>
  <c r="N11" i="11"/>
  <c r="N10" i="11"/>
  <c r="N15" i="11"/>
  <c r="N25" i="11"/>
  <c r="N31" i="10"/>
  <c r="P30" i="13"/>
  <c r="N24" i="11"/>
  <c r="N30" i="10"/>
  <c r="N45" i="4"/>
  <c r="E11" i="11"/>
  <c r="G7" i="13"/>
  <c r="G22" i="13"/>
  <c r="E18" i="11"/>
  <c r="G7" i="3"/>
  <c r="G35" i="25"/>
  <c r="G34" i="25"/>
  <c r="G30" i="13"/>
  <c r="E24" i="11"/>
  <c r="E30" i="10"/>
  <c r="E45" i="4"/>
  <c r="G38" i="13"/>
  <c r="E37" i="11"/>
  <c r="E43" i="10"/>
  <c r="G8" i="3"/>
  <c r="E52" i="4"/>
  <c r="M11" i="11"/>
  <c r="M22" i="11"/>
  <c r="E6" i="11"/>
  <c r="G6" i="3"/>
  <c r="D6" i="16"/>
  <c r="E10" i="4"/>
  <c r="O63" i="21"/>
  <c r="G33" i="26"/>
  <c r="M21" i="11"/>
  <c r="O19" i="25"/>
  <c r="M8" i="11"/>
  <c r="E12" i="11"/>
  <c r="E19" i="11"/>
  <c r="M25" i="11"/>
  <c r="M31" i="10"/>
  <c r="O7" i="13"/>
  <c r="O22" i="13"/>
  <c r="M18" i="11"/>
  <c r="O7" i="3"/>
  <c r="O35" i="25"/>
  <c r="E21" i="11"/>
  <c r="G19" i="25"/>
  <c r="E9" i="11"/>
  <c r="M6" i="11"/>
  <c r="O6" i="3"/>
  <c r="L6" i="16"/>
  <c r="M10" i="4"/>
  <c r="O38" i="13"/>
  <c r="M37" i="11"/>
  <c r="M43" i="10"/>
  <c r="O8" i="3"/>
  <c r="M52" i="4"/>
  <c r="E58" i="11"/>
  <c r="E24" i="4"/>
  <c r="G19" i="26"/>
  <c r="M34" i="11"/>
  <c r="M40" i="10"/>
  <c r="G63" i="21"/>
  <c r="O34" i="25"/>
  <c r="M57" i="11"/>
  <c r="M33" i="11"/>
  <c r="M39" i="10"/>
  <c r="E34" i="11"/>
  <c r="E40" i="10"/>
  <c r="E10" i="11"/>
  <c r="E16" i="11"/>
  <c r="O41" i="13"/>
  <c r="G35" i="26"/>
  <c r="O19" i="26"/>
  <c r="M55" i="11"/>
  <c r="M31" i="4"/>
  <c r="O33" i="25"/>
  <c r="O58" i="21"/>
  <c r="G34" i="26"/>
  <c r="O33" i="26"/>
  <c r="O34" i="26"/>
  <c r="M58" i="11"/>
  <c r="M24" i="4"/>
  <c r="O35" i="26"/>
  <c r="E57" i="11"/>
  <c r="O30" i="13"/>
  <c r="M24" i="11"/>
  <c r="M30" i="10"/>
  <c r="M45" i="4"/>
  <c r="M20" i="11"/>
  <c r="G41" i="13"/>
  <c r="E55" i="11"/>
  <c r="E31" i="4"/>
  <c r="G33" i="25"/>
  <c r="G58" i="21"/>
  <c r="P13" i="11"/>
  <c r="P55" i="11"/>
  <c r="P31" i="4"/>
  <c r="R33" i="25"/>
  <c r="R58" i="21"/>
  <c r="P57" i="11"/>
  <c r="R33" i="26"/>
  <c r="P19" i="11"/>
  <c r="P17" i="11"/>
  <c r="P21" i="11"/>
  <c r="R19" i="25"/>
  <c r="R35" i="26"/>
  <c r="P6" i="11"/>
  <c r="R6" i="3"/>
  <c r="O6" i="16"/>
  <c r="P10" i="4"/>
  <c r="P12" i="11"/>
  <c r="R7" i="13"/>
  <c r="R22" i="13"/>
  <c r="P18" i="11"/>
  <c r="R7" i="3"/>
  <c r="R35" i="25"/>
  <c r="P22" i="11"/>
  <c r="R63" i="21"/>
  <c r="R19" i="26"/>
  <c r="R34" i="25"/>
  <c r="R38" i="13"/>
  <c r="P37" i="11"/>
  <c r="P43" i="10"/>
  <c r="R8" i="3"/>
  <c r="P52" i="4"/>
  <c r="P15" i="11"/>
  <c r="R41" i="13"/>
  <c r="R30" i="13"/>
  <c r="P24" i="11"/>
  <c r="P30" i="10"/>
  <c r="P45" i="4"/>
  <c r="P23" i="11"/>
  <c r="R34" i="26"/>
  <c r="P14" i="11"/>
  <c r="V7" i="13"/>
  <c r="V22" i="13"/>
  <c r="T18" i="11"/>
  <c r="V7" i="3"/>
  <c r="V35" i="25"/>
  <c r="V30" i="13"/>
  <c r="T24" i="11"/>
  <c r="T30" i="10"/>
  <c r="T45" i="4"/>
  <c r="T16" i="11"/>
  <c r="T55" i="11"/>
  <c r="T31" i="4"/>
  <c r="V33" i="25"/>
  <c r="V58" i="21"/>
  <c r="X38" i="13"/>
  <c r="V37" i="11"/>
  <c r="V43" i="10"/>
  <c r="X8" i="3"/>
  <c r="V52" i="4"/>
  <c r="V33" i="26"/>
  <c r="V20" i="11"/>
  <c r="X7" i="13"/>
  <c r="X22" i="13"/>
  <c r="V18" i="11"/>
  <c r="X7" i="3"/>
  <c r="X35" i="25"/>
  <c r="T10" i="11"/>
  <c r="T23" i="11"/>
  <c r="X34" i="25"/>
  <c r="V41" i="13"/>
  <c r="V9" i="11"/>
  <c r="V57" i="11"/>
  <c r="V12" i="11"/>
  <c r="V38" i="13"/>
  <c r="T37" i="11"/>
  <c r="T43" i="10"/>
  <c r="V8" i="3"/>
  <c r="T52" i="4"/>
  <c r="T34" i="11"/>
  <c r="T40" i="10"/>
  <c r="X63" i="21"/>
  <c r="T25" i="11"/>
  <c r="T31" i="10"/>
  <c r="V19" i="11"/>
  <c r="V35" i="26"/>
  <c r="V34" i="26"/>
  <c r="X35" i="26"/>
  <c r="T58" i="11"/>
  <c r="T24" i="4"/>
  <c r="T7" i="11"/>
  <c r="T21" i="11"/>
  <c r="V19" i="25"/>
  <c r="V22" i="11"/>
  <c r="T19" i="11"/>
  <c r="V25" i="11"/>
  <c r="V31" i="10"/>
  <c r="V19" i="26"/>
  <c r="T6" i="11"/>
  <c r="V6" i="3"/>
  <c r="S6" i="16"/>
  <c r="T10" i="4"/>
  <c r="T17" i="11"/>
  <c r="V21" i="11"/>
  <c r="X19" i="25"/>
  <c r="V13" i="11"/>
  <c r="V63" i="21"/>
  <c r="V34" i="25"/>
  <c r="X33" i="26"/>
  <c r="X30" i="13"/>
  <c r="V24" i="11"/>
  <c r="V30" i="10"/>
  <c r="V45" i="4"/>
  <c r="X19" i="26"/>
  <c r="X34" i="26"/>
  <c r="V55" i="11"/>
  <c r="V31" i="4"/>
  <c r="X33" i="25"/>
  <c r="X58" i="21"/>
  <c r="V6" i="11"/>
  <c r="X6" i="3"/>
  <c r="U6" i="16"/>
  <c r="V10" i="4"/>
  <c r="V34" i="11"/>
  <c r="V40" i="10"/>
  <c r="X41" i="13"/>
  <c r="D38" i="13"/>
  <c r="D8" i="3"/>
  <c r="D30" i="13"/>
  <c r="D35" i="26"/>
  <c r="D19" i="25"/>
  <c r="D33" i="26"/>
  <c r="D63" i="21"/>
  <c r="D34" i="25"/>
  <c r="D19" i="26"/>
  <c r="D34" i="26"/>
  <c r="D41" i="13"/>
  <c r="D33" i="25"/>
  <c r="D58" i="21"/>
  <c r="D7" i="13"/>
  <c r="D22" i="13"/>
  <c r="D7" i="3"/>
  <c r="D35" i="25"/>
  <c r="D6" i="3"/>
  <c r="I19" i="26"/>
  <c r="I35" i="26"/>
  <c r="I34" i="25"/>
  <c r="G11" i="11"/>
  <c r="G58" i="11"/>
  <c r="G24" i="4"/>
  <c r="G16" i="11"/>
  <c r="I34" i="26"/>
  <c r="G32" i="11"/>
  <c r="G38" i="10"/>
  <c r="G34" i="11"/>
  <c r="G40" i="10"/>
  <c r="I38" i="13"/>
  <c r="G37" i="11"/>
  <c r="G43" i="10"/>
  <c r="I8" i="3"/>
  <c r="G52" i="4"/>
  <c r="I7" i="13"/>
  <c r="I22" i="13"/>
  <c r="G18" i="11"/>
  <c r="I7" i="3"/>
  <c r="I35" i="25"/>
  <c r="G14" i="11"/>
  <c r="G55" i="11"/>
  <c r="G31" i="4"/>
  <c r="I33" i="25"/>
  <c r="I58" i="21"/>
  <c r="I33" i="26"/>
  <c r="G12" i="11"/>
  <c r="G22" i="11"/>
  <c r="G21" i="11"/>
  <c r="I19" i="25"/>
  <c r="I41" i="13"/>
  <c r="I63" i="21"/>
  <c r="G13" i="11"/>
  <c r="I30" i="13"/>
  <c r="G24" i="11"/>
  <c r="G30" i="10"/>
  <c r="G45" i="4"/>
  <c r="G6" i="11"/>
  <c r="I6" i="3"/>
  <c r="F6" i="16"/>
  <c r="G10" i="4"/>
  <c r="N30" i="13"/>
  <c r="L24" i="11"/>
  <c r="L30" i="10"/>
  <c r="L45" i="4"/>
  <c r="N7" i="13"/>
  <c r="N22" i="13"/>
  <c r="L18" i="11"/>
  <c r="N7" i="3"/>
  <c r="N35" i="25"/>
  <c r="L33" i="11"/>
  <c r="L39" i="10"/>
  <c r="L10" i="11"/>
  <c r="L58" i="11"/>
  <c r="L24" i="4"/>
  <c r="N34" i="25"/>
  <c r="L11" i="11"/>
  <c r="N19" i="26"/>
  <c r="L15" i="11"/>
  <c r="N41" i="13"/>
  <c r="L55" i="11"/>
  <c r="L31" i="4"/>
  <c r="N33" i="25"/>
  <c r="N58" i="21"/>
  <c r="L57" i="11"/>
  <c r="N38" i="13"/>
  <c r="L37" i="11"/>
  <c r="L43" i="10"/>
  <c r="N8" i="3"/>
  <c r="L52" i="4"/>
  <c r="N33" i="26"/>
  <c r="L8" i="11"/>
  <c r="N34" i="26"/>
  <c r="L6" i="11"/>
  <c r="N6" i="3"/>
  <c r="K6" i="16"/>
  <c r="L10" i="4"/>
  <c r="N35" i="26"/>
  <c r="L9" i="11"/>
  <c r="L21" i="11"/>
  <c r="N19" i="25"/>
  <c r="L34" i="11"/>
  <c r="L40" i="10"/>
  <c r="N63" i="21"/>
  <c r="H41" i="13"/>
  <c r="F55" i="11"/>
  <c r="F31" i="4"/>
  <c r="H33" i="25"/>
  <c r="H58" i="21"/>
  <c r="H33" i="26"/>
  <c r="H7" i="13"/>
  <c r="H22" i="13"/>
  <c r="F18" i="11"/>
  <c r="H7" i="3"/>
  <c r="H35" i="25"/>
  <c r="H38" i="13"/>
  <c r="F37" i="11"/>
  <c r="F43" i="10"/>
  <c r="H8" i="3"/>
  <c r="F52" i="4"/>
  <c r="H63" i="21"/>
  <c r="H34" i="26"/>
  <c r="F57" i="11"/>
  <c r="H34" i="25"/>
  <c r="F9" i="11"/>
  <c r="F32" i="11"/>
  <c r="F38" i="10"/>
  <c r="H35" i="26"/>
  <c r="F6" i="11"/>
  <c r="H6" i="3"/>
  <c r="E6" i="16"/>
  <c r="F10" i="4"/>
  <c r="H30" i="13"/>
  <c r="F24" i="11"/>
  <c r="F30" i="10"/>
  <c r="F45" i="4"/>
  <c r="F25" i="11"/>
  <c r="F31" i="10"/>
  <c r="F12" i="11"/>
  <c r="F20" i="11"/>
  <c r="F23" i="11"/>
  <c r="F19" i="11"/>
  <c r="F21" i="11"/>
  <c r="H19" i="25"/>
  <c r="F34" i="11"/>
  <c r="F40" i="10"/>
  <c r="H19" i="26"/>
  <c r="Y6" i="11"/>
  <c r="AA6" i="3"/>
  <c r="X6" i="16"/>
  <c r="Y10" i="4"/>
  <c r="Y20" i="11"/>
  <c r="AA35" i="26"/>
  <c r="Y55" i="11"/>
  <c r="Y31" i="4"/>
  <c r="AA33" i="25"/>
  <c r="AA58" i="21"/>
  <c r="Y25" i="11"/>
  <c r="Y31" i="10"/>
  <c r="AA63" i="21"/>
  <c r="AA7" i="13"/>
  <c r="AA22" i="13"/>
  <c r="Y18" i="11"/>
  <c r="AA7" i="3"/>
  <c r="AA35" i="25"/>
  <c r="Y14" i="11"/>
  <c r="Y16" i="11"/>
  <c r="Y32" i="11"/>
  <c r="Y38" i="10"/>
  <c r="AA33" i="26"/>
  <c r="Y34" i="11"/>
  <c r="Y40" i="10"/>
  <c r="AA30" i="13"/>
  <c r="Y24" i="11"/>
  <c r="Y30" i="10"/>
  <c r="Y45" i="4"/>
  <c r="Y21" i="11"/>
  <c r="AA19" i="25"/>
  <c r="AA38" i="13"/>
  <c r="Y37" i="11"/>
  <c r="Y43" i="10"/>
  <c r="AA8" i="3"/>
  <c r="Y52" i="4"/>
  <c r="AA34" i="25"/>
  <c r="AA41" i="13"/>
  <c r="AA19" i="26"/>
  <c r="Y7" i="11"/>
  <c r="AA34" i="26"/>
  <c r="Y58" i="11"/>
  <c r="Y24" i="4"/>
  <c r="Y23" i="11"/>
  <c r="R33" i="11"/>
  <c r="R39" i="10"/>
  <c r="R21" i="11"/>
  <c r="T19" i="25"/>
  <c r="T41" i="13"/>
  <c r="R19" i="11"/>
  <c r="T63" i="21"/>
  <c r="R15" i="11"/>
  <c r="R14" i="11"/>
  <c r="T19" i="26"/>
  <c r="R32" i="11"/>
  <c r="R38" i="10"/>
  <c r="R23" i="11"/>
  <c r="R55" i="11"/>
  <c r="R31" i="4"/>
  <c r="T33" i="25"/>
  <c r="T58" i="21"/>
  <c r="R16" i="11"/>
  <c r="T33" i="26"/>
  <c r="R8" i="11"/>
  <c r="T35" i="26"/>
  <c r="T38" i="13"/>
  <c r="R37" i="11"/>
  <c r="R43" i="10"/>
  <c r="T8" i="3"/>
  <c r="R52" i="4"/>
  <c r="T30" i="13"/>
  <c r="R24" i="11"/>
  <c r="R30" i="10"/>
  <c r="R45" i="4"/>
  <c r="R17" i="11"/>
  <c r="T7" i="13"/>
  <c r="T22" i="13"/>
  <c r="R18" i="11"/>
  <c r="T7" i="3"/>
  <c r="T35" i="25"/>
  <c r="T34" i="25"/>
  <c r="T34" i="26"/>
  <c r="R6" i="11"/>
  <c r="T6" i="3"/>
  <c r="Q6" i="16"/>
  <c r="R10" i="4"/>
  <c r="U41" i="13"/>
  <c r="U33" i="26"/>
  <c r="S32" i="11"/>
  <c r="S38" i="10"/>
  <c r="U38" i="13"/>
  <c r="S37" i="11"/>
  <c r="S43" i="10"/>
  <c r="U8" i="3"/>
  <c r="S52" i="4"/>
  <c r="S14" i="11"/>
  <c r="U63" i="21"/>
  <c r="U19" i="26"/>
  <c r="S6" i="11"/>
  <c r="U6" i="3"/>
  <c r="R6" i="16"/>
  <c r="S10" i="4"/>
  <c r="S8" i="11"/>
  <c r="U34" i="26"/>
  <c r="S58" i="11"/>
  <c r="S24" i="4"/>
  <c r="U35" i="26"/>
  <c r="S33" i="11"/>
  <c r="S39" i="10"/>
  <c r="S10" i="11"/>
  <c r="S7" i="11"/>
  <c r="U7" i="13"/>
  <c r="U22" i="13"/>
  <c r="S18" i="11"/>
  <c r="U7" i="3"/>
  <c r="U35" i="25"/>
  <c r="S21" i="11"/>
  <c r="U19" i="25"/>
  <c r="S17" i="11"/>
  <c r="S55" i="11"/>
  <c r="S31" i="4"/>
  <c r="U33" i="25"/>
  <c r="U58" i="21"/>
  <c r="U30" i="13"/>
  <c r="S24" i="11"/>
  <c r="S30" i="10"/>
  <c r="S45" i="4"/>
  <c r="S9" i="11"/>
  <c r="U34" i="25"/>
  <c r="E33" i="26"/>
  <c r="E19" i="26"/>
  <c r="E35" i="26"/>
  <c r="E41" i="13"/>
  <c r="C9" i="11"/>
  <c r="C32" i="11"/>
  <c r="C38" i="10"/>
  <c r="C17" i="11"/>
  <c r="C7" i="11"/>
  <c r="E63" i="21"/>
  <c r="E30" i="13"/>
  <c r="C24" i="11"/>
  <c r="C30" i="10"/>
  <c r="C45" i="4"/>
  <c r="C34" i="11"/>
  <c r="C40" i="10"/>
  <c r="C14" i="11"/>
  <c r="E34" i="26"/>
  <c r="E34" i="25"/>
  <c r="C21" i="11"/>
  <c r="E19" i="25"/>
  <c r="E38" i="13"/>
  <c r="C37" i="11"/>
  <c r="C43" i="10"/>
  <c r="E8" i="3"/>
  <c r="C52" i="4"/>
  <c r="C10" i="11"/>
  <c r="E7" i="13"/>
  <c r="E22" i="13"/>
  <c r="C18" i="11"/>
  <c r="E7" i="3"/>
  <c r="E35" i="25"/>
  <c r="C57" i="11"/>
  <c r="C8" i="11"/>
  <c r="C55" i="11"/>
  <c r="C31" i="4"/>
  <c r="E33" i="25"/>
  <c r="E58" i="21"/>
  <c r="C23" i="11"/>
  <c r="J26" i="34"/>
  <c r="L26" i="34"/>
  <c r="W34" i="25"/>
  <c r="W41" i="13"/>
  <c r="U21" i="11"/>
  <c r="W19" i="25"/>
  <c r="U55" i="11"/>
  <c r="U31" i="4"/>
  <c r="W33" i="25"/>
  <c r="W58" i="21"/>
  <c r="U16" i="11"/>
  <c r="U9" i="11"/>
  <c r="U34" i="11"/>
  <c r="U40" i="10"/>
  <c r="W34" i="26"/>
  <c r="W7" i="13"/>
  <c r="W22" i="13"/>
  <c r="U18" i="11"/>
  <c r="W7" i="3"/>
  <c r="W35" i="25"/>
  <c r="W35" i="26"/>
  <c r="W19" i="26"/>
  <c r="U23" i="11"/>
  <c r="U12" i="11"/>
  <c r="W33" i="26"/>
  <c r="W63" i="21"/>
  <c r="W30" i="13"/>
  <c r="U24" i="11"/>
  <c r="U30" i="10"/>
  <c r="U45" i="4"/>
  <c r="U19" i="11"/>
  <c r="W38" i="13"/>
  <c r="U37" i="11"/>
  <c r="U43" i="10"/>
  <c r="W8" i="3"/>
  <c r="U52" i="4"/>
  <c r="U32" i="11"/>
  <c r="U38" i="10"/>
  <c r="U10" i="11"/>
  <c r="U6" i="11"/>
  <c r="W6" i="3"/>
  <c r="T6" i="16"/>
  <c r="U10" i="4"/>
  <c r="U58" i="11"/>
  <c r="U24" i="4"/>
  <c r="G26" i="34"/>
  <c r="K26" i="34"/>
  <c r="F26" i="34"/>
  <c r="D17" i="11"/>
  <c r="F41" i="13"/>
  <c r="D7" i="11"/>
  <c r="F34" i="25"/>
  <c r="F19" i="26"/>
  <c r="D16" i="11"/>
  <c r="F7" i="13"/>
  <c r="F22" i="13"/>
  <c r="D18" i="11"/>
  <c r="F7" i="3"/>
  <c r="F35" i="25"/>
  <c r="D6" i="11"/>
  <c r="F6" i="3"/>
  <c r="C6" i="16"/>
  <c r="D10" i="4"/>
  <c r="D32" i="11"/>
  <c r="D38" i="10"/>
  <c r="D19" i="11"/>
  <c r="F35" i="26"/>
  <c r="F34" i="26"/>
  <c r="D23" i="11"/>
  <c r="D25" i="11"/>
  <c r="D31" i="10"/>
  <c r="F33" i="26"/>
  <c r="F30" i="13"/>
  <c r="D24" i="11"/>
  <c r="D30" i="10"/>
  <c r="D45" i="4"/>
  <c r="D21" i="11"/>
  <c r="F19" i="25"/>
  <c r="D58" i="11"/>
  <c r="D24" i="4"/>
  <c r="F63" i="21"/>
  <c r="F38" i="13"/>
  <c r="D37" i="11"/>
  <c r="D43" i="10"/>
  <c r="F8" i="3"/>
  <c r="D52" i="4"/>
  <c r="D10" i="11"/>
  <c r="D55" i="11"/>
  <c r="D31" i="4"/>
  <c r="F33" i="25"/>
  <c r="F58" i="21"/>
  <c r="H26" i="34"/>
  <c r="I26" i="34"/>
  <c r="M26" i="34"/>
  <c r="S34" i="26"/>
  <c r="S33" i="26"/>
  <c r="S19" i="26"/>
  <c r="Q33" i="11"/>
  <c r="Q39" i="10"/>
  <c r="Q6" i="11"/>
  <c r="S6" i="3"/>
  <c r="P6" i="16"/>
  <c r="Q10" i="4"/>
  <c r="Q57" i="11"/>
  <c r="Q22" i="11"/>
  <c r="Q55" i="11"/>
  <c r="Q31" i="4"/>
  <c r="S33" i="25"/>
  <c r="S58" i="21"/>
  <c r="S30" i="13"/>
  <c r="Q24" i="11"/>
  <c r="Q30" i="10"/>
  <c r="Q45" i="4"/>
  <c r="S38" i="13"/>
  <c r="Q37" i="11"/>
  <c r="Q43" i="10"/>
  <c r="S8" i="3"/>
  <c r="Q52" i="4"/>
  <c r="Q12" i="11"/>
  <c r="S34" i="25"/>
  <c r="S41" i="13"/>
  <c r="Q23" i="11"/>
  <c r="Q15" i="11"/>
  <c r="S35" i="26"/>
  <c r="Q32" i="11"/>
  <c r="Q38" i="10"/>
  <c r="S7" i="13"/>
  <c r="S22" i="13"/>
  <c r="Q18" i="11"/>
  <c r="S7" i="3"/>
  <c r="S35" i="25"/>
  <c r="Q21" i="11"/>
  <c r="S19" i="25"/>
  <c r="Q7" i="11"/>
  <c r="S63" i="21"/>
  <c r="Q8" i="11"/>
  <c r="O26" i="34"/>
  <c r="N26" i="34"/>
  <c r="P26" i="34"/>
  <c r="I8" i="34"/>
  <c r="I40" i="34"/>
  <c r="I27" i="34"/>
  <c r="I35" i="34"/>
  <c r="I7" i="34"/>
  <c r="I37" i="34"/>
  <c r="I30" i="34"/>
  <c r="I10" i="34"/>
  <c r="I42" i="34"/>
  <c r="I33" i="34"/>
  <c r="I36" i="34"/>
  <c r="I25" i="34"/>
  <c r="I32" i="34"/>
  <c r="I34" i="34"/>
  <c r="I41" i="34"/>
  <c r="I38" i="34"/>
  <c r="I9" i="34"/>
  <c r="I31" i="34"/>
  <c r="I39" i="34"/>
  <c r="J21" i="11"/>
  <c r="L19" i="25"/>
  <c r="L19" i="26"/>
  <c r="L7" i="13"/>
  <c r="L22" i="13"/>
  <c r="J18" i="11"/>
  <c r="L7" i="3"/>
  <c r="L35" i="25"/>
  <c r="J8" i="11"/>
  <c r="L34" i="25"/>
  <c r="J55" i="11"/>
  <c r="J31" i="4"/>
  <c r="L33" i="25"/>
  <c r="L58" i="21"/>
  <c r="J16" i="11"/>
  <c r="J9" i="11"/>
  <c r="L38" i="13"/>
  <c r="J37" i="11"/>
  <c r="J43" i="10"/>
  <c r="L8" i="3"/>
  <c r="J52" i="4"/>
  <c r="L34" i="26"/>
  <c r="J58" i="11"/>
  <c r="J24" i="4"/>
  <c r="J13" i="11"/>
  <c r="J23" i="11"/>
  <c r="J6" i="11"/>
  <c r="L6" i="3"/>
  <c r="I6" i="16"/>
  <c r="J10" i="4"/>
  <c r="L41" i="13"/>
  <c r="J7" i="11"/>
  <c r="L63" i="21"/>
  <c r="J22" i="11"/>
  <c r="L30" i="13"/>
  <c r="J24" i="11"/>
  <c r="J30" i="10"/>
  <c r="J45" i="4"/>
  <c r="J34" i="11"/>
  <c r="J40" i="10"/>
  <c r="L35" i="26"/>
  <c r="L33" i="26"/>
  <c r="Z63" i="21"/>
  <c r="X57" i="11"/>
  <c r="X15" i="11"/>
  <c r="X6" i="11"/>
  <c r="Z6" i="3"/>
  <c r="W6" i="16"/>
  <c r="X10" i="4"/>
  <c r="Z33" i="26"/>
  <c r="Z35" i="26"/>
  <c r="Z34" i="25"/>
  <c r="X11" i="11"/>
  <c r="Z41" i="13"/>
  <c r="X32" i="11"/>
  <c r="X38" i="10"/>
  <c r="Z38" i="13"/>
  <c r="X37" i="11"/>
  <c r="X43" i="10"/>
  <c r="Z8" i="3"/>
  <c r="X52" i="4"/>
  <c r="X55" i="11"/>
  <c r="X31" i="4"/>
  <c r="Z33" i="25"/>
  <c r="Z58" i="21"/>
  <c r="Z7" i="13"/>
  <c r="Z22" i="13"/>
  <c r="X18" i="11"/>
  <c r="Z7" i="3"/>
  <c r="Z35" i="25"/>
  <c r="X22" i="11"/>
  <c r="X14" i="11"/>
  <c r="Z30" i="13"/>
  <c r="X24" i="11"/>
  <c r="X30" i="10"/>
  <c r="X45" i="4"/>
  <c r="Z34" i="26"/>
  <c r="X21" i="11"/>
  <c r="Z19" i="25"/>
  <c r="Z19" i="26"/>
  <c r="X58" i="11"/>
  <c r="X24" i="4"/>
  <c r="X20" i="11"/>
  <c r="X7" i="11"/>
  <c r="E26" i="26"/>
  <c r="E27" i="26"/>
  <c r="E20" i="27"/>
  <c r="E28" i="26"/>
  <c r="E18" i="27"/>
  <c r="E28" i="25"/>
  <c r="E64" i="24"/>
  <c r="E16" i="27"/>
  <c r="E26" i="25"/>
  <c r="E21" i="27"/>
  <c r="E26" i="29"/>
  <c r="E7" i="27"/>
  <c r="E97" i="17"/>
  <c r="E23" i="26"/>
  <c r="E40" i="29"/>
  <c r="E13" i="27"/>
  <c r="E23" i="25"/>
  <c r="E11" i="29"/>
  <c r="E14" i="27"/>
  <c r="E24" i="25"/>
  <c r="E21" i="26"/>
  <c r="E31" i="26"/>
  <c r="E10" i="27"/>
  <c r="E21" i="25"/>
  <c r="E16" i="30"/>
  <c r="E20" i="29"/>
  <c r="E8" i="27"/>
  <c r="E17" i="27"/>
  <c r="E27" i="25"/>
  <c r="U26" i="29"/>
  <c r="U31" i="26"/>
  <c r="U18" i="27"/>
  <c r="U28" i="25"/>
  <c r="U28" i="26"/>
  <c r="U26" i="26"/>
  <c r="U14" i="27"/>
  <c r="U24" i="25"/>
  <c r="U16" i="27"/>
  <c r="U26" i="25"/>
  <c r="U21" i="27"/>
  <c r="R14" i="9"/>
  <c r="U27" i="26"/>
  <c r="U7" i="27"/>
  <c r="U97" i="17"/>
  <c r="U64" i="24"/>
  <c r="U10" i="27"/>
  <c r="U21" i="25"/>
  <c r="U21" i="26"/>
  <c r="U11" i="29"/>
  <c r="U16" i="30"/>
  <c r="U9" i="27"/>
  <c r="U20" i="29"/>
  <c r="U20" i="27"/>
  <c r="U8" i="27"/>
  <c r="U22" i="27"/>
  <c r="U40" i="29"/>
  <c r="U23" i="26"/>
  <c r="J18" i="27"/>
  <c r="J28" i="25"/>
  <c r="J10" i="27"/>
  <c r="J21" i="25"/>
  <c r="J24" i="26"/>
  <c r="J20" i="29"/>
  <c r="J8" i="27"/>
  <c r="J40" i="29"/>
  <c r="J26" i="29"/>
  <c r="J12" i="27"/>
  <c r="J22" i="25"/>
  <c r="J17" i="27"/>
  <c r="G14" i="5"/>
  <c r="J27" i="25"/>
  <c r="J30" i="26"/>
  <c r="J20" i="27"/>
  <c r="J11" i="29"/>
  <c r="J23" i="26"/>
  <c r="J14" i="27"/>
  <c r="J24" i="25"/>
  <c r="J21" i="26"/>
  <c r="J13" i="27"/>
  <c r="J23" i="25"/>
  <c r="J7" i="27"/>
  <c r="J97" i="17"/>
  <c r="J16" i="27"/>
  <c r="J26" i="25"/>
  <c r="J16" i="30"/>
  <c r="J6" i="27"/>
  <c r="G14" i="9"/>
  <c r="J27" i="26"/>
  <c r="J67" i="24"/>
  <c r="G7" i="28"/>
  <c r="G11" i="28"/>
  <c r="G20" i="30"/>
  <c r="G16" i="26"/>
  <c r="G18" i="30"/>
  <c r="G7" i="30"/>
  <c r="G24" i="23"/>
  <c r="G21" i="30"/>
  <c r="G14" i="30"/>
  <c r="G16" i="25"/>
  <c r="G10" i="30"/>
  <c r="G14" i="25"/>
  <c r="G50" i="24"/>
  <c r="G9" i="28"/>
  <c r="G6" i="28"/>
  <c r="G15" i="26"/>
  <c r="G8" i="28"/>
  <c r="G10" i="28"/>
  <c r="G12" i="30"/>
  <c r="G15" i="25"/>
  <c r="G25" i="23"/>
  <c r="G22" i="30"/>
  <c r="G14" i="28"/>
  <c r="G13" i="28"/>
  <c r="G98" i="17"/>
  <c r="C34" i="25"/>
  <c r="C33" i="26"/>
  <c r="C6" i="3"/>
  <c r="C7" i="13"/>
  <c r="C22" i="13"/>
  <c r="C7" i="3"/>
  <c r="C35" i="25"/>
  <c r="C34" i="26"/>
  <c r="C19" i="25"/>
  <c r="C41" i="13"/>
  <c r="C38" i="13"/>
  <c r="C8" i="3"/>
  <c r="C33" i="25"/>
  <c r="C58" i="21"/>
  <c r="C30" i="13"/>
  <c r="C35" i="26"/>
  <c r="C63" i="21"/>
  <c r="C19" i="26"/>
  <c r="K34" i="34"/>
  <c r="K7" i="34"/>
  <c r="K42" i="34"/>
  <c r="K38" i="34"/>
  <c r="K9" i="34"/>
  <c r="K39" i="34"/>
  <c r="G42" i="34"/>
  <c r="G37" i="34"/>
  <c r="K40" i="34"/>
  <c r="K8" i="34"/>
  <c r="G30" i="34"/>
  <c r="G7" i="34"/>
  <c r="G27" i="34"/>
  <c r="K36" i="34"/>
  <c r="G38" i="34"/>
  <c r="K25" i="34"/>
  <c r="G34" i="34"/>
  <c r="K27" i="34"/>
  <c r="K32" i="34"/>
  <c r="K31" i="34"/>
  <c r="G10" i="34"/>
  <c r="G32" i="34"/>
  <c r="K30" i="34"/>
  <c r="G25" i="34"/>
  <c r="K41" i="34"/>
  <c r="G33" i="34"/>
  <c r="K35" i="34"/>
  <c r="K10" i="34"/>
  <c r="K33" i="34"/>
  <c r="G31" i="34"/>
  <c r="G41" i="34"/>
  <c r="G40" i="34"/>
  <c r="G39" i="34"/>
  <c r="K37" i="34"/>
  <c r="G36" i="34"/>
  <c r="G9" i="34"/>
  <c r="G35" i="34"/>
  <c r="G8" i="34"/>
  <c r="W10" i="28"/>
  <c r="W15" i="25"/>
  <c r="W11" i="28"/>
  <c r="W18" i="30"/>
  <c r="W9" i="28"/>
  <c r="W20" i="30"/>
  <c r="W10" i="30"/>
  <c r="W8" i="28"/>
  <c r="W6" i="28"/>
  <c r="W16" i="26"/>
  <c r="W14" i="30"/>
  <c r="W16" i="25"/>
  <c r="W14" i="28"/>
  <c r="W14" i="26"/>
  <c r="W13" i="28"/>
  <c r="W98" i="17"/>
  <c r="W7" i="30"/>
  <c r="W50" i="24"/>
  <c r="W15" i="26"/>
  <c r="W24" i="23"/>
  <c r="W21" i="30"/>
  <c r="W12" i="30"/>
  <c r="W7" i="28"/>
  <c r="W25" i="23"/>
  <c r="W22" i="30"/>
  <c r="Q11" i="29"/>
  <c r="Q16" i="30"/>
  <c r="Q6" i="27"/>
  <c r="Q16" i="27"/>
  <c r="Q26" i="25"/>
  <c r="Q22" i="27"/>
  <c r="Q68" i="24"/>
  <c r="Q20" i="29"/>
  <c r="Q13" i="27"/>
  <c r="Q23" i="25"/>
  <c r="Q40" i="29"/>
  <c r="Q31" i="26"/>
  <c r="Q21" i="27"/>
  <c r="Q26" i="26"/>
  <c r="Q26" i="29"/>
  <c r="Q9" i="27"/>
  <c r="Q24" i="26"/>
  <c r="Q18" i="27"/>
  <c r="Q28" i="25"/>
  <c r="Q10" i="27"/>
  <c r="Q21" i="25"/>
  <c r="Q22" i="26"/>
  <c r="Q20" i="27"/>
  <c r="Q12" i="27"/>
  <c r="Q22" i="25"/>
  <c r="Q28" i="26"/>
  <c r="Q8" i="27"/>
  <c r="X8" i="28"/>
  <c r="X7" i="30"/>
  <c r="X25" i="23"/>
  <c r="X22" i="30"/>
  <c r="X20" i="30"/>
  <c r="X24" i="23"/>
  <c r="X21" i="30"/>
  <c r="X10" i="30"/>
  <c r="X15" i="26"/>
  <c r="X12" i="30"/>
  <c r="X10" i="24"/>
  <c r="X15" i="25"/>
  <c r="X7" i="28"/>
  <c r="X9" i="28"/>
  <c r="X6" i="28"/>
  <c r="X18" i="30"/>
  <c r="X10" i="28"/>
  <c r="X16" i="26"/>
  <c r="X14" i="28"/>
  <c r="X16" i="25"/>
  <c r="X13" i="28"/>
  <c r="X98" i="17"/>
  <c r="X50" i="24"/>
  <c r="X11" i="28"/>
  <c r="X14" i="30"/>
  <c r="J33" i="26"/>
  <c r="H14" i="11"/>
  <c r="H32" i="11"/>
  <c r="H38" i="10"/>
  <c r="H57" i="11"/>
  <c r="J30" i="13"/>
  <c r="H24" i="11"/>
  <c r="H30" i="10"/>
  <c r="H45" i="4"/>
  <c r="H21" i="11"/>
  <c r="J19" i="25"/>
  <c r="J41" i="13"/>
  <c r="J35" i="26"/>
  <c r="H6" i="11"/>
  <c r="J6" i="3"/>
  <c r="G6" i="16"/>
  <c r="H10" i="4"/>
  <c r="J38" i="13"/>
  <c r="H37" i="11"/>
  <c r="H43" i="10"/>
  <c r="J8" i="3"/>
  <c r="H52" i="4"/>
  <c r="H7" i="11"/>
  <c r="H34" i="11"/>
  <c r="H40" i="10"/>
  <c r="H11" i="11"/>
  <c r="H25" i="11"/>
  <c r="H31" i="10"/>
  <c r="J19" i="26"/>
  <c r="H55" i="11"/>
  <c r="H31" i="4"/>
  <c r="J33" i="25"/>
  <c r="J58" i="21"/>
  <c r="J34" i="25"/>
  <c r="J7" i="13"/>
  <c r="J22" i="13"/>
  <c r="H18" i="11"/>
  <c r="J7" i="3"/>
  <c r="J35" i="25"/>
  <c r="J34" i="26"/>
  <c r="J63" i="21"/>
  <c r="H23" i="11"/>
  <c r="H58" i="11"/>
  <c r="H24" i="4"/>
  <c r="C16" i="30"/>
  <c r="C17" i="27"/>
  <c r="C27" i="25"/>
  <c r="C28" i="26"/>
  <c r="C10" i="27"/>
  <c r="C21" i="25"/>
  <c r="C20" i="29"/>
  <c r="C31" i="26"/>
  <c r="C23" i="26"/>
  <c r="C22" i="26"/>
  <c r="C22" i="27"/>
  <c r="C26" i="26"/>
  <c r="C21" i="27"/>
  <c r="C20" i="27"/>
  <c r="C40" i="29"/>
  <c r="C7" i="27"/>
  <c r="C97" i="17"/>
  <c r="C13" i="27"/>
  <c r="C23" i="25"/>
  <c r="C16" i="27"/>
  <c r="C26" i="25"/>
  <c r="C14" i="27"/>
  <c r="C24" i="25"/>
  <c r="C18" i="27"/>
  <c r="C28" i="25"/>
  <c r="C66" i="24"/>
  <c r="C26" i="29"/>
  <c r="C8" i="27"/>
  <c r="C9" i="27"/>
  <c r="D14" i="30"/>
  <c r="D14" i="28"/>
  <c r="D9" i="28"/>
  <c r="D12" i="30"/>
  <c r="D14" i="26"/>
  <c r="D7" i="30"/>
  <c r="D10" i="30"/>
  <c r="D34" i="24"/>
  <c r="D14" i="25"/>
  <c r="D10" i="28"/>
  <c r="D18" i="30"/>
  <c r="D25" i="23"/>
  <c r="D22" i="30"/>
  <c r="D7" i="28"/>
  <c r="D20" i="30"/>
  <c r="D8" i="28"/>
  <c r="D13" i="28"/>
  <c r="D98" i="17"/>
  <c r="D54" i="24"/>
  <c r="D24" i="23"/>
  <c r="D21" i="30"/>
  <c r="D52" i="24"/>
  <c r="D11" i="28"/>
  <c r="D6" i="28"/>
  <c r="D16" i="26"/>
  <c r="H22" i="27"/>
  <c r="H26" i="29"/>
  <c r="H26" i="26"/>
  <c r="H16" i="30"/>
  <c r="H16" i="27"/>
  <c r="H26" i="25"/>
  <c r="E14" i="9"/>
  <c r="H27" i="26"/>
  <c r="H21" i="26"/>
  <c r="H30" i="26"/>
  <c r="H12" i="27"/>
  <c r="H22" i="25"/>
  <c r="H11" i="29"/>
  <c r="H13" i="27"/>
  <c r="H23" i="25"/>
  <c r="H23" i="26"/>
  <c r="H18" i="27"/>
  <c r="H28" i="25"/>
  <c r="H70" i="24"/>
  <c r="H7" i="27"/>
  <c r="H97" i="17"/>
  <c r="H40" i="29"/>
  <c r="H20" i="27"/>
  <c r="H10" i="27"/>
  <c r="H21" i="25"/>
  <c r="H14" i="27"/>
  <c r="H24" i="25"/>
  <c r="H9" i="27"/>
  <c r="H20" i="29"/>
  <c r="H17" i="27"/>
  <c r="E14" i="5"/>
  <c r="H27" i="25"/>
  <c r="M15" i="26"/>
  <c r="M9" i="28"/>
  <c r="M18" i="30"/>
  <c r="M7" i="30"/>
  <c r="M51" i="24"/>
  <c r="M14" i="28"/>
  <c r="M25" i="23"/>
  <c r="M22" i="30"/>
  <c r="M8" i="28"/>
  <c r="M6" i="28"/>
  <c r="M11" i="28"/>
  <c r="M10" i="28"/>
  <c r="M54" i="24"/>
  <c r="M14" i="25"/>
  <c r="M24" i="23"/>
  <c r="M21" i="30"/>
  <c r="M7" i="28"/>
  <c r="M14" i="30"/>
  <c r="M16" i="26"/>
  <c r="M13" i="28"/>
  <c r="M98" i="17"/>
  <c r="M20" i="30"/>
  <c r="M53" i="24"/>
  <c r="M10" i="30"/>
  <c r="M12" i="30"/>
  <c r="O35" i="34"/>
  <c r="O39" i="34"/>
  <c r="O30" i="34"/>
  <c r="O25" i="34"/>
  <c r="O9" i="34"/>
  <c r="O34" i="34"/>
  <c r="O27" i="34"/>
  <c r="O10" i="34"/>
  <c r="O37" i="34"/>
  <c r="O7" i="34"/>
  <c r="O33" i="34"/>
  <c r="O42" i="34"/>
  <c r="O8" i="34"/>
  <c r="O38" i="34"/>
  <c r="O31" i="34"/>
  <c r="O32" i="34"/>
  <c r="O36" i="34"/>
  <c r="O41" i="34"/>
  <c r="O40" i="34"/>
  <c r="E9" i="34"/>
  <c r="E35" i="34"/>
  <c r="E39" i="34"/>
  <c r="E32" i="34"/>
  <c r="E40" i="34"/>
  <c r="E30" i="34"/>
  <c r="E7" i="34"/>
  <c r="E34" i="34"/>
  <c r="E37" i="34"/>
  <c r="E36" i="34"/>
  <c r="E25" i="34"/>
  <c r="E41" i="34"/>
  <c r="E33" i="34"/>
  <c r="E27" i="34"/>
  <c r="E38" i="34"/>
  <c r="E31" i="34"/>
  <c r="E8" i="34"/>
  <c r="E10" i="34"/>
  <c r="E42" i="34"/>
  <c r="S10" i="27"/>
  <c r="S21" i="25"/>
  <c r="S18" i="27"/>
  <c r="S28" i="25"/>
  <c r="S66" i="24"/>
  <c r="S31" i="26"/>
  <c r="S7" i="27"/>
  <c r="S97" i="17"/>
  <c r="S16" i="27"/>
  <c r="S26" i="25"/>
  <c r="S13" i="27"/>
  <c r="S23" i="25"/>
  <c r="S8" i="27"/>
  <c r="S28" i="26"/>
  <c r="S22" i="27"/>
  <c r="S14" i="27"/>
  <c r="S24" i="25"/>
  <c r="S11" i="29"/>
  <c r="S20" i="27"/>
  <c r="S17" i="27"/>
  <c r="P14" i="5"/>
  <c r="S27" i="25"/>
  <c r="S26" i="29"/>
  <c r="S26" i="26"/>
  <c r="S23" i="26"/>
  <c r="S20" i="29"/>
  <c r="S22" i="26"/>
  <c r="S40" i="29"/>
  <c r="S16" i="30"/>
  <c r="S9" i="27"/>
  <c r="M33" i="34"/>
  <c r="M37" i="34"/>
  <c r="M41" i="34"/>
  <c r="M9" i="34"/>
  <c r="M7" i="34"/>
  <c r="M36" i="34"/>
  <c r="M34" i="34"/>
  <c r="M10" i="34"/>
  <c r="M42" i="34"/>
  <c r="M38" i="34"/>
  <c r="M25" i="34"/>
  <c r="M31" i="34"/>
  <c r="M8" i="34"/>
  <c r="M40" i="34"/>
  <c r="M27" i="34"/>
  <c r="M35" i="34"/>
  <c r="M30" i="34"/>
  <c r="M32" i="34"/>
  <c r="M39" i="34"/>
  <c r="O31" i="26"/>
  <c r="O22" i="26"/>
  <c r="O13" i="27"/>
  <c r="O23" i="25"/>
  <c r="O12" i="27"/>
  <c r="O22" i="25"/>
  <c r="O40" i="29"/>
  <c r="O11" i="29"/>
  <c r="O26" i="29"/>
  <c r="O8" i="27"/>
  <c r="O28" i="26"/>
  <c r="O16" i="27"/>
  <c r="O26" i="25"/>
  <c r="O16" i="30"/>
  <c r="O18" i="27"/>
  <c r="O28" i="25"/>
  <c r="O21" i="27"/>
  <c r="O22" i="27"/>
  <c r="L14" i="9"/>
  <c r="O27" i="26"/>
  <c r="O20" i="29"/>
  <c r="O71" i="24"/>
  <c r="O10" i="27"/>
  <c r="O21" i="25"/>
  <c r="O30" i="26"/>
  <c r="O6" i="27"/>
  <c r="O20" i="27"/>
  <c r="O24" i="26"/>
  <c r="Z8" i="27"/>
  <c r="R20" i="29"/>
  <c r="R8" i="27"/>
  <c r="R16" i="30"/>
  <c r="R21" i="27"/>
  <c r="R28" i="26"/>
  <c r="P37" i="29"/>
  <c r="P17" i="29"/>
  <c r="R40" i="29"/>
  <c r="R9" i="27"/>
  <c r="R16" i="27"/>
  <c r="R26" i="25"/>
  <c r="R31" i="26"/>
  <c r="Z22" i="27"/>
  <c r="R59" i="24"/>
  <c r="Z18" i="27"/>
  <c r="Z28" i="25"/>
  <c r="Z26" i="29"/>
  <c r="Z20" i="29"/>
  <c r="Z21" i="26"/>
  <c r="R13" i="27"/>
  <c r="R23" i="25"/>
  <c r="R26" i="29"/>
  <c r="Z16" i="30"/>
  <c r="P38" i="29"/>
  <c r="P18" i="29"/>
  <c r="Z21" i="27"/>
  <c r="P17" i="28"/>
  <c r="P14" i="17"/>
  <c r="P19" i="28"/>
  <c r="P16" i="17"/>
  <c r="P9" i="26"/>
  <c r="X18" i="27"/>
  <c r="X28" i="25"/>
  <c r="X21" i="27"/>
  <c r="X31" i="26"/>
  <c r="X16" i="27"/>
  <c r="X26" i="25"/>
  <c r="X20" i="29"/>
  <c r="X14" i="27"/>
  <c r="X24" i="25"/>
  <c r="X26" i="29"/>
  <c r="X17" i="27"/>
  <c r="U14" i="5"/>
  <c r="X27" i="25"/>
  <c r="X26" i="26"/>
  <c r="Z11" i="29"/>
  <c r="Z9" i="27"/>
  <c r="Z40" i="29"/>
  <c r="Z12" i="27"/>
  <c r="Z22" i="25"/>
  <c r="X7" i="27"/>
  <c r="X97" i="17"/>
  <c r="P16" i="28"/>
  <c r="P13" i="17"/>
  <c r="X11" i="29"/>
  <c r="X70" i="24"/>
  <c r="X21" i="26"/>
  <c r="X23" i="26"/>
  <c r="X22" i="27"/>
  <c r="X16" i="30"/>
  <c r="R22" i="26"/>
  <c r="X9" i="27"/>
  <c r="Z7" i="27"/>
  <c r="Z97" i="17"/>
  <c r="P7" i="29"/>
  <c r="P29" i="29"/>
  <c r="U14" i="9"/>
  <c r="X27" i="26"/>
  <c r="X8" i="27"/>
  <c r="M10" i="9"/>
  <c r="P8" i="26"/>
  <c r="X10" i="27"/>
  <c r="X21" i="25"/>
  <c r="P20" i="28"/>
  <c r="P17" i="17"/>
  <c r="P25" i="29"/>
  <c r="P19" i="29"/>
  <c r="P10" i="29"/>
  <c r="O12" i="8"/>
  <c r="M6" i="9"/>
  <c r="M6" i="5"/>
  <c r="N6" i="2"/>
  <c r="P39" i="29"/>
  <c r="P31" i="29"/>
  <c r="M36" i="6"/>
  <c r="M11" i="5"/>
  <c r="N10" i="2"/>
  <c r="I13" i="27"/>
  <c r="I23" i="25"/>
  <c r="X40" i="29"/>
  <c r="M55" i="24"/>
  <c r="M10" i="5"/>
  <c r="P8" i="25"/>
  <c r="N9" i="2"/>
  <c r="R14" i="27"/>
  <c r="R24" i="25"/>
  <c r="P36" i="29"/>
  <c r="P16" i="29"/>
  <c r="R24" i="26"/>
  <c r="Z16" i="26"/>
  <c r="P18" i="28"/>
  <c r="P15" i="17"/>
  <c r="X20" i="27"/>
  <c r="AA20" i="29"/>
  <c r="P10" i="26"/>
  <c r="AA8" i="27"/>
  <c r="P24" i="29"/>
  <c r="P35" i="29"/>
  <c r="P15" i="29"/>
  <c r="M16" i="30"/>
  <c r="M73" i="24"/>
  <c r="P10" i="25"/>
  <c r="P57" i="17"/>
  <c r="M14" i="27"/>
  <c r="M24" i="25"/>
  <c r="P9" i="29"/>
  <c r="M21" i="27"/>
  <c r="P8" i="29"/>
  <c r="P30" i="29"/>
  <c r="I40" i="29"/>
  <c r="M20" i="29"/>
  <c r="P33" i="29"/>
  <c r="P22" i="29"/>
  <c r="P13" i="29"/>
  <c r="M30" i="26"/>
  <c r="M31" i="25"/>
  <c r="C38" i="34"/>
  <c r="I18" i="27"/>
  <c r="I28" i="25"/>
  <c r="M21" i="26"/>
  <c r="Z24" i="23"/>
  <c r="Z21" i="30"/>
  <c r="J53" i="24"/>
  <c r="M24" i="26"/>
  <c r="M8" i="27"/>
  <c r="I16" i="30"/>
  <c r="I11" i="29"/>
  <c r="I6" i="27"/>
  <c r="M11" i="29"/>
  <c r="J7" i="28"/>
  <c r="Z14" i="30"/>
  <c r="M9" i="27"/>
  <c r="R11" i="29"/>
  <c r="J18" i="30"/>
  <c r="M10" i="27"/>
  <c r="M21" i="25"/>
  <c r="I23" i="26"/>
  <c r="J14" i="28"/>
  <c r="M40" i="29"/>
  <c r="I26" i="29"/>
  <c r="Z14" i="25"/>
  <c r="J7" i="30"/>
  <c r="Z8" i="24"/>
  <c r="J14" i="30"/>
  <c r="M26" i="29"/>
  <c r="Z10" i="28"/>
  <c r="Z6" i="28"/>
  <c r="I22" i="26"/>
  <c r="Z20" i="30"/>
  <c r="M22" i="27"/>
  <c r="I22" i="27"/>
  <c r="R18" i="27"/>
  <c r="R28" i="25"/>
  <c r="M6" i="27"/>
  <c r="J9" i="28"/>
  <c r="I26" i="26"/>
  <c r="Z25" i="23"/>
  <c r="Z22" i="30"/>
  <c r="R12" i="27"/>
  <c r="R22" i="25"/>
  <c r="AA16" i="27"/>
  <c r="AA26" i="25"/>
  <c r="J10" i="30"/>
  <c r="I17" i="27"/>
  <c r="F14" i="5"/>
  <c r="I27" i="25"/>
  <c r="J14" i="9"/>
  <c r="M27" i="26"/>
  <c r="R21" i="26"/>
  <c r="I20" i="27"/>
  <c r="AA21" i="27"/>
  <c r="J13" i="28"/>
  <c r="J98" i="17"/>
  <c r="R10" i="27"/>
  <c r="R21" i="25"/>
  <c r="R17" i="27"/>
  <c r="O14" i="5"/>
  <c r="R27" i="25"/>
  <c r="M12" i="27"/>
  <c r="M22" i="25"/>
  <c r="I21" i="27"/>
  <c r="I20" i="29"/>
  <c r="M18" i="27"/>
  <c r="M28" i="25"/>
  <c r="Z53" i="24"/>
  <c r="I60" i="24"/>
  <c r="Z10" i="30"/>
  <c r="AA30" i="26"/>
  <c r="I14" i="27"/>
  <c r="I24" i="25"/>
  <c r="M13" i="27"/>
  <c r="M23" i="25"/>
  <c r="Z11" i="28"/>
  <c r="R6" i="27"/>
  <c r="Z13" i="28"/>
  <c r="Z98" i="17"/>
  <c r="I30" i="25"/>
  <c r="I95" i="17"/>
  <c r="Z14" i="28"/>
  <c r="AA17" i="27"/>
  <c r="X14" i="5"/>
  <c r="AA27" i="25"/>
  <c r="Z16" i="27"/>
  <c r="Z26" i="25"/>
  <c r="Z14" i="27"/>
  <c r="Z24" i="25"/>
  <c r="AA11" i="29"/>
  <c r="Z7" i="30"/>
  <c r="I30" i="26"/>
  <c r="Z67" i="24"/>
  <c r="I16" i="27"/>
  <c r="I26" i="25"/>
  <c r="I10" i="27"/>
  <c r="I21" i="25"/>
  <c r="I7" i="27"/>
  <c r="I97" i="17"/>
  <c r="Z18" i="30"/>
  <c r="Z23" i="26"/>
  <c r="Z17" i="27"/>
  <c r="W14" i="5"/>
  <c r="Z27" i="25"/>
  <c r="W14" i="9"/>
  <c r="Z27" i="26"/>
  <c r="Z8" i="28"/>
  <c r="AA16" i="30"/>
  <c r="J8" i="28"/>
  <c r="J25" i="23"/>
  <c r="J22" i="30"/>
  <c r="Z30" i="26"/>
  <c r="X14" i="9"/>
  <c r="AA27" i="26"/>
  <c r="C37" i="34"/>
  <c r="Z9" i="28"/>
  <c r="AA14" i="27"/>
  <c r="AA24" i="25"/>
  <c r="C7" i="34"/>
  <c r="Z24" i="26"/>
  <c r="AA7" i="27"/>
  <c r="AA97" i="17"/>
  <c r="Z15" i="25"/>
  <c r="C35" i="34"/>
  <c r="J10" i="28"/>
  <c r="C33" i="34"/>
  <c r="Z20" i="27"/>
  <c r="Z14" i="26"/>
  <c r="AA18" i="27"/>
  <c r="AA28" i="25"/>
  <c r="AA22" i="27"/>
  <c r="F22" i="27"/>
  <c r="F14" i="27"/>
  <c r="F24" i="25"/>
  <c r="C32" i="34"/>
  <c r="AA31" i="25"/>
  <c r="C9" i="34"/>
  <c r="F10" i="27"/>
  <c r="F21" i="25"/>
  <c r="F26" i="26"/>
  <c r="Z7" i="28"/>
  <c r="Z12" i="30"/>
  <c r="F9" i="27"/>
  <c r="C40" i="34"/>
  <c r="C39" i="34"/>
  <c r="F11" i="29"/>
  <c r="AA26" i="29"/>
  <c r="C8" i="34"/>
  <c r="J11" i="28"/>
  <c r="F13" i="27"/>
  <c r="F23" i="25"/>
  <c r="AA21" i="26"/>
  <c r="F28" i="26"/>
  <c r="F17" i="27"/>
  <c r="C14" i="5"/>
  <c r="F27" i="25"/>
  <c r="C34" i="34"/>
  <c r="Y26" i="26"/>
  <c r="AA12" i="27"/>
  <c r="AA22" i="25"/>
  <c r="J16" i="26"/>
  <c r="AA20" i="27"/>
  <c r="P34" i="29"/>
  <c r="P23" i="29"/>
  <c r="P14" i="29"/>
  <c r="F30" i="25"/>
  <c r="F95" i="17"/>
  <c r="C36" i="34"/>
  <c r="AA13" i="27"/>
  <c r="AA23" i="25"/>
  <c r="C30" i="34"/>
  <c r="Y16" i="30"/>
  <c r="AA40" i="29"/>
  <c r="C27" i="34"/>
  <c r="F16" i="30"/>
  <c r="J16" i="25"/>
  <c r="F26" i="29"/>
  <c r="AA58" i="24"/>
  <c r="J20" i="30"/>
  <c r="Y16" i="27"/>
  <c r="Y26" i="25"/>
  <c r="Q10" i="28"/>
  <c r="C42" i="34"/>
  <c r="C10" i="34"/>
  <c r="F12" i="27"/>
  <c r="F22" i="25"/>
  <c r="J14" i="25"/>
  <c r="J6" i="28"/>
  <c r="Y30" i="25"/>
  <c r="Y95" i="17"/>
  <c r="J15" i="26"/>
  <c r="C41" i="34"/>
  <c r="AA23" i="26"/>
  <c r="Y7" i="27"/>
  <c r="Y97" i="17"/>
  <c r="C31" i="34"/>
  <c r="J24" i="23"/>
  <c r="J21" i="30"/>
  <c r="F16" i="27"/>
  <c r="F26" i="25"/>
  <c r="Y60" i="24"/>
  <c r="Y21" i="27"/>
  <c r="F31" i="26"/>
  <c r="Y23" i="26"/>
  <c r="F40" i="29"/>
  <c r="Y14" i="27"/>
  <c r="Y24" i="25"/>
  <c r="J12" i="30"/>
  <c r="J8" i="24"/>
  <c r="C25" i="34"/>
  <c r="Y10" i="27"/>
  <c r="Y21" i="25"/>
  <c r="K21" i="27"/>
  <c r="Y22" i="27"/>
  <c r="Y8" i="27"/>
  <c r="Y11" i="29"/>
  <c r="F72" i="24"/>
  <c r="Y30" i="26"/>
  <c r="Y18" i="27"/>
  <c r="Y28" i="25"/>
  <c r="F18" i="27"/>
  <c r="F28" i="25"/>
  <c r="F7" i="27"/>
  <c r="F97" i="17"/>
  <c r="Y20" i="27"/>
  <c r="K16" i="27"/>
  <c r="K26" i="25"/>
  <c r="F21" i="27"/>
  <c r="Y13" i="27"/>
  <c r="Y23" i="25"/>
  <c r="Q25" i="23"/>
  <c r="Q22" i="30"/>
  <c r="K10" i="27"/>
  <c r="K21" i="25"/>
  <c r="Q16" i="25"/>
  <c r="K9" i="27"/>
  <c r="F20" i="29"/>
  <c r="Q9" i="24"/>
  <c r="Y6" i="27"/>
  <c r="F8" i="27"/>
  <c r="T13" i="28"/>
  <c r="T98" i="17"/>
  <c r="Q50" i="24"/>
  <c r="K21" i="26"/>
  <c r="T12" i="30"/>
  <c r="T16" i="26"/>
  <c r="Y20" i="29"/>
  <c r="H14" i="9"/>
  <c r="K27" i="26"/>
  <c r="Q7" i="28"/>
  <c r="Y17" i="27"/>
  <c r="V14" i="5"/>
  <c r="Y27" i="25"/>
  <c r="Q14" i="28"/>
  <c r="Q8" i="28"/>
  <c r="T20" i="30"/>
  <c r="T7" i="30"/>
  <c r="K26" i="29"/>
  <c r="Y9" i="27"/>
  <c r="K8" i="27"/>
  <c r="K58" i="24"/>
  <c r="Q20" i="30"/>
  <c r="T16" i="25"/>
  <c r="T14" i="28"/>
  <c r="Y26" i="29"/>
  <c r="K17" i="27"/>
  <c r="H14" i="5"/>
  <c r="K27" i="25"/>
  <c r="Q9" i="28"/>
  <c r="Q14" i="26"/>
  <c r="T24" i="23"/>
  <c r="T21" i="30"/>
  <c r="K20" i="29"/>
  <c r="T14" i="25"/>
  <c r="Q6" i="28"/>
  <c r="Q16" i="26"/>
  <c r="T34" i="24"/>
  <c r="K6" i="27"/>
  <c r="Q14" i="30"/>
  <c r="T10" i="28"/>
  <c r="K30" i="26"/>
  <c r="T25" i="23"/>
  <c r="T22" i="30"/>
  <c r="Q12" i="30"/>
  <c r="K7" i="27"/>
  <c r="K97" i="17"/>
  <c r="Q13" i="28"/>
  <c r="Q98" i="17"/>
  <c r="T7" i="28"/>
  <c r="T9" i="28"/>
  <c r="Q10" i="30"/>
  <c r="K40" i="29"/>
  <c r="T6" i="28"/>
  <c r="K23" i="26"/>
  <c r="Q18" i="30"/>
  <c r="T52" i="24"/>
  <c r="K14" i="27"/>
  <c r="K24" i="25"/>
  <c r="Q11" i="28"/>
  <c r="Q24" i="23"/>
  <c r="Q21" i="30"/>
  <c r="T10" i="30"/>
  <c r="K16" i="30"/>
  <c r="Q54" i="24"/>
  <c r="K31" i="25"/>
  <c r="T8" i="28"/>
  <c r="T54" i="24"/>
  <c r="K12" i="27"/>
  <c r="K22" i="25"/>
  <c r="Q7" i="30"/>
  <c r="K11" i="29"/>
  <c r="T14" i="30"/>
  <c r="T11" i="28"/>
  <c r="K13" i="27"/>
  <c r="K23" i="25"/>
  <c r="T18" i="30"/>
  <c r="V8" i="27"/>
  <c r="V40" i="29"/>
  <c r="V21" i="27"/>
  <c r="V26" i="26"/>
  <c r="V22" i="27"/>
  <c r="V16" i="30"/>
  <c r="J20" i="28"/>
  <c r="J17" i="17"/>
  <c r="V16" i="27"/>
  <c r="V26" i="25"/>
  <c r="V10" i="27"/>
  <c r="V21" i="25"/>
  <c r="V9" i="27"/>
  <c r="V18" i="27"/>
  <c r="V28" i="25"/>
  <c r="V28" i="26"/>
  <c r="V12" i="27"/>
  <c r="V22" i="25"/>
  <c r="J33" i="29"/>
  <c r="J22" i="29"/>
  <c r="J13" i="29"/>
  <c r="V23" i="26"/>
  <c r="V30" i="25"/>
  <c r="V95" i="17"/>
  <c r="V11" i="29"/>
  <c r="V26" i="29"/>
  <c r="V31" i="26"/>
  <c r="V17" i="27"/>
  <c r="S14" i="5"/>
  <c r="V27" i="25"/>
  <c r="V13" i="27"/>
  <c r="V23" i="25"/>
  <c r="V20" i="27"/>
  <c r="V72" i="24"/>
  <c r="V20" i="29"/>
  <c r="N10" i="27"/>
  <c r="N21" i="25"/>
  <c r="K14" i="9"/>
  <c r="N27" i="26"/>
  <c r="N22" i="27"/>
  <c r="N31" i="25"/>
  <c r="N40" i="29"/>
  <c r="N22" i="26"/>
  <c r="N11" i="29"/>
  <c r="N14" i="27"/>
  <c r="N24" i="25"/>
  <c r="N21" i="27"/>
  <c r="N13" i="27"/>
  <c r="N23" i="25"/>
  <c r="N20" i="29"/>
  <c r="N9" i="27"/>
  <c r="N30" i="25"/>
  <c r="N95" i="17"/>
  <c r="N20" i="27"/>
  <c r="N6" i="27"/>
  <c r="N26" i="29"/>
  <c r="N63" i="24"/>
  <c r="N16" i="30"/>
  <c r="N8" i="27"/>
  <c r="N26" i="26"/>
  <c r="N30" i="26"/>
  <c r="N12" i="27"/>
  <c r="N22" i="25"/>
  <c r="L7" i="27"/>
  <c r="L97" i="17"/>
  <c r="F18" i="30"/>
  <c r="F7" i="30"/>
  <c r="F15" i="26"/>
  <c r="F10" i="30"/>
  <c r="F53" i="24"/>
  <c r="F24" i="23"/>
  <c r="F21" i="30"/>
  <c r="F20" i="30"/>
  <c r="F9" i="28"/>
  <c r="F50" i="24"/>
  <c r="F6" i="28"/>
  <c r="F14" i="30"/>
  <c r="F10" i="28"/>
  <c r="F12" i="30"/>
  <c r="F14" i="28"/>
  <c r="F25" i="23"/>
  <c r="F22" i="30"/>
  <c r="F14" i="26"/>
  <c r="F7" i="28"/>
  <c r="F15" i="25"/>
  <c r="F52" i="24"/>
  <c r="F8" i="28"/>
  <c r="F13" i="28"/>
  <c r="F98" i="17"/>
  <c r="F11" i="28"/>
  <c r="H25" i="23"/>
  <c r="H22" i="30"/>
  <c r="H14" i="30"/>
  <c r="H12" i="30"/>
  <c r="H24" i="23"/>
  <c r="H21" i="30"/>
  <c r="H50" i="24"/>
  <c r="H15" i="26"/>
  <c r="H15" i="25"/>
  <c r="H7" i="30"/>
  <c r="H51" i="24"/>
  <c r="H20" i="30"/>
  <c r="H8" i="28"/>
  <c r="H7" i="28"/>
  <c r="H6" i="28"/>
  <c r="H11" i="28"/>
  <c r="H10" i="24"/>
  <c r="H13" i="28"/>
  <c r="H98" i="17"/>
  <c r="H10" i="28"/>
  <c r="H18" i="30"/>
  <c r="H9" i="28"/>
  <c r="H16" i="25"/>
  <c r="H14" i="28"/>
  <c r="H10" i="30"/>
  <c r="P9" i="27"/>
  <c r="P12" i="27"/>
  <c r="P22" i="25"/>
  <c r="P23" i="26"/>
  <c r="P22" i="27"/>
  <c r="P26" i="29"/>
  <c r="P7" i="27"/>
  <c r="P97" i="17"/>
  <c r="P11" i="29"/>
  <c r="P61" i="24"/>
  <c r="P40" i="29"/>
  <c r="P31" i="25"/>
  <c r="M14" i="9"/>
  <c r="P27" i="26"/>
  <c r="P18" i="27"/>
  <c r="P28" i="25"/>
  <c r="P21" i="27"/>
  <c r="P24" i="26"/>
  <c r="P20" i="29"/>
  <c r="P10" i="27"/>
  <c r="P21" i="25"/>
  <c r="P6" i="27"/>
  <c r="P16" i="27"/>
  <c r="P26" i="25"/>
  <c r="P16" i="30"/>
  <c r="P20" i="27"/>
  <c r="P14" i="27"/>
  <c r="P24" i="25"/>
  <c r="P17" i="27"/>
  <c r="M14" i="5"/>
  <c r="P27" i="25"/>
  <c r="O24" i="23"/>
  <c r="O21" i="30"/>
  <c r="O10" i="30"/>
  <c r="O9" i="28"/>
  <c r="L20" i="29"/>
  <c r="O8" i="28"/>
  <c r="O16" i="26"/>
  <c r="L11" i="29"/>
  <c r="L21" i="26"/>
  <c r="L16" i="27"/>
  <c r="L26" i="25"/>
  <c r="C26" i="34"/>
  <c r="O6" i="28"/>
  <c r="O20" i="30"/>
  <c r="I14" i="9"/>
  <c r="L27" i="26"/>
  <c r="O12" i="30"/>
  <c r="L31" i="26"/>
  <c r="O11" i="28"/>
  <c r="L12" i="27"/>
  <c r="L22" i="25"/>
  <c r="O7" i="28"/>
  <c r="O15" i="26"/>
  <c r="O11" i="24"/>
  <c r="L28" i="26"/>
  <c r="L16" i="30"/>
  <c r="L24" i="26"/>
  <c r="O7" i="30"/>
  <c r="O51" i="24"/>
  <c r="L20" i="27"/>
  <c r="L17" i="27"/>
  <c r="I14" i="5"/>
  <c r="L27" i="25"/>
  <c r="L14" i="27"/>
  <c r="L24" i="25"/>
  <c r="O10" i="28"/>
  <c r="L13" i="27"/>
  <c r="L23" i="25"/>
  <c r="L22" i="27"/>
  <c r="O14" i="30"/>
  <c r="L6" i="27"/>
  <c r="O18" i="30"/>
  <c r="O14" i="26"/>
  <c r="O13" i="28"/>
  <c r="O98" i="17"/>
  <c r="L26" i="29"/>
  <c r="O14" i="25"/>
  <c r="L65" i="24"/>
  <c r="O14" i="28"/>
  <c r="L40" i="29"/>
  <c r="I24" i="29"/>
  <c r="L22" i="26"/>
  <c r="O25" i="23"/>
  <c r="O22" i="30"/>
  <c r="L30" i="26"/>
  <c r="G37" i="29"/>
  <c r="G17" i="29"/>
  <c r="G8" i="29"/>
  <c r="G30" i="29"/>
  <c r="G36" i="29"/>
  <c r="G16" i="29"/>
  <c r="G24" i="29"/>
  <c r="D10" i="9"/>
  <c r="G8" i="26"/>
  <c r="D10" i="5"/>
  <c r="G8" i="25"/>
  <c r="E9" i="2"/>
  <c r="G34" i="29"/>
  <c r="G23" i="29"/>
  <c r="G14" i="29"/>
  <c r="G38" i="29"/>
  <c r="G18" i="29"/>
  <c r="G17" i="28"/>
  <c r="G14" i="17"/>
  <c r="I35" i="29"/>
  <c r="I15" i="29"/>
  <c r="G19" i="28"/>
  <c r="G16" i="17"/>
  <c r="F10" i="5"/>
  <c r="I8" i="25"/>
  <c r="G9" i="2"/>
  <c r="G9" i="25"/>
  <c r="G45" i="17"/>
  <c r="I10" i="26"/>
  <c r="G10" i="26"/>
  <c r="I9" i="29"/>
  <c r="G7" i="29"/>
  <c r="G29" i="29"/>
  <c r="G25" i="29"/>
  <c r="G19" i="29"/>
  <c r="G10" i="29"/>
  <c r="F12" i="8"/>
  <c r="D6" i="9"/>
  <c r="D6" i="5"/>
  <c r="E6" i="2"/>
  <c r="I9" i="25"/>
  <c r="I45" i="17"/>
  <c r="N10" i="25"/>
  <c r="N57" i="17"/>
  <c r="N8" i="29"/>
  <c r="N30" i="29"/>
  <c r="N9" i="29"/>
  <c r="I39" i="29"/>
  <c r="I31" i="29"/>
  <c r="F36" i="6"/>
  <c r="F11" i="5"/>
  <c r="G10" i="2"/>
  <c r="I20" i="28"/>
  <c r="I17" i="17"/>
  <c r="G39" i="29"/>
  <c r="G31" i="29"/>
  <c r="D36" i="6"/>
  <c r="D11" i="5"/>
  <c r="E10" i="2"/>
  <c r="G9" i="29"/>
  <c r="I36" i="29"/>
  <c r="I16" i="29"/>
  <c r="N18" i="28"/>
  <c r="N15" i="17"/>
  <c r="I37" i="29"/>
  <c r="I17" i="29"/>
  <c r="N7" i="29"/>
  <c r="N29" i="29"/>
  <c r="G18" i="28"/>
  <c r="G15" i="17"/>
  <c r="N16" i="28"/>
  <c r="N13" i="17"/>
  <c r="F10" i="9"/>
  <c r="I8" i="26"/>
  <c r="J9" i="29"/>
  <c r="N34" i="29"/>
  <c r="N23" i="29"/>
  <c r="N14" i="29"/>
  <c r="I34" i="29"/>
  <c r="I23" i="29"/>
  <c r="I14" i="29"/>
  <c r="G20" i="28"/>
  <c r="G17" i="17"/>
  <c r="I18" i="28"/>
  <c r="I15" i="17"/>
  <c r="G33" i="29"/>
  <c r="G22" i="29"/>
  <c r="G13" i="29"/>
  <c r="K10" i="5"/>
  <c r="N8" i="25"/>
  <c r="L9" i="2"/>
  <c r="G9" i="26"/>
  <c r="N25" i="29"/>
  <c r="N19" i="29"/>
  <c r="N10" i="29"/>
  <c r="M12" i="8"/>
  <c r="K6" i="9"/>
  <c r="K6" i="5"/>
  <c r="L6" i="2"/>
  <c r="I9" i="26"/>
  <c r="N17" i="28"/>
  <c r="N14" i="17"/>
  <c r="G35" i="29"/>
  <c r="G15" i="29"/>
  <c r="I19" i="28"/>
  <c r="I16" i="17"/>
  <c r="G16" i="28"/>
  <c r="G13" i="17"/>
  <c r="I8" i="29"/>
  <c r="I30" i="29"/>
  <c r="N35" i="29"/>
  <c r="N15" i="29"/>
  <c r="N37" i="29"/>
  <c r="N17" i="29"/>
  <c r="I38" i="29"/>
  <c r="I18" i="29"/>
  <c r="N20" i="28"/>
  <c r="N17" i="17"/>
  <c r="I16" i="28"/>
  <c r="I13" i="17"/>
  <c r="N38" i="29"/>
  <c r="N18" i="29"/>
  <c r="I7" i="29"/>
  <c r="I29" i="29"/>
  <c r="N39" i="29"/>
  <c r="N31" i="29"/>
  <c r="K36" i="6"/>
  <c r="K11" i="5"/>
  <c r="L10" i="2"/>
  <c r="N9" i="26"/>
  <c r="I33" i="29"/>
  <c r="I22" i="29"/>
  <c r="I13" i="29"/>
  <c r="I25" i="29"/>
  <c r="I19" i="29"/>
  <c r="I10" i="29"/>
  <c r="H12" i="8"/>
  <c r="F6" i="9"/>
  <c r="F6" i="5"/>
  <c r="G6" i="2"/>
  <c r="N19" i="28"/>
  <c r="N16" i="17"/>
  <c r="N36" i="29"/>
  <c r="N16" i="29"/>
  <c r="I17" i="28"/>
  <c r="I14" i="17"/>
  <c r="J37" i="29"/>
  <c r="J17" i="29"/>
  <c r="N33" i="29"/>
  <c r="N22" i="29"/>
  <c r="N13" i="29"/>
  <c r="N10" i="26"/>
  <c r="J24" i="29"/>
  <c r="J8" i="29"/>
  <c r="J30" i="29"/>
  <c r="K10" i="9"/>
  <c r="N8" i="26"/>
  <c r="J18" i="28"/>
  <c r="J15" i="17"/>
  <c r="J10" i="25"/>
  <c r="J57" i="17"/>
  <c r="G10" i="9"/>
  <c r="J8" i="26"/>
  <c r="N24" i="29"/>
  <c r="J25" i="29"/>
  <c r="J19" i="29"/>
  <c r="J10" i="29"/>
  <c r="I12" i="8"/>
  <c r="G6" i="9"/>
  <c r="G6" i="5"/>
  <c r="H6" i="2"/>
  <c r="J38" i="29"/>
  <c r="J18" i="29"/>
  <c r="T9" i="29"/>
  <c r="J19" i="28"/>
  <c r="J16" i="17"/>
  <c r="J9" i="25"/>
  <c r="J45" i="17"/>
  <c r="J9" i="26"/>
  <c r="J36" i="29"/>
  <c r="J16" i="29"/>
  <c r="J39" i="29"/>
  <c r="J31" i="29"/>
  <c r="G36" i="6"/>
  <c r="G11" i="5"/>
  <c r="H10" i="2"/>
  <c r="J16" i="28"/>
  <c r="J13" i="17"/>
  <c r="J35" i="29"/>
  <c r="J15" i="29"/>
  <c r="J7" i="29"/>
  <c r="J29" i="29"/>
  <c r="J34" i="29"/>
  <c r="J23" i="29"/>
  <c r="J14" i="29"/>
  <c r="J17" i="28"/>
  <c r="J14" i="17"/>
  <c r="T16" i="28"/>
  <c r="T13" i="17"/>
  <c r="T39" i="29"/>
  <c r="T31" i="29"/>
  <c r="Q36" i="6"/>
  <c r="Q11" i="5"/>
  <c r="R10" i="2"/>
  <c r="T17" i="28"/>
  <c r="T14" i="17"/>
  <c r="J10" i="26"/>
  <c r="T36" i="29"/>
  <c r="T16" i="29"/>
  <c r="T33" i="29"/>
  <c r="T22" i="29"/>
  <c r="T13" i="29"/>
  <c r="T7" i="29"/>
  <c r="T29" i="29"/>
  <c r="T18" i="28"/>
  <c r="T15" i="17"/>
  <c r="Q10" i="5"/>
  <c r="T8" i="25"/>
  <c r="R9" i="2"/>
  <c r="C16" i="28"/>
  <c r="C13" i="17"/>
  <c r="S38" i="29"/>
  <c r="S18" i="29"/>
  <c r="S9" i="25"/>
  <c r="S45" i="17"/>
  <c r="S8" i="29"/>
  <c r="S30" i="29"/>
  <c r="T10" i="25"/>
  <c r="T57" i="17"/>
  <c r="S33" i="29"/>
  <c r="S22" i="29"/>
  <c r="S13" i="29"/>
  <c r="C9" i="26"/>
  <c r="T20" i="28"/>
  <c r="T17" i="17"/>
  <c r="T9" i="26"/>
  <c r="T24" i="29"/>
  <c r="S25" i="29"/>
  <c r="S19" i="29"/>
  <c r="S10" i="29"/>
  <c r="R12" i="8"/>
  <c r="P6" i="9"/>
  <c r="P6" i="5"/>
  <c r="Q6" i="2"/>
  <c r="S20" i="28"/>
  <c r="S17" i="17"/>
  <c r="S7" i="29"/>
  <c r="S29" i="29"/>
  <c r="C8" i="29"/>
  <c r="C30" i="29"/>
  <c r="T35" i="29"/>
  <c r="T15" i="29"/>
  <c r="T25" i="29"/>
  <c r="T19" i="29"/>
  <c r="T10" i="29"/>
  <c r="S12" i="8"/>
  <c r="Q6" i="9"/>
  <c r="Q6" i="5"/>
  <c r="R6" i="2"/>
  <c r="T10" i="26"/>
  <c r="C10" i="26"/>
  <c r="S24" i="29"/>
  <c r="T34" i="29"/>
  <c r="T23" i="29"/>
  <c r="T14" i="29"/>
  <c r="S39" i="29"/>
  <c r="S31" i="29"/>
  <c r="P36" i="6"/>
  <c r="P11" i="5"/>
  <c r="Q10" i="2"/>
  <c r="C19" i="28"/>
  <c r="C16" i="17"/>
  <c r="U39" i="29"/>
  <c r="U31" i="29"/>
  <c r="R36" i="6"/>
  <c r="R11" i="5"/>
  <c r="S10" i="2"/>
  <c r="T19" i="28"/>
  <c r="T16" i="17"/>
  <c r="C8" i="26"/>
  <c r="S9" i="29"/>
  <c r="U17" i="28"/>
  <c r="U14" i="17"/>
  <c r="C24" i="29"/>
  <c r="S10" i="25"/>
  <c r="S57" i="17"/>
  <c r="U20" i="28"/>
  <c r="U17" i="17"/>
  <c r="Q10" i="9"/>
  <c r="T8" i="26"/>
  <c r="U10" i="25"/>
  <c r="U57" i="17"/>
  <c r="C33" i="29"/>
  <c r="C22" i="29"/>
  <c r="C13" i="29"/>
  <c r="C36" i="29"/>
  <c r="C16" i="29"/>
  <c r="C34" i="29"/>
  <c r="C23" i="29"/>
  <c r="C14" i="29"/>
  <c r="W19" i="28"/>
  <c r="W16" i="17"/>
  <c r="S9" i="26"/>
  <c r="U19" i="28"/>
  <c r="U16" i="17"/>
  <c r="U38" i="29"/>
  <c r="U18" i="29"/>
  <c r="T38" i="29"/>
  <c r="T18" i="29"/>
  <c r="S36" i="29"/>
  <c r="S16" i="29"/>
  <c r="U10" i="26"/>
  <c r="T37" i="29"/>
  <c r="T17" i="29"/>
  <c r="C10" i="25"/>
  <c r="C57" i="17"/>
  <c r="U24" i="29"/>
  <c r="T8" i="29"/>
  <c r="T30" i="29"/>
  <c r="S18" i="28"/>
  <c r="S15" i="17"/>
  <c r="C35" i="29"/>
  <c r="C15" i="29"/>
  <c r="S34" i="29"/>
  <c r="S23" i="29"/>
  <c r="S14" i="29"/>
  <c r="R10" i="9"/>
  <c r="U8" i="26"/>
  <c r="C9" i="29"/>
  <c r="U16" i="28"/>
  <c r="U13" i="17"/>
  <c r="C8" i="25"/>
  <c r="C18" i="28"/>
  <c r="C15" i="17"/>
  <c r="U18" i="28"/>
  <c r="U15" i="17"/>
  <c r="S19" i="28"/>
  <c r="S16" i="17"/>
  <c r="W35" i="29"/>
  <c r="W15" i="29"/>
  <c r="S10" i="26"/>
  <c r="S37" i="29"/>
  <c r="S17" i="29"/>
  <c r="C25" i="29"/>
  <c r="C19" i="29"/>
  <c r="C10" i="29"/>
  <c r="U25" i="29"/>
  <c r="U19" i="29"/>
  <c r="U10" i="29"/>
  <c r="T12" i="8"/>
  <c r="R6" i="9"/>
  <c r="R6" i="5"/>
  <c r="S6" i="2"/>
  <c r="U37" i="29"/>
  <c r="U17" i="29"/>
  <c r="C7" i="29"/>
  <c r="C29" i="29"/>
  <c r="C20" i="28"/>
  <c r="C17" i="17"/>
  <c r="U8" i="29"/>
  <c r="U30" i="29"/>
  <c r="P10" i="9"/>
  <c r="S8" i="26"/>
  <c r="W33" i="29"/>
  <c r="W22" i="29"/>
  <c r="W13" i="29"/>
  <c r="U33" i="29"/>
  <c r="U22" i="29"/>
  <c r="U13" i="29"/>
  <c r="W9" i="26"/>
  <c r="C39" i="29"/>
  <c r="C31" i="29"/>
  <c r="W17" i="28"/>
  <c r="W14" i="17"/>
  <c r="S17" i="28"/>
  <c r="S14" i="17"/>
  <c r="U34" i="29"/>
  <c r="U23" i="29"/>
  <c r="U14" i="29"/>
  <c r="W7" i="29"/>
  <c r="W29" i="29"/>
  <c r="T10" i="5"/>
  <c r="W8" i="25"/>
  <c r="U9" i="2"/>
  <c r="C37" i="29"/>
  <c r="C17" i="29"/>
  <c r="C38" i="29"/>
  <c r="C18" i="29"/>
  <c r="W18" i="28"/>
  <c r="W15" i="17"/>
  <c r="S16" i="28"/>
  <c r="S13" i="17"/>
  <c r="U9" i="26"/>
  <c r="C17" i="28"/>
  <c r="C14" i="17"/>
  <c r="U36" i="29"/>
  <c r="U16" i="29"/>
  <c r="S35" i="29"/>
  <c r="S15" i="29"/>
  <c r="U9" i="29"/>
  <c r="I10" i="9"/>
  <c r="L8" i="26"/>
  <c r="W37" i="29"/>
  <c r="W17" i="29"/>
  <c r="W9" i="29"/>
  <c r="L18" i="28"/>
  <c r="L15" i="17"/>
  <c r="L38" i="29"/>
  <c r="L18" i="29"/>
  <c r="U35" i="29"/>
  <c r="U15" i="29"/>
  <c r="W20" i="28"/>
  <c r="W17" i="17"/>
  <c r="V14" i="26"/>
  <c r="R10" i="5"/>
  <c r="U8" i="25"/>
  <c r="S9" i="2"/>
  <c r="W24" i="29"/>
  <c r="L24" i="29"/>
  <c r="L10" i="26"/>
  <c r="U7" i="29"/>
  <c r="U29" i="29"/>
  <c r="W36" i="29"/>
  <c r="W16" i="29"/>
  <c r="V13" i="28"/>
  <c r="V98" i="17"/>
  <c r="V15" i="26"/>
  <c r="W8" i="29"/>
  <c r="W30" i="29"/>
  <c r="L33" i="29"/>
  <c r="L22" i="29"/>
  <c r="L13" i="29"/>
  <c r="W39" i="29"/>
  <c r="W31" i="29"/>
  <c r="T36" i="6"/>
  <c r="T11" i="5"/>
  <c r="U10" i="2"/>
  <c r="L35" i="29"/>
  <c r="L15" i="29"/>
  <c r="V7" i="30"/>
  <c r="W34" i="29"/>
  <c r="W23" i="29"/>
  <c r="W14" i="29"/>
  <c r="V10" i="30"/>
  <c r="W25" i="29"/>
  <c r="W19" i="29"/>
  <c r="W10" i="29"/>
  <c r="V12" i="8"/>
  <c r="T6" i="9"/>
  <c r="T6" i="5"/>
  <c r="U6" i="2"/>
  <c r="L9" i="29"/>
  <c r="V24" i="23"/>
  <c r="V21" i="30"/>
  <c r="V12" i="30"/>
  <c r="L17" i="28"/>
  <c r="L14" i="17"/>
  <c r="T10" i="9"/>
  <c r="W8" i="26"/>
  <c r="L16" i="28"/>
  <c r="L13" i="17"/>
  <c r="L20" i="28"/>
  <c r="L17" i="17"/>
  <c r="W10" i="26"/>
  <c r="V10" i="28"/>
  <c r="W16" i="28"/>
  <c r="W13" i="17"/>
  <c r="V50" i="24"/>
  <c r="L34" i="29"/>
  <c r="L23" i="29"/>
  <c r="L14" i="29"/>
  <c r="V15" i="25"/>
  <c r="L7" i="29"/>
  <c r="L29" i="29"/>
  <c r="L39" i="29"/>
  <c r="L31" i="29"/>
  <c r="I36" i="6"/>
  <c r="I11" i="5"/>
  <c r="J10" i="2"/>
  <c r="W38" i="29"/>
  <c r="W18" i="29"/>
  <c r="V52" i="24"/>
  <c r="I10" i="5"/>
  <c r="L8" i="25"/>
  <c r="J9" i="2"/>
  <c r="W9" i="25"/>
  <c r="W45" i="17"/>
  <c r="V11" i="28"/>
  <c r="L19" i="28"/>
  <c r="L16" i="17"/>
  <c r="L9" i="26"/>
  <c r="V6" i="28"/>
  <c r="L36" i="29"/>
  <c r="L16" i="29"/>
  <c r="L25" i="29"/>
  <c r="L19" i="29"/>
  <c r="L10" i="29"/>
  <c r="K12" i="8"/>
  <c r="I6" i="9"/>
  <c r="I6" i="5"/>
  <c r="J6" i="2"/>
  <c r="V16" i="26"/>
  <c r="V16" i="25"/>
  <c r="V18" i="30"/>
  <c r="L37" i="29"/>
  <c r="L17" i="29"/>
  <c r="L8" i="29"/>
  <c r="L30" i="29"/>
  <c r="V14" i="30"/>
  <c r="V8" i="28"/>
  <c r="L10" i="25"/>
  <c r="L57" i="17"/>
  <c r="V7" i="28"/>
  <c r="V25" i="23"/>
  <c r="V22" i="30"/>
  <c r="V20" i="30"/>
  <c r="V14" i="28"/>
  <c r="E7" i="29"/>
  <c r="E29" i="29"/>
  <c r="E33" i="29"/>
  <c r="E22" i="29"/>
  <c r="E13" i="29"/>
  <c r="E20" i="28"/>
  <c r="E17" i="17"/>
  <c r="E16" i="28"/>
  <c r="E13" i="17"/>
  <c r="E37" i="29"/>
  <c r="E17" i="29"/>
  <c r="E25" i="29"/>
  <c r="E19" i="29"/>
  <c r="E10" i="29"/>
  <c r="D12" i="8"/>
  <c r="C6" i="2"/>
  <c r="E38" i="29"/>
  <c r="E18" i="29"/>
  <c r="E36" i="29"/>
  <c r="E16" i="29"/>
  <c r="E8" i="29"/>
  <c r="E30" i="29"/>
  <c r="E9" i="29"/>
  <c r="E9" i="26"/>
  <c r="E8" i="25"/>
  <c r="C9" i="2"/>
  <c r="E24" i="29"/>
  <c r="E8" i="26"/>
  <c r="E18" i="28"/>
  <c r="E15" i="17"/>
  <c r="E17" i="28"/>
  <c r="E14" i="17"/>
  <c r="E35" i="29"/>
  <c r="E15" i="29"/>
  <c r="E9" i="25"/>
  <c r="E45" i="17"/>
  <c r="E34" i="29"/>
  <c r="E23" i="29"/>
  <c r="E14" i="29"/>
  <c r="E39" i="29"/>
  <c r="E31" i="29"/>
  <c r="C10" i="2"/>
  <c r="E19" i="28"/>
  <c r="E16" i="17"/>
  <c r="E10" i="26"/>
  <c r="D8" i="25"/>
  <c r="D8" i="26"/>
  <c r="D33" i="29"/>
  <c r="D22" i="29"/>
  <c r="D13" i="29"/>
  <c r="D10" i="26"/>
  <c r="D8" i="29"/>
  <c r="D30" i="29"/>
  <c r="D10" i="25"/>
  <c r="D57" i="17"/>
  <c r="D37" i="29"/>
  <c r="D17" i="29"/>
  <c r="D20" i="28"/>
  <c r="D17" i="17"/>
  <c r="D16" i="28"/>
  <c r="D13" i="17"/>
  <c r="D25" i="29"/>
  <c r="D19" i="29"/>
  <c r="D10" i="29"/>
  <c r="C12" i="8"/>
  <c r="D18" i="28"/>
  <c r="D15" i="17"/>
  <c r="D38" i="29"/>
  <c r="D18" i="29"/>
  <c r="D39" i="29"/>
  <c r="D31" i="29"/>
  <c r="D19" i="28"/>
  <c r="D16" i="17"/>
  <c r="D34" i="29"/>
  <c r="D23" i="29"/>
  <c r="D14" i="29"/>
  <c r="D9" i="25"/>
  <c r="D45" i="17"/>
  <c r="D36" i="29"/>
  <c r="D16" i="29"/>
  <c r="D17" i="28"/>
  <c r="D14" i="17"/>
  <c r="D24" i="29"/>
  <c r="D7" i="29"/>
  <c r="D29" i="29"/>
  <c r="D9" i="29"/>
  <c r="D35" i="29"/>
  <c r="D15" i="29"/>
  <c r="Y7" i="29"/>
  <c r="Y29" i="29"/>
  <c r="Y33" i="29"/>
  <c r="Y22" i="29"/>
  <c r="Y13" i="29"/>
  <c r="Y35" i="29"/>
  <c r="Y15" i="29"/>
  <c r="Y18" i="28"/>
  <c r="Y15" i="17"/>
  <c r="Y20" i="28"/>
  <c r="Y17" i="17"/>
  <c r="Y19" i="28"/>
  <c r="Y16" i="17"/>
  <c r="Y25" i="29"/>
  <c r="Y19" i="29"/>
  <c r="Y10" i="29"/>
  <c r="X12" i="8"/>
  <c r="V6" i="9"/>
  <c r="V6" i="5"/>
  <c r="W6" i="2"/>
  <c r="Y24" i="29"/>
  <c r="Y36" i="29"/>
  <c r="Y16" i="29"/>
  <c r="Y38" i="29"/>
  <c r="Y18" i="29"/>
  <c r="Y9" i="25"/>
  <c r="Y45" i="17"/>
  <c r="W11" i="29"/>
  <c r="Y37" i="29"/>
  <c r="Y17" i="29"/>
  <c r="Y39" i="29"/>
  <c r="Y31" i="29"/>
  <c r="V36" i="6"/>
  <c r="V11" i="5"/>
  <c r="W10" i="2"/>
  <c r="Y10" i="26"/>
  <c r="Y9" i="26"/>
  <c r="Y16" i="28"/>
  <c r="Y13" i="17"/>
  <c r="Y34" i="29"/>
  <c r="Y23" i="29"/>
  <c r="Y14" i="29"/>
  <c r="Y9" i="29"/>
  <c r="Y17" i="28"/>
  <c r="Y14" i="17"/>
  <c r="V10" i="9"/>
  <c r="Y8" i="26"/>
  <c r="Y8" i="29"/>
  <c r="Y30" i="29"/>
  <c r="V10" i="5"/>
  <c r="Y8" i="25"/>
  <c r="W9" i="2"/>
  <c r="Z35" i="29"/>
  <c r="Z15" i="29"/>
  <c r="Z25" i="29"/>
  <c r="Z19" i="29"/>
  <c r="Z10" i="29"/>
  <c r="Y12" i="8"/>
  <c r="W6" i="9"/>
  <c r="W6" i="5"/>
  <c r="X6" i="2"/>
  <c r="W10" i="5"/>
  <c r="Z8" i="25"/>
  <c r="X9" i="2"/>
  <c r="W13" i="27"/>
  <c r="W23" i="25"/>
  <c r="V7" i="29"/>
  <c r="V29" i="29"/>
  <c r="V39" i="29"/>
  <c r="V31" i="29"/>
  <c r="S36" i="6"/>
  <c r="S11" i="5"/>
  <c r="T10" i="2"/>
  <c r="Z18" i="28"/>
  <c r="Z15" i="17"/>
  <c r="W62" i="24"/>
  <c r="W20" i="29"/>
  <c r="N16" i="25"/>
  <c r="N14" i="28"/>
  <c r="R36" i="29"/>
  <c r="R16" i="29"/>
  <c r="Z7" i="29"/>
  <c r="Z29" i="29"/>
  <c r="W30" i="26"/>
  <c r="V19" i="28"/>
  <c r="V16" i="17"/>
  <c r="N6" i="28"/>
  <c r="N14" i="25"/>
  <c r="Z39" i="29"/>
  <c r="Z31" i="29"/>
  <c r="W36" i="6"/>
  <c r="W11" i="5"/>
  <c r="X10" i="2"/>
  <c r="W21" i="26"/>
  <c r="W18" i="27"/>
  <c r="W28" i="25"/>
  <c r="W31" i="26"/>
  <c r="V36" i="29"/>
  <c r="V16" i="29"/>
  <c r="V33" i="29"/>
  <c r="V22" i="29"/>
  <c r="V13" i="29"/>
  <c r="N18" i="30"/>
  <c r="N51" i="24"/>
  <c r="Z9" i="25"/>
  <c r="Z45" i="17"/>
  <c r="AA9" i="25"/>
  <c r="AA45" i="17"/>
  <c r="Z36" i="29"/>
  <c r="Z16" i="29"/>
  <c r="N7" i="30"/>
  <c r="S10" i="5"/>
  <c r="V8" i="25"/>
  <c r="T9" i="2"/>
  <c r="F40" i="34"/>
  <c r="N14" i="26"/>
  <c r="AA37" i="29"/>
  <c r="AA17" i="29"/>
  <c r="V18" i="28"/>
  <c r="V15" i="17"/>
  <c r="Z16" i="28"/>
  <c r="Z13" i="17"/>
  <c r="W16" i="30"/>
  <c r="N25" i="23"/>
  <c r="N22" i="30"/>
  <c r="Z17" i="28"/>
  <c r="Z14" i="17"/>
  <c r="Z8" i="29"/>
  <c r="Z30" i="29"/>
  <c r="AA10" i="26"/>
  <c r="AA20" i="28"/>
  <c r="AA17" i="17"/>
  <c r="AA19" i="28"/>
  <c r="AA16" i="17"/>
  <c r="V35" i="29"/>
  <c r="V15" i="29"/>
  <c r="Z33" i="29"/>
  <c r="Z22" i="29"/>
  <c r="Z13" i="29"/>
  <c r="AA35" i="29"/>
  <c r="AA15" i="29"/>
  <c r="F30" i="34"/>
  <c r="W12" i="27"/>
  <c r="W22" i="25"/>
  <c r="V16" i="28"/>
  <c r="V13" i="17"/>
  <c r="F10" i="34"/>
  <c r="W22" i="27"/>
  <c r="F33" i="34"/>
  <c r="Z9" i="29"/>
  <c r="V37" i="29"/>
  <c r="V17" i="29"/>
  <c r="N14" i="30"/>
  <c r="W26" i="29"/>
  <c r="W21" i="27"/>
  <c r="F25" i="34"/>
  <c r="AA17" i="28"/>
  <c r="AA14" i="17"/>
  <c r="F41" i="34"/>
  <c r="F8" i="34"/>
  <c r="W9" i="27"/>
  <c r="N12" i="30"/>
  <c r="W28" i="26"/>
  <c r="V17" i="28"/>
  <c r="V14" i="17"/>
  <c r="Z10" i="25"/>
  <c r="Z57" i="17"/>
  <c r="N10" i="28"/>
  <c r="W20" i="27"/>
  <c r="AA39" i="29"/>
  <c r="AA31" i="29"/>
  <c r="X36" i="6"/>
  <c r="X11" i="5"/>
  <c r="Y10" i="2"/>
  <c r="F39" i="34"/>
  <c r="AA7" i="29"/>
  <c r="AA29" i="29"/>
  <c r="S10" i="9"/>
  <c r="V8" i="26"/>
  <c r="N16" i="26"/>
  <c r="Z38" i="29"/>
  <c r="Z18" i="29"/>
  <c r="W30" i="25"/>
  <c r="W95" i="17"/>
  <c r="R18" i="28"/>
  <c r="R15" i="17"/>
  <c r="Z24" i="29"/>
  <c r="F38" i="34"/>
  <c r="N11" i="28"/>
  <c r="AA8" i="29"/>
  <c r="AA30" i="29"/>
  <c r="F32" i="34"/>
  <c r="W17" i="27"/>
  <c r="T14" i="5"/>
  <c r="W27" i="25"/>
  <c r="W26" i="26"/>
  <c r="N10" i="30"/>
  <c r="Z20" i="28"/>
  <c r="Z17" i="17"/>
  <c r="AA36" i="29"/>
  <c r="AA16" i="29"/>
  <c r="F36" i="34"/>
  <c r="AA9" i="26"/>
  <c r="N7" i="28"/>
  <c r="W40" i="29"/>
  <c r="Z34" i="29"/>
  <c r="Z23" i="29"/>
  <c r="Z14" i="29"/>
  <c r="AA18" i="28"/>
  <c r="AA15" i="17"/>
  <c r="N8" i="28"/>
  <c r="W8" i="27"/>
  <c r="F9" i="34"/>
  <c r="Z37" i="29"/>
  <c r="Z17" i="29"/>
  <c r="AA38" i="29"/>
  <c r="AA18" i="29"/>
  <c r="AA24" i="29"/>
  <c r="R19" i="28"/>
  <c r="R16" i="17"/>
  <c r="V24" i="29"/>
  <c r="N41" i="34"/>
  <c r="W14" i="27"/>
  <c r="W24" i="25"/>
  <c r="N9" i="28"/>
  <c r="W10" i="9"/>
  <c r="Z8" i="26"/>
  <c r="N30" i="34"/>
  <c r="F34" i="34"/>
  <c r="V20" i="28"/>
  <c r="V17" i="17"/>
  <c r="V38" i="29"/>
  <c r="V18" i="29"/>
  <c r="R9" i="29"/>
  <c r="Z19" i="28"/>
  <c r="Z16" i="17"/>
  <c r="N38" i="34"/>
  <c r="F27" i="34"/>
  <c r="N24" i="23"/>
  <c r="N21" i="30"/>
  <c r="Z10" i="26"/>
  <c r="V25" i="29"/>
  <c r="V19" i="29"/>
  <c r="V10" i="29"/>
  <c r="U12" i="8"/>
  <c r="S6" i="9"/>
  <c r="S6" i="5"/>
  <c r="T6" i="2"/>
  <c r="X10" i="5"/>
  <c r="AA8" i="25"/>
  <c r="Y9" i="2"/>
  <c r="N15" i="26"/>
  <c r="R24" i="29"/>
  <c r="F35" i="34"/>
  <c r="AA16" i="28"/>
  <c r="AA13" i="17"/>
  <c r="N20" i="30"/>
  <c r="R9" i="25"/>
  <c r="R45" i="17"/>
  <c r="V10" i="25"/>
  <c r="V57" i="17"/>
  <c r="N27" i="34"/>
  <c r="R38" i="29"/>
  <c r="R18" i="29"/>
  <c r="F42" i="34"/>
  <c r="X10" i="9"/>
  <c r="AA8" i="26"/>
  <c r="F31" i="34"/>
  <c r="N13" i="28"/>
  <c r="N98" i="17"/>
  <c r="V34" i="29"/>
  <c r="V23" i="29"/>
  <c r="V14" i="29"/>
  <c r="N35" i="34"/>
  <c r="F7" i="34"/>
  <c r="AA33" i="29"/>
  <c r="AA22" i="29"/>
  <c r="AA13" i="29"/>
  <c r="H10" i="5"/>
  <c r="K8" i="25"/>
  <c r="I9" i="2"/>
  <c r="K20" i="28"/>
  <c r="K17" i="17"/>
  <c r="R20" i="28"/>
  <c r="R17" i="17"/>
  <c r="V8" i="29"/>
  <c r="V30" i="29"/>
  <c r="H10" i="9"/>
  <c r="K8" i="26"/>
  <c r="N7" i="34"/>
  <c r="N8" i="34"/>
  <c r="F37" i="34"/>
  <c r="V9" i="25"/>
  <c r="V45" i="17"/>
  <c r="R33" i="29"/>
  <c r="R22" i="29"/>
  <c r="R13" i="29"/>
  <c r="AA9" i="29"/>
  <c r="K9" i="26"/>
  <c r="N25" i="34"/>
  <c r="V10" i="26"/>
  <c r="H9" i="34"/>
  <c r="R34" i="29"/>
  <c r="R23" i="29"/>
  <c r="R14" i="29"/>
  <c r="K8" i="29"/>
  <c r="K30" i="29"/>
  <c r="AA25" i="29"/>
  <c r="AA19" i="29"/>
  <c r="AA10" i="29"/>
  <c r="Z12" i="8"/>
  <c r="X6" i="9"/>
  <c r="X6" i="5"/>
  <c r="Y6" i="2"/>
  <c r="N40" i="34"/>
  <c r="K17" i="28"/>
  <c r="K14" i="17"/>
  <c r="K9" i="25"/>
  <c r="K45" i="17"/>
  <c r="P9" i="28"/>
  <c r="H33" i="34"/>
  <c r="P53" i="24"/>
  <c r="N34" i="34"/>
  <c r="P13" i="28"/>
  <c r="P98" i="17"/>
  <c r="H40" i="34"/>
  <c r="P14" i="28"/>
  <c r="AA34" i="29"/>
  <c r="AA23" i="29"/>
  <c r="AA14" i="29"/>
  <c r="R9" i="26"/>
  <c r="R8" i="29"/>
  <c r="R30" i="29"/>
  <c r="N37" i="34"/>
  <c r="N36" i="34"/>
  <c r="V9" i="29"/>
  <c r="K18" i="28"/>
  <c r="K15" i="17"/>
  <c r="R10" i="26"/>
  <c r="N31" i="34"/>
  <c r="P7" i="28"/>
  <c r="K36" i="29"/>
  <c r="K16" i="29"/>
  <c r="K37" i="29"/>
  <c r="K17" i="29"/>
  <c r="N9" i="34"/>
  <c r="H31" i="34"/>
  <c r="P10" i="28"/>
  <c r="H39" i="34"/>
  <c r="H36" i="34"/>
  <c r="N42" i="34"/>
  <c r="K39" i="29"/>
  <c r="K31" i="29"/>
  <c r="H36" i="6"/>
  <c r="H11" i="5"/>
  <c r="I10" i="2"/>
  <c r="N39" i="34"/>
  <c r="H10" i="34"/>
  <c r="R10" i="25"/>
  <c r="R57" i="17"/>
  <c r="P7" i="30"/>
  <c r="P15" i="26"/>
  <c r="P16" i="25"/>
  <c r="O10" i="9"/>
  <c r="R8" i="26"/>
  <c r="K38" i="29"/>
  <c r="K18" i="29"/>
  <c r="H8" i="34"/>
  <c r="H42" i="34"/>
  <c r="N32" i="34"/>
  <c r="K34" i="29"/>
  <c r="K23" i="29"/>
  <c r="K14" i="29"/>
  <c r="R37" i="29"/>
  <c r="R17" i="29"/>
  <c r="H35" i="34"/>
  <c r="K7" i="29"/>
  <c r="K29" i="29"/>
  <c r="R7" i="29"/>
  <c r="R29" i="29"/>
  <c r="P25" i="23"/>
  <c r="P22" i="30"/>
  <c r="K10" i="26"/>
  <c r="H25" i="34"/>
  <c r="R16" i="28"/>
  <c r="R13" i="17"/>
  <c r="N33" i="34"/>
  <c r="K25" i="29"/>
  <c r="K19" i="29"/>
  <c r="K10" i="29"/>
  <c r="J12" i="8"/>
  <c r="H6" i="9"/>
  <c r="H6" i="5"/>
  <c r="I6" i="2"/>
  <c r="R39" i="29"/>
  <c r="R31" i="29"/>
  <c r="O36" i="6"/>
  <c r="O11" i="5"/>
  <c r="P10" i="2"/>
  <c r="H34" i="34"/>
  <c r="R25" i="29"/>
  <c r="R19" i="29"/>
  <c r="R10" i="29"/>
  <c r="Q12" i="8"/>
  <c r="O6" i="9"/>
  <c r="O6" i="5"/>
  <c r="P6" i="2"/>
  <c r="P16" i="26"/>
  <c r="N10" i="34"/>
  <c r="P12" i="30"/>
  <c r="H41" i="34"/>
  <c r="K19" i="28"/>
  <c r="K16" i="17"/>
  <c r="P18" i="30"/>
  <c r="H30" i="34"/>
  <c r="K35" i="29"/>
  <c r="K15" i="29"/>
  <c r="R35" i="29"/>
  <c r="R15" i="29"/>
  <c r="P20" i="30"/>
  <c r="P14" i="26"/>
  <c r="H27" i="34"/>
  <c r="K9" i="29"/>
  <c r="K16" i="28"/>
  <c r="K13" i="17"/>
  <c r="K24" i="29"/>
  <c r="R17" i="28"/>
  <c r="R14" i="17"/>
  <c r="H7" i="34"/>
  <c r="H38" i="34"/>
  <c r="P6" i="28"/>
  <c r="H32" i="34"/>
  <c r="P24" i="23"/>
  <c r="P21" i="30"/>
  <c r="K33" i="29"/>
  <c r="K22" i="29"/>
  <c r="K13" i="29"/>
  <c r="P14" i="30"/>
  <c r="H37" i="34"/>
  <c r="P15" i="25"/>
  <c r="P11" i="28"/>
  <c r="P8" i="28"/>
  <c r="Q34" i="29"/>
  <c r="Q23" i="29"/>
  <c r="Q14" i="29"/>
  <c r="P10" i="30"/>
  <c r="Q9" i="29"/>
  <c r="Q19" i="28"/>
  <c r="Q16" i="17"/>
  <c r="Q38" i="29"/>
  <c r="Q18" i="29"/>
  <c r="N10" i="9"/>
  <c r="Q8" i="26"/>
  <c r="Q35" i="29"/>
  <c r="Q15" i="29"/>
  <c r="Q36" i="29"/>
  <c r="Q16" i="29"/>
  <c r="Q17" i="28"/>
  <c r="Q14" i="17"/>
  <c r="Q18" i="28"/>
  <c r="Q15" i="17"/>
  <c r="C12" i="30"/>
  <c r="Q10" i="26"/>
  <c r="Q37" i="29"/>
  <c r="Q17" i="29"/>
  <c r="C10" i="30"/>
  <c r="Q7" i="29"/>
  <c r="Q29" i="29"/>
  <c r="C24" i="23"/>
  <c r="C21" i="30"/>
  <c r="C25" i="23"/>
  <c r="C22" i="30"/>
  <c r="Q8" i="29"/>
  <c r="Q30" i="29"/>
  <c r="Q39" i="29"/>
  <c r="Q31" i="29"/>
  <c r="N36" i="6"/>
  <c r="N11" i="5"/>
  <c r="O10" i="2"/>
  <c r="C6" i="28"/>
  <c r="Q9" i="26"/>
  <c r="C14" i="28"/>
  <c r="Q24" i="29"/>
  <c r="C18" i="30"/>
  <c r="Q33" i="29"/>
  <c r="Q22" i="29"/>
  <c r="Q13" i="29"/>
  <c r="C9" i="28"/>
  <c r="C8" i="28"/>
  <c r="Q20" i="28"/>
  <c r="Q17" i="17"/>
  <c r="C20" i="30"/>
  <c r="Q25" i="29"/>
  <c r="Q19" i="29"/>
  <c r="Q10" i="29"/>
  <c r="P12" i="8"/>
  <c r="N6" i="9"/>
  <c r="N6" i="5"/>
  <c r="O6" i="2"/>
  <c r="Q10" i="25"/>
  <c r="Q57" i="17"/>
  <c r="N10" i="5"/>
  <c r="Q8" i="25"/>
  <c r="O9" i="2"/>
  <c r="C7" i="28"/>
  <c r="C34" i="24"/>
  <c r="C54" i="24"/>
  <c r="D31" i="34"/>
  <c r="Q16" i="28"/>
  <c r="Q13" i="17"/>
  <c r="D7" i="34"/>
  <c r="C14" i="26"/>
  <c r="D34" i="34"/>
  <c r="C15" i="26"/>
  <c r="C14" i="30"/>
  <c r="D40" i="34"/>
  <c r="C7" i="24"/>
  <c r="D38" i="34"/>
  <c r="D32" i="34"/>
  <c r="D25" i="34"/>
  <c r="C10" i="28"/>
  <c r="C16" i="26"/>
  <c r="C7" i="30"/>
  <c r="C11" i="28"/>
  <c r="D42" i="34"/>
  <c r="D30" i="34"/>
  <c r="D36" i="34"/>
  <c r="D8" i="34"/>
  <c r="C13" i="28"/>
  <c r="C98" i="17"/>
  <c r="D37" i="34"/>
  <c r="D39" i="34"/>
  <c r="D35" i="34"/>
  <c r="D10" i="34"/>
  <c r="D9" i="34"/>
  <c r="D33" i="34"/>
  <c r="D27" i="34"/>
  <c r="L8" i="34"/>
  <c r="D41" i="34"/>
  <c r="L35" i="34"/>
  <c r="L41" i="34"/>
  <c r="L38" i="34"/>
  <c r="L31" i="34"/>
  <c r="L42" i="34"/>
  <c r="L40" i="34"/>
  <c r="L33" i="34"/>
  <c r="L36" i="34"/>
  <c r="L9" i="34"/>
  <c r="L10" i="34"/>
  <c r="L27" i="34"/>
  <c r="L32" i="34"/>
  <c r="L25" i="34"/>
  <c r="L39" i="34"/>
  <c r="L34" i="34"/>
  <c r="L30" i="34"/>
  <c r="L37" i="34"/>
  <c r="L7" i="34"/>
  <c r="G18" i="27"/>
  <c r="G28" i="25"/>
  <c r="G28" i="26"/>
  <c r="G17" i="27"/>
  <c r="D14" i="5"/>
  <c r="G27" i="25"/>
  <c r="G26" i="26"/>
  <c r="G8" i="27"/>
  <c r="G22" i="27"/>
  <c r="G7" i="27"/>
  <c r="G97" i="17"/>
  <c r="G16" i="27"/>
  <c r="G26" i="25"/>
  <c r="G16" i="30"/>
  <c r="G11" i="29"/>
  <c r="G21" i="27"/>
  <c r="G20" i="29"/>
  <c r="G13" i="27"/>
  <c r="G23" i="25"/>
  <c r="G14" i="27"/>
  <c r="G24" i="25"/>
  <c r="G6" i="27"/>
  <c r="G40" i="29"/>
  <c r="G31" i="26"/>
  <c r="G12" i="27"/>
  <c r="G22" i="25"/>
  <c r="G21" i="26"/>
  <c r="G62" i="24"/>
  <c r="G26" i="29"/>
  <c r="AA52" i="24"/>
  <c r="AA12" i="30"/>
  <c r="AA7" i="30"/>
  <c r="G30" i="25"/>
  <c r="G95" i="17"/>
  <c r="AA15" i="25"/>
  <c r="AA16" i="26"/>
  <c r="AA6" i="28"/>
  <c r="AA13" i="28"/>
  <c r="AA98" i="17"/>
  <c r="AA11" i="28"/>
  <c r="AA8" i="28"/>
  <c r="AA7" i="28"/>
  <c r="AA24" i="23"/>
  <c r="AA21" i="30"/>
  <c r="AA20" i="30"/>
  <c r="AA15" i="26"/>
  <c r="AA14" i="26"/>
  <c r="AA10" i="28"/>
  <c r="AA53" i="24"/>
  <c r="AA14" i="28"/>
  <c r="AA18" i="30"/>
  <c r="AA14" i="30"/>
  <c r="AA10" i="30"/>
  <c r="AA9" i="28"/>
  <c r="AA25" i="23"/>
  <c r="AA22" i="30"/>
  <c r="F20" i="28"/>
  <c r="F17" i="17"/>
  <c r="P33" i="34"/>
  <c r="P41" i="34"/>
  <c r="P31" i="34"/>
  <c r="P36" i="34"/>
  <c r="P10" i="34"/>
  <c r="X7" i="29"/>
  <c r="X29" i="29"/>
  <c r="P30" i="34"/>
  <c r="P39" i="34"/>
  <c r="P35" i="34"/>
  <c r="P38" i="34"/>
  <c r="P42" i="34"/>
  <c r="P40" i="34"/>
  <c r="P34" i="34"/>
  <c r="P9" i="34"/>
  <c r="P25" i="34"/>
  <c r="P32" i="34"/>
  <c r="F34" i="29"/>
  <c r="F23" i="29"/>
  <c r="F14" i="29"/>
  <c r="P8" i="34"/>
  <c r="P7" i="34"/>
  <c r="F8" i="29"/>
  <c r="F30" i="29"/>
  <c r="P37" i="34"/>
  <c r="F25" i="29"/>
  <c r="F19" i="29"/>
  <c r="F10" i="29"/>
  <c r="E12" i="8"/>
  <c r="C6" i="9"/>
  <c r="C6" i="5"/>
  <c r="D6" i="2"/>
  <c r="P27" i="34"/>
  <c r="F38" i="29"/>
  <c r="F18" i="29"/>
  <c r="F9" i="29"/>
  <c r="F24" i="29"/>
  <c r="F36" i="29"/>
  <c r="F16" i="29"/>
  <c r="F9" i="25"/>
  <c r="F45" i="17"/>
  <c r="F10" i="26"/>
  <c r="F33" i="29"/>
  <c r="F22" i="29"/>
  <c r="F13" i="29"/>
  <c r="C10" i="9"/>
  <c r="F8" i="26"/>
  <c r="D31" i="26"/>
  <c r="D13" i="27"/>
  <c r="D23" i="25"/>
  <c r="D16" i="30"/>
  <c r="F35" i="29"/>
  <c r="F15" i="29"/>
  <c r="X25" i="29"/>
  <c r="X19" i="29"/>
  <c r="X10" i="29"/>
  <c r="W12" i="8"/>
  <c r="U6" i="9"/>
  <c r="U6" i="5"/>
  <c r="V6" i="2"/>
  <c r="F17" i="28"/>
  <c r="F14" i="17"/>
  <c r="F16" i="28"/>
  <c r="F13" i="17"/>
  <c r="F39" i="29"/>
  <c r="F31" i="29"/>
  <c r="C36" i="6"/>
  <c r="C11" i="5"/>
  <c r="D10" i="2"/>
  <c r="D16" i="27"/>
  <c r="D26" i="25"/>
  <c r="F7" i="29"/>
  <c r="F29" i="29"/>
  <c r="D57" i="24"/>
  <c r="C10" i="5"/>
  <c r="F8" i="25"/>
  <c r="D9" i="2"/>
  <c r="D22" i="26"/>
  <c r="F9" i="26"/>
  <c r="D7" i="27"/>
  <c r="D97" i="17"/>
  <c r="D26" i="26"/>
  <c r="F19" i="28"/>
  <c r="F16" i="17"/>
  <c r="D26" i="29"/>
  <c r="D18" i="27"/>
  <c r="D28" i="25"/>
  <c r="D11" i="29"/>
  <c r="F37" i="29"/>
  <c r="F17" i="29"/>
  <c r="D9" i="27"/>
  <c r="Y8" i="28"/>
  <c r="F18" i="28"/>
  <c r="F15" i="17"/>
  <c r="D20" i="29"/>
  <c r="D20" i="27"/>
  <c r="D22" i="27"/>
  <c r="D21" i="27"/>
  <c r="D17" i="27"/>
  <c r="D27" i="25"/>
  <c r="X24" i="29"/>
  <c r="D8" i="27"/>
  <c r="U10" i="9"/>
  <c r="X8" i="26"/>
  <c r="X39" i="29"/>
  <c r="X31" i="29"/>
  <c r="U36" i="6"/>
  <c r="U11" i="5"/>
  <c r="V10" i="2"/>
  <c r="D12" i="27"/>
  <c r="D22" i="25"/>
  <c r="D14" i="27"/>
  <c r="D24" i="25"/>
  <c r="X35" i="29"/>
  <c r="X15" i="29"/>
  <c r="L10" i="5"/>
  <c r="O8" i="25"/>
  <c r="M9" i="2"/>
  <c r="X8" i="29"/>
  <c r="X30" i="29"/>
  <c r="X17" i="28"/>
  <c r="X14" i="17"/>
  <c r="D40" i="29"/>
  <c r="X9" i="26"/>
  <c r="D28" i="26"/>
  <c r="L18" i="30"/>
  <c r="O34" i="29"/>
  <c r="O23" i="29"/>
  <c r="O14" i="29"/>
  <c r="O39" i="29"/>
  <c r="O31" i="29"/>
  <c r="L36" i="6"/>
  <c r="L11" i="5"/>
  <c r="M10" i="2"/>
  <c r="O38" i="29"/>
  <c r="O18" i="29"/>
  <c r="X10" i="26"/>
  <c r="O19" i="28"/>
  <c r="O16" i="17"/>
  <c r="X34" i="29"/>
  <c r="X23" i="29"/>
  <c r="X14" i="29"/>
  <c r="X9" i="29"/>
  <c r="X19" i="28"/>
  <c r="X16" i="17"/>
  <c r="O36" i="29"/>
  <c r="O16" i="29"/>
  <c r="O9" i="25"/>
  <c r="O45" i="17"/>
  <c r="X36" i="29"/>
  <c r="X16" i="29"/>
  <c r="L10" i="30"/>
  <c r="O35" i="29"/>
  <c r="O15" i="29"/>
  <c r="O24" i="29"/>
  <c r="O9" i="26"/>
  <c r="X33" i="29"/>
  <c r="X22" i="29"/>
  <c r="X13" i="29"/>
  <c r="O10" i="26"/>
  <c r="X37" i="29"/>
  <c r="X17" i="29"/>
  <c r="Y15" i="25"/>
  <c r="X38" i="29"/>
  <c r="X18" i="29"/>
  <c r="L51" i="24"/>
  <c r="Y10" i="30"/>
  <c r="Y18" i="30"/>
  <c r="O20" i="28"/>
  <c r="O17" i="17"/>
  <c r="L8" i="28"/>
  <c r="Y14" i="25"/>
  <c r="Y7" i="30"/>
  <c r="O8" i="29"/>
  <c r="O30" i="29"/>
  <c r="L14" i="28"/>
  <c r="Y20" i="30"/>
  <c r="Y9" i="28"/>
  <c r="O37" i="29"/>
  <c r="O17" i="29"/>
  <c r="X16" i="28"/>
  <c r="X13" i="17"/>
  <c r="Y24" i="23"/>
  <c r="Y21" i="30"/>
  <c r="L7" i="28"/>
  <c r="O16" i="28"/>
  <c r="O13" i="17"/>
  <c r="L25" i="23"/>
  <c r="L22" i="30"/>
  <c r="Y14" i="28"/>
  <c r="X20" i="28"/>
  <c r="X17" i="17"/>
  <c r="O9" i="29"/>
  <c r="Y6" i="28"/>
  <c r="L10" i="9"/>
  <c r="O8" i="26"/>
  <c r="X9" i="25"/>
  <c r="X45" i="17"/>
  <c r="O25" i="29"/>
  <c r="O19" i="29"/>
  <c r="O10" i="29"/>
  <c r="N12" i="8"/>
  <c r="L6" i="9"/>
  <c r="L6" i="5"/>
  <c r="M6" i="2"/>
  <c r="L14" i="30"/>
  <c r="L14" i="26"/>
  <c r="X18" i="28"/>
  <c r="X15" i="17"/>
  <c r="Y13" i="28"/>
  <c r="Y98" i="17"/>
  <c r="L24" i="23"/>
  <c r="L21" i="30"/>
  <c r="Y25" i="23"/>
  <c r="Y22" i="30"/>
  <c r="Y14" i="26"/>
  <c r="O33" i="29"/>
  <c r="O22" i="29"/>
  <c r="O13" i="29"/>
  <c r="L11" i="28"/>
  <c r="U10" i="5"/>
  <c r="X8" i="25"/>
  <c r="V9" i="2"/>
  <c r="L20" i="30"/>
  <c r="Y11" i="28"/>
  <c r="O18" i="28"/>
  <c r="O15" i="17"/>
  <c r="O7" i="29"/>
  <c r="O29" i="29"/>
  <c r="U9" i="28"/>
  <c r="I14" i="30"/>
  <c r="L6" i="28"/>
  <c r="Y14" i="30"/>
  <c r="M18" i="28"/>
  <c r="M15" i="17"/>
  <c r="U18" i="30"/>
  <c r="L14" i="25"/>
  <c r="O17" i="28"/>
  <c r="O14" i="17"/>
  <c r="U16" i="26"/>
  <c r="M16" i="28"/>
  <c r="M13" i="17"/>
  <c r="Y16" i="25"/>
  <c r="L9" i="28"/>
  <c r="M39" i="29"/>
  <c r="M31" i="29"/>
  <c r="J36" i="6"/>
  <c r="J11" i="5"/>
  <c r="K10" i="2"/>
  <c r="I9" i="28"/>
  <c r="L12" i="30"/>
  <c r="Y7" i="28"/>
  <c r="Y16" i="26"/>
  <c r="U10" i="30"/>
  <c r="I14" i="25"/>
  <c r="M37" i="29"/>
  <c r="M17" i="29"/>
  <c r="U13" i="28"/>
  <c r="U98" i="17"/>
  <c r="H24" i="29"/>
  <c r="I15" i="26"/>
  <c r="I14" i="28"/>
  <c r="M34" i="29"/>
  <c r="M23" i="29"/>
  <c r="M14" i="29"/>
  <c r="Y54" i="24"/>
  <c r="L15" i="26"/>
  <c r="M38" i="29"/>
  <c r="M18" i="29"/>
  <c r="L7" i="30"/>
  <c r="H17" i="28"/>
  <c r="H14" i="17"/>
  <c r="M7" i="29"/>
  <c r="M29" i="29"/>
  <c r="U11" i="28"/>
  <c r="E10" i="5"/>
  <c r="H8" i="25"/>
  <c r="F9" i="2"/>
  <c r="M9" i="26"/>
  <c r="I54" i="24"/>
  <c r="U16" i="25"/>
  <c r="L16" i="26"/>
  <c r="L53" i="24"/>
  <c r="L13" i="28"/>
  <c r="L98" i="17"/>
  <c r="Y12" i="30"/>
  <c r="I8" i="28"/>
  <c r="I25" i="23"/>
  <c r="I22" i="30"/>
  <c r="H16" i="28"/>
  <c r="H13" i="17"/>
  <c r="Y10" i="28"/>
  <c r="U6" i="28"/>
  <c r="M8" i="29"/>
  <c r="M30" i="29"/>
  <c r="H7" i="29"/>
  <c r="H29" i="29"/>
  <c r="U10" i="28"/>
  <c r="M25" i="29"/>
  <c r="M19" i="29"/>
  <c r="M10" i="29"/>
  <c r="L12" i="8"/>
  <c r="J6" i="9"/>
  <c r="J6" i="5"/>
  <c r="K6" i="2"/>
  <c r="U14" i="28"/>
  <c r="I16" i="25"/>
  <c r="M19" i="28"/>
  <c r="M16" i="17"/>
  <c r="H38" i="29"/>
  <c r="H18" i="29"/>
  <c r="U12" i="30"/>
  <c r="H36" i="29"/>
  <c r="H16" i="29"/>
  <c r="M36" i="29"/>
  <c r="M16" i="29"/>
  <c r="L10" i="28"/>
  <c r="U24" i="23"/>
  <c r="U21" i="30"/>
  <c r="I18" i="30"/>
  <c r="O34" i="22"/>
  <c r="I6" i="28"/>
  <c r="U14" i="26"/>
  <c r="K9" i="28"/>
  <c r="U20" i="30"/>
  <c r="I7" i="30"/>
  <c r="U7" i="28"/>
  <c r="H10" i="25"/>
  <c r="H57" i="17"/>
  <c r="H9" i="25"/>
  <c r="H45" i="17"/>
  <c r="K8" i="28"/>
  <c r="M24" i="29"/>
  <c r="I20" i="30"/>
  <c r="H39" i="29"/>
  <c r="H31" i="29"/>
  <c r="E36" i="6"/>
  <c r="E11" i="5"/>
  <c r="F10" i="2"/>
  <c r="J10" i="5"/>
  <c r="M8" i="25"/>
  <c r="K9" i="2"/>
  <c r="H8" i="29"/>
  <c r="H30" i="29"/>
  <c r="M10" i="26"/>
  <c r="M35" i="29"/>
  <c r="M15" i="29"/>
  <c r="U7" i="30"/>
  <c r="I12" i="30"/>
  <c r="I11" i="28"/>
  <c r="U50" i="24"/>
  <c r="I14" i="26"/>
  <c r="K53" i="24"/>
  <c r="M17" i="28"/>
  <c r="M14" i="17"/>
  <c r="H19" i="28"/>
  <c r="H16" i="17"/>
  <c r="U15" i="26"/>
  <c r="H9" i="26"/>
  <c r="M10" i="25"/>
  <c r="M57" i="17"/>
  <c r="I24" i="23"/>
  <c r="I21" i="30"/>
  <c r="U8" i="28"/>
  <c r="K14" i="25"/>
  <c r="H10" i="26"/>
  <c r="M20" i="28"/>
  <c r="M17" i="17"/>
  <c r="I10" i="28"/>
  <c r="U14" i="30"/>
  <c r="H37" i="29"/>
  <c r="H17" i="29"/>
  <c r="K20" i="30"/>
  <c r="M33" i="29"/>
  <c r="M22" i="29"/>
  <c r="M13" i="29"/>
  <c r="I13" i="28"/>
  <c r="I98" i="17"/>
  <c r="U25" i="23"/>
  <c r="U22" i="30"/>
  <c r="K14" i="30"/>
  <c r="H34" i="29"/>
  <c r="H23" i="29"/>
  <c r="H14" i="29"/>
  <c r="M9" i="29"/>
  <c r="H9" i="29"/>
  <c r="I10" i="30"/>
  <c r="H20" i="28"/>
  <c r="H17" i="17"/>
  <c r="K12" i="30"/>
  <c r="I7" i="28"/>
  <c r="K14" i="28"/>
  <c r="U52" i="24"/>
  <c r="H25" i="29"/>
  <c r="H19" i="29"/>
  <c r="H10" i="29"/>
  <c r="G12" i="8"/>
  <c r="E6" i="9"/>
  <c r="E6" i="5"/>
  <c r="F6" i="2"/>
  <c r="K7" i="28"/>
  <c r="H33" i="29"/>
  <c r="H22" i="29"/>
  <c r="H13" i="29"/>
  <c r="K14" i="26"/>
  <c r="I16" i="26"/>
  <c r="H35" i="29"/>
  <c r="H15" i="29"/>
  <c r="K25" i="23"/>
  <c r="K22" i="30"/>
  <c r="K16" i="26"/>
  <c r="H18" i="28"/>
  <c r="H15" i="17"/>
  <c r="K13" i="28"/>
  <c r="K98" i="17"/>
  <c r="K10" i="30"/>
  <c r="K7" i="30"/>
  <c r="K18" i="30"/>
  <c r="K6" i="28"/>
  <c r="J36" i="34"/>
  <c r="J9" i="34"/>
  <c r="K24" i="23"/>
  <c r="K21" i="30"/>
  <c r="J38" i="34"/>
  <c r="J39" i="34"/>
  <c r="E11" i="28"/>
  <c r="K11" i="28"/>
  <c r="K15" i="26"/>
  <c r="J27" i="34"/>
  <c r="K10" i="28"/>
  <c r="E13" i="28"/>
  <c r="E98" i="17"/>
  <c r="J34" i="34"/>
  <c r="E16" i="25"/>
  <c r="J32" i="34"/>
  <c r="E14" i="30"/>
  <c r="J33" i="34"/>
  <c r="K15" i="25"/>
  <c r="J30" i="34"/>
  <c r="J35" i="34"/>
  <c r="E24" i="23"/>
  <c r="E21" i="30"/>
  <c r="E15" i="26"/>
  <c r="J25" i="34"/>
  <c r="E20" i="30"/>
  <c r="J41" i="34"/>
  <c r="E18" i="30"/>
  <c r="J37" i="34"/>
  <c r="E10" i="30"/>
  <c r="E7" i="28"/>
  <c r="J31" i="34"/>
  <c r="J42" i="34"/>
  <c r="E6" i="28"/>
  <c r="J8" i="34"/>
  <c r="E25" i="23"/>
  <c r="E22" i="30"/>
  <c r="E14" i="26"/>
  <c r="J7" i="34"/>
  <c r="J40" i="34"/>
  <c r="E10" i="28"/>
  <c r="J10" i="34"/>
  <c r="E12" i="30"/>
  <c r="E7" i="30"/>
  <c r="E50" i="24"/>
  <c r="E15" i="25"/>
  <c r="E8" i="28"/>
  <c r="E14" i="28"/>
  <c r="E9" i="28"/>
  <c r="E52" i="24"/>
  <c r="S11" i="28"/>
  <c r="S16" i="25"/>
  <c r="T11" i="29"/>
  <c r="R24" i="23"/>
  <c r="R21" i="30"/>
  <c r="T16" i="30"/>
  <c r="R14" i="30"/>
  <c r="T28" i="26"/>
  <c r="R6" i="28"/>
  <c r="S6" i="28"/>
  <c r="R8" i="28"/>
  <c r="S10" i="28"/>
  <c r="S12" i="30"/>
  <c r="T22" i="27"/>
  <c r="T12" i="27"/>
  <c r="T22" i="25"/>
  <c r="T30" i="25"/>
  <c r="T95" i="17"/>
  <c r="R12" i="30"/>
  <c r="S10" i="30"/>
  <c r="R15" i="26"/>
  <c r="T17" i="27"/>
  <c r="Q14" i="5"/>
  <c r="T27" i="25"/>
  <c r="R7" i="30"/>
  <c r="S16" i="26"/>
  <c r="S7" i="28"/>
  <c r="R7" i="28"/>
  <c r="T40" i="29"/>
  <c r="T26" i="26"/>
  <c r="R16" i="25"/>
  <c r="T57" i="24"/>
  <c r="S7" i="30"/>
  <c r="T13" i="27"/>
  <c r="T23" i="25"/>
  <c r="R10" i="30"/>
  <c r="S14" i="30"/>
  <c r="S8" i="28"/>
  <c r="R20" i="30"/>
  <c r="T22" i="26"/>
  <c r="S34" i="24"/>
  <c r="S18" i="30"/>
  <c r="R15" i="25"/>
  <c r="T9" i="27"/>
  <c r="S14" i="28"/>
  <c r="R14" i="28"/>
  <c r="T14" i="27"/>
  <c r="T24" i="25"/>
  <c r="R10" i="28"/>
  <c r="S24" i="23"/>
  <c r="S21" i="30"/>
  <c r="T26" i="29"/>
  <c r="R25" i="23"/>
  <c r="R22" i="30"/>
  <c r="S15" i="26"/>
  <c r="T21" i="27"/>
  <c r="R14" i="26"/>
  <c r="S54" i="24"/>
  <c r="T20" i="29"/>
  <c r="R11" i="28"/>
  <c r="T31" i="26"/>
  <c r="S25" i="23"/>
  <c r="S22" i="30"/>
  <c r="T10" i="27"/>
  <c r="T21" i="25"/>
  <c r="T7" i="27"/>
  <c r="T97" i="17"/>
  <c r="R18" i="30"/>
  <c r="R13" i="28"/>
  <c r="R98" i="17"/>
  <c r="T16" i="27"/>
  <c r="T26" i="25"/>
  <c r="S7" i="24"/>
  <c r="S9" i="28"/>
  <c r="R16" i="26"/>
  <c r="R9" i="28"/>
  <c r="S13" i="28"/>
  <c r="S98" i="17"/>
  <c r="T20" i="27"/>
  <c r="R54" i="24"/>
  <c r="S20" i="30"/>
  <c r="D26" i="34"/>
</calcChain>
</file>

<file path=xl/sharedStrings.xml><?xml version="1.0" encoding="utf-8"?>
<sst xmlns="http://schemas.openxmlformats.org/spreadsheetml/2006/main" count="5798" uniqueCount="1586">
  <si>
    <t>Revenue</t>
  </si>
  <si>
    <t>Total Revenue</t>
  </si>
  <si>
    <t>Gross Profit</t>
  </si>
  <si>
    <t>Cash &amp; Equivalents</t>
  </si>
  <si>
    <t>Reference Items</t>
  </si>
  <si>
    <t>Right click to show data transparency (not supported for all values)</t>
  </si>
  <si>
    <t>Bluebird Bio Inc (BLUE US) - Adj Highlights</t>
  </si>
  <si>
    <t>In Millions of USD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</si>
  <si>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</si>
  <si>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</si>
  <si>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</si>
  <si>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</si>
  <si>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</si>
  <si>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</si>
  <si>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</si>
  <si>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</si>
  <si>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</si>
  <si>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</si>
  <si>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</si>
  <si>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</si>
  <si>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</si>
  <si>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</si>
  <si>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</si>
  <si>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</si>
  <si>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</si>
  <si>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</si>
  <si>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</si>
  <si>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</si>
  <si>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</si>
  <si>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</si>
  <si>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</si>
  <si>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 Est</t>
  </si>
  <si>
    <t>Q2 2025 Est</t>
  </si>
  <si>
    <t>3 Months Ending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</si>
  <si>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</si>
  <si>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</si>
  <si>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</si>
  <si>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</si>
  <si>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</si>
  <si>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</si>
  <si>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</si>
  <si>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</si>
  <si>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</si>
  <si>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</si>
  <si>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</si>
  <si>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03/31/2022</t>
  </si>
  <si>
    <t>06/30/2022</t>
  </si>
  <si>
    <t>09/30/2022</t>
  </si>
  <si>
    <t>12/31/2022</t>
  </si>
  <si>
    <t>03/31/2023</t>
  </si>
  <si>
    <t>06/30/2023</t>
  </si>
  <si>
    <t>09/30/2023</t>
  </si>
  <si>
    <t>12/31/2023</t>
  </si>
  <si>
    <t>03/31/2024</t>
  </si>
  <si>
    <t>06/30/2024</t>
  </si>
  <si>
    <t>09/30/2024</t>
  </si>
  <si>
    <t>12/31/2024</t>
  </si>
  <si>
    <t>03/31/2025</t>
  </si>
  <si>
    <t>06/30/2025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</si>
  <si>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</si>
  <si>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</si>
  <si>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</si>
  <si>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</si>
  <si>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</si>
  <si>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PFD_EQTY_MINORTY_INTEREST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</si>
  <si>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</si>
  <si>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</si>
  <si>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</si>
  <si>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</si>
  <si>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</si>
  <si>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</si>
  <si>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</si>
  <si>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</si>
  <si>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</si>
  <si>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</si>
  <si>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</si>
  <si>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—</t>
  </si>
  <si>
    <t>EBITDA, Adj</t>
  </si>
  <si>
    <t>EBITDA</t>
  </si>
  <si>
    <t>Net Income, Adj</t>
  </si>
  <si>
    <t>EARN_FOR_COMMON</t>
  </si>
  <si>
    <t>EPS, Adj</t>
  </si>
  <si>
    <t>IS_DIL_EPS_CONT_OPS</t>
  </si>
  <si>
    <t>DILUTED_EPS_AFT_XO_ITEMS_GROWTH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</si>
  <si>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</si>
  <si>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</si>
  <si>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</si>
  <si>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</si>
  <si>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</si>
  <si>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</si>
  <si>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</si>
  <si>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Bluebird Bio Inc (BLUE US) - GAAP Highlights</t>
  </si>
  <si>
    <t>In Millions of USD except Per Share</t>
  </si>
  <si>
    <t>Q4 2018</t>
  </si>
  <si>
    <t>Q1 2019</t>
  </si>
  <si>
    <t>12/31/2018</t>
  </si>
  <si>
    <t>03/31/2019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</si>
  <si>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</si>
  <si>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</si>
  <si>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</si>
  <si>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</si>
  <si>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</si>
  <si>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</si>
  <si>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</si>
  <si>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</si>
  <si>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</si>
  <si>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</si>
  <si>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</si>
  <si>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</si>
  <si>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</si>
  <si>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</si>
  <si>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</si>
  <si>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</si>
  <si>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</si>
  <si>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</si>
  <si>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</si>
  <si>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</si>
  <si>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</si>
  <si>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</si>
  <si>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</si>
  <si>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</si>
  <si>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</si>
  <si>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 xml:space="preserve">  Shares Out on Filing Cover</t>
  </si>
  <si>
    <t>ARD_SHARE_OUT_FROM_FRONT_COVER</t>
  </si>
  <si>
    <t>Cash From Operations</t>
  </si>
  <si>
    <t>Cash From Investing</t>
  </si>
  <si>
    <t>CF_CASH_FROM_INV_ACT</t>
  </si>
  <si>
    <t>Cash From Financing</t>
  </si>
  <si>
    <t>CF_CASH_FROM_FNC_ACT</t>
  </si>
  <si>
    <t>Bluebird Bio Inc (BLUE US)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</si>
  <si>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</si>
  <si>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</si>
  <si>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</si>
  <si>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</si>
  <si>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</si>
  <si>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</si>
  <si>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</si>
  <si>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</si>
  <si>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BEST_EPS</t>
  </si>
  <si>
    <t>IS_COMP_EPS_ADJUSTED</t>
  </si>
  <si>
    <t xml:space="preserve">  EPS Surprise %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</si>
  <si>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</si>
  <si>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</si>
  <si>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</si>
  <si>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</si>
  <si>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</si>
  <si>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</si>
  <si>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</si>
  <si>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Gross Margin %</t>
  </si>
  <si>
    <t>BEST_GROSS_MARGIN</t>
  </si>
  <si>
    <t>IS_COMP_GROSS_MARGIN_PERCENTAGE</t>
  </si>
  <si>
    <t xml:space="preserve">  Gross Margin Surprise %</t>
  </si>
  <si>
    <t>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</si>
  <si>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</si>
  <si>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</si>
  <si>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</si>
  <si>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</si>
  <si>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</si>
  <si>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</si>
  <si>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BEST_NET_INCOME</t>
  </si>
  <si>
    <t>IS_COMP_NET_INCOME_ADJUST</t>
  </si>
  <si>
    <t xml:space="preserve">  Net Income Surprise %</t>
  </si>
  <si>
    <t>Bluebird Bio Inc (BLUE US) - Enterprise Value</t>
  </si>
  <si>
    <t>Current</t>
  </si>
  <si>
    <t>03/28/2025</t>
  </si>
  <si>
    <t xml:space="preserve">  - Cash &amp; Equivalents</t>
  </si>
  <si>
    <t xml:space="preserve">  + Preferred Equity</t>
  </si>
  <si>
    <t>PFD_EQTY_HYBRID_CAPITAL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</si>
  <si>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</si>
  <si>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</si>
  <si>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</si>
  <si>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</si>
  <si>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</si>
  <si>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</si>
  <si>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</si>
  <si>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</si>
  <si>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</si>
  <si>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</si>
  <si>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</si>
  <si>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</t>
  </si>
  <si>
    <t>EV_TO_T12M_EBIT</t>
  </si>
  <si>
    <t>Diluted Market Cap</t>
  </si>
  <si>
    <t>DILUTED_MKT_CAP</t>
  </si>
  <si>
    <t>Diluted Enterprise Value</t>
  </si>
  <si>
    <t>DILUTED_EV</t>
  </si>
  <si>
    <t>EV per Share</t>
  </si>
  <si>
    <t>EV_TO_SH_OUT</t>
  </si>
  <si>
    <t>Trailing 12 Month Values for Ratios</t>
  </si>
  <si>
    <t>IFRS 16/ASC 842 Adoption</t>
  </si>
  <si>
    <t>IFRS_16_ASC_842_ADOPTION_IND</t>
  </si>
  <si>
    <t>Yes</t>
  </si>
  <si>
    <t>Sales</t>
  </si>
  <si>
    <t>TRAIL_12M_NET_SALES</t>
  </si>
  <si>
    <t>TRAIL_12M_EBITDA</t>
  </si>
  <si>
    <t>TRAIL_12M_OPER_INC</t>
  </si>
  <si>
    <t>Bluebird Bio Inc (BLUE US) - Multiples</t>
  </si>
  <si>
    <t>P/Book</t>
  </si>
  <si>
    <t>PX_TO_BOOK_RATIO</t>
  </si>
  <si>
    <t xml:space="preserve">  Average</t>
  </si>
  <si>
    <t>AVERAGE_PRICE_TO_BOOK_RATIO</t>
  </si>
  <si>
    <t xml:space="preserve">  High</t>
  </si>
  <si>
    <t>HIGH_CLOSING_PRICE_TO_BOOK_RATIO</t>
  </si>
  <si>
    <t xml:space="preserve">  Low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</si>
  <si>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</si>
  <si>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</si>
  <si>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</si>
  <si>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</si>
  <si>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</si>
  <si>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</si>
  <si>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</si>
  <si>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</si>
  <si>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</si>
  <si>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</si>
  <si>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</si>
  <si>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AVERAGE_EV_TO_T12M_SALES</t>
  </si>
  <si>
    <t>HIGH_EV_TO_T12M_SALES</t>
  </si>
  <si>
    <t>LOW_EV_TO_T12M_SALES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</si>
  <si>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</si>
  <si>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</si>
  <si>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</si>
  <si>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</si>
  <si>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</si>
  <si>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</si>
  <si>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</si>
  <si>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Bluebird Bio Inc (BLUE US) - Per Share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</si>
  <si>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</si>
  <si>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</si>
  <si>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</si>
  <si>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</si>
  <si>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</si>
  <si>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</si>
  <si>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</si>
  <si>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</si>
  <si>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</si>
  <si>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</si>
  <si>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</si>
  <si>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</si>
  <si>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</si>
  <si>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</si>
  <si>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</si>
  <si>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</si>
  <si>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</si>
  <si>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</si>
  <si>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</si>
  <si>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</si>
  <si>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</si>
  <si>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</si>
  <si>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</si>
  <si>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</si>
  <si>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</si>
  <si>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</si>
  <si>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Bluebird Bio Inc (BLUE US)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</si>
  <si>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</si>
  <si>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</si>
  <si>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</si>
  <si>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</si>
  <si>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</si>
  <si>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</si>
  <si>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</si>
  <si>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</si>
  <si>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</si>
  <si>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</si>
  <si>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</si>
  <si>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Bluebird Bio Inc (BLUE US) - EV Ex Operating Leases</t>
  </si>
  <si>
    <t>TOT_DEBT_EX_OPERATING_LEA_LIABS</t>
  </si>
  <si>
    <t>EV_EX_OPERATING_LEASE_LIABS</t>
  </si>
  <si>
    <t>TOT_CPTL_EX_OPERATING_LEA_LIABS</t>
  </si>
  <si>
    <t>TOT_DBT_TO_CPTL_EX_OP_LEA_LIABS</t>
  </si>
  <si>
    <t>TOT_DEBT_TO_EV_EX_OPER_LEA_LIABS</t>
  </si>
  <si>
    <t>EV_EX_OPER_LEA_LIABS_TO_SALES</t>
  </si>
  <si>
    <t>EV_TO_EBIT_EX_OPERATING_LEASE</t>
  </si>
  <si>
    <t>DILUTED_EV_EX_OPERATING_LEASE</t>
  </si>
  <si>
    <t>EV_EX_OP_LEA_LIAB_TO_SHS_OUTSTDG</t>
  </si>
  <si>
    <t>T12M_EBITDA_AFTER_OPER_LEA_EXPN</t>
  </si>
  <si>
    <t>T12_EBIT_AFT_OPER_LEASE_EXPN</t>
  </si>
  <si>
    <t>Bluebird Bio Inc (BLUE US) - Adjusted</t>
  </si>
  <si>
    <t xml:space="preserve">    + Sales &amp; Services Revenue</t>
  </si>
  <si>
    <t>IS_SALES_AND_SERVICES_REVENUES</t>
  </si>
  <si>
    <t xml:space="preserve">    + Other Revenue</t>
  </si>
  <si>
    <t>IS_OTHER_REVENUE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</si>
  <si>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</si>
  <si>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</si>
  <si>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</si>
  <si>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</si>
  <si>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</si>
  <si>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</si>
  <si>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</si>
  <si>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</si>
  <si>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</si>
  <si>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</si>
  <si>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General &amp; Administrative</t>
  </si>
  <si>
    <t>IS_GENERAL_AND_ADMINISTRATIVE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</si>
  <si>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</si>
  <si>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</si>
  <si>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</si>
  <si>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</si>
  <si>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</si>
  <si>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</si>
  <si>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</si>
  <si>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</si>
  <si>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</si>
  <si>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</si>
  <si>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</si>
  <si>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</si>
  <si>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</si>
  <si>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</si>
  <si>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</si>
  <si>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</si>
  <si>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</si>
  <si>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</si>
  <si>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</si>
  <si>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</si>
  <si>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Restructuring</t>
  </si>
  <si>
    <t>IS_RESTRUCTURING_EXPENSES</t>
  </si>
  <si>
    <t xml:space="preserve">    + Sale of Investments</t>
  </si>
  <si>
    <t>IS_GAIN_LOSS_ON_INVESTMENTS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</si>
  <si>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</si>
  <si>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</si>
  <si>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</si>
  <si>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</si>
  <si>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</si>
  <si>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</si>
  <si>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</si>
  <si>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</si>
  <si>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</si>
  <si>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</si>
  <si>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</si>
  <si>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</si>
  <si>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</si>
  <si>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</si>
  <si>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</si>
  <si>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</si>
  <si>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</si>
  <si>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</si>
  <si>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</si>
  <si>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</si>
  <si>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</si>
  <si>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</si>
  <si>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</si>
  <si>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</si>
  <si>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</si>
  <si>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</si>
  <si>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</si>
  <si>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</si>
  <si>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</si>
  <si>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</si>
  <si>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</si>
  <si>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</si>
  <si>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Ops, GAAP</t>
  </si>
  <si>
    <t>Basic EPS from Cont Ops, Adjusted</t>
  </si>
  <si>
    <t>Diluted EPS from Cont Ops, GAAP</t>
  </si>
  <si>
    <t>Diluted EPS from Cont Ops, Adjusted</t>
  </si>
  <si>
    <t>Accounting Standard</t>
  </si>
  <si>
    <t>ACCOUNTING_STANDARD</t>
  </si>
  <si>
    <t>US GAAP</t>
  </si>
  <si>
    <t>EBITDA Margin (T12M)</t>
  </si>
  <si>
    <t>EBITDA_MARGIN</t>
  </si>
  <si>
    <t>EBITA</t>
  </si>
  <si>
    <t>Gross 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</si>
  <si>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</si>
  <si>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</si>
  <si>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</si>
  <si>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</si>
  <si>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</si>
  <si>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</si>
  <si>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</si>
  <si>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</si>
  <si>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</si>
  <si>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</si>
  <si>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</si>
  <si>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</si>
  <si>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</si>
  <si>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</si>
  <si>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</si>
  <si>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Bluebird Bio Inc (BLUE US) - GAAP</t>
  </si>
  <si>
    <t>IS_OPER_EXPENSES_RD_GAAP</t>
  </si>
  <si>
    <t>OTHER_OPERATING_EXPENSES_RATIO</t>
  </si>
  <si>
    <t>NONOP_INCOME_LOSS</t>
  </si>
  <si>
    <t>OTHER_NONOP_INCOME_LOSS</t>
  </si>
  <si>
    <t>Pretax Income</t>
  </si>
  <si>
    <t>Bluebird Bio Inc (BLUE US) - As Reported</t>
  </si>
  <si>
    <t>Q2 2018</t>
  </si>
  <si>
    <t>Q3 2018</t>
  </si>
  <si>
    <t>06/30/2018</t>
  </si>
  <si>
    <t>09/30/2018</t>
  </si>
  <si>
    <t>Income Statement</t>
  </si>
  <si>
    <t xml:space="preserve">  Revenues</t>
  </si>
  <si>
    <t>Other Revenue</t>
  </si>
  <si>
    <t>ARD_OTHER_REV</t>
  </si>
  <si>
    <t>Royalty Revenue</t>
  </si>
  <si>
    <t>ARD_ROYALTY_REVENUE</t>
  </si>
  <si>
    <t>Product Revenue</t>
  </si>
  <si>
    <t>ARD_PRODUCT_REVENUE</t>
  </si>
  <si>
    <t>Service Revenue</t>
  </si>
  <si>
    <t>ARD_SERVICE_REVENUE</t>
  </si>
  <si>
    <t>License/Contract/Fee Revenue</t>
  </si>
  <si>
    <t>ARD_LICENSE_CONTRACT_FEE_REV</t>
  </si>
  <si>
    <t>ARD_TOTAL_REVENUES</t>
  </si>
  <si>
    <t xml:space="preserve">  Operating Expenses</t>
  </si>
  <si>
    <t>Total Operating Expenses</t>
  </si>
  <si>
    <t>ARD_TOTAL_OPERATING_EXPENSES</t>
  </si>
  <si>
    <t>R &amp; D Expenditures</t>
  </si>
  <si>
    <t>ARD_R&amp;D_EXPENDITURES</t>
  </si>
  <si>
    <t>Selling General and Administrative Expenses</t>
  </si>
  <si>
    <t>ARD_SELLING_GENERAL_ADMIN_EXP</t>
  </si>
  <si>
    <t>Other Operating Expenses</t>
  </si>
  <si>
    <t>ARD_OTHER_OPERATING_EXPENSES</t>
  </si>
  <si>
    <t>Restructuring Charges</t>
  </si>
  <si>
    <t>ARD_RESTRUCTURING_CHARGES</t>
  </si>
  <si>
    <t>Other One-Time Charges</t>
  </si>
  <si>
    <t>ARD_OTHER_ONE_TIME_CHARGES</t>
  </si>
  <si>
    <t>General and Administrative Expenses</t>
  </si>
  <si>
    <t>ARD_GENERAL_ADMINISTRATIVE_EXP</t>
  </si>
  <si>
    <t>Merger/Acquisition Expense</t>
  </si>
  <si>
    <t>ARD_MERGER_ACQUISITION_EXPENSE</t>
  </si>
  <si>
    <t>ARD_GROSS_PROFITS</t>
  </si>
  <si>
    <t>ARD_OPERATING_INCOME</t>
  </si>
  <si>
    <t>Cost of Products Sold</t>
  </si>
  <si>
    <t>ARD_COST_OF_PRODUCTS_SOLD</t>
  </si>
  <si>
    <t>Other Operating (Income)/Expense - Net</t>
  </si>
  <si>
    <t>ARD_OTH_OPERATING_INC_EXP_NET</t>
  </si>
  <si>
    <t xml:space="preserve">  Non-Operating Expenses</t>
  </si>
  <si>
    <t>Interest Expense</t>
  </si>
  <si>
    <t>ARD_INT_EXP</t>
  </si>
  <si>
    <t>Interest Income</t>
  </si>
  <si>
    <t>ARD_INT_INCOME</t>
  </si>
  <si>
    <t>Interest Income - Net</t>
  </si>
  <si>
    <t>ARD_INTEREST_INCOME_NET</t>
  </si>
  <si>
    <t>Interest Expense - Net</t>
  </si>
  <si>
    <t>ARD_INT_EXP_NET</t>
  </si>
  <si>
    <t>Other Non-Operating Income</t>
  </si>
  <si>
    <t>ARD_OTHER_NON_OPERATING_INC</t>
  </si>
  <si>
    <t>Other Non-Operating Expenses</t>
  </si>
  <si>
    <t>ARD_OTHER_NON_OPERATING_EXP</t>
  </si>
  <si>
    <t>Income Tax Expense (Benefit)</t>
  </si>
  <si>
    <t>ARD_INCOME_TAX_EXP_BENEFIT</t>
  </si>
  <si>
    <t>Income Before Income Taxes</t>
  </si>
  <si>
    <t>ARD_INCOME_BEFORE_INCOME_TAXES</t>
  </si>
  <si>
    <t>Income Before XO Items</t>
  </si>
  <si>
    <t>ARD_INCOME_BEFORE_XO_ITEMS</t>
  </si>
  <si>
    <t>Other Non-Operating (Income)/Expense - Net</t>
  </si>
  <si>
    <t>ARD_OTH_NON_OPER_INC_EXP_NET</t>
  </si>
  <si>
    <t xml:space="preserve">  Extraordinary Items</t>
  </si>
  <si>
    <t>Discontinued Operations Loss/(Benefit) - Net</t>
  </si>
  <si>
    <t>ARD_DISC_OPS_LOSS_BEN_NET</t>
  </si>
  <si>
    <t xml:space="preserve">  Earnings</t>
  </si>
  <si>
    <t>Basic EPS</t>
  </si>
  <si>
    <t>ARD_BASIC_EPS</t>
  </si>
  <si>
    <t>Weighted Avg. Shares - Basic</t>
  </si>
  <si>
    <t>ARD_WEIGHTED_AVG_SHARES_BASIC</t>
  </si>
  <si>
    <t>Diluted EPS</t>
  </si>
  <si>
    <t>ARD_DILUTED_EPS</t>
  </si>
  <si>
    <t>Weighted Avg. Shares - Diluted</t>
  </si>
  <si>
    <t>ARD_WEIGHTED_AVG_SHARE_DILUTED</t>
  </si>
  <si>
    <t>Basic &amp; Diluted EPS</t>
  </si>
  <si>
    <t>ARD_BASIC_AND_DILUTED_EPS</t>
  </si>
  <si>
    <t>Weighted Avg. Shares - Basic &amp; Diluted</t>
  </si>
  <si>
    <t>ARD_WTD_AVG_SHS_BASIC_DILUTED</t>
  </si>
  <si>
    <t>Net Income Available For Common Shareholders</t>
  </si>
  <si>
    <t>ARD_NET_INC_AVAIL_COM_SHRHLDR</t>
  </si>
  <si>
    <t>Basic &amp; Diluted EPS Before XO Items</t>
  </si>
  <si>
    <t>ARD_BASIC_DIL_EPS_BEF_XO_ITEMS</t>
  </si>
  <si>
    <t>Discontinued Ops Per Share -Basic&amp;Diluted</t>
  </si>
  <si>
    <t>ARD_DISC_OPS_PER_SH_BASIC_DIL</t>
  </si>
  <si>
    <t>Profit After Taxation Before Minority</t>
  </si>
  <si>
    <t>ARD_PROF_AFTER_TAX_BEF_MINORITY</t>
  </si>
  <si>
    <t>Cumulative Net Income</t>
  </si>
  <si>
    <t>ARD_CUMULATIVE_NET_INCOME</t>
  </si>
  <si>
    <t>ARD_NET_INC</t>
  </si>
  <si>
    <t xml:space="preserve">  Comprehensive Income</t>
  </si>
  <si>
    <t>Unrealized Gain (Loss) On Securities</t>
  </si>
  <si>
    <t>ARD_UNREALIZED_GL_ON_SECS</t>
  </si>
  <si>
    <t>Other Comprehensive Income</t>
  </si>
  <si>
    <t>ARD_OTHER_COMPREHENSIVE_INCOME</t>
  </si>
  <si>
    <t>Total Comprehensive Income</t>
  </si>
  <si>
    <t>ARD_TOTAL_COMPREHENSIVE_INCOME</t>
  </si>
  <si>
    <t>Net Income - Comprehensive Income</t>
  </si>
  <si>
    <t>ARD_COMPREHENSIVE_INCOME_NET_INC</t>
  </si>
  <si>
    <t xml:space="preserve">  Reference Items</t>
  </si>
  <si>
    <t>ARDR_R&amp;D_EXPENDITURES</t>
  </si>
  <si>
    <t>ARDR_DEPRECIATION_EXP</t>
  </si>
  <si>
    <t>Selling General and Administrative Expense</t>
  </si>
  <si>
    <t>ARDR_SELLING_GENERAL_ADMIN_EXP</t>
  </si>
  <si>
    <t>Depreciation and Amortization</t>
  </si>
  <si>
    <t>ARDR_DEPRECIATION_AMORTIZATION</t>
  </si>
  <si>
    <t>ARDR_RESTRUCTURING_CHARGES</t>
  </si>
  <si>
    <t>ARDR_OTHER_ONE_TIME_CHARGES</t>
  </si>
  <si>
    <t>ARDR_OTHER_REV</t>
  </si>
  <si>
    <t>Current Rental Expense</t>
  </si>
  <si>
    <t>ARDR_CURRENT_RENTAL_EXP</t>
  </si>
  <si>
    <t>Stock Based Compensation Expense</t>
  </si>
  <si>
    <t>ARDR_STK_BASED_COMPENSATION_EXP</t>
  </si>
  <si>
    <t>ARDR_MERGER_ACQUISITION_EXPENSE</t>
  </si>
  <si>
    <t>ARDR_TOTAL_REVENUES</t>
  </si>
  <si>
    <t>ARDR_PRODUCT_REVENUE</t>
  </si>
  <si>
    <t>(Gain)/Loss On Sale of Investments</t>
  </si>
  <si>
    <t>ARDR_GL_ON_SALE_OF_INVESTMENTS</t>
  </si>
  <si>
    <t>Amortization Of Leased Assets</t>
  </si>
  <si>
    <t>ARDR_AMORT_LEASED_ASSETS</t>
  </si>
  <si>
    <t>Interest Element Of Finance Lease Payments</t>
  </si>
  <si>
    <t>ARDR_INT_ELEMENT_FIN_LEASE_PYMTS</t>
  </si>
  <si>
    <t>Stock Option Expense (Before Tax)</t>
  </si>
  <si>
    <t>ARDR_STOCK_OPT_EXPENSE_BEF_TAX</t>
  </si>
  <si>
    <t>Stock-Based Compensation Attrib to R&amp;D</t>
  </si>
  <si>
    <t>ARDR_STOCK_BASED_CMPNSTN_IN_R&amp;D</t>
  </si>
  <si>
    <t>Stock-Based Compensation Attrib to SG&amp;A</t>
  </si>
  <si>
    <t>ARDR_STOCK_BASED_CMPNSTN_IN_SG&amp;A</t>
  </si>
  <si>
    <t>Stock-Based Compensation Attrib to COGS</t>
  </si>
  <si>
    <t>ARDR_STOCK_BASED_CMPNSTN_IN_COGS</t>
  </si>
  <si>
    <t>ARDR Stock Based Compensation Attributable to G&amp;AE</t>
  </si>
  <si>
    <t>ARDR_STK_BSD_COMP_ATTRIB_TO_G&amp;AE</t>
  </si>
  <si>
    <t>ARDR Stock Based Compensation CF Pre Tax</t>
  </si>
  <si>
    <t>ARDR_STK_BSD_CMPNSTN_CF_PRE_TAX</t>
  </si>
  <si>
    <t>Bluebird Bio Inc (BLUE US)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</si>
  <si>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</si>
  <si>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</si>
  <si>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</si>
  <si>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</si>
  <si>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</si>
  <si>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</si>
  <si>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</si>
  <si>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</si>
  <si>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</si>
  <si>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IS_SGA_ADJ</t>
  </si>
  <si>
    <t xml:space="preserve">  + R&amp;D Expense Adjustments</t>
  </si>
  <si>
    <t>IS_RD_EXPENSE_NON_GAAP_ADJ</t>
  </si>
  <si>
    <t xml:space="preserve">  + D&amp;A Adjustments</t>
  </si>
  <si>
    <t>IS_DA_NON_GAAP_ADJ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</si>
  <si>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</si>
  <si>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</si>
  <si>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</si>
  <si>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</si>
  <si>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</si>
  <si>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</si>
  <si>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ADJUSTED_DA_EXPENSES</t>
  </si>
  <si>
    <t xml:space="preserve">  + Cost of Capitalized Operating Leases</t>
  </si>
  <si>
    <t>COST_CAPITALIZED_OPERATING_LEAS</t>
  </si>
  <si>
    <t>EBITDA, Adjusted</t>
  </si>
  <si>
    <t>EBIT Reconciliation</t>
  </si>
  <si>
    <t xml:space="preserve">  + Merger Expense</t>
  </si>
  <si>
    <t>IS_MERGER_ACQ_EXPENSE_OPERATING</t>
  </si>
  <si>
    <t xml:space="preserve">  + Restructuring Expense</t>
  </si>
  <si>
    <t>IS_RESTRUCTURING_OP</t>
  </si>
  <si>
    <t xml:space="preserve">  + Sale of Investments</t>
  </si>
  <si>
    <t>IS_GAIN_LOSS_SALE_OF_INVEST_OP</t>
  </si>
  <si>
    <t xml:space="preserve">  + Other Abnormal Items</t>
  </si>
  <si>
    <t>IS_OTHER_ONE_TIME_ITEMS_OP</t>
  </si>
  <si>
    <t>Pretax Income Reconciliation</t>
  </si>
  <si>
    <t>Net Income Reconciliation</t>
  </si>
  <si>
    <t>Net Inc Avail to Common, GAAP</t>
  </si>
  <si>
    <t xml:space="preserve">  + Discontinued Operations</t>
  </si>
  <si>
    <t xml:space="preserve">  + XO &amp; Accounting Changes</t>
  </si>
  <si>
    <t>Net Inc Avail to Common Cont, GAAP</t>
  </si>
  <si>
    <t>INC_BEF_XO_LESS_MIN_INT_PREF_DVD</t>
  </si>
  <si>
    <t>IS_MA_EXPENSE_AFTER_TAX</t>
  </si>
  <si>
    <t>IS_RESTRUCTURING_CHRG_AFTER_TAX</t>
  </si>
  <si>
    <t>IS_SALE_OF_INVESTMENTS_AFTER_TAX</t>
  </si>
  <si>
    <t>IS_OTH_ONE_TIME_ITEMS_AFTER_TAX</t>
  </si>
  <si>
    <t>Earnings Per Share Reconciliation</t>
  </si>
  <si>
    <t>IS_DISC_OPS_DILUTED_SH</t>
  </si>
  <si>
    <t>IS_XO_ITEMS_ACCT_CHG_DIL_SH</t>
  </si>
  <si>
    <t>IS_MERGER_ACQUIS_EXPN_DILUTED_SH</t>
  </si>
  <si>
    <t>IS_RESTRUCTURING_CHRG_DILUTED_SH</t>
  </si>
  <si>
    <t>IS_SALE_INVESTMENTS_DILUTED_SH</t>
  </si>
  <si>
    <t>IS_OTH_ONE_TIME_ITEMS_DILUTED_SH</t>
  </si>
  <si>
    <t>Diluted EPS from Cont Ops, Adj</t>
  </si>
  <si>
    <t>Bluebird Bio Inc (BLUE US) - SBC &amp; Amort</t>
  </si>
  <si>
    <t>Basic EPS Ex-SBC, Adj</t>
  </si>
  <si>
    <t>BASIC_EPS_EX_STK_BASED_COMP</t>
  </si>
  <si>
    <t>Diluted EPS Ex-SBC, Adj</t>
  </si>
  <si>
    <t>DILUTED_EPS_EX_STK_BASED_COMP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</si>
  <si>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</si>
  <si>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</si>
  <si>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</si>
  <si>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</si>
  <si>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</si>
  <si>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</si>
  <si>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</si>
  <si>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</si>
  <si>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</si>
  <si>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Cost of Revenue</t>
  </si>
  <si>
    <t>IS_SBC_ATTRIB_TO_COGS_PRETX</t>
  </si>
  <si>
    <t>Selling, General &amp; Administrative</t>
  </si>
  <si>
    <t>IS_SBC_INCL_SELLING</t>
  </si>
  <si>
    <t>General &amp; Administrative</t>
  </si>
  <si>
    <t>IS_SBC_INCL_GEN_ADMIN</t>
  </si>
  <si>
    <t>Research &amp; Development</t>
  </si>
  <si>
    <t>IS_SBC_INCL_RD</t>
  </si>
  <si>
    <t>Amortization of Acquisition Related Intangibles</t>
  </si>
  <si>
    <t>Amortization of Total Intangibles</t>
  </si>
  <si>
    <t>Bluebird Bio Inc (BLUE US) - Adj %</t>
  </si>
  <si>
    <t>Bluebird Bio Inc (BLUE US) - GAAP %</t>
  </si>
  <si>
    <t>Last 12M</t>
  </si>
  <si>
    <t>Bluebird Bio Inc (BLUE US)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</si>
  <si>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</si>
  <si>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</si>
  <si>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</si>
  <si>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</si>
  <si>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</si>
  <si>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</si>
  <si>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</si>
  <si>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</si>
  <si>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</si>
  <si>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</si>
  <si>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</si>
  <si>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</si>
  <si>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</si>
  <si>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</si>
  <si>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</si>
  <si>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</si>
  <si>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</si>
  <si>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</si>
  <si>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</si>
  <si>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</si>
  <si>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</si>
  <si>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</si>
  <si>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</si>
  <si>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</si>
  <si>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</si>
  <si>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</si>
  <si>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</si>
  <si>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</si>
  <si>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>BS_ASSETS_OF_DISCONTINUED_OPS_ST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</si>
  <si>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</si>
  <si>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</si>
  <si>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</si>
  <si>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</si>
  <si>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</si>
  <si>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</si>
  <si>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</si>
  <si>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</si>
  <si>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</si>
  <si>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</si>
  <si>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Marketable Securities</t>
  </si>
  <si>
    <t>BS_LT_MARKETABLE_SECURITIES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</si>
  <si>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</si>
  <si>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</si>
  <si>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</si>
  <si>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</si>
  <si>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</si>
  <si>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</si>
  <si>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</si>
  <si>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</si>
  <si>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>BS_DERIV_HEDGING_ASST_LT</t>
  </si>
  <si>
    <t>BS_ASSETS_OF_DISCONTINUED_OPS_LT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</si>
  <si>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</si>
  <si>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</si>
  <si>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</si>
  <si>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</si>
  <si>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</si>
  <si>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</si>
  <si>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</si>
  <si>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</si>
  <si>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</si>
  <si>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</si>
  <si>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</si>
  <si>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</si>
  <si>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INTEREST_DIVIDENDS_PAYABLE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</si>
  <si>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</si>
  <si>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</si>
  <si>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</si>
  <si>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</si>
  <si>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</si>
  <si>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</si>
  <si>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</si>
  <si>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</si>
  <si>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</si>
  <si>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</si>
  <si>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</si>
  <si>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</si>
  <si>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</si>
  <si>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</si>
  <si>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</si>
  <si>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</si>
  <si>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</si>
  <si>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</si>
  <si>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</si>
  <si>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</si>
  <si>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>BS_LIABS_OF_DISCONTINUED_OPS_ST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</si>
  <si>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</si>
  <si>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</si>
  <si>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</si>
  <si>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</si>
  <si>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</si>
  <si>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</si>
  <si>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</si>
  <si>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</si>
  <si>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</si>
  <si>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</si>
  <si>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</si>
  <si>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</si>
  <si>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</si>
  <si>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</si>
  <si>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</si>
  <si>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</si>
  <si>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</si>
  <si>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</si>
  <si>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</si>
  <si>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</si>
  <si>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</si>
  <si>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</si>
  <si>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</si>
  <si>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BS_DERIV_HEDGING_LIAB_LT</t>
  </si>
  <si>
    <t>BS_LIABS_OF_DISCONTINUED_OPS_LT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</si>
  <si>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</si>
  <si>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</si>
  <si>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</si>
  <si>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</si>
  <si>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</si>
  <si>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</si>
  <si>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</si>
  <si>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</si>
  <si>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</si>
  <si>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</si>
  <si>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</si>
  <si>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</si>
  <si>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</si>
  <si>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</si>
  <si>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</si>
  <si>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</si>
  <si>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</si>
  <si>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</si>
  <si>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</si>
  <si>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</si>
  <si>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</si>
  <si>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</si>
  <si>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</si>
  <si>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</si>
  <si>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</si>
  <si>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</si>
  <si>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</si>
  <si>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</si>
  <si>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</si>
  <si>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</si>
  <si>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</si>
  <si>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</si>
  <si>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</si>
  <si>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</si>
  <si>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</si>
  <si>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</si>
  <si>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</si>
  <si>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</si>
  <si>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</si>
  <si>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</si>
  <si>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</si>
  <si>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</si>
  <si>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</si>
  <si>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</si>
  <si>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</si>
  <si>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</si>
  <si>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</si>
  <si>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Balance Sheet</t>
  </si>
  <si>
    <t xml:space="preserve">  Current Assets</t>
  </si>
  <si>
    <t>ARD_CASH_AND_EQUIVALENTS</t>
  </si>
  <si>
    <t>Marketable Securities</t>
  </si>
  <si>
    <t>ARD_MARKETABLE_SECURITIES</t>
  </si>
  <si>
    <t>Accounts Receivable - Trade</t>
  </si>
  <si>
    <t>ARD_ACCTS_RECEIVABLE_TRADE</t>
  </si>
  <si>
    <t>Inventories</t>
  </si>
  <si>
    <t>ARD_INVENTORY</t>
  </si>
  <si>
    <t>Prepaid Expenses (Short-Term)</t>
  </si>
  <si>
    <t>ARD_PREPAID_EXPENSES_ST</t>
  </si>
  <si>
    <t>Prepaid Expenses and Other</t>
  </si>
  <si>
    <t>ARD_PREPAID_EXP_AND_OTHER</t>
  </si>
  <si>
    <t>Other Current Assets</t>
  </si>
  <si>
    <t>ARD_OTHER_CURRENT_ASSETS</t>
  </si>
  <si>
    <t>Assets From Discontinued Operations Short-Term</t>
  </si>
  <si>
    <t>ARD_ASSETS_FROM_DISC_OPS_ST</t>
  </si>
  <si>
    <t>Other Receivables (Short-Term)</t>
  </si>
  <si>
    <t>ARD_OTHER_RECEIVABLES_ST</t>
  </si>
  <si>
    <t>Accounts Receivable And Other Receivables</t>
  </si>
  <si>
    <t>ARD_ACCTS_REC_OTHER_REC</t>
  </si>
  <si>
    <t>ARD_TOTAL_CUR_ASSETS</t>
  </si>
  <si>
    <t xml:space="preserve">  Noncurrent Assets</t>
  </si>
  <si>
    <t>Non-Current Marketable Securities</t>
  </si>
  <si>
    <t>ARD_NON_CUR_MKT_SEC</t>
  </si>
  <si>
    <t>Property Plant &amp; Equipment - Net</t>
  </si>
  <si>
    <t>ARD_PROPERTY_PLANT_EQUIP_NET</t>
  </si>
  <si>
    <t>Other Intangible Assets</t>
  </si>
  <si>
    <t>ARD_OTHER_INTANGIBLE_ASSET</t>
  </si>
  <si>
    <t>Goodwill</t>
  </si>
  <si>
    <t>ARD_GOODWLL</t>
  </si>
  <si>
    <t>Restricted Cash/Investments (Long-Term)</t>
  </si>
  <si>
    <t>ARD_RESTRICTED_CASH_INVEST_LT</t>
  </si>
  <si>
    <t>Other Noncurrent Assets</t>
  </si>
  <si>
    <t>ARD_OTHER_NONCURRENT_ASSET</t>
  </si>
  <si>
    <t>Assets From Discontinued Operations (LT)</t>
  </si>
  <si>
    <t>ARD_ASSETS_FROM_DISC_OPS_LT</t>
  </si>
  <si>
    <t>Total Non-Current Assets</t>
  </si>
  <si>
    <t>ARD_TOTAL_NONCURRENT_ASSETS</t>
  </si>
  <si>
    <t>ARD_TOT_ASSETS</t>
  </si>
  <si>
    <t xml:space="preserve">  Current Liabilities</t>
  </si>
  <si>
    <t>Accounts Payable - Trade</t>
  </si>
  <si>
    <t>ARD_ACCOUNTS_PAYABLE_TRADE</t>
  </si>
  <si>
    <t>Current Portion of Long-Term Debt</t>
  </si>
  <si>
    <t>ARD_CURRENT_PORTION_OF_LT_DEBT</t>
  </si>
  <si>
    <t>Short-Term Capital Lease Obligations</t>
  </si>
  <si>
    <t>ARD_ST_CAP_LEASE_OBLIGATIONS</t>
  </si>
  <si>
    <t>Accrued Expenses and Other</t>
  </si>
  <si>
    <t>ARD_ACCRUED_EXP_AND_OTHER</t>
  </si>
  <si>
    <t>Deferred/Unearned Revenue (Short-Term)</t>
  </si>
  <si>
    <t>ARD_DEFERRED_UNEARNED_REV_ST</t>
  </si>
  <si>
    <t>Other Current Liabilities</t>
  </si>
  <si>
    <t>ARD_OTHER_CURRENT_LIABILITIES</t>
  </si>
  <si>
    <t>Short Term Operating Lease Liabilities</t>
  </si>
  <si>
    <t>ARD_ST_OPERATING_LEASE_LIABS</t>
  </si>
  <si>
    <t>Liabilities From Discontinued Ops (Short-Term)</t>
  </si>
  <si>
    <t>ARD_LIAB_FROM_DISC_OPS_ST</t>
  </si>
  <si>
    <t>ARD_TOTAL_CURRENT_LIABILITIES</t>
  </si>
  <si>
    <t xml:space="preserve">  Non Current Liabilities</t>
  </si>
  <si>
    <t>ARD_TOT_NONCURRENT_LIABILITIES</t>
  </si>
  <si>
    <t>Long Term Capital Lease Obligations</t>
  </si>
  <si>
    <t>ARD_LT_CAP_LEASE_OBLIGATIONS</t>
  </si>
  <si>
    <t>Deferred/Unearned Revenue (Long-Term)</t>
  </si>
  <si>
    <t>ARD_DEFERRED_UNEARNED_REV_LT</t>
  </si>
  <si>
    <t>Other Noncurrent Liabilities</t>
  </si>
  <si>
    <t>ARD_OTH_NONCURRENT_LIABILITIES</t>
  </si>
  <si>
    <t>Long Term Operating Lease Liabilities</t>
  </si>
  <si>
    <t>ARD_LT_OPERATING_LEASE_LIABS</t>
  </si>
  <si>
    <t>Liabilities From Discontinued Ops (Long-Term)</t>
  </si>
  <si>
    <t>ARD_LIAB_FROM_DISC_OPS_LT</t>
  </si>
  <si>
    <t>ARD_TOT_LIABILITIES</t>
  </si>
  <si>
    <t xml:space="preserve">  Stockholder Equity</t>
  </si>
  <si>
    <t>Preferred Stock</t>
  </si>
  <si>
    <t>ARD_PREFERRED_STOCK</t>
  </si>
  <si>
    <t>Common Stock</t>
  </si>
  <si>
    <t>ARD_COMMON_STOCK</t>
  </si>
  <si>
    <t>Additional Paid In Capital</t>
  </si>
  <si>
    <t>ARD_ADDITIONAL_PAID_IN_CAPITAL</t>
  </si>
  <si>
    <t>Accumulated Other Comprehensive Income</t>
  </si>
  <si>
    <t>ARD_ACC_OTH_COMPREHENSIVE_INC</t>
  </si>
  <si>
    <t>Retained Earnings (Accumulated Deficit)</t>
  </si>
  <si>
    <t>ARD_RETAINED_EARN_ACC_DEFICIT</t>
  </si>
  <si>
    <t>ARD_SHARES_OUTSTANDING</t>
  </si>
  <si>
    <t>Par Value</t>
  </si>
  <si>
    <t>ARD_PAR_VALUE</t>
  </si>
  <si>
    <t>Shares Issued</t>
  </si>
  <si>
    <t>ARD_SHARES_ISSUED</t>
  </si>
  <si>
    <t>Total Shareholders Equity</t>
  </si>
  <si>
    <t>ARD_TOTAL_SHAREHOLDERS_EQUITY</t>
  </si>
  <si>
    <t>Shares Authorized</t>
  </si>
  <si>
    <t>ARD_SHARES_AUTHORIZED</t>
  </si>
  <si>
    <t>Preferred Stock Shares Outstanding</t>
  </si>
  <si>
    <t>ARD_PREFERRED_STOCK_SHARES_OUT</t>
  </si>
  <si>
    <t>Total Liabilities and Shareholders Equity</t>
  </si>
  <si>
    <t>ARD_TOT_LIAB_AND_SHAREHOLDER_EQY</t>
  </si>
  <si>
    <t>ARDR Number of RSU Beginning of the Period</t>
  </si>
  <si>
    <t>ARDR_NUM_OF_RSU_BEGIN_OF_PER</t>
  </si>
  <si>
    <t>ARDR Number of Restricted Stock Units Granted</t>
  </si>
  <si>
    <t>ARDR_NUMBER_OF_RSU_GRANTED</t>
  </si>
  <si>
    <t>ARDR Number of Restricted Stock Units Vested</t>
  </si>
  <si>
    <t>ARDR_NUMBER_OF_RSU_VESTED</t>
  </si>
  <si>
    <t>ARDR Number of RSU Forfeited Canceled</t>
  </si>
  <si>
    <t>ARDR_NUMBER_OF_RSU_FORFTD_CANCLD</t>
  </si>
  <si>
    <t>ARDR_INVENTORY</t>
  </si>
  <si>
    <t>Land</t>
  </si>
  <si>
    <t>ARDR_LAND</t>
  </si>
  <si>
    <t>Buildings</t>
  </si>
  <si>
    <t>ARDR_BUILDING</t>
  </si>
  <si>
    <t>Leasehold Improvements</t>
  </si>
  <si>
    <t>ARDR_LEASEHOLD_IMPROVEMENTS</t>
  </si>
  <si>
    <t>Construction In Progress</t>
  </si>
  <si>
    <t>ARDR_CONSTRUCTION_IN_PROGRESS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</si>
  <si>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</si>
  <si>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</si>
  <si>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</si>
  <si>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</si>
  <si>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</si>
  <si>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</si>
  <si>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</si>
  <si>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Deferred Income Tax Asset (LT)</t>
  </si>
  <si>
    <t>ARDR_DEFERRED_INC_TAX_ASSET_LT</t>
  </si>
  <si>
    <t>ARDR_ST_CAP_LEASE_OBLIGATIONS</t>
  </si>
  <si>
    <t>ARDR_LT_CAP_LEASE_OBLIGATIONS</t>
  </si>
  <si>
    <t>ARDR_COMMON_STOCK</t>
  </si>
  <si>
    <t>ARDR_ADDITIONAL_PAID_IN_CAPITAL</t>
  </si>
  <si>
    <t>ARDR_ACC_OTH_COMPREHENSIVE_INC</t>
  </si>
  <si>
    <t>ARDR_RETAINED_EARN_ACC_DEFICIT</t>
  </si>
  <si>
    <t>ARDR_SHARES_OUTSTANDING</t>
  </si>
  <si>
    <t>ARDR_PAR_VALUE</t>
  </si>
  <si>
    <t>Raw Materials</t>
  </si>
  <si>
    <t>ARDR_RAW_MATERIAL</t>
  </si>
  <si>
    <t>Work In Progress</t>
  </si>
  <si>
    <t>ARDR_WORK_IN_PROGRESS</t>
  </si>
  <si>
    <t>Finished Goods</t>
  </si>
  <si>
    <t>ARDR_FINISHED_GOOD</t>
  </si>
  <si>
    <t>ARDR_FUT_MIN_OPER_LEASE_OBLIG</t>
  </si>
  <si>
    <t>Rental Expense - Year 1</t>
  </si>
  <si>
    <t>ARDR_RENTAL_EXP_YR1</t>
  </si>
  <si>
    <t>Rental Expense - Year 2</t>
  </si>
  <si>
    <t>ARDR_RENTAL_EXP_YR2</t>
  </si>
  <si>
    <t>Rental Expense - Year 3</t>
  </si>
  <si>
    <t>ARDR_RENTAL_EXP_YR3</t>
  </si>
  <si>
    <t>Rental Expense - Year 4</t>
  </si>
  <si>
    <t>ARDR_RENTAL_EXP_YR4</t>
  </si>
  <si>
    <t>Rental Expense - Year 5</t>
  </si>
  <si>
    <t>ARDR_RENTAL_EXP_YR5</t>
  </si>
  <si>
    <t>Rental Expense - Beyond Year 5</t>
  </si>
  <si>
    <t>ARDR_RENTAL_EXP_BEYOND_YR5</t>
  </si>
  <si>
    <t>ARDR_TOTAL_SHAREHOLDERS_EQUITY</t>
  </si>
  <si>
    <t>Total Capital Leases</t>
  </si>
  <si>
    <t>ARDR_TOTAL_CAPITAL_LEASES</t>
  </si>
  <si>
    <t>Shares Outstanding From The Front Cover</t>
  </si>
  <si>
    <t>ARDR_SHARE_OUT_FROM_FRONT_COVER</t>
  </si>
  <si>
    <t>Licenses</t>
  </si>
  <si>
    <t>ARDR_LICENSES</t>
  </si>
  <si>
    <t>Accumulated Amortization Intangible Assets</t>
  </si>
  <si>
    <t>ARDR_ACCCUM_AMORT_INTANG_ASSET</t>
  </si>
  <si>
    <t>Cash Equivalents And Marketable Securities</t>
  </si>
  <si>
    <t>ARDR_CASH_EQUIVALENTS_MKT_SECS</t>
  </si>
  <si>
    <t>Total Contingent Payable</t>
  </si>
  <si>
    <t>ARDR_TOTAL_CONTIGENT_PAYABLE</t>
  </si>
  <si>
    <t>ARDR_OPTIONS_GRANTED_DURING_PER</t>
  </si>
  <si>
    <t>Options Outstanding End Period</t>
  </si>
  <si>
    <t>ARDR_OPTIONS_OUTSTANDING_END_PER</t>
  </si>
  <si>
    <t>Options Exercised During the Period</t>
  </si>
  <si>
    <t>ARDR_OPTIONS_EXERCISED_DUR_PER</t>
  </si>
  <si>
    <t>Deferred Income Tax Liability Long -Term</t>
  </si>
  <si>
    <t>ARDR_DEFERRED_INC_TAB_LIAB_LT</t>
  </si>
  <si>
    <t>Purchase Obligations</t>
  </si>
  <si>
    <t>ARDR_PURCHASE_OBLIGATIONS</t>
  </si>
  <si>
    <t>ARDR Total Operating Liabilities</t>
  </si>
  <si>
    <t>ARDR_TOTAL_OPERATING_LIABILITIES</t>
  </si>
  <si>
    <t>Fair Value Assets Recur - Level 1</t>
  </si>
  <si>
    <t>ARDR_FV_ASSETS_REC_LEVEL_1</t>
  </si>
  <si>
    <t>Fair Value Assets Recur - Level 2</t>
  </si>
  <si>
    <t>ARDR_FV_ASSETS_REC_LEVEL_2</t>
  </si>
  <si>
    <t>Fair Value Assets Recur - Level 3</t>
  </si>
  <si>
    <t>ARDR_FV_ASSETS_REC_LEVEL_3</t>
  </si>
  <si>
    <t>Fair Value Assets Recur - Total</t>
  </si>
  <si>
    <t>ARDR_FV_ASSETS_REC_TOTAL</t>
  </si>
  <si>
    <t>Fair Value Liab Recur - Level 1</t>
  </si>
  <si>
    <t>ARDR_FV_LIAB_REC_LEVEL_1</t>
  </si>
  <si>
    <t>Fair Value Liab Recur - Level 2</t>
  </si>
  <si>
    <t>ARDR_FV_LIAB_REC_LEVEL_2</t>
  </si>
  <si>
    <t>Fair Value Liab Recur - Level 3</t>
  </si>
  <si>
    <t>ARDR_FV_LIAB_REC_LEVEL_3</t>
  </si>
  <si>
    <t>Fair Value Liab Recur - Total</t>
  </si>
  <si>
    <t>ARDR_FV_LIAB_REC_TOTAL</t>
  </si>
  <si>
    <t>ARDR Options Cancelled or Forfeited</t>
  </si>
  <si>
    <t>ARDR_OPTIONS_CANCELLED_FORFEITED</t>
  </si>
  <si>
    <t>Contractual Obligations - Year 1</t>
  </si>
  <si>
    <t>ARDR_CONTRACTUAL_OBLIG_YEAR_1</t>
  </si>
  <si>
    <t>Contractual Obligations Years - 2 &amp; 3</t>
  </si>
  <si>
    <t>ARDR_CONTRACTUAL_OBLIG_YEAR_2_3</t>
  </si>
  <si>
    <t>Contractual Obligations Years - 4 &amp; 5</t>
  </si>
  <si>
    <t>ARDR_CONTRACTUAL_OBLIG_YEAR_4_5</t>
  </si>
  <si>
    <t>Contractual Obligations - Beyond Year 5</t>
  </si>
  <si>
    <t>ARDR_CONT_OBLIG_BEYOND_YEAR_5</t>
  </si>
  <si>
    <t>Total Contractual Obligations</t>
  </si>
  <si>
    <t>ARDR_CONTRACTUAL_OBLIG_TOTAL</t>
  </si>
  <si>
    <t>Capital Lease Year 1</t>
  </si>
  <si>
    <t>ARDR_CAPITAL_LEASE_YEAR_1</t>
  </si>
  <si>
    <t>Capital Lease Year 2</t>
  </si>
  <si>
    <t>ARDR_CAPITAL_LEASE_YEAR_2</t>
  </si>
  <si>
    <t>Capital Lease Year 3</t>
  </si>
  <si>
    <t>ARDR_CAPITAL_LEASE_YEAR_3</t>
  </si>
  <si>
    <t>Capital Lease Year 4</t>
  </si>
  <si>
    <t>ARDR_CAPITAL_LEASE_YEAR_4</t>
  </si>
  <si>
    <t>Capital Lease Year 5</t>
  </si>
  <si>
    <t>ARDR_CAPITAL_LEASE_YEAR_5</t>
  </si>
  <si>
    <t>Capital Lease Beyond Year 5</t>
  </si>
  <si>
    <t>ARDR_CAPITAL_LEASE_BEYOND_YEAR_5</t>
  </si>
  <si>
    <t>Total Capital Lease</t>
  </si>
  <si>
    <t>ARDR_TOTAL_CAPITAL_LEASE</t>
  </si>
  <si>
    <t>PV of Future Min Op Lease Obligations</t>
  </si>
  <si>
    <t>ARDR_PV_FUTURE_MIN_OP_LEASE_OBL</t>
  </si>
  <si>
    <t>Stock Opt Valuation - Risk Free Rate (%)</t>
  </si>
  <si>
    <t>ARDR_STOCK_OPTION_VAL_RFR</t>
  </si>
  <si>
    <t>Stock Opt Valuation - Expected Life (Yrs)</t>
  </si>
  <si>
    <t>ARDR_STOCK_OPTION_VAL_EXP_LIFE</t>
  </si>
  <si>
    <t>Stock Opt Valuation - Expected Volatil (%)</t>
  </si>
  <si>
    <t>ARDR_STOCK_OPTION_VAL_EXP_VOL</t>
  </si>
  <si>
    <t>Stock Opt Valuation - Dividend Yield (%)</t>
  </si>
  <si>
    <t>ARDR_STOCK_OPTION_VAL_DVD_YLD</t>
  </si>
  <si>
    <t>Avg Exercise Price (Options Exercisable)</t>
  </si>
  <si>
    <t>ARDR_AVG_EXER_PX_OPT_EXERCISABLE</t>
  </si>
  <si>
    <t>Avg Exercise Price (Options Outstanding)</t>
  </si>
  <si>
    <t>ARDR_AVG_EXER_PX_OPT_OUTSTANDING</t>
  </si>
  <si>
    <t>Options Exercisable End of Period</t>
  </si>
  <si>
    <t>ARDR_OPTIONS_EXERCISABLE</t>
  </si>
  <si>
    <t>Capital Lease Interest</t>
  </si>
  <si>
    <t>ARD_CAPITAL_LEASE_INTEREST</t>
  </si>
  <si>
    <t>Deferred Tax Asset - Valuation Allowance</t>
  </si>
  <si>
    <t>ARDR_DEFERRED_TAX_ALLOWANCE</t>
  </si>
  <si>
    <t>FV Assets Rec L1: Cash and Securities</t>
  </si>
  <si>
    <t>ARDR_FV_ASSETS_REC_L1_CASH_SECS</t>
  </si>
  <si>
    <t>FV Assets Rec L1: AFS Treasuries</t>
  </si>
  <si>
    <t>ARDR_FV_ASSETS_REC_L1_AFS_TREAS</t>
  </si>
  <si>
    <t>FV Assets Rec L1: AFS Corporate Bonds</t>
  </si>
  <si>
    <t>ARDR_FV_ASTS_REC_L1_AFS_CORP_BDS</t>
  </si>
  <si>
    <t>FV Assets Rec L1: AFS CDO CLO</t>
  </si>
  <si>
    <t>ARDR_FV_ASTS_REC_L1_AFS_CDO_CLO</t>
  </si>
  <si>
    <t>FV Assets Rec L1: Other</t>
  </si>
  <si>
    <t>ARDR_FV_ASSETS_REC_L1_OTHER</t>
  </si>
  <si>
    <t>FV Assets Rec L2: Cash and Securities</t>
  </si>
  <si>
    <t>ARDR_FV_ASTS_REC_L2_CASH_SECS</t>
  </si>
  <si>
    <t>FV Assets Rec L2: Trading Treasuries</t>
  </si>
  <si>
    <t>ARDR_FV_ASTS_REC_L2_TRAD_TREAS</t>
  </si>
  <si>
    <t>FV Assets Rec L2: Trading CDO CLO</t>
  </si>
  <si>
    <t>ARDR_FV_ASTS_REC_L2_TRAD_CDO_CLO</t>
  </si>
  <si>
    <t>FV Assets Rec L2: AFS Treasuries</t>
  </si>
  <si>
    <t>ARDR_FV_ASSETS_REC_L2_AFS_TREAS</t>
  </si>
  <si>
    <t>FV Assets Rec L2: AFS Corp Bonds</t>
  </si>
  <si>
    <t>ARDR_FV_ASTS_REC_L2_AFS_CORP_BDS</t>
  </si>
  <si>
    <t>FV Assets Rec L2: AFS CDO CLO</t>
  </si>
  <si>
    <t>ARDR_FV_ASTS_REC_L2_AFS_CDO_CLO</t>
  </si>
  <si>
    <t>FV Assets Rec L2: Other</t>
  </si>
  <si>
    <t>ARDR_FV_ASSETS_REC_L2_OTH</t>
  </si>
  <si>
    <t>FV Assets Rec L3: Cash and Sec</t>
  </si>
  <si>
    <t>ARDR_FV_ASTS_REC_L3_CASH_SECS</t>
  </si>
  <si>
    <t>FV Assets Rec L3: AFS Treasuries</t>
  </si>
  <si>
    <t>ARDR_FV_ASSETS_REC_L3_AFS_TREAS</t>
  </si>
  <si>
    <t>FV Assets Rec L3: AFS Corporate Bonds</t>
  </si>
  <si>
    <t>ARDR_FV_ASTS_REC_L3_AFS_CORP_BDS</t>
  </si>
  <si>
    <t>FV Assets Rec L3: AFS CDO CLO</t>
  </si>
  <si>
    <t>ARDR_FV_ASTS_REC_L3_AFS_CDO_CLO</t>
  </si>
  <si>
    <t>FV Assets Rec L3: Other</t>
  </si>
  <si>
    <t>ARDR_FV_ASSETS_REC_L3_OTHER</t>
  </si>
  <si>
    <t>FV Assets Rec Total: Cash Securities</t>
  </si>
  <si>
    <t>ARDR_FV_ASSETS_REC_TOT_CASH_SECS</t>
  </si>
  <si>
    <t>FV Assets Rec Total: AFS</t>
  </si>
  <si>
    <t>ARDR_FV_ASSETS_REC_TOT_AFS</t>
  </si>
  <si>
    <t>FV Assets Rec Total: Other</t>
  </si>
  <si>
    <t>ARDR_FV_ASSETS_REC_TOT_OTHER</t>
  </si>
  <si>
    <t>FV Liabs Rec L1: Other</t>
  </si>
  <si>
    <t>ARDR_FV_LIABS_REC_L1_OTHER</t>
  </si>
  <si>
    <t>FV Liabs Rec L2: Other</t>
  </si>
  <si>
    <t>ARDR_FV_LIABS_REC_L2_OTHER</t>
  </si>
  <si>
    <t>FV Liabs Rec L3: Other</t>
  </si>
  <si>
    <t>ARDR_FV_LIABS_REC_L3_OTHER</t>
  </si>
  <si>
    <t>FV Assets Rec L3: Beginning of Period</t>
  </si>
  <si>
    <t>ARDR_FV_ASTS_REC_L3_BEG_PERIOD</t>
  </si>
  <si>
    <t>FV Assets Rec L3: Gains Losses</t>
  </si>
  <si>
    <t>ARDR_FV_ASTS_REC_L3_GAINS_LOSSES</t>
  </si>
  <si>
    <t>DTA - Net Operating Loss Carryforward</t>
  </si>
  <si>
    <t>ARDR_DTA_NOL_CARRYFORWARD</t>
  </si>
  <si>
    <t>Deferred Tax Assets - Tax Credits</t>
  </si>
  <si>
    <t>ARDR_DTA_TAX_CREDITS</t>
  </si>
  <si>
    <t>Options at Beginning of Period</t>
  </si>
  <si>
    <t>ARDR_OPTIONS_BEGINNING_OF_PERIOD</t>
  </si>
  <si>
    <t>Options Adjustment</t>
  </si>
  <si>
    <t>ARDR_OPTIONS_ADJUSTMENT</t>
  </si>
  <si>
    <t>As Reported Data Reference Restricted Stock Units</t>
  </si>
  <si>
    <t>ARDR_RESTRICTED_STOCK_UNITS</t>
  </si>
  <si>
    <t>ARDR Restricted Stock Unit WAvg FV PS</t>
  </si>
  <si>
    <t>ARDR_RSTR_STK_UNIT_WAVG_FV_PS</t>
  </si>
  <si>
    <t>ARDR Full Time Employees</t>
  </si>
  <si>
    <t>ARDR_FULL_TIME_EMPLOYEES</t>
  </si>
  <si>
    <t>Bluebird Bio Inc (BLUE US) - Common Size</t>
  </si>
  <si>
    <t>Bluebird Bio Inc (BLUE US) - Fair Value Analysis</t>
  </si>
  <si>
    <t xml:space="preserve">  Level 1 Assets</t>
  </si>
  <si>
    <t xml:space="preserve">  Level 2 Assets</t>
  </si>
  <si>
    <t xml:space="preserve">  Level 3 Assets</t>
  </si>
  <si>
    <t>Total FV Assets</t>
  </si>
  <si>
    <t xml:space="preserve">  Level 1 Liabilities</t>
  </si>
  <si>
    <t xml:space="preserve">  Level 2 Liabilities</t>
  </si>
  <si>
    <t xml:space="preserve">  Level 3 Liabilities</t>
  </si>
  <si>
    <t>Total FV Liabilities</t>
  </si>
  <si>
    <t xml:space="preserve">  Level 1 Assets/Total Equity</t>
  </si>
  <si>
    <t>LEVEL_1_ASSETS_TO_TOTAL_EQUITY</t>
  </si>
  <si>
    <t xml:space="preserve">  Level 2 Assets/Total Equity</t>
  </si>
  <si>
    <t>LEVEL_2_ASSETS_TO_TOTAL_EQUITY</t>
  </si>
  <si>
    <t xml:space="preserve">  Level 3 Assets/Total Equity</t>
  </si>
  <si>
    <t>LEVEL_3_ASSETS_TO_TOTAL_EQUITY</t>
  </si>
  <si>
    <t>Total FV Assets/Total Equity</t>
  </si>
  <si>
    <t>TOT_FAIR_VAL_ASSETS_TO_TOT_EQTY</t>
  </si>
  <si>
    <t xml:space="preserve">  Level 1 Assets/Total Assets</t>
  </si>
  <si>
    <t>LEVEL_1_ASSETS_TO_TOTAL_ASSETS</t>
  </si>
  <si>
    <t xml:space="preserve">  Level 2 Assets/Total Assets</t>
  </si>
  <si>
    <t>LEVEL_2_ASSETS_TO_TOTAL_ASSETS</t>
  </si>
  <si>
    <t xml:space="preserve">  Level 3 Assets/Total Assets</t>
  </si>
  <si>
    <t>LEVEL_3_ASSETS_TO_TOTAL_ASSETS</t>
  </si>
  <si>
    <t>Total FV Assets/Total Assets</t>
  </si>
  <si>
    <t>TOT_FAIR_VAL_ASSET_TO_TOT_ASSETS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</si>
  <si>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</si>
  <si>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</si>
  <si>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</si>
  <si>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</si>
  <si>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</si>
  <si>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</si>
  <si>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</si>
  <si>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</si>
  <si>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</si>
  <si>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</si>
  <si>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</si>
  <si>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</si>
  <si>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</si>
  <si>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</si>
  <si>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</si>
  <si>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</si>
  <si>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</si>
  <si>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</si>
  <si>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</si>
  <si>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</si>
  <si>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</si>
  <si>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</si>
  <si>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</si>
  <si>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</si>
  <si>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</si>
  <si>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</si>
  <si>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</si>
  <si>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</si>
  <si>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</si>
  <si>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</si>
  <si>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</si>
  <si>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</si>
  <si>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</si>
  <si>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</si>
  <si>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</si>
  <si>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</si>
  <si>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</si>
  <si>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</si>
  <si>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</si>
  <si>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</si>
  <si>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</si>
  <si>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</si>
  <si>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</si>
  <si>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</si>
  <si>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</si>
  <si>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</si>
  <si>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</si>
  <si>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</si>
  <si>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</si>
  <si>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</si>
  <si>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</si>
  <si>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</si>
  <si>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</si>
  <si>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</si>
  <si>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</si>
  <si>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</si>
  <si>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</si>
  <si>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</si>
  <si>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</si>
  <si>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</si>
  <si>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</si>
  <si>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</si>
  <si>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</si>
  <si>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</si>
  <si>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</si>
  <si>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</si>
  <si>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</si>
  <si>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</si>
  <si>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</si>
  <si>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</si>
  <si>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</si>
  <si>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</si>
  <si>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</si>
  <si>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</si>
  <si>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</si>
  <si>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</si>
  <si>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</si>
  <si>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</si>
  <si>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</si>
  <si>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Trailing 12M EBITDA Margin</t>
  </si>
  <si>
    <t>Net Cash Paid for Acquisitions</t>
  </si>
  <si>
    <t>CF_NET_CASH_PAID_FOR_AQUIS</t>
  </si>
  <si>
    <t>Tax Benefit from Stock Options</t>
  </si>
  <si>
    <t>CF_TAX_BENEFIT_FRM_STOCK_OPTIONS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</si>
  <si>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</si>
  <si>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</si>
  <si>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</si>
  <si>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</si>
  <si>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</si>
  <si>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Cash Flow to Net Income</t>
  </si>
  <si>
    <t>CASH_FLOW_TO_NET_INC</t>
  </si>
  <si>
    <t xml:space="preserve">  Cash From Operating Activities</t>
  </si>
  <si>
    <t>Net Income - CF</t>
  </si>
  <si>
    <t>ARD_NET_INCOME_CF</t>
  </si>
  <si>
    <t>Depreciation And Amortization - CF</t>
  </si>
  <si>
    <t>ARD_DEPRECIATION_AND_AMORT_CF</t>
  </si>
  <si>
    <t>ARD_STOCK_BASED_COMPENSATION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</si>
  <si>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</si>
  <si>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</si>
  <si>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</si>
  <si>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</si>
  <si>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</si>
  <si>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</si>
  <si>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Change in Accounts Receivable</t>
  </si>
  <si>
    <t>ARD_CHG_IN_ACCOUNTS_RECEIVABLE</t>
  </si>
  <si>
    <t>Change in Prepaid Expenses</t>
  </si>
  <si>
    <t>ARD_CHANGE_IN_PREPAID_EXP</t>
  </si>
  <si>
    <t>Change in Accrued Expenses</t>
  </si>
  <si>
    <t>ARD_CHANGE_IN_ACCRUED_EXP</t>
  </si>
  <si>
    <t>Total Cash Flows From Operations</t>
  </si>
  <si>
    <t>ARD_TOT_CASH_FLOWS_FROM_OPS</t>
  </si>
  <si>
    <t>Gain (Loss) On Sale of Investments and Mkt Sec</t>
  </si>
  <si>
    <t>ARD_GL_ON_SALE_OF_INV_MKT_SEC</t>
  </si>
  <si>
    <t>Change in Deferred Revenue (Long-Term)</t>
  </si>
  <si>
    <t>ARD_CHG_IN_DEFERRED_REV_LT</t>
  </si>
  <si>
    <t>Foreign Exchange Gains/Losses</t>
  </si>
  <si>
    <t>ARD_FOREIGN_EXCHANGE_GAIN_LOSS</t>
  </si>
  <si>
    <t xml:space="preserve">  Cash From Investing Activities</t>
  </si>
  <si>
    <t>ARD_CAPITAL_EXPENDITURES</t>
  </si>
  <si>
    <t>Other Investing Activities</t>
  </si>
  <si>
    <t>ARD_OTHER_INVESTING_ACTIVITIES</t>
  </si>
  <si>
    <t>Divestiture of Business</t>
  </si>
  <si>
    <t>ARD_DIVESTITURE_OF_BUSINESS</t>
  </si>
  <si>
    <t>Proceeds From Long-Term Marketable Securities</t>
  </si>
  <si>
    <t>ARD_PROCEEDS_FROM_LT_MKT_SEC</t>
  </si>
  <si>
    <t>Purchases of Long-Term Marketable Securities</t>
  </si>
  <si>
    <t>ARD_PURCHASES_OF_LT_MKT_SEC</t>
  </si>
  <si>
    <t>Purchase of Intangibles</t>
  </si>
  <si>
    <t>ARD_PURCHASE_OF_INTANGIBLES</t>
  </si>
  <si>
    <t>Total Cash Flows From Investing</t>
  </si>
  <si>
    <t>ARD_TOT_CASHFLOWS_FROM_INVESTING</t>
  </si>
  <si>
    <t xml:space="preserve">  Cash from Financing Activities</t>
  </si>
  <si>
    <t>Increase In Long-Term Borrowings</t>
  </si>
  <si>
    <t>ARD_INCR_IN_LT_BORROW</t>
  </si>
  <si>
    <t>Decrease In Long-Term Borrowings</t>
  </si>
  <si>
    <t>ARD_DECR_IN_LT_BORROW</t>
  </si>
  <si>
    <t>Issuance of Common Stock</t>
  </si>
  <si>
    <t>ARD_ISSUANCE_OF_COMMON_STOCK</t>
  </si>
  <si>
    <t>Debt Financing/Issuance Costs</t>
  </si>
  <si>
    <t>ARD_DEBT_FIN_ISSUANCE_COSTS</t>
  </si>
  <si>
    <t>Other Financing Activities</t>
  </si>
  <si>
    <t>ARD_OTHER_FINANCING_ACTIVITIES</t>
  </si>
  <si>
    <t>Cash Paid For Taxes</t>
  </si>
  <si>
    <t>ARD_CASH_PAID_FOR_TAXES</t>
  </si>
  <si>
    <t>Cash Paid For Interest</t>
  </si>
  <si>
    <t>ARD_CASH_PAID_FOR_INTEREST</t>
  </si>
  <si>
    <t>Exercise of Stock Options</t>
  </si>
  <si>
    <t>ARD_EXERCISE_OF_STOCK_OPTIONS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</si>
  <si>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</si>
  <si>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</si>
  <si>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</si>
  <si>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</si>
  <si>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</si>
  <si>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</si>
  <si>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Stock Issuance Costs</t>
  </si>
  <si>
    <t>ARD_STOCK_ISSUANCE_COSTS</t>
  </si>
  <si>
    <t>Repayment Of Finance Leases</t>
  </si>
  <si>
    <t>ARD_REPAYMENT_FINANCE_LEASES</t>
  </si>
  <si>
    <t>Total Cash Flows From Financing</t>
  </si>
  <si>
    <t>ARD_TOT_CASHFLOWS_FROM_FINANCING</t>
  </si>
  <si>
    <t>Bluebird Bio Inc (BLUE US)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</si>
  <si>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</si>
  <si>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</si>
  <si>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</si>
  <si>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</si>
  <si>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</si>
  <si>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</si>
  <si>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</si>
  <si>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</si>
  <si>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</si>
  <si>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</si>
  <si>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</si>
  <si>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</si>
  <si>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</si>
  <si>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</si>
  <si>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</si>
  <si>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</si>
  <si>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</si>
  <si>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</si>
  <si>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</si>
  <si>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</si>
  <si>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</si>
  <si>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</si>
  <si>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</si>
  <si>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</si>
  <si>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</si>
  <si>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</si>
  <si>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</si>
  <si>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</si>
  <si>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Bluebird Bio Inc (BLUE US) - Growth</t>
  </si>
  <si>
    <t>1 Year Growth</t>
  </si>
  <si>
    <t>EBITDA_GROWTH</t>
  </si>
  <si>
    <t>OPER_INC_GROWTH</t>
  </si>
  <si>
    <t>EARN_FOR_COM_GROWTH</t>
  </si>
  <si>
    <t>EPS Diluted</t>
  </si>
  <si>
    <t>EPS Diluted before XO</t>
  </si>
  <si>
    <t>DILUTED_EPS_BEF_XO_ITEMS_GROWTH</t>
  </si>
  <si>
    <t>EPS Diluted before Abnormal</t>
  </si>
  <si>
    <t>RR_DIL_EPS_CONT_OPS_GROWTH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</si>
  <si>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</si>
  <si>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</si>
  <si>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</si>
  <si>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</si>
  <si>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</si>
  <si>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</si>
  <si>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</si>
  <si>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</si>
  <si>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</si>
  <si>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</si>
  <si>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</si>
  <si>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</si>
  <si>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</si>
  <si>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</si>
  <si>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</si>
  <si>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</si>
  <si>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</si>
  <si>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</si>
  <si>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</si>
  <si>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</si>
  <si>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</si>
  <si>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</si>
  <si>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</si>
  <si>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</si>
  <si>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NET_CHANGE_IN_CASH_1_YEAR_GROWTH</t>
  </si>
  <si>
    <t>FREE_CASH_FLOW_1_YEAR_GROWTH</t>
  </si>
  <si>
    <t>5 Year Growth</t>
  </si>
  <si>
    <t>GEO_GROW_NET_SALES</t>
  </si>
  <si>
    <t>NET_FIXED_ASSETS_5_YEAR_GROWTH</t>
  </si>
  <si>
    <t>GEO_GROW_TOT_ASSET</t>
  </si>
  <si>
    <t>WORKING_CAPITAL_5_YEAR_GROWTH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</si>
  <si>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</si>
  <si>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</si>
  <si>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</si>
  <si>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</si>
  <si>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</si>
  <si>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</si>
  <si>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</si>
  <si>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</si>
  <si>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NET_CHANGE_IN_CASH_5_YEAR_GROWTH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</si>
  <si>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</si>
  <si>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</si>
  <si>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</si>
  <si>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</si>
  <si>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</si>
  <si>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</si>
  <si>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</si>
  <si>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Accounts Receivable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</si>
  <si>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</si>
  <si>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</si>
  <si>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</si>
  <si>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</si>
  <si>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</si>
  <si>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WORKING_CAPITAL_SEQ_GROWTH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</si>
  <si>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</si>
  <si>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</si>
  <si>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</si>
  <si>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</si>
  <si>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</si>
  <si>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</si>
  <si>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</si>
  <si>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</si>
  <si>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</si>
  <si>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</si>
  <si>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Bluebird Bio Inc (BLUE US) - Credit</t>
  </si>
  <si>
    <t>No</t>
  </si>
  <si>
    <t xml:space="preserve">  Short-Term Debt</t>
  </si>
  <si>
    <t xml:space="preserve">  Long Term Debt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</si>
  <si>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</si>
  <si>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</si>
  <si>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</si>
  <si>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</si>
  <si>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</si>
  <si>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</si>
  <si>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</si>
  <si>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</si>
  <si>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</si>
  <si>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</si>
  <si>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</si>
  <si>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</si>
  <si>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</si>
  <si>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</si>
  <si>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</si>
  <si>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</si>
  <si>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</si>
  <si>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</si>
  <si>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</si>
  <si>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</si>
  <si>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</si>
  <si>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NET_DEBT_PCT_OF_TOT_CAPITAL</t>
  </si>
  <si>
    <t>EBITDA-CapEx</t>
  </si>
  <si>
    <t>EBITDA_AFTER_CAPEX</t>
  </si>
  <si>
    <t>Bluebird Bio Inc (BLUE US) - Credit Ex Operating Leases</t>
  </si>
  <si>
    <t>ST_DEBT_EX_OPERATING_LEASE_LIABS</t>
  </si>
  <si>
    <t>LT_DEBT_EX_OPERATING_LEASE_LIABS</t>
  </si>
  <si>
    <t>EBITDA_AFT_OP_LEA_EXP_TO_INT_EXP</t>
  </si>
  <si>
    <t>EBITDA_AFT_CAPEX_OP_LEA_EX_INT</t>
  </si>
  <si>
    <t>EBIT_AFT_OP_LEA_EXPN_TO_INT_EXPN</t>
  </si>
  <si>
    <t>INT_EXPN_AFTER_OPERATING_LEA_ACT</t>
  </si>
  <si>
    <t>CE_TO_TOT_AST_LESS_OPER_LEA_AST</t>
  </si>
  <si>
    <t>LT_DBT_EX_OPER_LEA_LIABS_TO_EQTY</t>
  </si>
  <si>
    <t>LT_DBT_TO_CPTL_EX_OPER_LEA_LIABS</t>
  </si>
  <si>
    <t>LT_DBT_AST_EX_OP_LEA_LIAB_AST</t>
  </si>
  <si>
    <t>TOT_DBT_EX_OP_LEA_LIABS_TO_EQTY</t>
  </si>
  <si>
    <t>TOT_DBT_AST_EX_OP_LEA_LIAB_AST</t>
  </si>
  <si>
    <t>NET_DBT_EX_OPER_LEA_LIABS_EQTY</t>
  </si>
  <si>
    <t>NET_DBT_CPTL_EX_OPER_LEA_LIABS</t>
  </si>
  <si>
    <t>EBITDA_AFTER_OPERATING_LEA_EXPN</t>
  </si>
  <si>
    <t>EBITDA_AFT_CAPEX_AND_OP_LEA_EXPN</t>
  </si>
  <si>
    <t>EBIT_AFTER_OPERATING_LEASE</t>
  </si>
  <si>
    <t>Bluebird Bio Inc (BLUE US)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</si>
  <si>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</si>
  <si>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</si>
  <si>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</si>
  <si>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</si>
  <si>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</si>
  <si>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</si>
  <si>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</si>
  <si>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</si>
  <si>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</si>
  <si>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</si>
  <si>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</si>
  <si>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</si>
  <si>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Bluebird Bio Inc (BLUE US)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</si>
  <si>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</si>
  <si>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</si>
  <si>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</si>
  <si>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</si>
  <si>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</si>
  <si>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</si>
  <si>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</si>
  <si>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</si>
  <si>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</si>
  <si>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</si>
  <si>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</si>
  <si>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</si>
  <si>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</si>
  <si>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</si>
  <si>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</si>
  <si>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</si>
  <si>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</si>
  <si>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</si>
  <si>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</si>
  <si>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Bluebird Bio Inc (BLUE US)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</si>
  <si>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</si>
  <si>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</si>
  <si>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</si>
  <si>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</si>
  <si>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</si>
  <si>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</si>
  <si>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</si>
  <si>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</si>
  <si>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Dividends Paid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</si>
  <si>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</si>
  <si>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</si>
  <si>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</si>
  <si>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</si>
  <si>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</si>
  <si>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</si>
  <si>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</si>
  <si>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</si>
  <si>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</si>
  <si>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</si>
  <si>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</si>
  <si>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</si>
  <si>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</si>
  <si>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</si>
  <si>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</si>
  <si>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</si>
  <si>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</si>
  <si>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</si>
  <si>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</si>
  <si>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Periodic Enterprise Value</t>
  </si>
  <si>
    <t>- Net ST Debt Repayments</t>
  </si>
  <si>
    <t>- Net LT Debt Repayments</t>
  </si>
  <si>
    <t>- Other Financing Activities</t>
  </si>
  <si>
    <t>T12 Capital Yield</t>
  </si>
  <si>
    <t>CAPITAL_YIELD</t>
  </si>
  <si>
    <t>Bluebird Bio Inc (BLUE US) - DuPont Analysis</t>
  </si>
  <si>
    <t>Tax Burden</t>
  </si>
  <si>
    <t xml:space="preserve">  Net Inc to Comn/Pre-Tax Profit %</t>
  </si>
  <si>
    <t>TAX_EFFICIENCY</t>
  </si>
  <si>
    <t>Adjustment Factor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</si>
  <si>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</si>
  <si>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</si>
  <si>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</si>
  <si>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</si>
  <si>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</si>
  <si>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</si>
  <si>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</si>
  <si>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</si>
  <si>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</si>
  <si>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</si>
  <si>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</si>
  <si>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</si>
  <si>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</si>
  <si>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</si>
  <si>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</si>
  <si>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</si>
  <si>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Bluebird Bio Inc (BLUE US) - By Measure</t>
  </si>
  <si>
    <t xml:space="preserve">  Biotech</t>
  </si>
  <si>
    <t>Revenue - Supplementary Breakdown</t>
  </si>
  <si>
    <t xml:space="preserve">  Other</t>
  </si>
  <si>
    <t xml:space="preserve">  Product</t>
  </si>
  <si>
    <t xml:space="preserve">  Royalty</t>
  </si>
  <si>
    <t xml:space="preserve">  Service</t>
  </si>
  <si>
    <t xml:space="preserve">  License and Royalty</t>
  </si>
  <si>
    <t xml:space="preserve">  Collaborative Arrangement</t>
  </si>
  <si>
    <t>Income Taxes</t>
  </si>
  <si>
    <t>Property/Plant/Equipment</t>
  </si>
  <si>
    <t>Assets</t>
  </si>
  <si>
    <t>Liabilities</t>
  </si>
  <si>
    <t>Depreciation</t>
  </si>
  <si>
    <t>R&amp;D Expenses</t>
  </si>
  <si>
    <t>Bluebird Bio Inc (BLUE US) - By Geography</t>
  </si>
  <si>
    <t xml:space="preserve">  Worldwide</t>
  </si>
  <si>
    <t>Bluebird Bio Inc (BLUE US) - By Segment</t>
  </si>
  <si>
    <t>Biotech</t>
  </si>
  <si>
    <t xml:space="preserve">  Revenue</t>
  </si>
  <si>
    <t xml:space="preserve">  Operating Income</t>
  </si>
  <si>
    <t xml:space="preserve">  Assets</t>
  </si>
  <si>
    <t xml:space="preserve">  Depreciation and Amortization</t>
  </si>
  <si>
    <t xml:space="preserve">  Capital Expenditures</t>
  </si>
  <si>
    <t xml:space="preserve">  Property/Plant/Equipment</t>
  </si>
  <si>
    <t xml:space="preserve">  Liabilities</t>
  </si>
  <si>
    <t xml:space="preserve">  Goodwill</t>
  </si>
  <si>
    <t xml:space="preserve">  Net Income</t>
  </si>
  <si>
    <t xml:space="preserve">  Gross Profit</t>
  </si>
  <si>
    <t xml:space="preserve">  Pretax Income</t>
  </si>
  <si>
    <t xml:space="preserve">  R&amp;D Expenses</t>
  </si>
  <si>
    <t xml:space="preserve">  Interest Expense</t>
  </si>
  <si>
    <t xml:space="preserve">  Interest Income</t>
  </si>
  <si>
    <t xml:space="preserve">  Income Taxes</t>
  </si>
  <si>
    <t xml:space="preserve">  Depreciation</t>
  </si>
  <si>
    <t>Product</t>
  </si>
  <si>
    <t xml:space="preserve">  Revenue - Supplementary Breakdown</t>
  </si>
  <si>
    <t>Other</t>
  </si>
  <si>
    <t>Collaborative Arrangement</t>
  </si>
  <si>
    <t>Service</t>
  </si>
  <si>
    <t>Royalty</t>
  </si>
  <si>
    <t>License and Royalty</t>
  </si>
  <si>
    <t>Bluebird Bio Inc (BLUE US) - ESG Ratios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</si>
  <si>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</si>
  <si>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</si>
  <si>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</si>
  <si>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</si>
  <si>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</si>
  <si>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</si>
  <si>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</si>
  <si>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</si>
  <si>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</si>
  <si>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</si>
  <si>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</si>
  <si>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</si>
  <si>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</si>
  <si>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</si>
  <si>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</si>
  <si>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</si>
  <si>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</si>
  <si>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</si>
  <si>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</si>
  <si>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</si>
  <si>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</si>
  <si>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</si>
  <si>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</si>
  <si>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</si>
  <si>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</si>
  <si>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</si>
  <si>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</si>
  <si>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</si>
  <si>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</si>
  <si>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</si>
  <si>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Greenhouse Gases</t>
  </si>
  <si>
    <t>Carbon Dioxide</t>
  </si>
  <si>
    <t>Energy</t>
  </si>
  <si>
    <t>Water</t>
  </si>
  <si>
    <t>Waste</t>
  </si>
  <si>
    <t>Other Environmental</t>
  </si>
  <si>
    <t>Social</t>
  </si>
  <si>
    <t>R&amp;D Expenditures per Cash Flow</t>
  </si>
  <si>
    <t>RD_EXPENDITURES_PER_CASH_FLOW</t>
  </si>
  <si>
    <t>Actual Net Income per Employee</t>
  </si>
  <si>
    <t>ACTUAL_NET_INCOME_PER_EMPLOYEE</t>
  </si>
  <si>
    <t>Actual Cash Flow per Employee</t>
  </si>
  <si>
    <t>CASH_FLOW_PER_EMPLOYEE</t>
  </si>
  <si>
    <t>Governance</t>
  </si>
  <si>
    <t>Percentage of Non-Executive Directors on Board</t>
  </si>
  <si>
    <t>PCT_OF_NON_EXEC_DIR_ON_BRD</t>
  </si>
  <si>
    <t>Pct Independent Directors</t>
  </si>
  <si>
    <t>PCT_INDEPENDENT_DIRECTORS</t>
  </si>
  <si>
    <t>% Women on Board</t>
  </si>
  <si>
    <t>PCT_WOMEN_ON_BOARD</t>
  </si>
  <si>
    <t>Percentage of Female Executives</t>
  </si>
  <si>
    <t>PERCENTAGE_OF_FEMALE_EXECUTIVES</t>
  </si>
  <si>
    <t>Board of Directors Age Range</t>
  </si>
  <si>
    <t>BOARD_OF_DIRECTORS_AGE_RANGE</t>
  </si>
  <si>
    <t>Board Average Age</t>
  </si>
  <si>
    <t>BOARD_AVERAGE_AGE</t>
  </si>
  <si>
    <t>Board Meeting Attendance Pct</t>
  </si>
  <si>
    <t>BOARD_MEETING_ATTENDANCE_PCT</t>
  </si>
  <si>
    <t>Independent Directors Board Meeting Attendance %</t>
  </si>
  <si>
    <t>IND_DIRECTORS_BRD_MTG_ATTEND_PCT</t>
  </si>
  <si>
    <t>Pct of Independent Directors on Audit Committee</t>
  </si>
  <si>
    <t>PCT_IND_DIRECTORS_ON_AUDIT_CMTE</t>
  </si>
  <si>
    <t>Audit Committee Meeting Attendance Percentage</t>
  </si>
  <si>
    <t>AUDIT_COMMITTEE_MTG_ATTEND_PCT</t>
  </si>
  <si>
    <t>Pct of Ind Directors on Compensation Committee</t>
  </si>
  <si>
    <t>PCT_IND_DIRECTORS_ON_COMP_CMTE</t>
  </si>
  <si>
    <t>Compensation Committee Meeting Attendance %</t>
  </si>
  <si>
    <t>COMPENSATION_CMTE_MTG_ATTEND_PCT</t>
  </si>
  <si>
    <t>Pct of Ind Directors on Nomination Committee</t>
  </si>
  <si>
    <t>PCT_OF_IND_DIRECTORS_ON_NOM_CMTE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</si>
</sst>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%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2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2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2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2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2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2" fontId="11" fillId="35" borderId="2">
      <alignment horizontal="right"/>
    </xf>
    <xf numFmtId="4" fontId="11" fillId="35" borderId="2">
      <alignment horizontal="right"/>
    </xf>
    <xf numFmtId="0" fontId="7" fillId="33" borderId="16">
      <alignment horizontal="centerContinuous"/>
    </xf>
    <xf numFmtId="0" fontId="7" fillId="33" borderId="17">
      <alignment horizontal="centerContinuous"/>
    </xf>
    <xf numFmtId="172" fontId="1" fillId="34" borderId="18">
      <alignment horizontal="right"/>
    </xf>
    <xf numFmtId="173" fontId="1" fillId="34" borderId="19">
      <alignment horizontal="right"/>
    </xf>
    <xf numFmtId="172" fontId="8" fillId="34" borderId="18">
      <alignment horizontal="right"/>
    </xf>
    <xf numFmtId="173" fontId="8" fillId="34" borderId="19">
      <alignment horizontal="right"/>
    </xf>
  </cellStyleXfs>
  <cellXfs count="36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72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72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72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72" fontId="8" fillId="35" borderId="2" xfId="63">
      <alignment horizontal="right"/>
    </xf>
    <xf numFmtId="4" fontId="8" fillId="35" borderId="2" xfId="64">
      <alignment horizontal="right"/>
    </xf>
    <xf numFmtId="3" fontId="11" fillId="34" borderId="2" xfId="65">
      <alignment horizontal="right"/>
    </xf>
    <xf numFmtId="172" fontId="11" fillId="34" borderId="2" xfId="66">
      <alignment horizontal="right"/>
    </xf>
    <xf numFmtId="4" fontId="11" fillId="34" borderId="2" xfId="67">
      <alignment horizontal="right"/>
    </xf>
    <xf numFmtId="3" fontId="11" fillId="35" borderId="2" xfId="68">
      <alignment horizontal="right"/>
    </xf>
    <xf numFmtId="172" fontId="11" fillId="35" borderId="2" xfId="69">
      <alignment horizontal="right"/>
    </xf>
    <xf numFmtId="4" fontId="11" fillId="35" borderId="2" xfId="70">
      <alignment horizontal="right"/>
    </xf>
    <xf numFmtId="0" fontId="7" fillId="33" borderId="16" xfId="71">
      <alignment horizontal="centerContinuous"/>
    </xf>
    <xf numFmtId="0" fontId="7" fillId="33" borderId="17" xfId="72">
      <alignment horizontal="centerContinuous"/>
    </xf>
    <xf numFmtId="172" fontId="1" fillId="34" borderId="18" xfId="73">
      <alignment horizontal="right"/>
    </xf>
    <xf numFmtId="173" fontId="1" fillId="34" borderId="19" xfId="74">
      <alignment horizontal="right"/>
    </xf>
    <xf numFmtId="172" fontId="8" fillId="34" borderId="18" xfId="75">
      <alignment horizontal="right"/>
    </xf>
    <xf numFmtId="173" fontId="8" fillId="34" borderId="19" xfId="76">
      <alignment horizontal="right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centered" xfId="72" xr:uid="{00000000-0005-0000-0000-00001F000000}"/>
    <cellStyle name="fa_column_header_bottom_left" xfId="52" xr:uid="{00000000-0005-0000-0000-000020000000}"/>
    <cellStyle name="fa_column_header_empty" xfId="31" xr:uid="{00000000-0005-0000-0000-000021000000}"/>
    <cellStyle name="fa_column_header_top" xfId="32" xr:uid="{00000000-0005-0000-0000-000022000000}"/>
    <cellStyle name="fa_column_header_top_centered" xfId="71" xr:uid="{00000000-0005-0000-0000-000023000000}"/>
    <cellStyle name="fa_column_header_top_left" xfId="33" xr:uid="{00000000-0005-0000-0000-000024000000}"/>
    <cellStyle name="fa_data_bold_0_grouped" xfId="59" xr:uid="{00000000-0005-0000-0000-000025000000}"/>
    <cellStyle name="fa_data_bold_1_grouped" xfId="60" xr:uid="{00000000-0005-0000-0000-000026000000}"/>
    <cellStyle name="fa_data_bold_1_grouped_single_border" xfId="75" xr:uid="{00000000-0005-0000-0000-000027000000}"/>
    <cellStyle name="fa_data_bold_1_percent_single_border" xfId="76" xr:uid="{00000000-0005-0000-0000-000028000000}"/>
    <cellStyle name="fa_data_bold_2_grouped" xfId="61" xr:uid="{00000000-0005-0000-0000-000029000000}"/>
    <cellStyle name="fa_data_current_bold_0_grouped" xfId="62" xr:uid="{00000000-0005-0000-0000-00002A000000}"/>
    <cellStyle name="fa_data_current_bold_1_grouped" xfId="63" xr:uid="{00000000-0005-0000-0000-00002B000000}"/>
    <cellStyle name="fa_data_current_bold_2_grouped" xfId="64" xr:uid="{00000000-0005-0000-0000-00002C000000}"/>
    <cellStyle name="fa_data_current_italic_0_grouped" xfId="68" xr:uid="{00000000-0005-0000-0000-00002D000000}"/>
    <cellStyle name="fa_data_current_italic_1_grouped" xfId="69" xr:uid="{00000000-0005-0000-0000-00002E000000}"/>
    <cellStyle name="fa_data_current_italic_2_grouped" xfId="70" xr:uid="{00000000-0005-0000-0000-00002F000000}"/>
    <cellStyle name="fa_data_current_standard_0_grouped" xfId="56" xr:uid="{00000000-0005-0000-0000-000030000000}"/>
    <cellStyle name="fa_data_current_standard_1_grouped" xfId="57" xr:uid="{00000000-0005-0000-0000-000031000000}"/>
    <cellStyle name="fa_data_current_standard_2_grouped" xfId="58" xr:uid="{00000000-0005-0000-0000-000032000000}"/>
    <cellStyle name="fa_data_italic_0_grouped" xfId="65" xr:uid="{00000000-0005-0000-0000-000033000000}"/>
    <cellStyle name="fa_data_italic_1_grouped" xfId="66" xr:uid="{00000000-0005-0000-0000-000034000000}"/>
    <cellStyle name="fa_data_italic_2_grouped" xfId="67" xr:uid="{00000000-0005-0000-0000-000035000000}"/>
    <cellStyle name="fa_data_standard_0_grouped" xfId="53" xr:uid="{00000000-0005-0000-0000-000036000000}"/>
    <cellStyle name="fa_data_standard_1_grouped" xfId="54" xr:uid="{00000000-0005-0000-0000-000037000000}"/>
    <cellStyle name="fa_data_standard_1_grouped_single_border" xfId="73" xr:uid="{00000000-0005-0000-0000-000038000000}"/>
    <cellStyle name="fa_data_standard_1_percent_single_border" xfId="74" xr:uid="{00000000-0005-0000-0000-000039000000}"/>
    <cellStyle name="fa_data_standard_2_grouped" xfId="55" xr:uid="{00000000-0005-0000-0000-00003A000000}"/>
    <cellStyle name="fa_footer_italic" xfId="34" xr:uid="{00000000-0005-0000-0000-00003B000000}"/>
    <cellStyle name="fa_row_header_bold" xfId="35" xr:uid="{00000000-0005-0000-0000-00003C000000}"/>
    <cellStyle name="fa_row_header_italic" xfId="36" xr:uid="{00000000-0005-0000-0000-00003D000000}"/>
    <cellStyle name="fa_row_header_standard" xfId="37" xr:uid="{00000000-0005-0000-0000-00003E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BDH|14983383886093634602</stp>
        <tr r="S12" s="30"/>
      </tp>
      <tp t="e">
        <v>#N/A</v>
        <stp/>
        <stp>BDH|17455288584564828313</stp>
        <tr r="P33" s="12"/>
      </tp>
      <tp t="e">
        <v>#N/A</v>
        <stp/>
        <stp>BDH|12680920854844597041</stp>
        <tr r="I25" s="17"/>
      </tp>
      <tp t="e">
        <v>#N/A</v>
        <stp/>
        <stp>BDH|14631989585076929930</stp>
        <tr r="M17" s="29"/>
        <tr r="M37" s="29"/>
      </tp>
      <tp t="e">
        <v>#N/A</v>
        <stp/>
        <stp>BDH|11914031876729497591</stp>
        <tr r="L78" s="17"/>
      </tp>
      <tp t="e">
        <v>#N/A</v>
        <stp/>
        <stp>BDH|15027800205997476002</stp>
        <tr r="U61" s="12"/>
      </tp>
      <tp t="e">
        <v>#N/A</v>
        <stp/>
        <stp>BDH|12981938148055394007</stp>
        <tr r="O45" s="17"/>
        <tr r="O9" s="25"/>
      </tp>
      <tp t="e">
        <v>#N/A</v>
        <stp/>
        <stp>BDH|12624008848944798884</stp>
        <tr r="I38" s="6"/>
      </tp>
      <tp t="e">
        <v>#N/A</v>
        <stp/>
        <stp>BDH|13268313827079119148</stp>
        <tr r="G41" s="12"/>
      </tp>
      <tp t="e">
        <v>#N/A</v>
        <stp/>
        <stp>BDH|14180323547310672933</stp>
        <tr r="K150" s="18"/>
      </tp>
      <tp t="e">
        <v>#N/A</v>
        <stp/>
        <stp>BDH|14481749982339599867</stp>
        <tr r="Y17" s="13"/>
      </tp>
      <tp t="e">
        <v>#N/A</v>
        <stp/>
        <stp>BDH|16599093089160517419</stp>
        <tr r="T46" s="4"/>
        <tr r="T24" s="10"/>
        <tr r="V35" s="13"/>
      </tp>
      <tp t="e">
        <v>#N/A</v>
        <stp/>
        <stp>BDH|16861885414724462111</stp>
        <tr r="X15" s="12"/>
      </tp>
      <tp t="e">
        <v>#N/A</v>
        <stp/>
        <stp>BDH|17435367169708223082</stp>
        <tr r="T44" s="17"/>
      </tp>
      <tp t="e">
        <v>#N/A</v>
        <stp/>
        <stp>BDH|14415963698417365981</stp>
        <tr r="Y26" s="18"/>
      </tp>
      <tp t="e">
        <v>#N/A</v>
        <stp/>
        <stp>BDH|17405519949949596589</stp>
        <tr r="F63" s="12"/>
      </tp>
      <tp t="e">
        <v>#N/A</v>
        <stp/>
        <stp>BDH|17535375003508231620</stp>
        <tr r="E16" s="25"/>
      </tp>
      <tp t="e">
        <v>#N/A</v>
        <stp/>
        <stp>BDH|10333908390772180834</stp>
        <tr r="R9" s="12"/>
      </tp>
      <tp t="e">
        <v>#N/A</v>
        <stp/>
        <stp>BDH|13143996358447039212</stp>
        <tr r="E25" s="24"/>
      </tp>
      <tp t="e">
        <v>#N/A</v>
        <stp/>
        <stp>BDH|18236302395420278845</stp>
        <tr r="K157" s="18"/>
      </tp>
      <tp t="e">
        <v>#N/A</v>
        <stp/>
        <stp>BDH|10384620800294640869</stp>
        <tr r="C62" s="12"/>
      </tp>
      <tp t="e">
        <v>#N/A</v>
        <stp/>
        <stp>BDH|16542725701449107262</stp>
        <tr r="C88" s="18"/>
      </tp>
      <tp t="e">
        <v>#N/A</v>
        <stp/>
        <stp>BDH|10099978539380964063</stp>
        <tr r="G14" s="30"/>
      </tp>
      <tp t="e">
        <v>#N/A</v>
        <stp/>
        <stp>BDH|14012828961113368318</stp>
        <tr r="U42" s="18"/>
      </tp>
      <tp t="e">
        <v>#N/A</v>
        <stp/>
        <stp>BDH|10100928026352381376</stp>
        <tr r="Q7" s="2"/>
        <tr r="P7" s="5"/>
        <tr r="P7" s="9"/>
        <tr r="S14" s="3"/>
      </tp>
      <tp t="e">
        <v>#N/A</v>
        <stp/>
        <stp>BDH|10755051285975412729</stp>
        <tr r="K18" s="12"/>
      </tp>
      <tp t="e">
        <v>#N/A</v>
        <stp/>
        <stp>BDH|14792823285259181704</stp>
        <tr r="AA8" s="17"/>
      </tp>
      <tp t="e">
        <v>#N/A</v>
        <stp/>
        <stp>BDH|18102376253965321179</stp>
        <tr r="L37" s="6"/>
      </tp>
      <tp t="e">
        <v>#N/A</v>
        <stp/>
        <stp>BDH|13483082893790993070</stp>
        <tr r="V39" s="12"/>
      </tp>
      <tp t="e">
        <v>#N/A</v>
        <stp/>
        <stp>BDH|15753327982846552224</stp>
        <tr r="N9" s="17"/>
      </tp>
      <tp t="e">
        <v>#N/A</v>
        <stp/>
        <stp>BDH|11341508393594158317</stp>
        <tr r="T26" s="26"/>
      </tp>
      <tp t="e">
        <v>#N/A</v>
        <stp/>
        <stp>BDH|10760928977346310216</stp>
        <tr r="P33" s="10"/>
        <tr r="P27" s="11"/>
      </tp>
      <tp t="e">
        <v>#N/A</v>
        <stp/>
        <stp>BDH|16929737172248191497</stp>
        <tr r="H17" s="24"/>
      </tp>
      <tp t="e">
        <v>#N/A</v>
        <stp/>
        <stp>BDH|14543875672208855989</stp>
        <tr r="O20" s="5"/>
        <tr r="O20" s="9"/>
      </tp>
      <tp t="e">
        <v>#N/A</v>
        <stp/>
        <stp>BDH|15638399861588828262</stp>
        <tr r="J25" s="7"/>
      </tp>
      <tp t="e">
        <v>#N/A</v>
        <stp/>
        <stp>BDH|17921860986454000998</stp>
        <tr r="D32" s="6"/>
        <tr r="F6" s="8"/>
      </tp>
      <tp t="e">
        <v>#N/A</v>
        <stp/>
        <stp>BDH|15612818333974392077</stp>
        <tr r="Q19" s="10"/>
      </tp>
      <tp t="e">
        <v>#N/A</v>
        <stp/>
        <stp>BDH|14054959193019608701</stp>
        <tr r="O17" s="22"/>
      </tp>
      <tp t="e">
        <v>#N/A</v>
        <stp/>
        <stp>BDH|12474006808710430889</stp>
        <tr r="M70" s="12"/>
      </tp>
      <tp t="e">
        <v>#N/A</v>
        <stp/>
        <stp>BDH|14683664855344214972</stp>
        <tr r="N41" s="17"/>
      </tp>
      <tp t="e">
        <v>#N/A</v>
        <stp/>
        <stp>BDH|10606111042466110947</stp>
        <tr r="X70" s="18"/>
      </tp>
      <tp t="e">
        <v>#N/A</v>
        <stp/>
        <stp>BDH|13777363092103410076</stp>
        <tr r="X21" s="3"/>
      </tp>
      <tp t="e">
        <v>#N/A</v>
        <stp/>
        <stp>BDH|11051407793316328002</stp>
        <tr r="J7" s="10"/>
      </tp>
      <tp t="e">
        <v>#N/A</v>
        <stp/>
        <stp>BDH|16075973704630719542</stp>
        <tr r="K72" s="10"/>
        <tr r="K66" s="11"/>
      </tp>
      <tp t="e">
        <v>#N/A</v>
        <stp/>
        <stp>BDH|15527399678069282262</stp>
        <tr r="J115" s="18"/>
      </tp>
      <tp t="e">
        <v>#N/A</v>
        <stp/>
        <stp>BDH|11331947137629324831</stp>
        <tr r="H61" s="17"/>
      </tp>
      <tp t="e">
        <v>#N/A</v>
        <stp/>
        <stp>BDH|14575859990138589756</stp>
        <tr r="I74" s="17"/>
      </tp>
      <tp t="e">
        <v>#N/A</v>
        <stp/>
        <stp>BDH|16246842201321274553</stp>
        <tr r="G149" s="18"/>
      </tp>
      <tp t="e">
        <v>#N/A</v>
        <stp/>
        <stp>BDH|10461123953906645838</stp>
        <tr r="U159" s="18"/>
      </tp>
      <tp t="e">
        <v>#N/A</v>
        <stp/>
        <stp>BDH|10332715016578254466</stp>
        <tr r="O69" s="12"/>
      </tp>
      <tp t="e">
        <v>#N/A</v>
        <stp/>
        <stp>BDH|14847655252689826472</stp>
        <tr r="S33" s="6"/>
        <tr r="U9" s="8"/>
      </tp>
      <tp t="e">
        <v>#N/A</v>
        <stp/>
        <stp>BDH|17264397403187129995</stp>
        <tr r="P37" s="21"/>
        <tr r="P24" s="3"/>
      </tp>
      <tp t="e">
        <v>#N/A</v>
        <stp/>
        <stp>BDH|10464883929186248676</stp>
        <tr r="P12" s="21"/>
      </tp>
      <tp t="e">
        <v>#N/A</v>
        <stp/>
        <stp>BDH|11515395441059559587</stp>
        <tr r="S22" s="4"/>
      </tp>
      <tp t="e">
        <v>#N/A</v>
        <stp/>
        <stp>BDH|10785349053579832581</stp>
        <tr r="N10" s="4"/>
        <tr r="M6" s="16"/>
        <tr r="P6" s="3"/>
        <tr r="N6" s="11"/>
      </tp>
      <tp t="e">
        <v>#N/A</v>
        <stp/>
        <stp>BDH|13546720023618214465</stp>
        <tr r="F54" s="17"/>
      </tp>
      <tp t="e">
        <v>#N/A</v>
        <stp/>
        <stp>BDH|17790803195695086921</stp>
        <tr r="Y7" s="24"/>
      </tp>
      <tp t="e">
        <v>#N/A</v>
        <stp/>
        <stp>BDH|13170128789802307292</stp>
        <tr r="Q8" s="8"/>
      </tp>
      <tp t="e">
        <v>#N/A</v>
        <stp/>
        <stp>BDH|18407225504724403467</stp>
        <tr r="Y8" s="28"/>
      </tp>
      <tp t="e">
        <v>#N/A</v>
        <stp/>
        <stp>BDH|10484503184953538455</stp>
        <tr r="G21" s="24"/>
      </tp>
      <tp t="e">
        <v>#N/A</v>
        <stp/>
        <stp>BDH|12592620206519546773</stp>
        <tr r="X62" s="10"/>
      </tp>
      <tp t="e">
        <v>#N/A</v>
        <stp/>
        <stp>BDH|17302089242411253882</stp>
        <tr r="G24" s="2"/>
      </tp>
      <tp t="e">
        <v>#N/A</v>
        <stp/>
        <stp>BDH|14888668730722562988</stp>
        <tr r="F9" s="22"/>
      </tp>
      <tp t="e">
        <v>#N/A</v>
        <stp/>
        <stp>BDH|18438048212670548340</stp>
        <tr r="U40" s="17"/>
      </tp>
      <tp t="e">
        <v>#N/A</v>
        <stp/>
        <stp>BDH|13454619666178523156</stp>
        <tr r="C30" s="24"/>
      </tp>
      <tp t="e">
        <v>#N/A</v>
        <stp/>
        <stp>BDH|11323758494690252536</stp>
        <tr r="G72" s="24"/>
      </tp>
      <tp t="e">
        <v>#N/A</v>
        <stp/>
        <stp>BDH|10733645291524981184</stp>
        <tr r="G8" s="23"/>
      </tp>
      <tp t="e">
        <v>#N/A</v>
        <stp/>
        <stp>BDH|13471242959258882621</stp>
        <tr r="S27" s="21"/>
      </tp>
      <tp t="e">
        <v>#N/A</v>
        <stp/>
        <stp>BDH|16429989382635942847</stp>
        <tr r="K123" s="18"/>
      </tp>
      <tp t="e">
        <v>#N/A</v>
        <stp/>
        <stp>BDH|16438459913368126106</stp>
        <tr r="U15" s="22"/>
      </tp>
      <tp t="e">
        <v>#N/A</v>
        <stp/>
        <stp>BDH|10071840117997846486</stp>
        <tr r="Y34" s="21"/>
      </tp>
      <tp t="e">
        <v>#N/A</v>
        <stp/>
        <stp>BDH|16402318097387215136</stp>
        <tr r="M14" s="18"/>
      </tp>
      <tp t="e">
        <v>#N/A</v>
        <stp/>
        <stp>BDH|17419771593210296319</stp>
        <tr r="K11" s="13"/>
      </tp>
      <tp t="e">
        <v>#N/A</v>
        <stp/>
        <stp>BDH|14258842173900653109</stp>
        <tr r="X57" s="24"/>
      </tp>
      <tp t="e">
        <v>#N/A</v>
        <stp/>
        <stp>BDH|11587921554545471249</stp>
        <tr r="Z36" s="18"/>
      </tp>
      <tp t="e">
        <v>#N/A</v>
        <stp/>
        <stp>BDH|13630543476803311848</stp>
        <tr r="N34" s="12"/>
      </tp>
      <tp t="e">
        <v>#N/A</v>
        <stp/>
        <stp>BDH|18306977687950988396</stp>
        <tr r="X9" s="22"/>
      </tp>
      <tp t="e">
        <v>#N/A</v>
        <stp/>
        <stp>BDH|14158655592821587000</stp>
        <tr r="AA134" s="18"/>
      </tp>
      <tp t="e">
        <v>#N/A</v>
        <stp/>
        <stp>BDH|11102206481449227810</stp>
        <tr r="Z20" s="23"/>
      </tp>
      <tp t="e">
        <v>#N/A</v>
        <stp/>
        <stp>BDH|17907789663025113908</stp>
        <tr r="W7" s="14"/>
      </tp>
      <tp t="e">
        <v>#N/A</v>
        <stp/>
        <stp>BDH|11045178145109957788</stp>
        <tr r="P19" s="26"/>
      </tp>
      <tp t="e">
        <v>#N/A</v>
        <stp/>
        <stp>BDH|11931795687280733430</stp>
        <tr r="P71" s="10"/>
        <tr r="P65" s="11"/>
      </tp>
      <tp t="e">
        <v>#N/A</v>
        <stp/>
        <stp>BDH|15639323755638707151</stp>
        <tr r="W36" s="12"/>
      </tp>
      <tp t="e">
        <v>#N/A</v>
        <stp/>
        <stp>BDH|14114234975372248965</stp>
        <tr r="F41" s="21"/>
      </tp>
      <tp t="e">
        <v>#N/A</v>
        <stp/>
        <stp>BDH|16825502791389852920</stp>
        <tr r="C40" s="13"/>
      </tp>
      <tp t="e">
        <v>#N/A</v>
        <stp/>
        <stp>BDH|10258338435273435939</stp>
        <tr r="V32" s="10"/>
        <tr r="V26" s="11"/>
      </tp>
      <tp t="e">
        <v>#N/A</v>
        <stp/>
        <stp>BDH|15824283432677163904</stp>
        <tr r="L22" s="17"/>
      </tp>
      <tp t="e">
        <v>#N/A</v>
        <stp/>
        <stp>BDH|13275820326121465214</stp>
        <tr r="H45" s="18"/>
      </tp>
      <tp t="e">
        <v>#N/A</v>
        <stp/>
        <stp>BDH|15094960323455093160</stp>
        <tr r="T34" s="10"/>
        <tr r="T28" s="11"/>
      </tp>
      <tp t="e">
        <v>#N/A</v>
        <stp/>
        <stp>BDH|18148540552597235566</stp>
        <tr r="Y25" s="21"/>
      </tp>
      <tp t="e">
        <v>#N/A</v>
        <stp/>
        <stp>BDH|14556016406247238929</stp>
        <tr r="H13" s="10"/>
      </tp>
      <tp t="e">
        <v>#N/A</v>
        <stp/>
        <stp>BDH|17079930685779094543</stp>
        <tr r="V26" s="26"/>
      </tp>
      <tp t="e">
        <v>#N/A</v>
        <stp/>
        <stp>BDH|12020250396110012318</stp>
        <tr r="E88" s="17"/>
      </tp>
      <tp t="e">
        <v>#N/A</v>
        <stp/>
        <stp>BDH|16588603176244133903</stp>
        <tr r="W16" s="22"/>
      </tp>
      <tp t="e">
        <v>#N/A</v>
        <stp/>
        <stp>BDH|16488958561307788452</stp>
        <tr r="J34" s="10"/>
        <tr r="J28" s="11"/>
      </tp>
      <tp t="e">
        <v>#N/A</v>
        <stp/>
        <stp>BDH|14540269003844150838</stp>
        <tr r="W125" s="18"/>
      </tp>
      <tp t="e">
        <v>#N/A</v>
        <stp/>
        <stp>BDH|15004803740122296103</stp>
        <tr r="G22" s="5"/>
      </tp>
      <tp t="e">
        <v>#N/A</v>
        <stp/>
        <stp>BDH|12651276804239475339</stp>
        <tr r="N40" s="22"/>
      </tp>
      <tp t="e">
        <v>#N/A</v>
        <stp/>
        <stp>BDH|17825368221575516981</stp>
        <tr r="P17" s="29"/>
        <tr r="P37" s="29"/>
      </tp>
      <tp t="e">
        <v>#N/A</v>
        <stp/>
        <stp>BDH|13169921869066186090</stp>
        <tr r="X14" s="13"/>
      </tp>
      <tp t="e">
        <v>#N/A</v>
        <stp/>
        <stp>BDH|18164289350541910424</stp>
        <tr r="R77" s="18"/>
      </tp>
      <tp t="e">
        <v>#N/A</v>
        <stp/>
        <stp>BDH|12489444386744138056</stp>
        <tr r="G152" s="18"/>
      </tp>
      <tp t="e">
        <v>#N/A</v>
        <stp/>
        <stp>BDH|13750949260090552644</stp>
        <tr r="S115" s="18"/>
      </tp>
      <tp t="e">
        <v>#N/A</v>
        <stp/>
        <stp>BDH|13476402406315724879</stp>
        <tr r="Z68" s="24"/>
      </tp>
      <tp t="e">
        <v>#N/A</v>
        <stp/>
        <stp>BDH|11634354955075527819</stp>
        <tr r="F114" s="18"/>
      </tp>
      <tp t="e">
        <v>#N/A</v>
        <stp/>
        <stp>BDH|17635585780323919358</stp>
        <tr r="X47" s="21"/>
      </tp>
      <tp t="e">
        <v>#N/A</v>
        <stp/>
        <stp>BDH|12792422485247449361</stp>
        <tr r="R9" s="10"/>
      </tp>
      <tp t="e">
        <v>#N/A</v>
        <stp/>
        <stp>BDH|13426104857055424857</stp>
        <tr r="Y44" s="24"/>
      </tp>
      <tp t="e">
        <v>#N/A</v>
        <stp/>
        <stp>BDH|11012237705548444105</stp>
        <tr r="V73" s="24"/>
      </tp>
      <tp t="e">
        <v>#N/A</v>
        <stp/>
        <stp>BDH|15652608024482038908</stp>
        <tr r="C28" s="18"/>
      </tp>
      <tp t="e">
        <v>#N/A</v>
        <stp/>
        <stp>BDH|18171401671019738854</stp>
        <tr r="L45" s="4"/>
        <tr r="L30" s="10"/>
        <tr r="L24" s="11"/>
        <tr r="N30" s="13"/>
      </tp>
      <tp t="e">
        <v>#N/A</v>
        <stp/>
        <stp>BDH|16510437702060548833</stp>
        <tr r="M18" s="18"/>
      </tp>
      <tp t="e">
        <v>#N/A</v>
        <stp/>
        <stp>BDH|12555963300551705062</stp>
        <tr r="L41" s="10"/>
        <tr r="L35" s="11"/>
      </tp>
      <tp t="e">
        <v>#N/A</v>
        <stp/>
        <stp>BDH|10054574629594953951</stp>
        <tr r="S73" s="18"/>
      </tp>
      <tp t="e">
        <v>#N/A</v>
        <stp/>
        <stp>BDH|15257664194120082028</stp>
        <tr r="Y77" s="17"/>
      </tp>
      <tp t="e">
        <v>#N/A</v>
        <stp/>
        <stp>BDH|17324745484755102707</stp>
        <tr r="U65" s="12"/>
      </tp>
      <tp t="e">
        <v>#N/A</v>
        <stp/>
        <stp>BDH|14075792992920010099</stp>
        <tr r="Y29" s="4"/>
      </tp>
      <tp t="e">
        <v>#N/A</v>
        <stp/>
        <stp>BDH|15166816475026145660</stp>
        <tr r="N39" s="24"/>
      </tp>
      <tp t="e">
        <v>#N/A</v>
        <stp/>
        <stp>BDH|12084934404936773726</stp>
        <tr r="H26" s="7"/>
      </tp>
      <tp t="e">
        <v>#N/A</v>
        <stp/>
        <stp>BDH|17398059237488230613</stp>
        <tr r="X31" s="26"/>
      </tp>
      <tp t="e">
        <v>#N/A</v>
        <stp/>
        <stp>BDH|12386513007069935492</stp>
        <tr r="X17" s="13"/>
      </tp>
      <tp t="e">
        <v>#N/A</v>
        <stp/>
        <stp>BDH|13573328596557662426</stp>
        <tr r="V25" s="2"/>
        <tr r="X62" s="21"/>
      </tp>
      <tp t="e">
        <v>#N/A</v>
        <stp/>
        <stp>BDH|14238133795545985384</stp>
        <tr r="O22" s="25"/>
        <tr r="O12" s="27"/>
      </tp>
      <tp t="e">
        <v>#N/A</v>
        <stp/>
        <stp>BDH|12343235326890303800</stp>
        <tr r="U20" s="18"/>
      </tp>
      <tp t="e">
        <v>#N/A</v>
        <stp/>
        <stp>BDH|14854519149576003950</stp>
        <tr r="F125" s="18"/>
      </tp>
      <tp t="e">
        <v>#N/A</v>
        <stp/>
        <stp>BDH|11027920200013326149</stp>
        <tr r="V13" s="7"/>
      </tp>
      <tp t="e">
        <v>#N/A</v>
        <stp/>
        <stp>BDH|15997148373919926025</stp>
        <tr r="X54" s="24"/>
      </tp>
      <tp t="e">
        <v>#N/A</v>
        <stp/>
        <stp>BDH|12502014781986209620</stp>
        <tr r="W21" s="21"/>
      </tp>
      <tp t="e">
        <v>#N/A</v>
        <stp/>
        <stp>BDH|16628730880052483147</stp>
        <tr r="S24" s="21"/>
      </tp>
      <tp t="e">
        <v>#N/A</v>
        <stp/>
        <stp>BDH|16874987976442634054</stp>
        <tr r="T40" s="22"/>
      </tp>
      <tp t="e">
        <v>#N/A</v>
        <stp/>
        <stp>BDH|12191557271859409345</stp>
        <tr r="Z13" s="21"/>
      </tp>
      <tp t="e">
        <v>#N/A</v>
        <stp/>
        <stp>BDH|14427093101106161885</stp>
        <tr r="J13" s="2"/>
      </tp>
      <tp t="e">
        <v>#N/A</v>
        <stp/>
        <stp>BDH|10526388477128916668</stp>
        <tr r="W12" s="12"/>
      </tp>
      <tp t="e">
        <v>#N/A</v>
        <stp/>
        <stp>BDH|10637055378084973970</stp>
        <tr r="X55" s="13"/>
      </tp>
      <tp t="e">
        <v>#N/A</v>
        <stp/>
        <stp>BDH|11293297594094868429</stp>
        <tr r="X22" s="17"/>
      </tp>
      <tp t="e">
        <v>#N/A</v>
        <stp/>
        <stp>BDH|14293711803291281873</stp>
        <tr r="U10" s="12"/>
      </tp>
      <tp t="e">
        <v>#N/A</v>
        <stp/>
        <stp>BDH|17755111212415030813</stp>
        <tr r="F17" s="20"/>
      </tp>
      <tp t="e">
        <v>#N/A</v>
        <stp/>
        <stp>BDH|17176161780150767451</stp>
        <tr r="Q45" s="12"/>
      </tp>
      <tp t="e">
        <v>#N/A</v>
        <stp/>
        <stp>BDH|10921016109573312977</stp>
        <tr r="M62" s="18"/>
      </tp>
      <tp t="e">
        <v>#N/A</v>
        <stp/>
        <stp>BDH|17470036113628507440</stp>
        <tr r="H54" s="21"/>
      </tp>
      <tp t="e">
        <v>#N/A</v>
        <stp/>
        <stp>BDH|12522369687884458750</stp>
        <tr r="AA30" s="12"/>
      </tp>
      <tp t="e">
        <v>#N/A</v>
        <stp/>
        <stp>BDH|17492278307259046611</stp>
        <tr r="J46" s="4"/>
        <tr r="J24" s="10"/>
        <tr r="L35" s="13"/>
      </tp>
      <tp t="e">
        <v>#N/A</v>
        <stp/>
        <stp>BDH|13012710416007358811</stp>
        <tr r="H42" s="22"/>
      </tp>
      <tp t="e">
        <v>#N/A</v>
        <stp/>
        <stp>BDH|11165148208518164298</stp>
        <tr r="M155" s="18"/>
      </tp>
      <tp t="e">
        <v>#N/A</v>
        <stp/>
        <stp>BDH|15038438565808642553</stp>
        <tr r="Z116" s="18"/>
      </tp>
      <tp t="e">
        <v>#N/A</v>
        <stp/>
        <stp>BDH|10041850377635014077</stp>
        <tr r="AA16" s="18"/>
      </tp>
      <tp t="e">
        <v>#N/A</v>
        <stp/>
        <stp>BDH|11039662929439260687</stp>
        <tr r="C23" s="23"/>
      </tp>
      <tp t="e">
        <v>#N/A</v>
        <stp/>
        <stp>BDH|12471007715089483013</stp>
        <tr r="E28" s="9"/>
      </tp>
      <tp t="e">
        <v>#N/A</v>
        <stp/>
        <stp>BDH|15545349396023018637</stp>
        <tr r="AA7" s="17"/>
      </tp>
      <tp t="e">
        <v>#N/A</v>
        <stp/>
        <stp>BDH|17150471724369397255</stp>
        <tr r="AA31" s="24"/>
      </tp>
      <tp t="e">
        <v>#N/A</v>
        <stp/>
        <stp>BDH|11486744406584248806</stp>
        <tr r="D26" s="29"/>
      </tp>
      <tp t="e">
        <v>#N/A</v>
        <stp/>
        <stp>BDH|13604076683629587832</stp>
        <tr r="X18" s="30"/>
      </tp>
      <tp t="e">
        <v>#N/A</v>
        <stp/>
        <stp>BDH|15243723320688703238</stp>
        <tr r="W62" s="18"/>
      </tp>
      <tp t="e">
        <v>#N/A</v>
        <stp/>
        <stp>BDH|10515959901774363761</stp>
        <tr r="Y9" s="23"/>
      </tp>
      <tp t="e">
        <v>#N/A</v>
        <stp/>
        <stp>BDH|14496139342682687976</stp>
        <tr r="J18" s="30"/>
      </tp>
      <tp t="e">
        <v>#N/A</v>
        <stp/>
        <stp>BDH|13564307054176606938</stp>
        <tr r="L77" s="17"/>
      </tp>
      <tp t="e">
        <v>#N/A</v>
        <stp/>
        <stp>BDH|10156828114320174321</stp>
        <tr r="C34" s="17"/>
      </tp>
      <tp t="e">
        <v>#N/A</v>
        <stp/>
        <stp>BDH|10339541510756033839</stp>
        <tr r="V26" s="6"/>
      </tp>
      <tp t="e">
        <v>#N/A</v>
        <stp/>
        <stp>BDH|13791544842429714126</stp>
        <tr r="S77" s="18"/>
      </tp>
      <tp t="e">
        <v>#N/A</v>
        <stp/>
        <stp>BDH|14799798086055476488</stp>
        <tr r="E25" s="12"/>
      </tp>
      <tp t="e">
        <v>#N/A</v>
        <stp/>
        <stp>BDH|15597917596027029861</stp>
        <tr r="I35" s="34"/>
      </tp>
      <tp t="e">
        <v>#N/A</v>
        <stp/>
        <stp>BDH|11381463901518432740</stp>
        <tr r="F6" s="15"/>
        <tr r="F12" s="2"/>
        <tr r="F11" s="4"/>
        <tr r="F6" s="10"/>
      </tp>
      <tp t="e">
        <v>#N/A</v>
        <stp/>
        <stp>BDH|10329674841471985986</stp>
        <tr r="O153" s="18"/>
      </tp>
      <tp t="e">
        <v>#N/A</v>
        <stp/>
        <stp>BDH|12989580648158887152</stp>
        <tr r="I20" s="2"/>
        <tr r="I18" s="4"/>
        <tr r="I57" s="10"/>
        <tr r="I51" s="11"/>
        <tr r="I19" s="7"/>
        <tr r="K57" s="13"/>
      </tp>
      <tp t="e">
        <v>#N/A</v>
        <stp/>
        <stp>BDH|10978876406354969656</stp>
        <tr r="Z61" s="18"/>
      </tp>
      <tp t="e">
        <v>#N/A</v>
        <stp/>
        <stp>BDH|15176616525653144801</stp>
        <tr r="W58" s="21"/>
        <tr r="W33" s="25"/>
        <tr r="U31" s="4"/>
        <tr r="U55" s="11"/>
      </tp>
      <tp t="e">
        <v>#N/A</v>
        <stp/>
        <stp>BDH|11149290151175556980</stp>
        <tr r="N15" s="13"/>
      </tp>
      <tp t="e">
        <v>#N/A</v>
        <stp/>
        <stp>BDH|18379795650332866267</stp>
        <tr r="X29" s="21"/>
      </tp>
      <tp t="e">
        <v>#N/A</v>
        <stp/>
        <stp>BDH|13605963024822797075</stp>
        <tr r="G39" s="12"/>
      </tp>
      <tp t="e">
        <v>#N/A</v>
        <stp/>
        <stp>BDH|13655142985782101226</stp>
        <tr r="Q43" s="4"/>
      </tp>
      <tp t="e">
        <v>#N/A</v>
        <stp/>
        <stp>BDH|14397254197823738623</stp>
        <tr r="I23" s="10"/>
      </tp>
      <tp t="e">
        <v>#N/A</v>
        <stp/>
        <stp>BDH|16141205699312513597</stp>
        <tr r="M25" s="17"/>
      </tp>
      <tp t="e">
        <v>#N/A</v>
        <stp/>
        <stp>BDH|11310222582967362648</stp>
        <tr r="T32" s="12"/>
      </tp>
      <tp t="e">
        <v>#N/A</v>
        <stp/>
        <stp>BDH|17244024699484976079</stp>
        <tr r="T34" s="12"/>
      </tp>
      <tp t="e">
        <v>#N/A</v>
        <stp/>
        <stp>BDH|17908414252938842457</stp>
        <tr r="X11" s="9"/>
      </tp>
      <tp t="e">
        <v>#N/A</v>
        <stp/>
        <stp>BDH|17002809454739773947</stp>
        <tr r="W67" s="10"/>
      </tp>
      <tp t="e">
        <v>#N/A</v>
        <stp/>
        <stp>BDH|10793895007523916175</stp>
        <tr r="M19" s="10"/>
      </tp>
      <tp t="e">
        <v>#N/A</v>
        <stp/>
        <stp>BDH|14263069822044404853</stp>
        <tr r="J7" s="21"/>
      </tp>
      <tp t="e">
        <v>#N/A</v>
        <stp/>
        <stp>BDH|10505990353167150197</stp>
        <tr r="Q46" s="4"/>
        <tr r="Q24" s="10"/>
        <tr r="S35" s="13"/>
      </tp>
      <tp t="e">
        <v>#N/A</v>
        <stp/>
        <stp>BDH|11907906816012031187</stp>
        <tr r="N67" s="17"/>
      </tp>
      <tp t="e">
        <v>#N/A</v>
        <stp/>
        <stp>BDH|15826723291677474682</stp>
        <tr r="Y11" s="21"/>
      </tp>
      <tp t="e">
        <v>#N/A</v>
        <stp/>
        <stp>BDH|13763938433923906095</stp>
        <tr r="X38" s="18"/>
      </tp>
      <tp t="e">
        <v>#N/A</v>
        <stp/>
        <stp>BDH|10160624544591116916</stp>
        <tr r="F69" s="12"/>
      </tp>
      <tp t="e">
        <v>#N/A</v>
        <stp/>
        <stp>BDH|11196969664357631320</stp>
        <tr r="K74" s="12"/>
      </tp>
      <tp t="e">
        <v>#N/A</v>
        <stp/>
        <stp>BDH|13102943761083369505</stp>
        <tr r="Y66" s="17"/>
      </tp>
      <tp t="e">
        <v>#N/A</v>
        <stp/>
        <stp>BDH|10755355051144087849</stp>
        <tr r="G55" s="18"/>
      </tp>
      <tp t="e">
        <v>#N/A</v>
        <stp/>
        <stp>BDH|16057054627159632733</stp>
        <tr r="O67" s="18"/>
      </tp>
      <tp t="e">
        <v>#N/A</v>
        <stp/>
        <stp>BDH|11309478346598383365</stp>
        <tr r="M19" s="22"/>
      </tp>
      <tp t="e">
        <v>#N/A</v>
        <stp/>
        <stp>BDH|15466085219426065821</stp>
        <tr r="K65" s="24"/>
      </tp>
      <tp t="e">
        <v>#N/A</v>
        <stp/>
        <stp>BDH|11302741390274016104</stp>
        <tr r="M7" s="34"/>
      </tp>
      <tp t="e">
        <v>#N/A</v>
        <stp/>
        <stp>BDH|13216223792612629032</stp>
        <tr r="C73" s="10"/>
        <tr r="C67" s="11"/>
      </tp>
      <tp t="e">
        <v>#N/A</v>
        <stp/>
        <stp>BDH|11564530094587038054</stp>
        <tr r="E136" s="18"/>
      </tp>
      <tp t="e">
        <v>#N/A</v>
        <stp/>
        <stp>BDH|16009046995264325152</stp>
        <tr r="M29" s="21"/>
      </tp>
      <tp t="e">
        <v>#N/A</v>
        <stp/>
        <stp>BDH|15968907220884652096</stp>
        <tr r="O138" s="18"/>
      </tp>
      <tp t="e">
        <v>#N/A</v>
        <stp/>
        <stp>BDH|17167016062519575218</stp>
        <tr r="E27" s="26"/>
      </tp>
      <tp t="e">
        <v>#N/A</v>
        <stp/>
        <stp>BDH|12841453773452886902</stp>
        <tr r="Y19" s="22"/>
      </tp>
      <tp t="e">
        <v>#N/A</v>
        <stp/>
        <stp>BDH|13911906504814217497</stp>
        <tr r="Y107" s="18"/>
        <tr r="X7" s="20"/>
      </tp>
      <tp t="e">
        <v>#N/A</v>
        <stp/>
        <stp>BDH|12881182984588565971</stp>
        <tr r="F39" s="24"/>
      </tp>
      <tp t="e">
        <v>#N/A</v>
        <stp/>
        <stp>BDH|16287864254356508730</stp>
        <tr r="F13" s="5"/>
      </tp>
      <tp t="e">
        <v>#N/A</v>
        <stp/>
        <stp>BDH|17260467999049897937</stp>
        <tr r="K23" s="24"/>
      </tp>
      <tp t="e">
        <v>#N/A</v>
        <stp/>
        <stp>BDH|13886156649559026526</stp>
        <tr r="U10" s="6"/>
      </tp>
      <tp t="e">
        <v>#N/A</v>
        <stp/>
        <stp>BDH|16390087727708874623</stp>
        <tr r="H22" s="22"/>
      </tp>
      <tp t="e">
        <v>#N/A</v>
        <stp/>
        <stp>BDH|14565115445552195963</stp>
        <tr r="P154" s="18"/>
      </tp>
      <tp t="e">
        <v>#N/A</v>
        <stp/>
        <stp>BDH|12063229924919022107</stp>
        <tr r="X60" s="17"/>
      </tp>
      <tp t="e">
        <v>#N/A</v>
        <stp/>
        <stp>BDH|11927448538898640455</stp>
        <tr r="J13" s="11"/>
      </tp>
      <tp t="e">
        <v>#N/A</v>
        <stp/>
        <stp>BDH|18388299805206957604</stp>
        <tr r="Y9" s="24"/>
      </tp>
      <tp t="e">
        <v>#N/A</v>
        <stp/>
        <stp>BDH|17050157117819795432</stp>
        <tr r="W42" s="24"/>
      </tp>
      <tp t="e">
        <v>#N/A</v>
        <stp/>
        <stp>BDH|10302105069118531596</stp>
        <tr r="U15" s="17"/>
        <tr r="U18" s="28"/>
      </tp>
      <tp t="e">
        <v>#N/A</v>
        <stp/>
        <stp>BDH|15345082375161116996</stp>
        <tr r="Y13" s="18"/>
      </tp>
      <tp t="e">
        <v>#N/A</v>
        <stp/>
        <stp>BDH|14452666964776832880</stp>
        <tr r="C103" s="18"/>
      </tp>
      <tp t="e">
        <v>#N/A</v>
        <stp/>
        <stp>BDH|15287577494131004279</stp>
        <tr r="S15" s="11"/>
      </tp>
      <tp t="e">
        <v>#N/A</v>
        <stp/>
        <stp>BDH|18069794576103144181</stp>
        <tr r="F17" s="13"/>
      </tp>
      <tp t="e">
        <v>#N/A</v>
        <stp/>
        <stp>BDH|13771935615151478031</stp>
        <tr r="W19" s="6"/>
      </tp>
      <tp t="e">
        <v>#N/A</v>
        <stp/>
        <stp>BDH|15406800175291060170</stp>
        <tr r="D39" s="22"/>
      </tp>
      <tp t="e">
        <v>#N/A</v>
        <stp/>
        <stp>BDH|18231183978757629321</stp>
        <tr r="R36" s="17"/>
      </tp>
      <tp t="e">
        <v>#N/A</v>
        <stp/>
        <stp>BDH|13006881422450981359</stp>
        <tr r="I26" s="12"/>
      </tp>
      <tp t="e">
        <v>#N/A</v>
        <stp/>
        <stp>BDH|15777107110449843694</stp>
        <tr r="O21" s="30"/>
        <tr r="O24" s="23"/>
      </tp>
      <tp t="e">
        <v>#N/A</v>
        <stp/>
        <stp>BDH|18130742943034248521</stp>
        <tr r="O76" s="17"/>
      </tp>
      <tp t="e">
        <v>#N/A</v>
        <stp/>
        <stp>BDH|13712662898986528053</stp>
        <tr r="M64" s="24"/>
      </tp>
      <tp t="e">
        <v>#N/A</v>
        <stp/>
        <stp>BDH|12461647435018988553</stp>
        <tr r="E13" s="22"/>
      </tp>
      <tp t="e">
        <v>#N/A</v>
        <stp/>
        <stp>BDH|11089240098427154743</stp>
        <tr r="S12" s="14"/>
      </tp>
      <tp t="e">
        <v>#N/A</v>
        <stp/>
        <stp>BDH|18108200179534960389</stp>
        <tr r="P91" s="17"/>
      </tp>
      <tp t="e">
        <v>#N/A</v>
        <stp/>
        <stp>BDH|16839939004482340750</stp>
        <tr r="D22" s="5"/>
      </tp>
      <tp t="e">
        <v>#N/A</v>
        <stp/>
        <stp>BDH|16263917845933611290</stp>
        <tr r="T50" s="18"/>
      </tp>
      <tp t="e">
        <v>#N/A</v>
        <stp/>
        <stp>BDH|11872704995960678524</stp>
        <tr r="P34" s="12"/>
      </tp>
      <tp t="e">
        <v>#N/A</v>
        <stp/>
        <stp>BDH|16800939151900683057</stp>
        <tr r="O42" s="21"/>
      </tp>
      <tp t="e">
        <v>#N/A</v>
        <stp/>
        <stp>BDH|10691903270217924364</stp>
        <tr r="G25" s="18"/>
      </tp>
      <tp t="e">
        <v>#N/A</v>
        <stp/>
        <stp>BDH|17638886606867225232</stp>
        <tr r="Q14" s="10"/>
      </tp>
      <tp t="e">
        <v>#N/A</v>
        <stp/>
        <stp>BDH|13558246315752401899</stp>
        <tr r="T118" s="18"/>
      </tp>
      <tp t="e">
        <v>#N/A</v>
        <stp/>
        <stp>BDH|15260426079038359439</stp>
        <tr r="E52" s="17"/>
      </tp>
      <tp t="e">
        <v>#N/A</v>
        <stp/>
        <stp>BDH|18284819526368473089</stp>
        <tr r="N24" s="17"/>
      </tp>
      <tp t="e">
        <v>#N/A</v>
        <stp/>
        <stp>BDH|15057253791561988548</stp>
        <tr r="T18" s="13"/>
      </tp>
      <tp t="e">
        <v>#N/A</v>
        <stp/>
        <stp>BDH|12429708641508596395</stp>
        <tr r="Z20" s="29"/>
      </tp>
      <tp t="e">
        <v>#N/A</v>
        <stp/>
        <stp>BDH|13732909018283490223</stp>
        <tr r="I53" s="24"/>
      </tp>
      <tp t="e">
        <v>#N/A</v>
        <stp/>
        <stp>BDH|14486444449418637669</stp>
        <tr r="Y75" s="17"/>
      </tp>
      <tp t="e">
        <v>#N/A</v>
        <stp/>
        <stp>BDH|10431795517219256513</stp>
        <tr r="V56" s="17"/>
        <tr r="V17" s="3"/>
      </tp>
      <tp t="e">
        <v>#N/A</v>
        <stp/>
        <stp>BDH|17628483385839782850</stp>
        <tr r="L41" s="34"/>
      </tp>
      <tp t="e">
        <v>#N/A</v>
        <stp/>
        <stp>BDH|11847874419656640492</stp>
        <tr r="C32" s="22"/>
      </tp>
      <tp t="e">
        <v>#N/A</v>
        <stp/>
        <stp>BDH|16760678700919971307</stp>
        <tr r="O101" s="18"/>
      </tp>
      <tp t="e">
        <v>#N/A</v>
        <stp/>
        <stp>BDH|12900620362231063902</stp>
        <tr r="L11" s="3"/>
        <tr r="J49" s="10"/>
        <tr r="J43" s="11"/>
        <tr r="J8" s="7"/>
      </tp>
      <tp t="e">
        <v>#N/A</v>
        <stp/>
        <stp>BDH|16802861672476461515</stp>
        <tr r="E84" s="18"/>
      </tp>
      <tp t="e">
        <v>#N/A</v>
        <stp/>
        <stp>BDH|11986139996251044252</stp>
        <tr r="C24" s="20"/>
      </tp>
      <tp t="e">
        <v>#N/A</v>
        <stp/>
        <stp>BDH|15237729889413199312</stp>
        <tr r="T29" s="10"/>
        <tr r="V34" s="13"/>
      </tp>
      <tp t="e">
        <v>#N/A</v>
        <stp/>
        <stp>BDH|13105701224259502596</stp>
        <tr r="AA38" s="18"/>
      </tp>
      <tp t="e">
        <v>#N/A</v>
        <stp/>
        <stp>BDH|14606289535486216917</stp>
        <tr r="O15" s="25"/>
      </tp>
      <tp t="e">
        <v>#N/A</v>
        <stp/>
        <stp>BDH|11638559463978102098</stp>
        <tr r="O7" s="34"/>
      </tp>
      <tp t="e">
        <v>#N/A</v>
        <stp/>
        <stp>BDH|12334375612222797896</stp>
        <tr r="Y73" s="18"/>
      </tp>
      <tp t="e">
        <v>#N/A</v>
        <stp/>
        <stp>BDH|11910619975123668935</stp>
        <tr r="L154" s="18"/>
      </tp>
      <tp t="e">
        <v>#N/A</v>
        <stp/>
        <stp>BDH|18421263412091819008</stp>
        <tr r="Q51" s="18"/>
      </tp>
      <tp t="e">
        <v>#N/A</v>
        <stp/>
        <stp>BDH|15944357456910301912</stp>
        <tr r="S16" s="18"/>
      </tp>
      <tp t="e">
        <v>#N/A</v>
        <stp/>
        <stp>BDH|13619017692058884851</stp>
        <tr r="L30" s="24"/>
      </tp>
      <tp t="e">
        <v>#N/A</v>
        <stp/>
        <stp>BDH|14256588545086155967</stp>
        <tr r="N35" s="18"/>
      </tp>
      <tp t="e">
        <v>#N/A</v>
        <stp/>
        <stp>BDH|16282637891436060582</stp>
        <tr r="T28" s="26"/>
      </tp>
      <tp t="e">
        <v>#N/A</v>
        <stp/>
        <stp>BDH|10884437567558116055</stp>
        <tr r="K18" s="18"/>
      </tp>
      <tp t="e">
        <v>#N/A</v>
        <stp/>
        <stp>BDH|11788181327748301033</stp>
        <tr r="W21" s="26"/>
      </tp>
      <tp t="e">
        <v>#N/A</v>
        <stp/>
        <stp>BDH|14459643588476283627</stp>
        <tr r="R71" s="12"/>
      </tp>
      <tp t="e">
        <v>#N/A</v>
        <stp/>
        <stp>BDH|13916356138499542094</stp>
        <tr r="F16" s="14"/>
      </tp>
      <tp t="e">
        <v>#N/A</v>
        <stp/>
        <stp>BDH|17309166597471860427</stp>
        <tr r="P66" s="12"/>
      </tp>
      <tp t="e">
        <v>#N/A</v>
        <stp/>
        <stp>BDH|12356893513001936086</stp>
        <tr r="K43" s="17"/>
      </tp>
      <tp t="e">
        <v>#N/A</v>
        <stp/>
        <stp>BDH|14765496696295579656</stp>
        <tr r="G40" s="17"/>
      </tp>
      <tp t="e">
        <v>#N/A</v>
        <stp/>
        <stp>BDH|10503832563235463194</stp>
        <tr r="M23" s="10"/>
      </tp>
      <tp t="e">
        <v>#N/A</v>
        <stp/>
        <stp>BDH|12000290600799301326</stp>
        <tr r="C15" s="24"/>
      </tp>
      <tp t="e">
        <v>#N/A</v>
        <stp/>
        <stp>BDH|15612887654114570671</stp>
        <tr r="S30" s="21"/>
      </tp>
      <tp t="e">
        <v>#N/A</v>
        <stp/>
        <stp>BDH|16786959048727452662</stp>
        <tr r="AA14" s="18"/>
      </tp>
      <tp t="e">
        <v>#N/A</v>
        <stp/>
        <stp>BDH|11561590363480634811</stp>
        <tr r="J53" s="18"/>
      </tp>
      <tp t="e">
        <v>#N/A</v>
        <stp/>
        <stp>BDH|15602059897152511499</stp>
        <tr r="T70" s="10"/>
        <tr r="T64" s="11"/>
      </tp>
      <tp t="e">
        <v>#N/A</v>
        <stp/>
        <stp>BDH|17772578928878102217</stp>
        <tr r="S32" s="10"/>
        <tr r="S26" s="11"/>
      </tp>
      <tp t="e">
        <v>#N/A</v>
        <stp/>
        <stp>BDH|13745456921976281993</stp>
        <tr r="Q41" s="21"/>
      </tp>
      <tp t="e">
        <v>#N/A</v>
        <stp/>
        <stp>BDH|12573459942858968030</stp>
        <tr r="P52" s="12"/>
      </tp>
      <tp t="e">
        <v>#N/A</v>
        <stp/>
        <stp>BDH|17868122393357341224</stp>
        <tr r="S19" s="14"/>
      </tp>
      <tp t="e">
        <v>#N/A</v>
        <stp/>
        <stp>BDH|16685991751878658802</stp>
        <tr r="W43" s="22"/>
      </tp>
      <tp t="e">
        <v>#N/A</v>
        <stp/>
        <stp>BDH|15423697692588171861</stp>
        <tr r="C14" s="28"/>
      </tp>
      <tp t="e">
        <v>#N/A</v>
        <stp/>
        <stp>BDH|13835816792498131024</stp>
        <tr r="C25" s="2"/>
        <tr r="E62" s="21"/>
      </tp>
      <tp t="e">
        <v>#N/A</v>
        <stp/>
        <stp>BDH|17317482091722361214</stp>
        <tr r="E72" s="12"/>
      </tp>
      <tp t="e">
        <v>#N/A</v>
        <stp/>
        <stp>BDH|15855656171226604827</stp>
        <tr r="M71" s="12"/>
      </tp>
      <tp t="e">
        <v>#N/A</v>
        <stp/>
        <stp>BDH|12464744089685702261</stp>
        <tr r="G12" s="18"/>
      </tp>
      <tp t="e">
        <v>#N/A</v>
        <stp/>
        <stp>BDH|10847973924372020333</stp>
        <tr r="H28" s="17"/>
      </tp>
      <tp t="e">
        <v>#N/A</v>
        <stp/>
        <stp>BDH|13500330478648503533</stp>
        <tr r="T164" s="18"/>
      </tp>
      <tp t="e">
        <v>#N/A</v>
        <stp/>
        <stp>BDH|11860758545481861988</stp>
        <tr r="U28" s="21"/>
      </tp>
      <tp t="e">
        <v>#N/A</v>
        <stp/>
        <stp>BDH|15377711917180859956</stp>
        <tr r="J13" s="22"/>
      </tp>
      <tp t="e">
        <v>#N/A</v>
        <stp/>
        <stp>BDH|10988567106659100632</stp>
        <tr r="S130" s="18"/>
      </tp>
      <tp t="e">
        <v>#N/A</v>
        <stp/>
        <stp>BDH|12922507133878558642</stp>
        <tr r="R106" s="18"/>
        <tr r="P6" s="20"/>
      </tp>
      <tp t="e">
        <v>#N/A</v>
        <stp/>
        <stp>BDH|12584927639382559003</stp>
        <tr r="G17" s="23"/>
      </tp>
      <tp t="e">
        <v>#N/A</v>
        <stp/>
        <stp>BDH|10970179023779080068</stp>
        <tr r="E47" s="24"/>
      </tp>
      <tp t="e">
        <v>#N/A</v>
        <stp/>
        <stp>BDH|15751847049131035219</stp>
        <tr r="P36" s="21"/>
      </tp>
      <tp t="e">
        <v>#N/A</v>
        <stp/>
        <stp>BDH|14819350589633779689</stp>
        <tr r="M138" s="18"/>
      </tp>
      <tp t="e">
        <v>#N/A</v>
        <stp/>
        <stp>BDH|16633015561903426994</stp>
        <tr r="F40" s="34"/>
      </tp>
      <tp t="e">
        <v>#N/A</v>
        <stp/>
        <stp>BDH|13775841868317847089</stp>
        <tr r="K11" s="3"/>
        <tr r="I49" s="10"/>
        <tr r="I43" s="11"/>
        <tr r="I8" s="7"/>
      </tp>
      <tp t="e">
        <v>#N/A</v>
        <stp/>
        <stp>BDH|13467556650939306091</stp>
        <tr r="L35" s="22"/>
      </tp>
      <tp t="e">
        <v>#N/A</v>
        <stp/>
        <stp>BDH|16900668180037721532</stp>
        <tr r="J28" s="21"/>
      </tp>
      <tp t="e">
        <v>#N/A</v>
        <stp/>
        <stp>BDH|16957753164858137522</stp>
        <tr r="D14" s="11"/>
      </tp>
      <tp t="e">
        <v>#N/A</v>
        <stp/>
        <stp>BDH|17660251994492999456</stp>
        <tr r="P62" s="10"/>
      </tp>
      <tp t="e">
        <v>#N/A</v>
        <stp/>
        <stp>BDH|11438996056275889283</stp>
        <tr r="W54" s="12"/>
      </tp>
      <tp t="e">
        <v>#N/A</v>
        <stp/>
        <stp>BDH|15256082585686362174</stp>
        <tr r="Z12" s="12"/>
      </tp>
      <tp t="e">
        <v>#N/A</v>
        <stp/>
        <stp>BDH|12950727357263430930</stp>
        <tr r="M14" s="29"/>
        <tr r="M23" s="29"/>
        <tr r="M34" s="29"/>
      </tp>
      <tp t="e">
        <v>#N/A</v>
        <stp/>
        <stp>BDH|18421286376001507647</stp>
        <tr r="V63" s="18"/>
      </tp>
      <tp t="e">
        <v>#N/A</v>
        <stp/>
        <stp>BDH|12400284597560902392</stp>
        <tr r="AA16" s="17"/>
        <tr r="AA19" s="28"/>
      </tp>
      <tp t="e">
        <v>#N/A</v>
        <stp/>
        <stp>BDH|13195913448475245119</stp>
        <tr r="I43" s="21"/>
      </tp>
      <tp t="e">
        <v>#N/A</v>
        <stp/>
        <stp>BDH|14650477596097573497</stp>
        <tr r="D58" s="24"/>
      </tp>
      <tp t="e">
        <v>#N/A</v>
        <stp/>
        <stp>BDH|13074192063768164606</stp>
        <tr r="W54" s="21"/>
      </tp>
      <tp t="e">
        <v>#N/A</v>
        <stp/>
        <stp>BDH|17081169178632225977</stp>
        <tr r="P14" s="25"/>
      </tp>
      <tp t="e">
        <v>#N/A</v>
        <stp/>
        <stp>BDH|10954722608934890905</stp>
        <tr r="M20" s="5"/>
        <tr r="M20" s="9"/>
      </tp>
      <tp t="e">
        <v>#N/A</v>
        <stp/>
        <stp>BDH|17412871243610260192</stp>
        <tr r="X7" s="30"/>
      </tp>
      <tp t="e">
        <v>#N/A</v>
        <stp/>
        <stp>BDH|10465489188970741680</stp>
        <tr r="Y148" s="18"/>
      </tp>
      <tp t="e">
        <v>#N/A</v>
        <stp/>
        <stp>BDH|15571812728233557620</stp>
        <tr r="N78" s="17"/>
      </tp>
      <tp t="e">
        <v>#N/A</v>
        <stp/>
        <stp>BDH|11877282019499393118</stp>
        <tr r="L25" s="22"/>
      </tp>
      <tp t="e">
        <v>#N/A</v>
        <stp/>
        <stp>BDH|18160040873417919243</stp>
        <tr r="E7" s="2"/>
        <tr r="D7" s="5"/>
        <tr r="D7" s="9"/>
        <tr r="G14" s="3"/>
      </tp>
      <tp t="e">
        <v>#N/A</v>
        <stp/>
        <stp>BDH|13405111307230858811</stp>
        <tr r="S70" s="12"/>
      </tp>
      <tp t="e">
        <v>#N/A</v>
        <stp/>
        <stp>BDH|12276795298574077286</stp>
        <tr r="I45" s="17"/>
        <tr r="I9" s="25"/>
      </tp>
      <tp t="e">
        <v>#N/A</v>
        <stp/>
        <stp>BDH|10972061099633938058</stp>
        <tr r="F63" s="10"/>
      </tp>
      <tp t="e">
        <v>#N/A</v>
        <stp/>
        <stp>BDH|16723910699868587409</stp>
        <tr r="H21" s="20"/>
      </tp>
      <tp t="e">
        <v>#N/A</v>
        <stp/>
        <stp>BDH|12449020080964940453</stp>
        <tr r="I8" s="27"/>
      </tp>
      <tp t="e">
        <v>#N/A</v>
        <stp/>
        <stp>BDH|11019892607722388176</stp>
        <tr r="F36" s="18"/>
      </tp>
      <tp t="e">
        <v>#N/A</v>
        <stp/>
        <stp>BDH|11168018282230169390</stp>
        <tr r="P40" s="29"/>
      </tp>
      <tp t="e">
        <v>#N/A</v>
        <stp/>
        <stp>BDH|16818973066275710649</stp>
        <tr r="C37" s="24"/>
      </tp>
      <tp t="e">
        <v>#N/A</v>
        <stp/>
        <stp>BDH|15659243179542091815</stp>
        <tr r="H17" s="13"/>
      </tp>
      <tp t="e">
        <v>#N/A</v>
        <stp/>
        <stp>BDH|13336229759079627747</stp>
        <tr r="AA92" s="17"/>
      </tp>
      <tp t="e">
        <v>#N/A</v>
        <stp/>
        <stp>BDH|12552258900163222980</stp>
        <tr r="V158" s="18"/>
      </tp>
      <tp t="e">
        <v>#N/A</v>
        <stp/>
        <stp>BDH|11753784824786511849</stp>
        <tr r="H34" s="6"/>
        <tr r="J10" s="8"/>
      </tp>
      <tp t="e">
        <v>#N/A</v>
        <stp/>
        <stp>BDH|17223384335589695437</stp>
        <tr r="G43" s="4"/>
      </tp>
      <tp t="e">
        <v>#N/A</v>
        <stp/>
        <stp>BDH|14418458391707873424</stp>
        <tr r="T16" s="11"/>
      </tp>
      <tp t="e">
        <v>#N/A</v>
        <stp/>
        <stp>BDH|18330471289919028774</stp>
        <tr r="W17" s="6"/>
      </tp>
      <tp t="e">
        <v>#N/A</v>
        <stp/>
        <stp>BDH|18365498721087023310</stp>
        <tr r="D27" s="22"/>
      </tp>
      <tp t="e">
        <v>#N/A</v>
        <stp/>
        <stp>BDH|12937042691533215246</stp>
        <tr r="X45" s="13"/>
      </tp>
      <tp t="e">
        <v>#N/A</v>
        <stp/>
        <stp>BDH|15636450415628858242</stp>
        <tr r="V76" s="12"/>
      </tp>
      <tp t="e">
        <v>#N/A</v>
        <stp/>
        <stp>BDH|17946667673268035460</stp>
        <tr r="V50" s="18"/>
      </tp>
      <tp t="e">
        <v>#N/A</v>
        <stp/>
        <stp>BDH|12374184190759362920</stp>
        <tr r="L9" s="13"/>
      </tp>
      <tp t="e">
        <v>#N/A</v>
        <stp/>
        <stp>BDH|11975436185764528305</stp>
        <tr r="V22" s="12"/>
      </tp>
      <tp t="e">
        <v>#N/A</v>
        <stp/>
        <stp>BDH|13124369266945378984</stp>
        <tr r="T168" s="18"/>
      </tp>
      <tp t="e">
        <v>#N/A</v>
        <stp/>
        <stp>BDH|14570452587894884655</stp>
        <tr r="E13" s="17"/>
        <tr r="E16" s="28"/>
      </tp>
      <tp t="e">
        <v>#N/A</v>
        <stp/>
        <stp>BDH|11804157566335359921</stp>
        <tr r="S8" s="28"/>
      </tp>
      <tp t="e">
        <v>#N/A</v>
        <stp/>
        <stp>BDH|10813905685443680818</stp>
        <tr r="F10" s="21"/>
      </tp>
      <tp t="e">
        <v>#N/A</v>
        <stp/>
        <stp>BDH|13905722874169669035</stp>
        <tr r="R15" s="22"/>
      </tp>
      <tp t="e">
        <v>#N/A</v>
        <stp/>
        <stp>BDH|11529895864262141736</stp>
        <tr r="E42" s="4"/>
      </tp>
      <tp t="e">
        <v>#N/A</v>
        <stp/>
        <stp>BDH|16955123399681823507</stp>
        <tr r="C65" s="12"/>
      </tp>
      <tp t="e">
        <v>#N/A</v>
        <stp/>
        <stp>BDH|10365231098258676947</stp>
        <tr r="U89" s="17"/>
      </tp>
      <tp t="e">
        <v>#N/A</v>
        <stp/>
        <stp>BDH|13601401689474685146</stp>
        <tr r="W15" s="13"/>
      </tp>
      <tp t="e">
        <v>#N/A</v>
        <stp/>
        <stp>BDH|11802507485371573758</stp>
        <tr r="O59" s="18"/>
      </tp>
      <tp t="e">
        <v>#N/A</v>
        <stp/>
        <stp>BDH|13986582224226067884</stp>
        <tr r="AA33" s="21"/>
      </tp>
      <tp t="e">
        <v>#N/A</v>
        <stp/>
        <stp>BDH|13485281021499476042</stp>
        <tr r="M83" s="17"/>
      </tp>
      <tp t="e">
        <v>#N/A</v>
        <stp/>
        <stp>BDH|18285776530177161196</stp>
        <tr r="K9" s="6"/>
      </tp>
      <tp t="e">
        <v>#N/A</v>
        <stp/>
        <stp>BDH|13611900603423929319</stp>
        <tr r="W22" s="10"/>
      </tp>
      <tp t="e">
        <v>#N/A</v>
        <stp/>
        <stp>BDH|16803568387190126155</stp>
        <tr r="F33" s="17"/>
      </tp>
      <tp t="e">
        <v>#N/A</v>
        <stp/>
        <stp>BDH|12912501490942768631</stp>
        <tr r="D41" s="18"/>
      </tp>
      <tp t="e">
        <v>#N/A</v>
        <stp/>
        <stp>BDH|13219224590891512382</stp>
        <tr r="W123" s="18"/>
      </tp>
      <tp t="e">
        <v>#N/A</v>
        <stp/>
        <stp>BDH|15132987500216081042</stp>
        <tr r="G72" s="17"/>
        <tr r="G18" s="3"/>
      </tp>
      <tp t="e">
        <v>#N/A</v>
        <stp/>
        <stp>BDH|10099887557714030328</stp>
        <tr r="M49" s="18"/>
      </tp>
      <tp t="e">
        <v>#N/A</v>
        <stp/>
        <stp>BDH|15087282118504958848</stp>
        <tr r="G43" s="22"/>
      </tp>
      <tp t="e">
        <v>#N/A</v>
        <stp/>
        <stp>BDH|14751646381221749187</stp>
        <tr r="F89" s="18"/>
      </tp>
      <tp t="e">
        <v>#N/A</v>
        <stp/>
        <stp>BDH|11237801299102154874</stp>
        <tr r="X121" s="18"/>
      </tp>
      <tp t="e">
        <v>#N/A</v>
        <stp/>
        <stp>BDH|13426533628289545776</stp>
        <tr r="V66" s="17"/>
      </tp>
      <tp t="e">
        <v>#N/A</v>
        <stp/>
        <stp>BDH|18275237276102812521</stp>
        <tr r="R39" s="10"/>
        <tr r="R33" s="11"/>
      </tp>
      <tp t="e">
        <v>#N/A</v>
        <stp/>
        <stp>BDH|10058863644575622391</stp>
        <tr r="G18" s="2"/>
        <tr r="G53" s="4"/>
        <tr r="G45" s="10"/>
        <tr r="G39" s="11"/>
        <tr r="I46" s="13"/>
      </tp>
      <tp t="e">
        <v>#N/A</v>
        <stp/>
        <stp>BDH|15047741010519997009</stp>
        <tr r="X13" s="5"/>
      </tp>
      <tp t="e">
        <v>#N/A</v>
        <stp/>
        <stp>BDH|18318716328262073575</stp>
        <tr r="R127" s="18"/>
      </tp>
      <tp t="e">
        <v>#N/A</v>
        <stp/>
        <stp>BDH|13173677419247429967</stp>
        <tr r="J26" s="13"/>
      </tp>
      <tp t="e">
        <v>#N/A</v>
        <stp/>
        <stp>BDH|16700965518435260161</stp>
        <tr r="O92" s="18"/>
      </tp>
      <tp t="e">
        <v>#N/A</v>
        <stp/>
        <stp>BDH|11639880435753053364</stp>
        <tr r="K36" s="34"/>
      </tp>
      <tp t="e">
        <v>#N/A</v>
        <stp/>
        <stp>BDH|16311124912054828862</stp>
        <tr r="Z13" s="14"/>
      </tp>
      <tp t="e">
        <v>#N/A</v>
        <stp/>
        <stp>BDH|11690233650515090983</stp>
        <tr r="S93" s="17"/>
      </tp>
      <tp t="e">
        <v>#N/A</v>
        <stp/>
        <stp>BDH|12056637688801677708</stp>
        <tr r="E14" s="13"/>
      </tp>
      <tp t="e">
        <v>#N/A</v>
        <stp/>
        <stp>BDH|18173875611259925228</stp>
        <tr r="E24" s="22"/>
      </tp>
      <tp t="e">
        <v>#N/A</v>
        <stp/>
        <stp>BDH|15447881045832218173</stp>
        <tr r="R69" s="18"/>
      </tp>
      <tp t="e">
        <v>#N/A</v>
        <stp/>
        <stp>BDH|18229114333139805948</stp>
        <tr r="P6" s="15"/>
        <tr r="P12" s="2"/>
        <tr r="P11" s="4"/>
        <tr r="P6" s="10"/>
      </tp>
      <tp t="e">
        <v>#N/A</v>
        <stp/>
        <stp>BDH|15892991721676989259</stp>
        <tr r="Z22" s="18"/>
      </tp>
      <tp t="e">
        <v>#N/A</v>
        <stp/>
        <stp>BDH|14252316391142686684</stp>
        <tr r="C42" s="17"/>
      </tp>
      <tp t="e">
        <v>#N/A</v>
        <stp/>
        <stp>BDH|14268078899777528057</stp>
        <tr r="F51" s="24"/>
      </tp>
      <tp t="e">
        <v>#N/A</v>
        <stp/>
        <stp>BDH|15042570888211732349</stp>
        <tr r="D10" s="17"/>
      </tp>
      <tp t="e">
        <v>#N/A</v>
        <stp/>
        <stp>BDH|15266960177885765484</stp>
        <tr r="K25" s="21"/>
      </tp>
      <tp t="e">
        <v>#N/A</v>
        <stp/>
        <stp>BDH|18408495606001573721</stp>
        <tr r="K28" s="18"/>
      </tp>
      <tp t="e">
        <v>#N/A</v>
        <stp/>
        <stp>BDH|18075366984840729998</stp>
        <tr r="N7" s="8"/>
      </tp>
      <tp t="e">
        <v>#N/A</v>
        <stp/>
        <stp>BDH|10140364879387203900</stp>
        <tr r="F39" s="6"/>
      </tp>
      <tp t="e">
        <v>#N/A</v>
        <stp/>
        <stp>BDH|11573739420466913838</stp>
        <tr r="L50" s="21"/>
      </tp>
      <tp t="e">
        <v>#N/A</v>
        <stp/>
        <stp>BDH|17358960808214244031</stp>
        <tr r="O64" s="12"/>
      </tp>
      <tp t="e">
        <v>#N/A</v>
        <stp/>
        <stp>BDH|16557327420865907828</stp>
        <tr r="D32" s="10"/>
        <tr r="D26" s="11"/>
      </tp>
      <tp t="e">
        <v>#N/A</v>
        <stp/>
        <stp>BDH|17115699911029105349</stp>
        <tr r="R8" s="28"/>
      </tp>
      <tp t="e">
        <v>#N/A</v>
        <stp/>
        <stp>BDH|15605613240654238996</stp>
        <tr r="S41" s="18"/>
      </tp>
      <tp t="e">
        <v>#N/A</v>
        <stp/>
        <stp>BDH|10377930338517108755</stp>
        <tr r="R15" s="24"/>
      </tp>
      <tp t="e">
        <v>#N/A</v>
        <stp/>
        <stp>BDH|17827322551753787808</stp>
        <tr r="O25" s="34"/>
      </tp>
      <tp t="e">
        <v>#N/A</v>
        <stp/>
        <stp>BDH|14129291351148626136</stp>
        <tr r="H12" s="30"/>
      </tp>
      <tp t="e">
        <v>#N/A</v>
        <stp/>
        <stp>BDH|16345077889766410253</stp>
        <tr r="R110" s="18"/>
        <tr r="P11" s="20"/>
      </tp>
      <tp t="e">
        <v>#N/A</v>
        <stp/>
        <stp>BDH|11860467479028331084</stp>
        <tr r="G64" s="24"/>
      </tp>
      <tp t="e">
        <v>#N/A</v>
        <stp/>
        <stp>BDH|16073564997650472097</stp>
        <tr r="T79" s="18"/>
      </tp>
      <tp t="e">
        <v>#N/A</v>
        <stp/>
        <stp>BDH|11880027781232683110</stp>
        <tr r="T90" s="18"/>
      </tp>
      <tp t="e">
        <v>#N/A</v>
        <stp/>
        <stp>BDH|10978992648090300771</stp>
        <tr r="G54" s="12"/>
      </tp>
      <tp t="e">
        <v>#N/A</v>
        <stp/>
        <stp>BDH|15106711481764787495</stp>
        <tr r="C99" s="18"/>
      </tp>
      <tp t="e">
        <v>#N/A</v>
        <stp/>
        <stp>BDH|11248636420707682887</stp>
        <tr r="Q62" s="10"/>
      </tp>
      <tp t="e">
        <v>#N/A</v>
        <stp/>
        <stp>BDH|16601843858129019859</stp>
        <tr r="M27" s="6"/>
      </tp>
      <tp t="e">
        <v>#N/A</v>
        <stp/>
        <stp>BDH|16785499641898623462</stp>
        <tr r="Y16" s="24"/>
      </tp>
      <tp t="e">
        <v>#N/A</v>
        <stp/>
        <stp>BDH|16035721198963608134</stp>
        <tr r="E78" s="17"/>
      </tp>
      <tp t="e">
        <v>#N/A</v>
        <stp/>
        <stp>BDH|13771933078453193426</stp>
        <tr r="D11" s="11"/>
      </tp>
      <tp t="e">
        <v>#N/A</v>
        <stp/>
        <stp>BDH|16472402778036386902</stp>
        <tr r="C91" s="18"/>
      </tp>
      <tp t="e">
        <v>#N/A</v>
        <stp/>
        <stp>BDH|13945347346648790633</stp>
        <tr r="P35" s="17"/>
      </tp>
      <tp t="e">
        <v>#N/A</v>
        <stp/>
        <stp>BDH|12023225326940817831</stp>
        <tr r="P7" s="2"/>
        <tr r="O7" s="5"/>
        <tr r="O7" s="9"/>
        <tr r="R14" s="3"/>
      </tp>
      <tp t="e">
        <v>#N/A</v>
        <stp/>
        <stp>BDH|16079812205852903620</stp>
        <tr r="V25" s="17"/>
      </tp>
      <tp t="e">
        <v>#N/A</v>
        <stp/>
        <stp>BDH|11882811221508638912</stp>
        <tr r="Q8" s="6"/>
      </tp>
      <tp t="e">
        <v>#N/A</v>
        <stp/>
        <stp>BDH|14942744911181384904</stp>
        <tr r="J15" s="11"/>
      </tp>
      <tp t="e">
        <v>#N/A</v>
        <stp/>
        <stp>BDH|13957977853634217109</stp>
        <tr r="H55" s="17"/>
      </tp>
      <tp t="e">
        <v>#N/A</v>
        <stp/>
        <stp>BDH|14263968006253583488</stp>
        <tr r="U26" s="13"/>
      </tp>
      <tp t="e">
        <v>#N/A</v>
        <stp/>
        <stp>BDH|13330897222993789006</stp>
        <tr r="X24" s="21"/>
      </tp>
      <tp t="e">
        <v>#N/A</v>
        <stp/>
        <stp>BDH|18036064539036305736</stp>
        <tr r="E11" s="11"/>
      </tp>
      <tp t="e">
        <v>#N/A</v>
        <stp/>
        <stp>BDH|10339847925270477096</stp>
        <tr r="K84" s="18"/>
      </tp>
      <tp t="e">
        <v>#N/A</v>
        <stp/>
        <stp>BDH|13474101218051140825</stp>
        <tr r="D15" s="4"/>
      </tp>
      <tp t="e">
        <v>#N/A</v>
        <stp/>
        <stp>BDH|11288578599995493276</stp>
        <tr r="S83" s="18"/>
      </tp>
      <tp t="e">
        <v>#N/A</v>
        <stp/>
        <stp>BDH|18074440379533603244</stp>
        <tr r="D8" s="17"/>
      </tp>
      <tp t="e">
        <v>#N/A</v>
        <stp/>
        <stp>BDH|11522420197242727487</stp>
        <tr r="J18" s="14"/>
      </tp>
      <tp t="e">
        <v>#N/A</v>
        <stp/>
        <stp>BDH|15745814436222970660</stp>
        <tr r="I16" s="14"/>
      </tp>
      <tp t="e">
        <v>#N/A</v>
        <stp/>
        <stp>BDH|17013440513309001186</stp>
        <tr r="G28" s="25"/>
        <tr r="G18" s="27"/>
      </tp>
      <tp t="e">
        <v>#N/A</v>
        <stp/>
        <stp>BDH|11342066757687463989</stp>
        <tr r="K52" s="18"/>
      </tp>
      <tp t="e">
        <v>#N/A</v>
        <stp/>
        <stp>BDH|14872378691025463142</stp>
        <tr r="L49" s="18"/>
      </tp>
      <tp t="e">
        <v>#N/A</v>
        <stp/>
        <stp>BDH|12933906437726310439</stp>
        <tr r="Z37" s="18"/>
      </tp>
      <tp t="e">
        <v>#N/A</v>
        <stp/>
        <stp>BDH|11081975227256974671</stp>
        <tr r="Q18" s="17"/>
      </tp>
      <tp t="e">
        <v>#N/A</v>
        <stp/>
        <stp>BDH|14667265286064191093</stp>
        <tr r="L42" s="34"/>
      </tp>
      <tp t="e">
        <v>#N/A</v>
        <stp/>
        <stp>BDH|14638119429668127516</stp>
        <tr r="G65" s="21"/>
        <tr r="E23" s="7"/>
      </tp>
      <tp t="e">
        <v>#N/A</v>
        <stp/>
        <stp>BDH|10495147448709454623</stp>
        <tr r="L13" s="6"/>
      </tp>
      <tp t="e">
        <v>#N/A</v>
        <stp/>
        <stp>BDH|14099383938657857966</stp>
        <tr r="AA28" s="22"/>
      </tp>
      <tp t="e">
        <v>#N/A</v>
        <stp/>
        <stp>BDH|15540710328239493361</stp>
        <tr r="I66" s="10"/>
      </tp>
      <tp t="e">
        <v>#N/A</v>
        <stp/>
        <stp>BDH|14578810022152995612</stp>
        <tr r="D18" s="14"/>
      </tp>
      <tp t="e">
        <v>#N/A</v>
        <stp/>
        <stp>BDH|13787482384757721222</stp>
        <tr r="D19" s="6"/>
      </tp>
      <tp t="e">
        <v>#N/A</v>
        <stp/>
        <stp>BDH|11484417880310971729</stp>
        <tr r="E8" s="10"/>
      </tp>
      <tp t="e">
        <v>#N/A</v>
        <stp/>
        <stp>BDH|10441724188300137512</stp>
        <tr r="J66" s="18"/>
      </tp>
      <tp t="e">
        <v>#N/A</v>
        <stp/>
        <stp>BDH|11795901639918865986</stp>
        <tr r="Y28" s="4"/>
      </tp>
      <tp t="e">
        <v>#N/A</v>
        <stp/>
        <stp>BDH|13513315534510883969</stp>
        <tr r="H9" s="11"/>
      </tp>
      <tp t="e">
        <v>#N/A</v>
        <stp/>
        <stp>BDH|16141795177168148403</stp>
        <tr r="W10" s="21"/>
      </tp>
      <tp t="e">
        <v>#N/A</v>
        <stp/>
        <stp>BDH|14143830319467335064</stp>
        <tr r="W6" s="2"/>
        <tr r="V6" s="5"/>
        <tr r="V6" s="9"/>
        <tr r="X12" s="8"/>
        <tr r="Y10" s="29"/>
        <tr r="Y19" s="29"/>
        <tr r="Y25" s="29"/>
      </tp>
      <tp t="e">
        <v>#N/A</v>
        <stp/>
        <stp>BDH|15952741895007544636</stp>
        <tr r="S16" s="2"/>
        <tr r="S32" s="4"/>
        <tr r="S61" s="10"/>
        <tr r="U19" s="13"/>
      </tp>
      <tp t="e">
        <v>#N/A</v>
        <stp/>
        <stp>BDH|11604316992947931629</stp>
        <tr r="C32" s="18"/>
      </tp>
      <tp t="e">
        <v>#N/A</v>
        <stp/>
        <stp>BDH|10269948828722885384</stp>
        <tr r="C24" s="12"/>
      </tp>
      <tp t="e">
        <v>#N/A</v>
        <stp/>
        <stp>BDH|16817520793722096384</stp>
        <tr r="AA21" s="27"/>
      </tp>
      <tp t="e">
        <v>#N/A</v>
        <stp/>
        <stp>BDH|15101899430273815611</stp>
        <tr r="AA43" s="13"/>
      </tp>
      <tp t="e">
        <v>#N/A</v>
        <stp/>
        <stp>BDH|10240984414430784387</stp>
        <tr r="C137" s="18"/>
      </tp>
      <tp t="e">
        <v>#N/A</v>
        <stp/>
        <stp>BDH|14047246251571350978</stp>
        <tr r="I17" s="12"/>
      </tp>
      <tp t="e">
        <v>#N/A</v>
        <stp/>
        <stp>BDH|12547653985531385672</stp>
        <tr r="Y37" s="24"/>
      </tp>
      <tp t="e">
        <v>#N/A</v>
        <stp/>
        <stp>BDH|16283240484256108122</stp>
        <tr r="X70" s="10"/>
        <tr r="X64" s="11"/>
      </tp>
      <tp t="e">
        <v>#N/A</v>
        <stp/>
        <stp>BDH|11491270784761789119</stp>
        <tr r="C92" s="18"/>
      </tp>
      <tp t="e">
        <v>#N/A</v>
        <stp/>
        <stp>BDH|10515816546342531568</stp>
        <tr r="U56" s="10"/>
        <tr r="U50" s="11"/>
        <tr r="U18" s="7"/>
        <tr r="W52" s="13"/>
      </tp>
      <tp t="e">
        <v>#N/A</v>
        <stp/>
        <stp>BDH|12002360137059463049</stp>
        <tr r="G18" s="30"/>
      </tp>
      <tp t="e">
        <v>#N/A</v>
        <stp/>
        <stp>BDH|17731531380419696831</stp>
        <tr r="V37" s="10"/>
        <tr r="V31" s="11"/>
        <tr r="X40" s="13"/>
      </tp>
      <tp t="e">
        <v>#N/A</v>
        <stp/>
        <stp>BDH|10753652999680883427</stp>
        <tr r="X69" s="12"/>
      </tp>
      <tp t="e">
        <v>#N/A</v>
        <stp/>
        <stp>BDH|11674867798219161289</stp>
        <tr r="C165" s="18"/>
      </tp>
      <tp t="e">
        <v>#N/A</v>
        <stp/>
        <stp>BDH|11757688895394234190</stp>
        <tr r="G18" s="24"/>
      </tp>
      <tp t="e">
        <v>#N/A</v>
        <stp/>
        <stp>BDH|16248173688816942257</stp>
        <tr r="S53" s="13"/>
      </tp>
      <tp t="e">
        <v>#N/A</v>
        <stp/>
        <stp>BDH|18404038769513920663</stp>
        <tr r="R11" s="21"/>
      </tp>
      <tp t="e">
        <v>#N/A</v>
        <stp/>
        <stp>BDH|16597910774064438759</stp>
        <tr r="H50" s="13"/>
      </tp>
      <tp t="e">
        <v>#N/A</v>
        <stp/>
        <stp>BDH|16308921457211047074</stp>
        <tr r="T41" s="24"/>
      </tp>
      <tp t="e">
        <v>#N/A</v>
        <stp/>
        <stp>BDH|16984961868676193474</stp>
        <tr r="N22" s="17"/>
      </tp>
      <tp t="e">
        <v>#N/A</v>
        <stp/>
        <stp>BDH|17018235727419496518</stp>
        <tr r="X42" s="21"/>
      </tp>
      <tp t="e">
        <v>#N/A</v>
        <stp/>
        <stp>BDH|15532585288042548112</stp>
        <tr r="N6" s="15"/>
        <tr r="N12" s="2"/>
        <tr r="N11" s="4"/>
        <tr r="N6" s="10"/>
      </tp>
      <tp t="e">
        <v>#N/A</v>
        <stp/>
        <stp>BDH|15065450244468575655</stp>
        <tr r="E17" s="5"/>
        <tr r="E24" s="6"/>
      </tp>
      <tp t="e">
        <v>#N/A</v>
        <stp/>
        <stp>BDH|15832557521410570980</stp>
        <tr r="X37" s="12"/>
      </tp>
      <tp t="e">
        <v>#N/A</v>
        <stp/>
        <stp>BDH|18434517770349286868</stp>
        <tr r="M67" s="18"/>
      </tp>
      <tp t="e">
        <v>#N/A</v>
        <stp/>
        <stp>BDH|14741602093620710026</stp>
        <tr r="M15" s="5"/>
      </tp>
      <tp t="e">
        <v>#N/A</v>
        <stp/>
        <stp>BDH|17010876346639124915</stp>
        <tr r="G22" s="17"/>
      </tp>
      <tp t="e">
        <v>#N/A</v>
        <stp/>
        <stp>BDH|18315273198708553086</stp>
        <tr r="I17" s="22"/>
      </tp>
      <tp t="e">
        <v>#N/A</v>
        <stp/>
        <stp>BDH|13907172649434637900</stp>
        <tr r="W72" s="17"/>
        <tr r="W18" s="3"/>
      </tp>
      <tp t="e">
        <v>#N/A</v>
        <stp/>
        <stp>BDH|13924999715487486703</stp>
        <tr r="G46" s="4"/>
        <tr r="G24" s="10"/>
        <tr r="I35" s="13"/>
      </tp>
      <tp t="e">
        <v>#N/A</v>
        <stp/>
        <stp>BDH|12149273082456465511</stp>
        <tr r="Q41" s="18"/>
      </tp>
      <tp t="e">
        <v>#N/A</v>
        <stp/>
        <stp>BDH|17088974694209526578</stp>
        <tr r="J26" s="10"/>
        <tr r="L31" s="13"/>
      </tp>
      <tp t="e">
        <v>#N/A</v>
        <stp/>
        <stp>BDH|17266813826076373076</stp>
        <tr r="Z28" s="22"/>
      </tp>
      <tp t="e">
        <v>#N/A</v>
        <stp/>
        <stp>BDH|16331207191002005430</stp>
        <tr r="D17" s="10"/>
      </tp>
      <tp t="e">
        <v>#N/A</v>
        <stp/>
        <stp>BDH|12340869556234749040</stp>
        <tr r="C23" s="18"/>
      </tp>
      <tp t="e">
        <v>#N/A</v>
        <stp/>
        <stp>BDH|11744631287916522265</stp>
        <tr r="W94" s="17"/>
      </tp>
      <tp t="e">
        <v>#N/A</v>
        <stp/>
        <stp>BDH|14170462958416933868</stp>
        <tr r="I34" s="25"/>
      </tp>
      <tp t="e">
        <v>#N/A</v>
        <stp/>
        <stp>BDH|17805745380110982356</stp>
        <tr r="X16" s="22"/>
      </tp>
      <tp t="e">
        <v>#N/A</v>
        <stp/>
        <stp>BDH|13161948240577170246</stp>
        <tr r="Q22" s="20"/>
      </tp>
      <tp t="e">
        <v>#N/A</v>
        <stp/>
        <stp>BDH|13030174550404495830</stp>
        <tr r="K20" s="24"/>
      </tp>
      <tp t="e">
        <v>#N/A</v>
        <stp/>
        <stp>BDH|11694581135458962420</stp>
        <tr r="Z11" s="14"/>
      </tp>
      <tp t="e">
        <v>#N/A</v>
        <stp/>
        <stp>BDH|16810904080298896407</stp>
        <tr r="K54" s="12"/>
      </tp>
      <tp t="e">
        <v>#N/A</v>
        <stp/>
        <stp>BDH|17623309951389735302</stp>
        <tr r="O25" s="22"/>
      </tp>
      <tp t="e">
        <v>#N/A</v>
        <stp/>
        <stp>BDH|10083561513357542807</stp>
        <tr r="U139" s="18"/>
      </tp>
      <tp t="e">
        <v>#N/A</v>
        <stp/>
        <stp>BDH|17106049731596377973</stp>
        <tr r="C62" s="24"/>
      </tp>
      <tp t="e">
        <v>#N/A</v>
        <stp/>
        <stp>BDH|10851103538129712079</stp>
        <tr r="T88" s="17"/>
      </tp>
      <tp t="e">
        <v>#N/A</v>
        <stp/>
        <stp>BDH|18318748708453674794</stp>
        <tr r="M66" s="24"/>
      </tp>
      <tp t="e">
        <v>#N/A</v>
        <stp/>
        <stp>BDH|10107702221947115914</stp>
        <tr r="T23" s="12"/>
      </tp>
      <tp t="e">
        <v>#N/A</v>
        <stp/>
        <stp>BDH|12315377663164793800</stp>
        <tr r="Y96" s="17"/>
      </tp>
      <tp t="e">
        <v>#N/A</v>
        <stp/>
        <stp>BDH|14322048765451658846</stp>
        <tr r="C9" s="22"/>
      </tp>
      <tp t="e">
        <v>#N/A</v>
        <stp/>
        <stp>BDH|15261194067321511893</stp>
        <tr r="V16" s="17"/>
        <tr r="V19" s="28"/>
      </tp>
      <tp t="e">
        <v>#N/A</v>
        <stp/>
        <stp>BDH|17988190497861245556</stp>
        <tr r="Q40" s="24"/>
      </tp>
      <tp t="e">
        <v>#N/A</v>
        <stp/>
        <stp>BDH|11089891892039920229</stp>
        <tr r="P37" s="12"/>
      </tp>
      <tp t="e">
        <v>#N/A</v>
        <stp/>
        <stp>BDH|16109475576399707774</stp>
        <tr r="V56" s="12"/>
      </tp>
      <tp t="e">
        <v>#N/A</v>
        <stp/>
        <stp>BDH|12739589192935930041</stp>
        <tr r="G8" s="27"/>
      </tp>
      <tp t="e">
        <v>#N/A</v>
        <stp/>
        <stp>BDH|11829708229399385620</stp>
        <tr r="K31" s="10"/>
        <tr r="K25" s="11"/>
      </tp>
      <tp t="e">
        <v>#N/A</v>
        <stp/>
        <stp>BDH|13928812300685015586</stp>
        <tr r="H16" s="23"/>
      </tp>
      <tp t="e">
        <v>#N/A</v>
        <stp/>
        <stp>BDH|18275600657011061150</stp>
        <tr r="J53" s="24"/>
      </tp>
      <tp t="e">
        <v>#N/A</v>
        <stp/>
        <stp>BDH|16258885652485174592</stp>
        <tr r="X25" s="3"/>
      </tp>
      <tp t="e">
        <v>#N/A</v>
        <stp/>
        <stp>BDH|12386079395268768865</stp>
        <tr r="R17" s="18"/>
      </tp>
      <tp t="e">
        <v>#N/A</v>
        <stp/>
        <stp>BDH|14550976252960290323</stp>
        <tr r="N141" s="18"/>
      </tp>
      <tp t="e">
        <v>#N/A</v>
        <stp/>
        <stp>BDH|12069613450632909884</stp>
        <tr r="K7" s="23"/>
      </tp>
      <tp t="e">
        <v>#N/A</v>
        <stp/>
        <stp>BDH|15045012565169690129</stp>
        <tr r="K17" s="12"/>
      </tp>
      <tp t="e">
        <v>#N/A</v>
        <stp/>
        <stp>BDH|16219830297215357950</stp>
        <tr r="I55" s="17"/>
      </tp>
      <tp t="e">
        <v>#N/A</v>
        <stp/>
        <stp>BDH|16515752054809398677</stp>
        <tr r="E30" s="24"/>
      </tp>
      <tp t="e">
        <v>#N/A</v>
        <stp/>
        <stp>BDH|13277867454476148315</stp>
        <tr r="G28" s="10"/>
        <tr r="I33" s="13"/>
      </tp>
      <tp t="e">
        <v>#N/A</v>
        <stp/>
        <stp>BDH|18382529352040171323</stp>
        <tr r="P72" s="17"/>
        <tr r="P18" s="3"/>
      </tp>
      <tp t="e">
        <v>#N/A</v>
        <stp/>
        <stp>BDH|18037993894740405393</stp>
        <tr r="F22" s="27"/>
      </tp>
      <tp t="e">
        <v>#N/A</v>
        <stp/>
        <stp>BDH|18015571525355507177</stp>
        <tr r="I9" s="2"/>
        <tr r="K8" s="25"/>
        <tr r="H10" s="5"/>
      </tp>
      <tp t="e">
        <v>#N/A</v>
        <stp/>
        <stp>BDH|12227293206953878864</stp>
        <tr r="Z8" s="23"/>
      </tp>
      <tp t="e">
        <v>#N/A</v>
        <stp/>
        <stp>BDH|18312676802230081556</stp>
        <tr r="C20" s="23"/>
      </tp>
      <tp t="e">
        <v>#N/A</v>
        <stp/>
        <stp>BDH|16690361555359346254</stp>
        <tr r="P46" s="4"/>
        <tr r="P24" s="10"/>
        <tr r="R35" s="13"/>
      </tp>
      <tp t="e">
        <v>#N/A</v>
        <stp/>
        <stp>BDH|18322304429284898616</stp>
        <tr r="X76" s="18"/>
      </tp>
      <tp t="e">
        <v>#N/A</v>
        <stp/>
        <stp>BDH|17822917245436636798</stp>
        <tr r="W90" s="17"/>
      </tp>
      <tp t="e">
        <v>#N/A</v>
        <stp/>
        <stp>BDH|10084418571448783043</stp>
        <tr r="X75" s="17"/>
      </tp>
      <tp t="e">
        <v>#N/A</v>
        <stp/>
        <stp>BDH|18276156896122682946</stp>
        <tr r="C71" s="17"/>
      </tp>
      <tp t="e">
        <v>#N/A</v>
        <stp/>
        <stp>BDH|13691562172719078315</stp>
        <tr r="N59" s="18"/>
      </tp>
      <tp t="e">
        <v>#N/A</v>
        <stp/>
        <stp>BDH|12677834482201169859</stp>
        <tr r="S12" s="13"/>
      </tp>
      <tp t="e">
        <v>#N/A</v>
        <stp/>
        <stp>BDH|13602269272024307927</stp>
        <tr r="I45" s="12"/>
      </tp>
      <tp t="e">
        <v>#N/A</v>
        <stp/>
        <stp>BDH|11502759375669646305</stp>
        <tr r="Q73" s="24"/>
      </tp>
      <tp t="e">
        <v>#N/A</v>
        <stp/>
        <stp>BDH|12485515022906594813</stp>
        <tr r="V20" s="6"/>
      </tp>
      <tp t="e">
        <v>#N/A</v>
        <stp/>
        <stp>BDH|15042569506073368806</stp>
        <tr r="M31" s="25"/>
      </tp>
      <tp t="e">
        <v>#N/A</v>
        <stp/>
        <stp>BDH|15422718880298351950</stp>
        <tr r="K13" s="10"/>
      </tp>
      <tp t="e">
        <v>#N/A</v>
        <stp/>
        <stp>BDH|10231405143599095226</stp>
        <tr r="M11" s="28"/>
      </tp>
      <tp t="e">
        <v>#N/A</v>
        <stp/>
        <stp>BDH|10043808841156780156</stp>
        <tr r="I11" s="14"/>
      </tp>
      <tp t="e">
        <v>#N/A</v>
        <stp/>
        <stp>BDH|14361824575961797101</stp>
        <tr r="M100" s="18"/>
      </tp>
      <tp t="e">
        <v>#N/A</v>
        <stp/>
        <stp>BDH|14262697736633634987</stp>
        <tr r="K91" s="18"/>
      </tp>
      <tp t="e">
        <v>#N/A</v>
        <stp/>
        <stp>BDH|10041285112339112181</stp>
        <tr r="D8" s="21"/>
      </tp>
      <tp t="e">
        <v>#N/A</v>
        <stp/>
        <stp>BDH|12083050166237733878</stp>
        <tr r="X27" s="18"/>
      </tp>
      <tp t="e">
        <v>#N/A</v>
        <stp/>
        <stp>BDH|11472748087547329278</stp>
        <tr r="R77" s="17"/>
      </tp>
      <tp t="e">
        <v>#N/A</v>
        <stp/>
        <stp>BDH|16428011096187016303</stp>
        <tr r="Z51" s="13"/>
      </tp>
      <tp t="e">
        <v>#N/A</v>
        <stp/>
        <stp>BDH|17847697306438458205</stp>
        <tr r="G60" s="12"/>
      </tp>
      <tp t="e">
        <v>#N/A</v>
        <stp/>
        <stp>BDH|11589684788941063564</stp>
        <tr r="Y61" s="24"/>
      </tp>
      <tp t="e">
        <v>#N/A</v>
        <stp/>
        <stp>BDH|13902907532012895009</stp>
        <tr r="Q27" s="10"/>
        <tr r="S32" s="13"/>
      </tp>
      <tp t="e">
        <v>#N/A</v>
        <stp/>
        <stp>BDH|12984820001016973709</stp>
        <tr r="L17" s="11"/>
      </tp>
      <tp t="e">
        <v>#N/A</v>
        <stp/>
        <stp>BDH|10596345983905933583</stp>
        <tr r="F55" s="24"/>
      </tp>
      <tp t="e">
        <v>#N/A</v>
        <stp/>
        <stp>BDH|14213944035703121614</stp>
        <tr r="L54" s="24"/>
      </tp>
      <tp t="e">
        <v>#N/A</v>
        <stp/>
        <stp>BDH|12328814756925153171</stp>
        <tr r="P17" s="12"/>
      </tp>
      <tp t="e">
        <v>#N/A</v>
        <stp/>
        <stp>BDH|10423228719259824151</stp>
        <tr r="J13" s="17"/>
        <tr r="J16" s="28"/>
      </tp>
      <tp t="e">
        <v>#N/A</v>
        <stp/>
        <stp>BDH|15638038562530173843</stp>
        <tr r="W25" s="18"/>
      </tp>
      <tp t="e">
        <v>#N/A</v>
        <stp/>
        <stp>BDH|14520079861228845194</stp>
        <tr r="J31" s="26"/>
      </tp>
      <tp t="e">
        <v>#N/A</v>
        <stp/>
        <stp>BDH|10302606483997576271</stp>
        <tr r="L37" s="21"/>
        <tr r="L24" s="3"/>
      </tp>
      <tp t="e">
        <v>#N/A</v>
        <stp/>
        <stp>BDH|17765740524438182143</stp>
        <tr r="K8" s="21"/>
      </tp>
      <tp t="e">
        <v>#N/A</v>
        <stp/>
        <stp>BDH|15713748298617979700</stp>
        <tr r="X15" s="29"/>
        <tr r="X35" s="29"/>
      </tp>
      <tp t="e">
        <v>#N/A</v>
        <stp/>
        <stp>BDH|18196161404462072013</stp>
        <tr r="O67" s="24"/>
      </tp>
      <tp t="e">
        <v>#N/A</v>
        <stp/>
        <stp>BDH|16296024983164568142</stp>
        <tr r="K25" s="13"/>
      </tp>
      <tp t="e">
        <v>#N/A</v>
        <stp/>
        <stp>BDH|10422417187616480143</stp>
        <tr r="P32" s="6"/>
        <tr r="R6" s="8"/>
      </tp>
      <tp t="e">
        <v>#N/A</v>
        <stp/>
        <stp>BDH|18110984066198538489</stp>
        <tr r="H70" s="10"/>
        <tr r="H64" s="11"/>
      </tp>
      <tp t="e">
        <v>#N/A</v>
        <stp/>
        <stp>BDH|14454210859281828969</stp>
        <tr r="Q100" s="18"/>
      </tp>
      <tp t="e">
        <v>#N/A</v>
        <stp/>
        <stp>BDH|13324271896526772572</stp>
        <tr r="W20" s="30"/>
      </tp>
      <tp t="e">
        <v>#N/A</v>
        <stp/>
        <stp>BDH|10849963101223511187</stp>
        <tr r="Z23" s="13"/>
      </tp>
      <tp t="e">
        <v>#N/A</v>
        <stp/>
        <stp>BDH|10207560850008203342</stp>
        <tr r="V70" s="17"/>
      </tp>
      <tp t="e">
        <v>#N/A</v>
        <stp/>
        <stp>BDH|15793027912028083754</stp>
        <tr r="L109" s="18"/>
        <tr r="J9" s="20"/>
      </tp>
      <tp t="e">
        <v>#N/A</v>
        <stp/>
        <stp>BDH|16623051785295620022</stp>
        <tr r="C120" s="18"/>
      </tp>
      <tp t="e">
        <v>#N/A</v>
        <stp/>
        <stp>BDH|17149860604623160705</stp>
        <tr r="Q18" s="20"/>
      </tp>
      <tp t="e">
        <v>#N/A</v>
        <stp/>
        <stp>BDH|11589189408478176363</stp>
        <tr r="T106" s="18"/>
        <tr r="R6" s="20"/>
      </tp>
      <tp t="e">
        <v>#N/A</v>
        <stp/>
        <stp>BDH|13366863715933543279</stp>
        <tr r="O16" s="29"/>
        <tr r="O36" s="29"/>
      </tp>
      <tp t="e">
        <v>#N/A</v>
        <stp/>
        <stp>BDH|10552891728319778810</stp>
        <tr r="M87" s="17"/>
        <tr r="M20" s="3"/>
        <tr r="K6" s="7"/>
      </tp>
      <tp t="e">
        <v>#N/A</v>
        <stp/>
        <stp>BDH|13661209502879136374</stp>
        <tr r="R74" s="18"/>
      </tp>
      <tp t="e">
        <v>#N/A</v>
        <stp/>
        <stp>BDH|14320570792575219661</stp>
        <tr r="AA59" s="21"/>
        <tr r="Y56" s="11"/>
      </tp>
      <tp t="e">
        <v>#N/A</v>
        <stp/>
        <stp>BDH|16453561923778346201</stp>
        <tr r="O10" s="30"/>
      </tp>
      <tp t="e">
        <v>#N/A</v>
        <stp/>
        <stp>BDH|11794470685703217559</stp>
        <tr r="H23" s="23"/>
      </tp>
      <tp t="e">
        <v>#N/A</v>
        <stp/>
        <stp>BDH|14422205205758720547</stp>
        <tr r="R21" s="17"/>
      </tp>
      <tp t="e">
        <v>#N/A</v>
        <stp/>
        <stp>BDH|15804162439879494516</stp>
        <tr r="H130" s="18"/>
      </tp>
      <tp t="e">
        <v>#N/A</v>
        <stp/>
        <stp>BDH|13474727786193573472</stp>
        <tr r="W50" s="21"/>
      </tp>
      <tp t="e">
        <v>#N/A</v>
        <stp/>
        <stp>BDH|13984951010807029799</stp>
        <tr r="U54" s="17"/>
      </tp>
      <tp t="e">
        <v>#N/A</v>
        <stp/>
        <stp>BDH|12552888758733857785</stp>
        <tr r="AA11" s="12"/>
      </tp>
      <tp t="e">
        <v>#N/A</v>
        <stp/>
        <stp>BDH|13089913544767600265</stp>
        <tr r="Y23" s="23"/>
      </tp>
      <tp t="e">
        <v>#N/A</v>
        <stp/>
        <stp>BDH|17264829017302255700</stp>
        <tr r="V40" s="29"/>
      </tp>
      <tp t="e">
        <v>#N/A</v>
        <stp/>
        <stp>BDH|13171921146352959798</stp>
        <tr r="J16" s="11"/>
      </tp>
      <tp t="e">
        <v>#N/A</v>
        <stp/>
        <stp>BDH|11222767856651430938</stp>
        <tr r="M9" s="26"/>
      </tp>
      <tp t="e">
        <v>#N/A</v>
        <stp/>
        <stp>BDH|18389569600942123412</stp>
        <tr r="P52" s="18"/>
      </tp>
      <tp t="e">
        <v>#N/A</v>
        <stp/>
        <stp>BDH|11310289808339251141</stp>
        <tr r="I72" s="18"/>
      </tp>
      <tp t="e">
        <v>#N/A</v>
        <stp/>
        <stp>BDH|18442623992919260537</stp>
        <tr r="Q16" s="21"/>
      </tp>
      <tp t="e">
        <v>#N/A</v>
        <stp/>
        <stp>BDH|14190705605329144104</stp>
        <tr r="O16" s="26"/>
      </tp>
      <tp t="e">
        <v>#N/A</v>
        <stp/>
        <stp>BDH|10175951075770180556</stp>
        <tr r="R90" s="18"/>
      </tp>
      <tp t="e">
        <v>#N/A</v>
        <stp/>
        <stp>BDH|14047364085801473521</stp>
        <tr r="C15" s="10"/>
      </tp>
      <tp t="e">
        <v>#N/A</v>
        <stp/>
        <stp>BDH|15665478828481458982</stp>
        <tr r="V23" s="23"/>
      </tp>
      <tp t="e">
        <v>#N/A</v>
        <stp/>
        <stp>BDH|16162677182790999382</stp>
        <tr r="I59" s="17"/>
      </tp>
      <tp t="e">
        <v>#N/A</v>
        <stp/>
        <stp>BDH|16742922860580260228</stp>
        <tr r="D34" s="10"/>
        <tr r="D28" s="11"/>
      </tp>
      <tp t="e">
        <v>#N/A</v>
        <stp/>
        <stp>BDH|18202060133457294700</stp>
        <tr r="S16" s="22"/>
      </tp>
      <tp t="e">
        <v>#N/A</v>
        <stp/>
        <stp>BDH|12005010095728530848</stp>
        <tr r="X112" s="18"/>
        <tr r="V13" s="20"/>
      </tp>
      <tp t="e">
        <v>#N/A</v>
        <stp/>
        <stp>BDH|12748360983937393548</stp>
        <tr r="J47" s="21"/>
      </tp>
      <tp t="e">
        <v>#N/A</v>
        <stp/>
        <stp>BDH|16553603082584517771</stp>
        <tr r="T11" s="3"/>
        <tr r="R49" s="10"/>
        <tr r="R43" s="11"/>
        <tr r="R8" s="7"/>
      </tp>
      <tp t="e">
        <v>#N/A</v>
        <stp/>
        <stp>BDH|18175516070795720427</stp>
        <tr r="G67" s="12"/>
      </tp>
      <tp t="e">
        <v>#N/A</v>
        <stp/>
        <stp>BDH|13435343287024713752</stp>
        <tr r="J32" s="21"/>
      </tp>
      <tp t="e">
        <v>#N/A</v>
        <stp/>
        <stp>BDH|16346248997842637435</stp>
        <tr r="C18" s="6"/>
      </tp>
      <tp t="e">
        <v>#N/A</v>
        <stp/>
        <stp>BDH|13442014880146305633</stp>
        <tr r="P45" s="17"/>
        <tr r="P9" s="25"/>
      </tp>
      <tp t="e">
        <v>#N/A</v>
        <stp/>
        <stp>BDH|15753925184407457803</stp>
        <tr r="C8" s="26"/>
      </tp>
      <tp t="e">
        <v>#N/A</v>
        <stp/>
        <stp>BDH|14633024720289728465</stp>
        <tr r="X15" s="11"/>
      </tp>
      <tp t="e">
        <v>#N/A</v>
        <stp/>
        <stp>BDH|18198239744533408677</stp>
        <tr r="R152" s="18"/>
      </tp>
      <tp t="e">
        <v>#N/A</v>
        <stp/>
        <stp>BDH|17479215931109963484</stp>
        <tr r="C13" s="7"/>
      </tp>
      <tp t="e">
        <v>#N/A</v>
        <stp/>
        <stp>BDH|10871413249449745225</stp>
        <tr r="U117" s="18"/>
      </tp>
      <tp t="e">
        <v>#N/A</v>
        <stp/>
        <stp>BDH|14502234940348043134</stp>
        <tr r="R40" s="29"/>
      </tp>
      <tp t="e">
        <v>#N/A</v>
        <stp/>
        <stp>BDH|17000350436608670406</stp>
        <tr r="S21" s="25"/>
        <tr r="S10" s="27"/>
      </tp>
      <tp t="e">
        <v>#N/A</v>
        <stp/>
        <stp>BDH|18037711220613024541</stp>
        <tr r="J17" s="9"/>
      </tp>
      <tp t="e">
        <v>#N/A</v>
        <stp/>
        <stp>BDH|12432217860684750970</stp>
        <tr r="S21" s="10"/>
      </tp>
      <tp t="e">
        <v>#N/A</v>
        <stp/>
        <stp>BDH|16168937412245425017</stp>
        <tr r="I24" s="4"/>
        <tr r="I58" s="11"/>
      </tp>
      <tp t="e">
        <v>#N/A</v>
        <stp/>
        <stp>BDH|15620627956368663516</stp>
        <tr r="H75" s="17"/>
      </tp>
      <tp t="e">
        <v>#N/A</v>
        <stp/>
        <stp>BDH|16880382916179740649</stp>
        <tr r="S13" s="8"/>
      </tp>
      <tp t="e">
        <v>#N/A</v>
        <stp/>
        <stp>BDH|11644862000705263771</stp>
        <tr r="I6" s="28"/>
      </tp>
      <tp t="e">
        <v>#N/A</v>
        <stp/>
        <stp>BDH|16464847214866354229</stp>
        <tr r="T12" s="3"/>
        <tr r="R54" s="10"/>
        <tr r="R48" s="11"/>
        <tr r="R7" s="7"/>
      </tp>
      <tp t="e">
        <v>#N/A</v>
        <stp/>
        <stp>BDH|16398252076691402918</stp>
        <tr r="F28" s="5"/>
      </tp>
      <tp t="e">
        <v>#N/A</v>
        <stp/>
        <stp>BDH|15947582796451649342</stp>
        <tr r="Q129" s="18"/>
      </tp>
      <tp t="e">
        <v>#N/A</v>
        <stp/>
        <stp>BDH|14629152783533747525</stp>
        <tr r="X15" s="25"/>
      </tp>
      <tp t="e">
        <v>#N/A</v>
        <stp/>
        <stp>BDH|15512876368139758987</stp>
        <tr r="O8" s="22"/>
      </tp>
      <tp t="e">
        <v>#N/A</v>
        <stp/>
        <stp>BDH|12436913151122100705</stp>
        <tr r="J154" s="18"/>
      </tp>
      <tp t="e">
        <v>#N/A</v>
        <stp/>
        <stp>BDH|15556312451611447941</stp>
        <tr r="K94" s="18"/>
      </tp>
      <tp t="e">
        <v>#N/A</v>
        <stp/>
        <stp>BDH|11632637620849520744</stp>
        <tr r="Z17" s="12"/>
      </tp>
      <tp t="e">
        <v>#N/A</v>
        <stp/>
        <stp>BDH|11065849267993581727</stp>
        <tr r="L15" s="10"/>
      </tp>
      <tp t="e">
        <v>#N/A</v>
        <stp/>
        <stp>BDH|12241249211949182325</stp>
        <tr r="N51" s="12"/>
      </tp>
      <tp t="e">
        <v>#N/A</v>
        <stp/>
        <stp>BDH|10322228394528430855</stp>
        <tr r="I46" s="18"/>
      </tp>
      <tp t="e">
        <v>#N/A</v>
        <stp/>
        <stp>BDH|17678878017047014226</stp>
        <tr r="Y135" s="18"/>
      </tp>
      <tp t="e">
        <v>#N/A</v>
        <stp/>
        <stp>BDH|17067297318678588707</stp>
        <tr r="N26" s="12"/>
      </tp>
      <tp t="e">
        <v>#N/A</v>
        <stp/>
        <stp>BDH|12231553411569056428</stp>
        <tr r="U8" s="10"/>
      </tp>
      <tp t="e">
        <v>#N/A</v>
        <stp/>
        <stp>BDH|10748518516906786932</stp>
        <tr r="AA12" s="3"/>
        <tr r="Y54" s="10"/>
        <tr r="Y48" s="11"/>
        <tr r="Y7" s="7"/>
      </tp>
      <tp t="e">
        <v>#N/A</v>
        <stp/>
        <stp>BDH|15315187719007517938</stp>
        <tr r="C27" s="22"/>
      </tp>
      <tp t="e">
        <v>#N/A</v>
        <stp/>
        <stp>BDH|12869077767787494880</stp>
        <tr r="M108" s="18"/>
        <tr r="K8" s="20"/>
      </tp>
      <tp t="e">
        <v>#N/A</v>
        <stp/>
        <stp>BDH|16552543869866406880</stp>
        <tr r="H24" s="13"/>
      </tp>
      <tp t="e">
        <v>#N/A</v>
        <stp/>
        <stp>BDH|10449189938250983999</stp>
        <tr r="D39" s="13"/>
      </tp>
      <tp t="e">
        <v>#N/A</v>
        <stp/>
        <stp>BDH|16821694096304282613</stp>
        <tr r="T55" s="18"/>
      </tp>
      <tp t="e">
        <v>#N/A</v>
        <stp/>
        <stp>BDH|18437739234307426035</stp>
        <tr r="C12" s="30"/>
      </tp>
      <tp t="e">
        <v>#N/A</v>
        <stp/>
        <stp>BDH|11488820255906652118</stp>
        <tr r="W61" s="11"/>
        <tr r="Y19" s="23"/>
      </tp>
      <tp t="e">
        <v>#N/A</v>
        <stp/>
        <stp>BDH|17222303387893352420</stp>
        <tr r="M25" s="13"/>
      </tp>
      <tp t="e">
        <v>#N/A</v>
        <stp/>
        <stp>BDH|11380039807473308909</stp>
        <tr r="E73" s="18"/>
      </tp>
      <tp t="e">
        <v>#N/A</v>
        <stp/>
        <stp>BDH|16142050884113004646</stp>
        <tr r="H15" s="5"/>
      </tp>
      <tp t="e">
        <v>#N/A</v>
        <stp/>
        <stp>BDH|15178178027939721427</stp>
        <tr r="V117" s="18"/>
      </tp>
      <tp t="e">
        <v>#N/A</v>
        <stp/>
        <stp>BDH|10399260697916445626</stp>
        <tr r="M125" s="18"/>
      </tp>
      <tp t="e">
        <v>#N/A</v>
        <stp/>
        <stp>BDH|10513675371219230357</stp>
        <tr r="G7" s="24"/>
      </tp>
      <tp t="e">
        <v>#N/A</v>
        <stp/>
        <stp>BDH|12473121295097075670</stp>
        <tr r="Y87" s="18"/>
      </tp>
      <tp t="e">
        <v>#N/A</v>
        <stp/>
        <stp>BDH|18337378611769022819</stp>
        <tr r="J159" s="18"/>
      </tp>
      <tp t="e">
        <v>#N/A</v>
        <stp/>
        <stp>BDH|13665471345329463145</stp>
        <tr r="D26" s="21"/>
      </tp>
      <tp t="e">
        <v>#N/A</v>
        <stp/>
        <stp>BDH|12663965765442516441</stp>
        <tr r="I30" s="24"/>
      </tp>
      <tp t="e">
        <v>#N/A</v>
        <stp/>
        <stp>BDH|10564135010842059928</stp>
        <tr r="E70" s="10"/>
        <tr r="E64" s="11"/>
      </tp>
      <tp t="e">
        <v>#N/A</v>
        <stp/>
        <stp>BDH|12574893469474452353</stp>
        <tr r="M123" s="18"/>
      </tp>
      <tp t="e">
        <v>#N/A</v>
        <stp/>
        <stp>BDH|12929596821326535802</stp>
        <tr r="N12" s="21"/>
      </tp>
      <tp t="e">
        <v>#N/A</v>
        <stp/>
        <stp>BDH|14189909923721061566</stp>
        <tr r="M11" s="9"/>
      </tp>
      <tp t="e">
        <v>#N/A</v>
        <stp/>
        <stp>BDH|12495886371863932502</stp>
        <tr r="Q38" s="24"/>
      </tp>
      <tp t="e">
        <v>#N/A</v>
        <stp/>
        <stp>BDH|13522900445010375573</stp>
        <tr r="W26" s="25"/>
        <tr r="W16" s="27"/>
      </tp>
      <tp t="e">
        <v>#N/A</v>
        <stp/>
        <stp>BDH|11318849055453495420</stp>
        <tr r="F30" s="29"/>
        <tr r="F8" s="29"/>
      </tp>
      <tp t="e">
        <v>#N/A</v>
        <stp/>
        <stp>BDH|16796677672569269549</stp>
        <tr r="T33" s="6"/>
        <tr r="V9" s="8"/>
      </tp>
      <tp t="e">
        <v>#N/A</v>
        <stp/>
        <stp>BDH|16564963093575148850</stp>
        <tr r="E98" s="18"/>
      </tp>
      <tp t="e">
        <v>#N/A</v>
        <stp/>
        <stp>BDH|13623787202637826805</stp>
        <tr r="H36" s="34"/>
      </tp>
      <tp t="e">
        <v>#N/A</v>
        <stp/>
        <stp>BDH|11481153126200578955</stp>
        <tr r="O17" s="12"/>
      </tp>
      <tp t="e">
        <v>#N/A</v>
        <stp/>
        <stp>BDH|14855983476639189801</stp>
        <tr r="W12" s="24"/>
      </tp>
      <tp t="e">
        <v>#N/A</v>
        <stp/>
        <stp>BDH|15553915540550149328</stp>
        <tr r="U20" s="10"/>
      </tp>
      <tp t="e">
        <v>#N/A</v>
        <stp/>
        <stp>BDH|16033048446920232978</stp>
        <tr r="O74" s="18"/>
      </tp>
      <tp t="e">
        <v>#N/A</v>
        <stp/>
        <stp>BDH|12792975215553286208</stp>
        <tr r="P18" s="2"/>
        <tr r="P53" s="4"/>
        <tr r="P45" s="10"/>
        <tr r="P39" s="11"/>
        <tr r="R46" s="13"/>
      </tp>
      <tp t="e">
        <v>#N/A</v>
        <stp/>
        <stp>BDH|18020152175651665418</stp>
        <tr r="V141" s="18"/>
      </tp>
      <tp t="e">
        <v>#N/A</v>
        <stp/>
        <stp>BDH|17799874452624757521</stp>
        <tr r="X18" s="13"/>
      </tp>
      <tp t="e">
        <v>#N/A</v>
        <stp/>
        <stp>BDH|10115919237326355730</stp>
        <tr r="M43" s="13"/>
      </tp>
      <tp t="e">
        <v>#N/A</v>
        <stp/>
        <stp>BDH|13955359827029479086</stp>
        <tr r="W8" s="4"/>
      </tp>
      <tp t="e">
        <v>#N/A</v>
        <stp/>
        <stp>BDH|17767222505926544825</stp>
        <tr r="P16" s="10"/>
      </tp>
      <tp t="e">
        <v>#N/A</v>
        <stp/>
        <stp>BDH|14777452497750781256</stp>
        <tr r="Y18" s="12"/>
      </tp>
      <tp t="e">
        <v>#N/A</v>
        <stp/>
        <stp>BDH|11303269588866841629</stp>
        <tr r="H53" s="13"/>
      </tp>
      <tp t="e">
        <v>#N/A</v>
        <stp/>
        <stp>BDH|12245370243269377722</stp>
        <tr r="I36" s="18"/>
      </tp>
      <tp t="e">
        <v>#N/A</v>
        <stp/>
        <stp>BDH|12754879347487596253</stp>
        <tr r="Y30" s="24"/>
      </tp>
      <tp t="e">
        <v>#N/A</v>
        <stp/>
        <stp>BDH|18066283028681266257</stp>
        <tr r="P127" s="18"/>
      </tp>
      <tp t="e">
        <v>#N/A</v>
        <stp/>
        <stp>BDH|14574883097677464996</stp>
        <tr r="H141" s="18"/>
      </tp>
      <tp t="e">
        <v>#N/A</v>
        <stp/>
        <stp>BDH|17920265107386918867</stp>
        <tr r="M73" s="24"/>
      </tp>
      <tp t="e">
        <v>#N/A</v>
        <stp/>
        <stp>BDH|15045047226049002552</stp>
        <tr r="Y83" s="18"/>
      </tp>
      <tp t="e">
        <v>#N/A</v>
        <stp/>
        <stp>BDH|15394219000058268476</stp>
        <tr r="K70" s="12"/>
      </tp>
      <tp t="e">
        <v>#N/A</v>
        <stp/>
        <stp>BDH|18252870450247545973</stp>
        <tr r="U9" s="18"/>
      </tp>
      <tp t="e">
        <v>#N/A</v>
        <stp/>
        <stp>BDH|17181767244446681923</stp>
        <tr r="N65" s="18"/>
      </tp>
      <tp t="e">
        <v>#N/A</v>
        <stp/>
        <stp>BDH|11971637190092519781</stp>
        <tr r="H63" s="21"/>
      </tp>
      <tp t="e">
        <v>#N/A</v>
        <stp/>
        <stp>BDH|12193515856918678172</stp>
        <tr r="N23" s="22"/>
      </tp>
      <tp t="e">
        <v>#N/A</v>
        <stp/>
        <stp>BDH|10274001627530316915</stp>
        <tr r="F16" s="29"/>
        <tr r="F36" s="29"/>
      </tp>
      <tp t="e">
        <v>#N/A</v>
        <stp/>
        <stp>BDH|12663057345245250830</stp>
        <tr r="I22" s="9"/>
      </tp>
      <tp t="e">
        <v>#N/A</v>
        <stp/>
        <stp>BDH|11644725472483013911</stp>
        <tr r="C77" s="17"/>
      </tp>
      <tp t="e">
        <v>#N/A</v>
        <stp/>
        <stp>BDH|14823328218999038455</stp>
        <tr r="V11" s="17"/>
      </tp>
      <tp t="e">
        <v>#N/A</v>
        <stp/>
        <stp>BDH|17877295891415170265</stp>
        <tr r="M137" s="18"/>
      </tp>
      <tp t="e">
        <v>#N/A</v>
        <stp/>
        <stp>BDH|18112379073431582670</stp>
        <tr r="L27" s="21"/>
      </tp>
      <tp t="e">
        <v>#N/A</v>
        <stp/>
        <stp>BDH|10382840276337538323</stp>
        <tr r="Y67" s="24"/>
      </tp>
      <tp t="e">
        <v>#N/A</v>
        <stp/>
        <stp>BDH|16042857108895248094</stp>
        <tr r="P59" s="17"/>
      </tp>
      <tp t="e">
        <v>#N/A</v>
        <stp/>
        <stp>BDH|10652959529792594298</stp>
        <tr r="L28" s="24"/>
      </tp>
      <tp t="e">
        <v>#N/A</v>
        <stp/>
        <stp>BDH|15848981717115184305</stp>
        <tr r="M20" s="29"/>
      </tp>
      <tp t="e">
        <v>#N/A</v>
        <stp/>
        <stp>BDH|17549767967404285906</stp>
        <tr r="N20" s="17"/>
      </tp>
      <tp t="e">
        <v>#N/A</v>
        <stp/>
        <stp>BDH|17367070605824307847</stp>
        <tr r="K31" s="17"/>
      </tp>
      <tp t="e">
        <v>#N/A</v>
        <stp/>
        <stp>BDH|16368120894415531068</stp>
        <tr r="W51" s="18"/>
      </tp>
      <tp t="e">
        <v>#N/A</v>
        <stp/>
        <stp>BDH|16869038794241956506</stp>
        <tr r="D94" s="17"/>
      </tp>
      <tp t="e">
        <v>#N/A</v>
        <stp/>
        <stp>BDH|17610152499454414088</stp>
        <tr r="Q35" s="22"/>
      </tp>
      <tp t="e">
        <v>#N/A</v>
        <stp/>
        <stp>BDH|10076293399824159475</stp>
        <tr r="Q7" s="28"/>
      </tp>
      <tp t="e">
        <v>#N/A</v>
        <stp/>
        <stp>BDH|10851357019551421869</stp>
        <tr r="E115" s="18"/>
      </tp>
      <tp t="e">
        <v>#N/A</v>
        <stp/>
        <stp>BDH|15151194586814960313</stp>
        <tr r="C23" s="24"/>
      </tp>
      <tp t="e">
        <v>#N/A</v>
        <stp/>
        <stp>BDH|12620138485350555030</stp>
        <tr r="V78" s="18"/>
      </tp>
      <tp t="e">
        <v>#N/A</v>
        <stp/>
        <stp>BDH|14216901000397599116</stp>
        <tr r="Y42" s="21"/>
      </tp>
      <tp t="e">
        <v>#N/A</v>
        <stp/>
        <stp>BDH|16886482925912441974</stp>
        <tr r="D87" s="17"/>
        <tr r="D20" s="3"/>
      </tp>
      <tp t="e">
        <v>#N/A</v>
        <stp/>
        <stp>BDH|10817995720239748901</stp>
        <tr r="F7" s="6"/>
      </tp>
      <tp t="e">
        <v>#N/A</v>
        <stp/>
        <stp>BDH|10216006296470605240</stp>
        <tr r="G9" s="13"/>
      </tp>
      <tp t="e">
        <v>#N/A</v>
        <stp/>
        <stp>BDH|12300970523286994489</stp>
        <tr r="J31" s="18"/>
      </tp>
      <tp t="e">
        <v>#N/A</v>
        <stp/>
        <stp>BDH|14155197129439300544</stp>
        <tr r="C77" s="12"/>
      </tp>
      <tp t="e">
        <v>#N/A</v>
        <stp/>
        <stp>BDH|14477004694277669107</stp>
        <tr r="M22" s="17"/>
      </tp>
      <tp t="e">
        <v>#N/A</v>
        <stp/>
        <stp>BDH|18271127522555336576</stp>
        <tr r="T13" s="7"/>
      </tp>
      <tp t="e">
        <v>#N/A</v>
        <stp/>
        <stp>BDH|10546317062468271620</stp>
        <tr r="AA58" s="18"/>
      </tp>
      <tp t="e">
        <v>#N/A</v>
        <stp/>
        <stp>BDH|17526345723644494908</stp>
        <tr r="F18" s="20"/>
      </tp>
      <tp t="e">
        <v>#N/A</v>
        <stp/>
        <stp>BDH|12021421176243571971</stp>
        <tr r="L13" s="9"/>
      </tp>
      <tp t="e">
        <v>#N/A</v>
        <stp/>
        <stp>BDH|14444107497544291378</stp>
        <tr r="N13" s="12"/>
      </tp>
      <tp t="e">
        <v>#N/A</v>
        <stp/>
        <stp>BDH|11595254237659551249</stp>
        <tr r="O41" s="21"/>
      </tp>
      <tp t="e">
        <v>#N/A</v>
        <stp/>
        <stp>BDH|16139457360577354812</stp>
        <tr r="M28" s="17"/>
      </tp>
      <tp t="e">
        <v>#N/A</v>
        <stp/>
        <stp>BDH|14729914171141379025</stp>
        <tr r="N30" s="18"/>
      </tp>
      <tp t="e">
        <v>#N/A</v>
        <stp/>
        <stp>BDH|15280556686920570325</stp>
        <tr r="H28" s="5"/>
      </tp>
      <tp t="e">
        <v>#N/A</v>
        <stp/>
        <stp>BDH|12556019384996644705</stp>
        <tr r="Q25" s="10"/>
      </tp>
      <tp t="e">
        <v>#N/A</v>
        <stp/>
        <stp>BDH|14306417343377758805</stp>
        <tr r="AA31" s="21"/>
      </tp>
      <tp t="e">
        <v>#N/A</v>
        <stp/>
        <stp>BDH|18261565561120370001</stp>
        <tr r="L32" s="12"/>
      </tp>
      <tp t="e">
        <v>#N/A</v>
        <stp/>
        <stp>BDH|11119046673698955590</stp>
        <tr r="F43" s="21"/>
      </tp>
      <tp t="e">
        <v>#N/A</v>
        <stp/>
        <stp>BDH|17562885753635582426</stp>
        <tr r="Z101" s="18"/>
      </tp>
      <tp t="e">
        <v>#N/A</v>
        <stp/>
        <stp>BDH|10091049154969157786</stp>
        <tr r="G21" s="27"/>
      </tp>
      <tp t="e">
        <v>#N/A</v>
        <stp/>
        <stp>BDH|14110993578572141389</stp>
        <tr r="X78" s="17"/>
      </tp>
      <tp t="e">
        <v>#N/A</v>
        <stp/>
        <stp>BDH|13638028786704361483</stp>
        <tr r="H69" s="12"/>
      </tp>
      <tp t="e">
        <v>#N/A</v>
        <stp/>
        <stp>BDH|12799425281024541181</stp>
        <tr r="K26" s="18"/>
      </tp>
      <tp t="e">
        <v>#N/A</v>
        <stp/>
        <stp>BDH|14202808704717930065</stp>
        <tr r="J165" s="18"/>
      </tp>
      <tp t="e">
        <v>#N/A</v>
        <stp/>
        <stp>BDH|13459536519205301949</stp>
        <tr r="U103" s="18"/>
      </tp>
      <tp t="e">
        <v>#N/A</v>
        <stp/>
        <stp>BDH|11581705908518413501</stp>
        <tr r="AA44" s="21"/>
      </tp>
      <tp t="e">
        <v>#N/A</v>
        <stp/>
        <stp>BDH|18260159966904997011</stp>
        <tr r="Q70" s="24"/>
      </tp>
      <tp t="e">
        <v>#N/A</v>
        <stp/>
        <stp>BDH|14522347150328187190</stp>
        <tr r="Q10" s="13"/>
      </tp>
      <tp t="e">
        <v>#N/A</v>
        <stp/>
        <stp>BDH|12407396892796748518</stp>
        <tr r="N18" s="23"/>
      </tp>
      <tp t="e">
        <v>#N/A</v>
        <stp/>
        <stp>BDH|13480716211086540887</stp>
        <tr r="E24" s="12"/>
      </tp>
      <tp t="e">
        <v>#N/A</v>
        <stp/>
        <stp>BDH|14880836081097763844</stp>
        <tr r="N69" s="10"/>
        <tr r="N63" s="11"/>
        <tr r="N20" s="7"/>
      </tp>
      <tp t="e">
        <v>#N/A</v>
        <stp/>
        <stp>BDH|12201992274804146372</stp>
        <tr r="J112" s="18"/>
        <tr r="H13" s="20"/>
      </tp>
      <tp t="e">
        <v>#N/A</v>
        <stp/>
        <stp>BDH|11120482399083816412</stp>
        <tr r="Q155" s="18"/>
      </tp>
      <tp t="e">
        <v>#N/A</v>
        <stp/>
        <stp>BDH|16336325985606802053</stp>
        <tr r="H42" s="24"/>
      </tp>
      <tp t="e">
        <v>#N/A</v>
        <stp/>
        <stp>BDH|15549887076362657346</stp>
        <tr r="T17" s="17"/>
        <tr r="T20" s="28"/>
      </tp>
      <tp t="e">
        <v>#N/A</v>
        <stp/>
        <stp>BDH|14458194056899098222</stp>
        <tr r="E28" s="25"/>
        <tr r="E18" s="27"/>
      </tp>
      <tp t="e">
        <v>#N/A</v>
        <stp/>
        <stp>BDH|12532888836593778158</stp>
        <tr r="S25" s="17"/>
      </tp>
      <tp t="e">
        <v>#N/A</v>
        <stp/>
        <stp>BDH|10342442205748899738</stp>
        <tr r="G123" s="18"/>
      </tp>
      <tp t="e">
        <v>#N/A</v>
        <stp/>
        <stp>BDH|11880925369673831628</stp>
        <tr r="W12" s="20"/>
      </tp>
      <tp t="e">
        <v>#N/A</v>
        <stp/>
        <stp>BDH|11195836411482981135</stp>
        <tr r="W64" s="18"/>
      </tp>
      <tp t="e">
        <v>#N/A</v>
        <stp/>
        <stp>BDH|17232942618675490138</stp>
        <tr r="E12" s="10"/>
      </tp>
      <tp t="e">
        <v>#N/A</v>
        <stp/>
        <stp>BDH|16940358407929379717</stp>
        <tr r="C136" s="18"/>
      </tp>
      <tp t="e">
        <v>#N/A</v>
        <stp/>
        <stp>BDH|12795632592977850173</stp>
        <tr r="M12" s="24"/>
      </tp>
      <tp t="e">
        <v>#N/A</v>
        <stp/>
        <stp>BDH|12908674531188504431</stp>
        <tr r="E31" s="17"/>
      </tp>
      <tp t="e">
        <v>#N/A</v>
        <stp/>
        <stp>BDH|15825359705235625860</stp>
        <tr r="T56" s="12"/>
      </tp>
      <tp t="e">
        <v>#N/A</v>
        <stp/>
        <stp>BDH|11998933606840209368</stp>
        <tr r="M13" s="2"/>
      </tp>
      <tp t="e">
        <v>#N/A</v>
        <stp/>
        <stp>BDH|16690098392392382663</stp>
        <tr r="Y54" s="17"/>
      </tp>
      <tp t="e">
        <v>#N/A</v>
        <stp/>
        <stp>BDH|16345624723109903038</stp>
        <tr r="G71" s="12"/>
      </tp>
      <tp t="e">
        <v>#N/A</v>
        <stp/>
        <stp>BDH|16502370588353422568</stp>
        <tr r="E35" s="26"/>
      </tp>
      <tp t="e">
        <v>#N/A</v>
        <stp/>
        <stp>BDH|12038926168295493366</stp>
        <tr r="H20" s="24"/>
      </tp>
      <tp t="e">
        <v>#N/A</v>
        <stp/>
        <stp>BDH|13817300466684599936</stp>
        <tr r="D25" s="10"/>
      </tp>
      <tp t="e">
        <v>#N/A</v>
        <stp/>
        <stp>BDH|13509299196533621043</stp>
        <tr r="N84" s="18"/>
      </tp>
      <tp t="e">
        <v>#N/A</v>
        <stp/>
        <stp>BDH|14215055014948268697</stp>
        <tr r="W20" s="23"/>
      </tp>
      <tp t="e">
        <v>#N/A</v>
        <stp/>
        <stp>BDH|17428940403883201696</stp>
        <tr r="S11" s="17"/>
      </tp>
      <tp t="e">
        <v>#N/A</v>
        <stp/>
        <stp>BDH|16838439946754115940</stp>
        <tr r="R39" s="24"/>
      </tp>
      <tp t="e">
        <v>#N/A</v>
        <stp/>
        <stp>BDH|14607710443059445588</stp>
        <tr r="J133" s="18"/>
      </tp>
      <tp t="e">
        <v>#N/A</v>
        <stp/>
        <stp>BDH|17885625455206062975</stp>
        <tr r="L19" s="25"/>
        <tr r="J21" s="11"/>
      </tp>
      <tp t="e">
        <v>#N/A</v>
        <stp/>
        <stp>BDH|17024310328839546442</stp>
        <tr r="Z42" s="21"/>
      </tp>
      <tp t="e">
        <v>#N/A</v>
        <stp/>
        <stp>BDH|11492763498904619041</stp>
        <tr r="K28" s="4"/>
      </tp>
      <tp t="e">
        <v>#N/A</v>
        <stp/>
        <stp>BDH|13093909284288437182</stp>
        <tr r="J48" s="17"/>
      </tp>
      <tp t="e">
        <v>#N/A</v>
        <stp/>
        <stp>BDH|12412771845159906372</stp>
        <tr r="W40" s="24"/>
      </tp>
      <tp t="e">
        <v>#N/A</v>
        <stp/>
        <stp>BDH|11262696645751024966</stp>
        <tr r="C45" s="24"/>
      </tp>
      <tp t="e">
        <v>#N/A</v>
        <stp/>
        <stp>BDH|10364382174076355942</stp>
        <tr r="K66" s="18"/>
      </tp>
      <tp t="e">
        <v>#N/A</v>
        <stp/>
        <stp>BDH|16058889842947259602</stp>
        <tr r="J65" s="18"/>
      </tp>
      <tp t="e">
        <v>#N/A</v>
        <stp/>
        <stp>BDH|18162165285498237286</stp>
        <tr r="N120" s="18"/>
      </tp>
      <tp t="e">
        <v>#N/A</v>
        <stp/>
        <stp>BDH|16820447003610448935</stp>
        <tr r="Y15" s="29"/>
        <tr r="Y35" s="29"/>
      </tp>
      <tp t="e">
        <v>#N/A</v>
        <stp/>
        <stp>BDH|14817564181515469731</stp>
        <tr r="M14" s="14"/>
      </tp>
      <tp t="e">
        <v>#N/A</v>
        <stp/>
        <stp>BDH|18075074643240950753</stp>
        <tr r="G87" s="18"/>
      </tp>
      <tp t="e">
        <v>#N/A</v>
        <stp/>
        <stp>BDH|10495327328028116278</stp>
        <tr r="O8" s="8"/>
      </tp>
      <tp t="e">
        <v>#N/A</v>
        <stp/>
        <stp>BDH|10839203981072739365</stp>
        <tr r="Y93" s="18"/>
      </tp>
      <tp t="e">
        <v>#N/A</v>
        <stp/>
        <stp>BDH|16425295097230044624</stp>
        <tr r="Y31" s="17"/>
      </tp>
      <tp t="e">
        <v>#N/A</v>
        <stp/>
        <stp>BDH|17576400980425460591</stp>
        <tr r="T16" s="23"/>
      </tp>
      <tp t="e">
        <v>#N/A</v>
        <stp/>
        <stp>BDH|15314467938040055957</stp>
        <tr r="E18" s="5"/>
        <tr r="E30" s="6"/>
      </tp>
      <tp t="e">
        <v>#N/A</v>
        <stp/>
        <stp>BDH|11894356019391917966</stp>
        <tr r="N110" s="18"/>
        <tr r="L11" s="20"/>
      </tp>
      <tp t="e">
        <v>#N/A</v>
        <stp/>
        <stp>BDH|17004019128816285802</stp>
        <tr r="D28" s="22"/>
      </tp>
      <tp t="e">
        <v>#N/A</v>
        <stp/>
        <stp>BDH|18102617759022646248</stp>
        <tr r="R61" s="12"/>
      </tp>
      <tp t="e">
        <v>#N/A</v>
        <stp/>
        <stp>BDH|12347447877689875339</stp>
        <tr r="Q14" s="14"/>
      </tp>
      <tp t="e">
        <v>#N/A</v>
        <stp/>
        <stp>BDH|12589479727278889761</stp>
        <tr r="U7" s="10"/>
      </tp>
      <tp t="e">
        <v>#N/A</v>
        <stp/>
        <stp>BDH|17989183489822193723</stp>
        <tr r="K89" s="18"/>
      </tp>
      <tp t="e">
        <v>#N/A</v>
        <stp/>
        <stp>BDH|15295613553009857437</stp>
        <tr r="K39" s="12"/>
      </tp>
      <tp t="e">
        <v>#N/A</v>
        <stp/>
        <stp>BDH|17937157365338090321</stp>
        <tr r="C81" s="17"/>
      </tp>
      <tp t="e">
        <v>#N/A</v>
        <stp/>
        <stp>BDH|12351906603296895635</stp>
        <tr r="J41" s="13"/>
      </tp>
      <tp t="e">
        <v>#N/A</v>
        <stp/>
        <stp>BDH|16002835877482989064</stp>
        <tr r="X17" s="5"/>
        <tr r="X24" s="6"/>
      </tp>
      <tp t="e">
        <v>#N/A</v>
        <stp/>
        <stp>BDH|12731479273588067285</stp>
        <tr r="E63" s="10"/>
      </tp>
      <tp t="e">
        <v>#N/A</v>
        <stp/>
        <stp>BDH|12179419798345643155</stp>
        <tr r="F28" s="18"/>
      </tp>
      <tp t="e">
        <v>#N/A</v>
        <stp/>
        <stp>BDH|11758397812389783105</stp>
        <tr r="P74" s="18"/>
      </tp>
      <tp t="e">
        <v>#N/A</v>
        <stp/>
        <stp>BDH|13042813447636496294</stp>
        <tr r="U48" s="12"/>
      </tp>
      <tp t="e">
        <v>#N/A</v>
        <stp/>
        <stp>BDH|15271081394436645135</stp>
        <tr r="P75" s="18"/>
      </tp>
      <tp t="e">
        <v>#N/A</v>
        <stp/>
        <stp>BDH|15284790376956133871</stp>
        <tr r="G17" s="4"/>
        <tr r="I10" s="3"/>
        <tr r="G55" s="10"/>
        <tr r="G49" s="11"/>
        <tr r="G17" s="7"/>
        <tr r="I49" s="13"/>
      </tp>
      <tp t="e">
        <v>#N/A</v>
        <stp/>
        <stp>BDH|17323547654939876508</stp>
        <tr r="U17" s="12"/>
      </tp>
      <tp t="e">
        <v>#N/A</v>
        <stp/>
        <stp>BDH|11245688135026698924</stp>
        <tr r="X23" s="20"/>
      </tp>
      <tp t="e">
        <v>#N/A</v>
        <stp/>
        <stp>BDH|13152263950499437680</stp>
        <tr r="T67" s="12"/>
      </tp>
      <tp t="e">
        <v>#N/A</v>
        <stp/>
        <stp>BDH|12792766095216640198</stp>
        <tr r="Z11" s="18"/>
      </tp>
      <tp t="e">
        <v>#N/A</v>
        <stp/>
        <stp>BDH|16865964244740960082</stp>
        <tr r="M26" s="34"/>
      </tp>
      <tp t="e">
        <v>#N/A</v>
        <stp/>
        <stp>BDH|16922171695236649365</stp>
        <tr r="P29" s="4"/>
      </tp>
      <tp t="e">
        <v>#N/A</v>
        <stp/>
        <stp>BDH|15274607128202012813</stp>
        <tr r="Z36" s="12"/>
      </tp>
      <tp t="e">
        <v>#N/A</v>
        <stp/>
        <stp>BDH|18394770069007595530</stp>
        <tr r="S28" s="4"/>
      </tp>
      <tp t="e">
        <v>#N/A</v>
        <stp/>
        <stp>BDH|13555804775481213693</stp>
        <tr r="P26" s="10"/>
        <tr r="R31" s="13"/>
      </tp>
      <tp t="e">
        <v>#N/A</v>
        <stp/>
        <stp>BDH|14588717075327922839</stp>
        <tr r="E9" s="2"/>
        <tr r="G8" s="25"/>
        <tr r="D10" s="5"/>
      </tp>
      <tp t="e">
        <v>#N/A</v>
        <stp/>
        <stp>BDH|16585990006521633579</stp>
        <tr r="R60" s="12"/>
      </tp>
      <tp t="e">
        <v>#N/A</v>
        <stp/>
        <stp>BDH|11281619030379970612</stp>
        <tr r="H35" s="22"/>
      </tp>
      <tp t="e">
        <v>#N/A</v>
        <stp/>
        <stp>BDH|11800851015737515461</stp>
        <tr r="S30" s="26"/>
      </tp>
      <tp t="e">
        <v>#N/A</v>
        <stp/>
        <stp>BDH|13469931616547247783</stp>
        <tr r="O29" s="21"/>
      </tp>
      <tp t="e">
        <v>#N/A</v>
        <stp/>
        <stp>BDH|18332102739393850292</stp>
        <tr r="H22" s="24"/>
      </tp>
      <tp t="e">
        <v>#N/A</v>
        <stp/>
        <stp>BDH|16948820647104714501</stp>
        <tr r="C10" s="26"/>
      </tp>
      <tp t="e">
        <v>#N/A</v>
        <stp/>
        <stp>BDH|10332284780431723075</stp>
        <tr r="W8" s="23"/>
      </tp>
      <tp t="e">
        <v>#N/A</v>
        <stp/>
        <stp>BDH|14215742197035202487</stp>
        <tr r="E37" s="24"/>
      </tp>
      <tp t="e">
        <v>#N/A</v>
        <stp/>
        <stp>BDH|16202820844792867375</stp>
        <tr r="V25" s="24"/>
      </tp>
      <tp t="e">
        <v>#N/A</v>
        <stp/>
        <stp>BDH|12227327320230256896</stp>
        <tr r="O46" s="4"/>
        <tr r="O24" s="10"/>
        <tr r="Q35" s="13"/>
      </tp>
      <tp t="e">
        <v>#N/A</v>
        <stp/>
        <stp>BDH|14194180377181134850</stp>
        <tr r="K89" s="17"/>
      </tp>
      <tp t="e">
        <v>#N/A</v>
        <stp/>
        <stp>BDH|15198182077308277065</stp>
        <tr r="Q7" s="10"/>
      </tp>
      <tp t="e">
        <v>#N/A</v>
        <stp/>
        <stp>BDH|18249361232984903756</stp>
        <tr r="E31" s="21"/>
      </tp>
      <tp t="e">
        <v>#N/A</v>
        <stp/>
        <stp>BDH|16662536645678351499</stp>
        <tr r="T110" s="18"/>
        <tr r="R11" s="20"/>
      </tp>
      <tp t="e">
        <v>#N/A</v>
        <stp/>
        <stp>BDH|14274806609707579048</stp>
        <tr r="Q167" s="18"/>
      </tp>
      <tp t="e">
        <v>#N/A</v>
        <stp/>
        <stp>BDH|11948981174666888272</stp>
        <tr r="Y32" s="10"/>
        <tr r="Y26" s="11"/>
      </tp>
      <tp t="e">
        <v>#N/A</v>
        <stp/>
        <stp>BDH|14137814052807157593</stp>
        <tr r="J15" s="22"/>
      </tp>
      <tp t="e">
        <v>#N/A</v>
        <stp/>
        <stp>BDH|17002529950238975413</stp>
        <tr r="J31" s="24"/>
      </tp>
      <tp t="e">
        <v>#N/A</v>
        <stp/>
        <stp>BDH|15414749933008145282</stp>
        <tr r="F44" s="17"/>
      </tp>
      <tp t="e">
        <v>#N/A</v>
        <stp/>
        <stp>BDH|10962977121915078551</stp>
        <tr r="H30" s="18"/>
      </tp>
      <tp t="e">
        <v>#N/A</v>
        <stp/>
        <stp>BDH|13099801907793423393</stp>
        <tr r="I20" s="24"/>
      </tp>
      <tp t="e">
        <v>#N/A</v>
        <stp/>
        <stp>BDH|14083395360783132924</stp>
        <tr r="D20" s="2"/>
        <tr r="D18" s="4"/>
        <tr r="D57" s="10"/>
        <tr r="D51" s="11"/>
        <tr r="D19" s="7"/>
        <tr r="F57" s="13"/>
      </tp>
      <tp t="e">
        <v>#N/A</v>
        <stp/>
        <stp>BDH|13081662228868700431</stp>
        <tr r="W21" s="12"/>
      </tp>
      <tp t="e">
        <v>#N/A</v>
        <stp/>
        <stp>BDH|17207537420988958328</stp>
        <tr r="R44" s="24"/>
      </tp>
      <tp t="e">
        <v>#N/A</v>
        <stp/>
        <stp>BDH|18143033728167512655</stp>
        <tr r="M19" s="24"/>
      </tp>
      <tp t="e">
        <v>#N/A</v>
        <stp/>
        <stp>BDH|13422436123218600684</stp>
        <tr r="V33" s="26"/>
      </tp>
      <tp t="e">
        <v>#N/A</v>
        <stp/>
        <stp>BDH|14071851670484967464</stp>
        <tr r="K54" s="18"/>
      </tp>
      <tp t="e">
        <v>#N/A</v>
        <stp/>
        <stp>BDH|12643620548373532834</stp>
        <tr r="J29" s="12"/>
      </tp>
      <tp t="e">
        <v>#N/A</v>
        <stp/>
        <stp>BDH|16203576283261411182</stp>
        <tr r="N11" s="18"/>
      </tp>
      <tp t="e">
        <v>#N/A</v>
        <stp/>
        <stp>BDH|10886419510477206912</stp>
        <tr r="P148" s="18"/>
      </tp>
      <tp t="e">
        <v>#N/A</v>
        <stp/>
        <stp>BDH|10277596881050007605</stp>
        <tr r="T13" s="9"/>
      </tp>
      <tp t="e">
        <v>#N/A</v>
        <stp/>
        <stp>BDH|16848415005119014065</stp>
        <tr r="H27" s="21"/>
      </tp>
      <tp t="e">
        <v>#N/A</v>
        <stp/>
        <stp>BDH|11398723091854255083</stp>
        <tr r="H43" s="13"/>
      </tp>
      <tp t="e">
        <v>#N/A</v>
        <stp/>
        <stp>BDH|18048052351583663581</stp>
        <tr r="N22" s="22"/>
      </tp>
      <tp t="e">
        <v>#N/A</v>
        <stp/>
        <stp>BDH|13433193712191423969</stp>
        <tr r="AA22" s="24"/>
      </tp>
      <tp t="e">
        <v>#N/A</v>
        <stp/>
        <stp>BDH|10918599253333733892</stp>
        <tr r="F59" s="17"/>
      </tp>
      <tp t="e">
        <v>#N/A</v>
        <stp/>
        <stp>BDH|10187653380104107180</stp>
        <tr r="Q91" s="18"/>
      </tp>
      <tp t="e">
        <v>#N/A</v>
        <stp/>
        <stp>BDH|17795832102322254694</stp>
        <tr r="O61" s="12"/>
      </tp>
      <tp t="e">
        <v>#N/A</v>
        <stp/>
        <stp>BDH|11871221995210757159</stp>
        <tr r="V98" s="17"/>
        <tr r="V13" s="28"/>
      </tp>
      <tp t="e">
        <v>#N/A</v>
        <stp/>
        <stp>BDH|13656050515831268893</stp>
        <tr r="J12" s="18"/>
      </tp>
      <tp t="e">
        <v>#N/A</v>
        <stp/>
        <stp>BDH|18346315887160064888</stp>
        <tr r="Y22" s="20"/>
      </tp>
      <tp t="e">
        <v>#N/A</v>
        <stp/>
        <stp>BDH|17898050124587562914</stp>
        <tr r="Q8" s="12"/>
      </tp>
      <tp t="e">
        <v>#N/A</v>
        <stp/>
        <stp>BDH|14545638028728318307</stp>
        <tr r="Y89" s="17"/>
      </tp>
      <tp t="e">
        <v>#N/A</v>
        <stp/>
        <stp>BDH|12181293006102506967</stp>
        <tr r="AA21" s="25"/>
        <tr r="AA10" s="27"/>
      </tp>
      <tp t="e">
        <v>#N/A</v>
        <stp/>
        <stp>BDH|16599140956330213986</stp>
        <tr r="S78" s="12"/>
      </tp>
      <tp t="e">
        <v>#N/A</v>
        <stp/>
        <stp>BDH|15735601789811728144</stp>
        <tr r="J40" s="29"/>
      </tp>
      <tp t="e">
        <v>#N/A</v>
        <stp/>
        <stp>BDH|11361866558120057708</stp>
        <tr r="H15" s="26"/>
      </tp>
      <tp t="e">
        <v>#N/A</v>
        <stp/>
        <stp>BDH|16267184738807672891</stp>
        <tr r="J59" s="24"/>
      </tp>
      <tp t="e">
        <v>#N/A</v>
        <stp/>
        <stp>BDH|10412389020129694373</stp>
        <tr r="W26" s="21"/>
      </tp>
      <tp t="e">
        <v>#N/A</v>
        <stp/>
        <stp>BDH|13877444683157203301</stp>
        <tr r="Z15" s="26"/>
      </tp>
      <tp t="e">
        <v>#N/A</v>
        <stp/>
        <stp>BDH|16021956899335059811</stp>
        <tr r="E124" s="18"/>
      </tp>
      <tp t="e">
        <v>#N/A</v>
        <stp/>
        <stp>BDH|17954506669488467793</stp>
        <tr r="V70" s="10"/>
        <tr r="V64" s="11"/>
      </tp>
      <tp t="e">
        <v>#N/A</v>
        <stp/>
        <stp>BDH|11935244464857558918</stp>
        <tr r="N64" s="24"/>
      </tp>
      <tp t="e">
        <v>#N/A</v>
        <stp/>
        <stp>BDH|18253577058220469344</stp>
        <tr r="H56" s="18"/>
      </tp>
      <tp t="e">
        <v>#N/A</v>
        <stp/>
        <stp>BDH|17323870709813084703</stp>
        <tr r="S71" s="17"/>
      </tp>
      <tp t="e">
        <v>#N/A</v>
        <stp/>
        <stp>BDH|18419355491059405094</stp>
        <tr r="C74" s="17"/>
      </tp>
      <tp t="e">
        <v>#N/A</v>
        <stp/>
        <stp>BDH|17734452707748920014</stp>
        <tr r="S72" s="17"/>
        <tr r="S18" s="3"/>
      </tp>
      <tp t="e">
        <v>#N/A</v>
        <stp/>
        <stp>BDH|18204012037407178786</stp>
        <tr r="V14" s="8"/>
      </tp>
      <tp t="e">
        <v>#N/A</v>
        <stp/>
        <stp>BDH|14451237772088021285</stp>
        <tr r="D22" s="26"/>
      </tp>
      <tp t="e">
        <v>#N/A</v>
        <stp/>
        <stp>BDH|16914513783784344454</stp>
        <tr r="F35" s="18"/>
      </tp>
      <tp t="e">
        <v>#N/A</v>
        <stp/>
        <stp>BDH|12064403690033819751</stp>
        <tr r="Q161" s="18"/>
      </tp>
      <tp t="e">
        <v>#N/A</v>
        <stp/>
        <stp>BDH|10407853589352114944</stp>
        <tr r="T87" s="17"/>
        <tr r="T20" s="3"/>
        <tr r="R6" s="7"/>
      </tp>
      <tp t="e">
        <v>#N/A</v>
        <stp/>
        <stp>BDH|11824934667485173001</stp>
        <tr r="U22" s="18"/>
      </tp>
      <tp t="e">
        <v>#N/A</v>
        <stp/>
        <stp>BDH|14856160091625022225</stp>
        <tr r="J81" s="17"/>
        <tr r="G9" s="5"/>
        <tr r="G9" s="9"/>
      </tp>
      <tp t="e">
        <v>#N/A</v>
        <stp/>
        <stp>BDH|18343782716514184100</stp>
        <tr r="O48" s="17"/>
      </tp>
      <tp t="e">
        <v>#N/A</v>
        <stp/>
        <stp>BDH|14796264535848861609</stp>
        <tr r="G15" s="22"/>
      </tp>
      <tp t="e">
        <v>#N/A</v>
        <stp/>
        <stp>BDH|13892333582020237373</stp>
        <tr r="G11" s="28"/>
      </tp>
      <tp t="e">
        <v>#N/A</v>
        <stp/>
        <stp>BDH|13040982169886821155</stp>
        <tr r="C13" s="2"/>
      </tp>
      <tp t="e">
        <v>#N/A</v>
        <stp/>
        <stp>BDH|16697637291206825407</stp>
        <tr r="O50" s="24"/>
      </tp>
      <tp t="e">
        <v>#N/A</v>
        <stp/>
        <stp>BDH|17149468797658518993</stp>
        <tr r="T70" s="12"/>
      </tp>
      <tp t="e">
        <v>#N/A</v>
        <stp/>
        <stp>BDH|14044017910209496797</stp>
        <tr r="D104" s="18"/>
      </tp>
      <tp t="e">
        <v>#N/A</v>
        <stp/>
        <stp>BDH|15129427592886446597</stp>
        <tr r="Y21" s="21"/>
      </tp>
      <tp t="e">
        <v>#N/A</v>
        <stp/>
        <stp>BDH|11177337956515806908</stp>
        <tr r="Y26" s="12"/>
      </tp>
      <tp t="e">
        <v>#N/A</v>
        <stp/>
        <stp>BDH|13281856679115253207</stp>
        <tr r="S10" s="2"/>
        <tr r="R11" s="5"/>
        <tr r="R36" s="6"/>
        <tr r="U31" s="29"/>
        <tr r="U39" s="29"/>
      </tp>
      <tp t="e">
        <v>#N/A</v>
        <stp/>
        <stp>BDH|14807462451257647958</stp>
        <tr r="T111" s="18"/>
        <tr r="R12" s="20"/>
      </tp>
      <tp t="e">
        <v>#N/A</v>
        <stp/>
        <stp>BDH|17896931208002725786</stp>
        <tr r="H48" s="17"/>
      </tp>
      <tp t="e">
        <v>#N/A</v>
        <stp/>
        <stp>BDH|12437199287294281443</stp>
        <tr r="C6" s="2"/>
        <tr r="D12" s="8"/>
        <tr r="E10" s="29"/>
        <tr r="E19" s="29"/>
        <tr r="E25" s="29"/>
      </tp>
      <tp t="e">
        <v>#N/A</v>
        <stp/>
        <stp>BDH|18164309605647186793</stp>
        <tr r="I10" s="17"/>
      </tp>
      <tp t="e">
        <v>#N/A</v>
        <stp/>
        <stp>BDH|17698823664402970058</stp>
        <tr r="D23" s="17"/>
        <tr r="D15" s="3"/>
      </tp>
      <tp t="e">
        <v>#N/A</v>
        <stp/>
        <stp>BDH|13339784440213067872</stp>
        <tr r="AA8" s="28"/>
      </tp>
      <tp t="e">
        <v>#N/A</v>
        <stp/>
        <stp>BDH|14568300744721846954</stp>
        <tr r="O23" s="2"/>
        <tr r="Q18" s="21"/>
        <tr r="Q23" s="3"/>
      </tp>
      <tp t="e">
        <v>#N/A</v>
        <stp/>
        <stp>BDH|16737063981990485581</stp>
        <tr r="Q39" s="12"/>
      </tp>
      <tp t="e">
        <v>#N/A</v>
        <stp/>
        <stp>BDH|14516471101863865879</stp>
        <tr r="T29" s="12"/>
      </tp>
      <tp t="e">
        <v>#N/A</v>
        <stp/>
        <stp>BDH|11742830987139869375</stp>
        <tr r="I77" s="17"/>
      </tp>
      <tp t="e">
        <v>#N/A</v>
        <stp/>
        <stp>BDH|15152629888900559026</stp>
        <tr r="P60" s="24"/>
      </tp>
      <tp t="e">
        <v>#N/A</v>
        <stp/>
        <stp>BDH|11548030194755659683</stp>
        <tr r="V8" s="8"/>
      </tp>
      <tp t="e">
        <v>#N/A</v>
        <stp/>
        <stp>BDH|18037963628269464161</stp>
        <tr r="E38" s="24"/>
      </tp>
      <tp t="e">
        <v>#N/A</v>
        <stp/>
        <stp>BDH|10358549792043015499</stp>
        <tr r="R44" s="18"/>
      </tp>
      <tp t="e">
        <v>#N/A</v>
        <stp/>
        <stp>BDH|12050872295919839169</stp>
        <tr r="E24" s="17"/>
      </tp>
      <tp t="e">
        <v>#N/A</v>
        <stp/>
        <stp>BDH|14212190905997453969</stp>
        <tr r="K163" s="18"/>
      </tp>
      <tp t="e">
        <v>#N/A</v>
        <stp/>
        <stp>BDH|10501685423767916888</stp>
        <tr r="F26" s="22"/>
      </tp>
      <tp t="e">
        <v>#N/A</v>
        <stp/>
        <stp>BDH|13330852586071990963</stp>
        <tr r="J21" s="3"/>
      </tp>
      <tp t="e">
        <v>#N/A</v>
        <stp/>
        <stp>BDH|16889822211602153650</stp>
        <tr r="Y10" s="22"/>
      </tp>
      <tp t="e">
        <v>#N/A</v>
        <stp/>
        <stp>BDH|13945766605896056957</stp>
        <tr r="G8" s="22"/>
      </tp>
      <tp t="e">
        <v>#N/A</v>
        <stp/>
        <stp>BDH|14137671888943054211</stp>
        <tr r="X44" s="21"/>
      </tp>
      <tp t="e">
        <v>#N/A</v>
        <stp/>
        <stp>BDH|10113885492272018848</stp>
        <tr r="N9" s="27"/>
      </tp>
      <tp t="e">
        <v>#N/A</v>
        <stp/>
        <stp>BDH|16895126155879608068</stp>
        <tr r="O34" s="18"/>
      </tp>
      <tp t="e">
        <v>#N/A</v>
        <stp/>
        <stp>BDH|14662986471144589557</stp>
        <tr r="D26" s="25"/>
        <tr r="D16" s="27"/>
      </tp>
      <tp t="e">
        <v>#N/A</v>
        <stp/>
        <stp>BDH|15192832433276960371</stp>
        <tr r="T22" s="27"/>
      </tp>
      <tp t="e">
        <v>#N/A</v>
        <stp/>
        <stp>BDH|14468502694820861377</stp>
        <tr r="M21" s="26"/>
      </tp>
      <tp t="e">
        <v>#N/A</v>
        <stp/>
        <stp>BDH|14604824214301830778</stp>
        <tr r="X74" s="17"/>
      </tp>
      <tp t="e">
        <v>#N/A</v>
        <stp/>
        <stp>BDH|17503891216571204478</stp>
        <tr r="I45" s="21"/>
      </tp>
      <tp t="e">
        <v>#N/A</v>
        <stp/>
        <stp>BDH|11739848671911497499</stp>
        <tr r="Q9" s="22"/>
      </tp>
      <tp t="e">
        <v>#N/A</v>
        <stp/>
        <stp>BDH|11054246569746178832</stp>
        <tr r="U17" s="18"/>
      </tp>
      <tp t="e">
        <v>#N/A</v>
        <stp/>
        <stp>BDH|14056947009586317016</stp>
        <tr r="G53" s="24"/>
      </tp>
      <tp t="e">
        <v>#N/A</v>
        <stp/>
        <stp>BDH|10177675768898441359</stp>
        <tr r="O15" s="13"/>
      </tp>
      <tp t="e">
        <v>#N/A</v>
        <stp/>
        <stp>BDH|17271210756599907235</stp>
        <tr r="P73" s="10"/>
        <tr r="P67" s="11"/>
      </tp>
      <tp t="e">
        <v>#N/A</v>
        <stp/>
        <stp>BDH|12366861458702171630</stp>
        <tr r="U17" s="23"/>
      </tp>
      <tp t="e">
        <v>#N/A</v>
        <stp/>
        <stp>BDH|14560428778034786870</stp>
        <tr r="J29" s="17"/>
      </tp>
      <tp t="e">
        <v>#N/A</v>
        <stp/>
        <stp>BDH|15056581612089530302</stp>
        <tr r="V7" s="21"/>
      </tp>
      <tp t="e">
        <v>#N/A</v>
        <stp/>
        <stp>BDH|11210356782122231380</stp>
        <tr r="Q111" s="18"/>
        <tr r="O12" s="20"/>
      </tp>
      <tp t="e">
        <v>#N/A</v>
        <stp/>
        <stp>BDH|16024607984261978224</stp>
        <tr r="M26" s="24"/>
      </tp>
      <tp t="e">
        <v>#N/A</v>
        <stp/>
        <stp>BDH|16313610241787884855</stp>
        <tr r="O34" s="34"/>
      </tp>
      <tp t="e">
        <v>#N/A</v>
        <stp/>
        <stp>BDH|13554769507708845724</stp>
        <tr r="D22" s="4"/>
      </tp>
      <tp t="e">
        <v>#N/A</v>
        <stp/>
        <stp>BDH|17318162978773461979</stp>
        <tr r="D20" s="10"/>
      </tp>
      <tp t="e">
        <v>#N/A</v>
        <stp/>
        <stp>BDH|10451648926847888807</stp>
        <tr r="C17" s="21"/>
      </tp>
      <tp t="e">
        <v>#N/A</v>
        <stp/>
        <stp>BDH|10633003848868519753</stp>
        <tr r="Q63" s="17"/>
      </tp>
      <tp t="e">
        <v>#N/A</v>
        <stp/>
        <stp>BDH|11298800777610369580</stp>
        <tr r="D125" s="18"/>
      </tp>
      <tp t="e">
        <v>#N/A</v>
        <stp/>
        <stp>BDH|11273478636508943546</stp>
        <tr r="P34" s="18"/>
      </tp>
      <tp t="e">
        <v>#N/A</v>
        <stp/>
        <stp>BDH|13156389146078751761</stp>
        <tr r="X34" s="6"/>
        <tr r="Z10" s="8"/>
      </tp>
      <tp t="e">
        <v>#N/A</v>
        <stp/>
        <stp>BDH|15886804214491067620</stp>
        <tr r="T9" s="23"/>
      </tp>
      <tp t="e">
        <v>#N/A</v>
        <stp/>
        <stp>BDH|16355891151697149748</stp>
        <tr r="N50" s="17"/>
      </tp>
      <tp t="e">
        <v>#N/A</v>
        <stp/>
        <stp>BDH|14074181123714652839</stp>
        <tr r="E45" s="24"/>
      </tp>
      <tp t="e">
        <v>#N/A</v>
        <stp/>
        <stp>BDH|13474587759190854838</stp>
        <tr r="K8" s="12"/>
      </tp>
      <tp t="e">
        <v>#N/A</v>
        <stp/>
        <stp>BDH|15886533937321618945</stp>
        <tr r="E29" s="9"/>
      </tp>
      <tp t="e">
        <v>#N/A</v>
        <stp/>
        <stp>BDH|13770390040306258923</stp>
        <tr r="Q25" s="12"/>
      </tp>
      <tp t="e">
        <v>#N/A</v>
        <stp/>
        <stp>BDH|15383790670028531619</stp>
        <tr r="M135" s="18"/>
      </tp>
      <tp t="e">
        <v>#N/A</v>
        <stp/>
        <stp>BDH|10377691186526755356</stp>
        <tr r="I46" s="10"/>
        <tr r="I40" s="11"/>
      </tp>
      <tp t="e">
        <v>#N/A</v>
        <stp/>
        <stp>BDH|16554777409612074854</stp>
        <tr r="T62" s="11"/>
      </tp>
      <tp t="e">
        <v>#N/A</v>
        <stp/>
        <stp>BDH|15632235169122227802</stp>
        <tr r="Y13" s="13"/>
      </tp>
      <tp t="e">
        <v>#N/A</v>
        <stp/>
        <stp>BDH|13636217688196636470</stp>
        <tr r="E28" s="10"/>
        <tr r="G33" s="13"/>
      </tp>
      <tp t="e">
        <v>#N/A</v>
        <stp/>
        <stp>BDH|15817816154921790241</stp>
        <tr r="X55" s="18"/>
      </tp>
      <tp t="e">
        <v>#N/A</v>
        <stp/>
        <stp>BDH|12958481265462376992</stp>
        <tr r="U57" s="11"/>
      </tp>
      <tp t="e">
        <v>#N/A</v>
        <stp/>
        <stp>BDH|16261485742925473828</stp>
        <tr r="G10" s="24"/>
      </tp>
      <tp t="e">
        <v>#N/A</v>
        <stp/>
        <stp>BDH|12746860752555444190</stp>
        <tr r="L60" s="17"/>
      </tp>
      <tp t="e">
        <v>#N/A</v>
        <stp/>
        <stp>BDH|18419695772386524440</stp>
        <tr r="W18" s="17"/>
      </tp>
      <tp t="e">
        <v>#N/A</v>
        <stp/>
        <stp>BDH|13511471383611737581</stp>
        <tr r="W24" s="22"/>
      </tp>
      <tp t="e">
        <v>#N/A</v>
        <stp/>
        <stp>BDH|17466891868363349184</stp>
        <tr r="M75" s="18"/>
      </tp>
      <tp t="e">
        <v>#N/A</v>
        <stp/>
        <stp>BDH|16191995728994999187</stp>
        <tr r="J14" s="21"/>
      </tp>
      <tp t="e">
        <v>#N/A</v>
        <stp/>
        <stp>BDH|11217368461449028545</stp>
        <tr r="Z21" s="27"/>
      </tp>
      <tp t="e">
        <v>#N/A</v>
        <stp/>
        <stp>BDH|15468523744004287817</stp>
        <tr r="P51" s="24"/>
      </tp>
      <tp t="e">
        <v>#N/A</v>
        <stp/>
        <stp>BDH|11433875783670782962</stp>
        <tr r="Y70" s="17"/>
      </tp>
      <tp t="e">
        <v>#N/A</v>
        <stp/>
        <stp>BDH|12861359782920845168</stp>
        <tr r="K21" s="24"/>
      </tp>
      <tp t="e">
        <v>#N/A</v>
        <stp/>
        <stp>BDH|13077102362164155828</stp>
        <tr r="O10" s="34"/>
      </tp>
      <tp t="e">
        <v>#N/A</v>
        <stp/>
        <stp>BDH|15274459303731662836</stp>
        <tr r="AA16" s="26"/>
      </tp>
      <tp t="e">
        <v>#N/A</v>
        <stp/>
        <stp>BDH|14018468907499809184</stp>
        <tr r="Z22" s="21"/>
      </tp>
      <tp t="e">
        <v>#N/A</v>
        <stp/>
        <stp>BDH|17397631120568211335</stp>
        <tr r="AA58" s="21"/>
        <tr r="AA33" s="25"/>
        <tr r="Y31" s="4"/>
        <tr r="Y55" s="11"/>
      </tp>
      <tp t="e">
        <v>#N/A</v>
        <stp/>
        <stp>BDH|15604879472441234307</stp>
        <tr r="I14" s="25"/>
      </tp>
      <tp t="e">
        <v>#N/A</v>
        <stp/>
        <stp>BDH|13285373530923331878</stp>
        <tr r="D9" s="22"/>
      </tp>
      <tp t="e">
        <v>#N/A</v>
        <stp/>
        <stp>BDH|10593704941209765221</stp>
        <tr r="G26" s="10"/>
        <tr r="I31" s="13"/>
      </tp>
      <tp t="e">
        <v>#N/A</v>
        <stp/>
        <stp>BDH|14148510292127120728</stp>
        <tr r="H18" s="23"/>
      </tp>
      <tp t="e">
        <v>#N/A</v>
        <stp/>
        <stp>BDH|11158903848870086489</stp>
        <tr r="G16" s="17"/>
        <tr r="G19" s="28"/>
      </tp>
      <tp t="e">
        <v>#N/A</v>
        <stp/>
        <stp>BDH|13236338561678048617</stp>
        <tr r="F133" s="18"/>
      </tp>
      <tp t="e">
        <v>#N/A</v>
        <stp/>
        <stp>BDH|16363834920071891596</stp>
        <tr r="X157" s="18"/>
      </tp>
      <tp t="e">
        <v>#N/A</v>
        <stp/>
        <stp>BDH|11566825530866751413</stp>
        <tr r="W67" s="17"/>
      </tp>
      <tp t="e">
        <v>#N/A</v>
        <stp/>
        <stp>BDH|14604079425026219874</stp>
        <tr r="M14" s="13"/>
      </tp>
      <tp t="e">
        <v>#N/A</v>
        <stp/>
        <stp>BDH|15726433787811456060</stp>
        <tr r="W149" s="18"/>
      </tp>
      <tp t="e">
        <v>#N/A</v>
        <stp/>
        <stp>BDH|13924237798524179424</stp>
        <tr r="N24" s="22"/>
      </tp>
      <tp t="e">
        <v>#N/A</v>
        <stp/>
        <stp>BDH|17031623916339000150</stp>
        <tr r="I63" s="12"/>
      </tp>
      <tp t="e">
        <v>#N/A</v>
        <stp/>
        <stp>BDH|12467922524229637856</stp>
        <tr r="S59" s="12"/>
      </tp>
      <tp t="e">
        <v>#N/A</v>
        <stp/>
        <stp>BDH|13278527286691361743</stp>
        <tr r="U64" s="21"/>
      </tp>
      <tp t="e">
        <v>#N/A</v>
        <stp/>
        <stp>BDH|14715865614283339676</stp>
        <tr r="H31" s="21"/>
      </tp>
      <tp t="e">
        <v>#N/A</v>
        <stp/>
        <stp>BDH|13936666982072924755</stp>
        <tr r="R40" s="17"/>
      </tp>
      <tp t="e">
        <v>#N/A</v>
        <stp/>
        <stp>BDH|12542862967235162143</stp>
        <tr r="O65" s="12"/>
      </tp>
      <tp t="e">
        <v>#N/A</v>
        <stp/>
        <stp>BDH|17351825627772355743</stp>
        <tr r="D21" s="5"/>
      </tp>
      <tp t="e">
        <v>#N/A</v>
        <stp/>
        <stp>BDH|11151794192452823536</stp>
        <tr r="F24" s="29"/>
      </tp>
      <tp t="e">
        <v>#N/A</v>
        <stp/>
        <stp>BDH|18083738060146004720</stp>
        <tr r="Q20" s="23"/>
      </tp>
      <tp t="e">
        <v>#N/A</v>
        <stp/>
        <stp>BDH|17342133893642235502</stp>
        <tr r="L9" s="22"/>
      </tp>
      <tp t="e">
        <v>#N/A</v>
        <stp/>
        <stp>BDH|12716444797334565300</stp>
        <tr r="S27" s="22"/>
      </tp>
      <tp t="e">
        <v>#N/A</v>
        <stp/>
        <stp>BDH|10520704900319749631</stp>
        <tr r="S54" s="12"/>
      </tp>
      <tp t="e">
        <v>#N/A</v>
        <stp/>
        <stp>BDH|16184676516919971087</stp>
        <tr r="H40" s="34"/>
      </tp>
      <tp t="e">
        <v>#N/A</v>
        <stp/>
        <stp>BDH|15124199385841843540</stp>
        <tr r="I94" s="17"/>
      </tp>
      <tp t="e">
        <v>#N/A</v>
        <stp/>
        <stp>BDH|18328545791635106964</stp>
        <tr r="R65" s="24"/>
      </tp>
      <tp t="e">
        <v>#N/A</v>
        <stp/>
        <stp>BDH|11660060392470309006</stp>
        <tr r="E101" s="18"/>
      </tp>
      <tp t="e">
        <v>#N/A</v>
        <stp/>
        <stp>BDH|13446674642570386939</stp>
        <tr r="S62" s="12"/>
      </tp>
      <tp t="e">
        <v>#N/A</v>
        <stp/>
        <stp>BDH|13746227196629176929</stp>
        <tr r="E46" s="4"/>
        <tr r="E24" s="10"/>
        <tr r="G35" s="13"/>
      </tp>
      <tp t="e">
        <v>#N/A</v>
        <stp/>
        <stp>BDH|12692530716667751941</stp>
        <tr r="R71" s="18"/>
      </tp>
      <tp t="e">
        <v>#N/A</v>
        <stp/>
        <stp>BDH|17407844655556093452</stp>
        <tr r="J55" s="18"/>
      </tp>
      <tp t="e">
        <v>#N/A</v>
        <stp/>
        <stp>BDH|15195341368670927846</stp>
        <tr r="I37" s="34"/>
      </tp>
      <tp t="e">
        <v>#N/A</v>
        <stp/>
        <stp>BDH|18263007313408373928</stp>
        <tr r="G17" s="22"/>
      </tp>
      <tp t="e">
        <v>#N/A</v>
        <stp/>
        <stp>BDH|17214366510519639429</stp>
        <tr r="P13" s="11"/>
      </tp>
      <tp t="e">
        <v>#N/A</v>
        <stp/>
        <stp>BDH|14943990749960909105</stp>
        <tr r="X8" s="23"/>
      </tp>
      <tp t="e">
        <v>#N/A</v>
        <stp/>
        <stp>BDH|16761814954797187435</stp>
        <tr r="U15" s="21"/>
      </tp>
      <tp t="e">
        <v>#N/A</v>
        <stp/>
        <stp>BDH|15796378894614406308</stp>
        <tr r="G33" s="26"/>
      </tp>
      <tp t="e">
        <v>#N/A</v>
        <stp/>
        <stp>BDH|13445308205918720068</stp>
        <tr r="X63" s="17"/>
      </tp>
      <tp t="e">
        <v>#N/A</v>
        <stp/>
        <stp>BDH|11915184482660554069</stp>
        <tr r="G79" s="18"/>
      </tp>
      <tp t="e">
        <v>#N/A</v>
        <stp/>
        <stp>BDH|14034457671709165659</stp>
        <tr r="I56" s="17"/>
        <tr r="I17" s="3"/>
      </tp>
      <tp t="e">
        <v>#N/A</v>
        <stp/>
        <stp>BDH|14175140395952323630</stp>
        <tr r="L39" s="6"/>
      </tp>
      <tp t="e">
        <v>#N/A</v>
        <stp/>
        <stp>BDH|18083929392123749377</stp>
        <tr r="R47" s="24"/>
      </tp>
      <tp t="e">
        <v>#N/A</v>
        <stp/>
        <stp>BDH|16033985162509827822</stp>
        <tr r="X102" s="18"/>
      </tp>
      <tp t="e">
        <v>#N/A</v>
        <stp/>
        <stp>BDH|17271383688463665745</stp>
        <tr r="H25" s="13"/>
      </tp>
      <tp t="e">
        <v>#N/A</v>
        <stp/>
        <stp>BDH|14199485288583620378</stp>
        <tr r="K30" s="21"/>
      </tp>
      <tp t="e">
        <v>#N/A</v>
        <stp/>
        <stp>BDH|15717805113492250667</stp>
        <tr r="E13" s="29"/>
        <tr r="E22" s="29"/>
        <tr r="E33" s="29"/>
      </tp>
      <tp t="e">
        <v>#N/A</v>
        <stp/>
        <stp>BDH|18037438403900169416</stp>
        <tr r="K20" s="18"/>
      </tp>
      <tp t="e">
        <v>#N/A</v>
        <stp/>
        <stp>BDH|14635042689462978623</stp>
        <tr r="Z43" s="17"/>
      </tp>
      <tp t="e">
        <v>#N/A</v>
        <stp/>
        <stp>BDH|16949143682675956265</stp>
        <tr r="N67" s="12"/>
      </tp>
      <tp t="e">
        <v>#N/A</v>
        <stp/>
        <stp>BDH|15379756017303430850</stp>
        <tr r="D17" s="4"/>
        <tr r="F10" s="3"/>
        <tr r="D55" s="10"/>
        <tr r="D49" s="11"/>
        <tr r="D17" s="7"/>
        <tr r="F49" s="13"/>
      </tp>
      <tp t="e">
        <v>#N/A</v>
        <stp/>
        <stp>BDH|12554304785009296829</stp>
        <tr r="H24" s="21"/>
      </tp>
      <tp t="e">
        <v>#N/A</v>
        <stp/>
        <stp>BDH|14507376755369723306</stp>
        <tr r="W14" s="6"/>
      </tp>
      <tp t="e">
        <v>#N/A</v>
        <stp/>
        <stp>BDH|13688868072086661247</stp>
        <tr r="H7" s="6"/>
      </tp>
      <tp t="e">
        <v>#N/A</v>
        <stp/>
        <stp>BDH|13587274988829807823</stp>
        <tr r="U36" s="24"/>
      </tp>
      <tp t="e">
        <v>#N/A</v>
        <stp/>
        <stp>BDH|14850952805070035583</stp>
        <tr r="J15" s="17"/>
        <tr r="J18" s="28"/>
      </tp>
      <tp t="e">
        <v>#N/A</v>
        <stp/>
        <stp>BDH|14880996377000492220</stp>
        <tr r="L53" s="17"/>
      </tp>
      <tp t="e">
        <v>#N/A</v>
        <stp/>
        <stp>BDH|13746062679529075581</stp>
        <tr r="AA63" s="18"/>
      </tp>
      <tp t="e">
        <v>#N/A</v>
        <stp/>
        <stp>BDH|14795930310302667629</stp>
        <tr r="M9" s="10"/>
      </tp>
      <tp t="e">
        <v>#N/A</v>
        <stp/>
        <stp>BDH|15291576294990357127</stp>
        <tr r="U9" s="2"/>
        <tr r="W8" s="25"/>
        <tr r="T10" s="5"/>
      </tp>
      <tp t="e">
        <v>#N/A</v>
        <stp/>
        <stp>BDH|10061522815135201951</stp>
        <tr r="M131" s="18"/>
      </tp>
      <tp t="e">
        <v>#N/A</v>
        <stp/>
        <stp>BDH|13215785714239933471</stp>
        <tr r="L12" s="10"/>
      </tp>
      <tp t="e">
        <v>#N/A</v>
        <stp/>
        <stp>BDH|10879048532018478393</stp>
        <tr r="D19" s="14"/>
      </tp>
      <tp t="e">
        <v>#N/A</v>
        <stp/>
        <stp>BDH|15556248388151960631</stp>
        <tr r="R136" s="18"/>
      </tp>
      <tp t="e">
        <v>#N/A</v>
        <stp/>
        <stp>BDH|16498286390122614795</stp>
        <tr r="Y46" s="21"/>
      </tp>
      <tp t="e">
        <v>#N/A</v>
        <stp/>
        <stp>BDH|11619696715336889816</stp>
        <tr r="F24" s="18"/>
      </tp>
      <tp t="e">
        <v>#N/A</v>
        <stp/>
        <stp>BDH|12369891914990970340</stp>
        <tr r="W33" s="17"/>
      </tp>
      <tp t="e">
        <v>#N/A</v>
        <stp/>
        <stp>BDH|12914698117474558911</stp>
        <tr r="P65" s="21"/>
        <tr r="N23" s="7"/>
      </tp>
      <tp t="e">
        <v>#N/A</v>
        <stp/>
        <stp>BDH|10848956912574962458</stp>
        <tr r="F14" s="8"/>
      </tp>
      <tp t="e">
        <v>#N/A</v>
        <stp/>
        <stp>BDH|18102005911740536169</stp>
        <tr r="F10" s="11"/>
      </tp>
      <tp t="e">
        <v>#N/A</v>
        <stp/>
        <stp>BDH|16895793142218472547</stp>
        <tr r="K77" s="12"/>
      </tp>
      <tp t="e">
        <v>#N/A</v>
        <stp/>
        <stp>BDH|11473096276857859903</stp>
        <tr r="M8" s="24"/>
      </tp>
      <tp t="e">
        <v>#N/A</v>
        <stp/>
        <stp>BDH|15180462850569683528</stp>
        <tr r="P84" s="18"/>
      </tp>
      <tp t="e">
        <v>#N/A</v>
        <stp/>
        <stp>BDH|18401659462812269229</stp>
        <tr r="N42" s="4"/>
      </tp>
      <tp t="e">
        <v>#N/A</v>
        <stp/>
        <stp>BDH|17793490774605973906</stp>
        <tr r="L10" s="30"/>
      </tp>
      <tp t="e">
        <v>#N/A</v>
        <stp/>
        <stp>BDH|15492457082634310537</stp>
        <tr r="Z48" s="17"/>
      </tp>
      <tp t="e">
        <v>#N/A</v>
        <stp/>
        <stp>BDH|13857780020067589960</stp>
        <tr r="W10" s="22"/>
      </tp>
      <tp t="e">
        <v>#N/A</v>
        <stp/>
        <stp>BDH|12590285679808280751</stp>
        <tr r="S12" s="11"/>
      </tp>
      <tp t="e">
        <v>#N/A</v>
        <stp/>
        <stp>BDH|11101110820898451270</stp>
        <tr r="C20" s="17"/>
      </tp>
      <tp t="e">
        <v>#N/A</v>
        <stp/>
        <stp>BDH|10636534892127380372</stp>
        <tr r="T21" s="2"/>
      </tp>
      <tp t="e">
        <v>#N/A</v>
        <stp/>
        <stp>BDH|12978293014240199963</stp>
        <tr r="S11" s="3"/>
        <tr r="Q49" s="10"/>
        <tr r="Q43" s="11"/>
        <tr r="Q8" s="7"/>
      </tp>
      <tp t="e">
        <v>#N/A</v>
        <stp/>
        <stp>BDH|16842654313209591087</stp>
        <tr r="U14" s="11"/>
      </tp>
      <tp t="e">
        <v>#N/A</v>
        <stp/>
        <stp>BDH|15173157066082577844</stp>
        <tr r="S41" s="22"/>
      </tp>
      <tp t="e">
        <v>#N/A</v>
        <stp/>
        <stp>BDH|11239541290434561103</stp>
        <tr r="I33" s="12"/>
      </tp>
      <tp t="e">
        <v>#N/A</v>
        <stp/>
        <stp>BDH|14788159663599054222</stp>
        <tr r="S11" s="21"/>
      </tp>
      <tp t="e">
        <v>#N/A</v>
        <stp/>
        <stp>BDH|15915584174396554932</stp>
        <tr r="H7" s="2"/>
        <tr r="G7" s="5"/>
        <tr r="G7" s="9"/>
        <tr r="J14" s="3"/>
      </tp>
      <tp t="e">
        <v>#N/A</v>
        <stp/>
        <stp>BDH|14929617755048850761</stp>
        <tr r="Z16" s="21"/>
      </tp>
      <tp t="e">
        <v>#N/A</v>
        <stp/>
        <stp>BDH|12850326205971933858</stp>
        <tr r="I61" s="18"/>
      </tp>
      <tp t="e">
        <v>#N/A</v>
        <stp/>
        <stp>BDH|13852610691585348184</stp>
        <tr r="D31" s="18"/>
      </tp>
      <tp t="e">
        <v>#N/A</v>
        <stp/>
        <stp>BDH|12042471725129162505</stp>
        <tr r="R116" s="18"/>
      </tp>
      <tp t="e">
        <v>#N/A</v>
        <stp/>
        <stp>BDH|14315023150399279001</stp>
        <tr r="W8" s="10"/>
      </tp>
      <tp t="e">
        <v>#N/A</v>
        <stp/>
        <stp>BDH|16673234706445116910</stp>
        <tr r="M34" s="25"/>
      </tp>
      <tp t="e">
        <v>#N/A</v>
        <stp/>
        <stp>BDH|16427216635367739841</stp>
        <tr r="T20" s="17"/>
      </tp>
      <tp t="e">
        <v>#N/A</v>
        <stp/>
        <stp>BDH|18049784818722150427</stp>
        <tr r="P38" s="6"/>
      </tp>
      <tp t="e">
        <v>#N/A</v>
        <stp/>
        <stp>BDH|12344668712294741921</stp>
        <tr r="N23" s="2"/>
        <tr r="P18" s="21"/>
        <tr r="P23" s="3"/>
      </tp>
      <tp t="e">
        <v>#N/A</v>
        <stp/>
        <stp>BDH|15897256892994941249</stp>
        <tr r="L11" s="29"/>
      </tp>
      <tp t="e">
        <v>#N/A</v>
        <stp/>
        <stp>BDH|13097779564859211332</stp>
        <tr r="X97" s="18"/>
      </tp>
      <tp t="e">
        <v>#N/A</v>
        <stp/>
        <stp>BDH|11473941239467288493</stp>
        <tr r="N74" s="18"/>
      </tp>
      <tp t="e">
        <v>#N/A</v>
        <stp/>
        <stp>BDH|12680963205233727002</stp>
        <tr r="V38" s="10"/>
        <tr r="V32" s="11"/>
      </tp>
      <tp t="e">
        <v>#N/A</v>
        <stp/>
        <stp>BDH|11167067167809287608</stp>
        <tr r="P22" s="21"/>
      </tp>
      <tp t="e">
        <v>#N/A</v>
        <stp/>
        <stp>BDH|16148293495276959369</stp>
        <tr r="C61" s="18"/>
      </tp>
      <tp t="e">
        <v>#N/A</v>
        <stp/>
        <stp>BDH|12195653280567208347</stp>
        <tr r="Y11" s="24"/>
      </tp>
      <tp t="e">
        <v>#N/A</v>
        <stp/>
        <stp>BDH|11219977153733411608</stp>
        <tr r="H13" s="12"/>
      </tp>
      <tp t="e">
        <v>#N/A</v>
        <stp/>
        <stp>BDH|10784115661796139941</stp>
        <tr r="K83" s="18"/>
      </tp>
      <tp t="e">
        <v>#N/A</v>
        <stp/>
        <stp>BDH|17173994499899572662</stp>
        <tr r="T29" s="29"/>
        <tr r="T7" s="29"/>
      </tp>
      <tp t="e">
        <v>#N/A</v>
        <stp/>
        <stp>BDH|10184241555406431963</stp>
        <tr r="H53" s="17"/>
      </tp>
      <tp t="e">
        <v>#N/A</v>
        <stp/>
        <stp>BDH|15270238694784437237</stp>
        <tr r="P23" s="20"/>
      </tp>
      <tp t="e">
        <v>#N/A</v>
        <stp/>
        <stp>BDH|17224092024834876953</stp>
        <tr r="P7" s="24"/>
      </tp>
      <tp t="e">
        <v>#N/A</v>
        <stp/>
        <stp>BDH|12187262283825259544</stp>
        <tr r="Z41" s="24"/>
      </tp>
      <tp t="e">
        <v>#N/A</v>
        <stp/>
        <stp>BDH|17099224293992105627</stp>
        <tr r="X20" s="12"/>
      </tp>
      <tp t="e">
        <v>#N/A</v>
        <stp/>
        <stp>BDH|12901620198356403350</stp>
        <tr r="P25" s="4"/>
        <tr r="P64" s="10"/>
      </tp>
      <tp t="e">
        <v>#N/A</v>
        <stp/>
        <stp>BDH|10116222316468632317</stp>
        <tr r="H12" s="6"/>
      </tp>
      <tp t="e">
        <v>#N/A</v>
        <stp/>
        <stp>BDH|14668235484923190521</stp>
        <tr r="Q137" s="18"/>
      </tp>
      <tp t="e">
        <v>#N/A</v>
        <stp/>
        <stp>BDH|18034332694118524200</stp>
        <tr r="AA19" s="24"/>
      </tp>
      <tp t="e">
        <v>#N/A</v>
        <stp/>
        <stp>BDH|11152580102444806813</stp>
        <tr r="Z94" s="18"/>
      </tp>
      <tp t="e">
        <v>#N/A</v>
        <stp/>
        <stp>BDH|14080912650317025739</stp>
        <tr r="G50" s="13"/>
      </tp>
      <tp t="e">
        <v>#N/A</v>
        <stp/>
        <stp>BDH|13343416545292489919</stp>
        <tr r="W77" s="17"/>
      </tp>
      <tp t="e">
        <v>#N/A</v>
        <stp/>
        <stp>BDH|13526448457729450309</stp>
        <tr r="C72" s="24"/>
      </tp>
      <tp t="e">
        <v>#N/A</v>
        <stp/>
        <stp>BDH|14187064258880923941</stp>
        <tr r="M16" s="2"/>
        <tr r="M32" s="4"/>
        <tr r="M61" s="10"/>
        <tr r="O19" s="13"/>
      </tp>
      <tp t="e">
        <v>#N/A</v>
        <stp/>
        <stp>BDH|16559174655493741926</stp>
        <tr r="S105" s="18"/>
      </tp>
      <tp t="e">
        <v>#N/A</v>
        <stp/>
        <stp>BDH|10469331296975190721</stp>
        <tr r="I96" s="17"/>
      </tp>
      <tp t="e">
        <v>#N/A</v>
        <stp/>
        <stp>BDH|10125274633661251853</stp>
        <tr r="R56" s="17"/>
        <tr r="R17" s="3"/>
      </tp>
      <tp t="e">
        <v>#N/A</v>
        <stp/>
        <stp>BDH|16099117013406095806</stp>
        <tr r="G37" s="34"/>
      </tp>
      <tp t="e">
        <v>#N/A</v>
        <stp/>
        <stp>BDH|17475005296604634262</stp>
        <tr r="C41" s="22"/>
      </tp>
      <tp t="e">
        <v>#N/A</v>
        <stp/>
        <stp>BDH|12403364104949192050</stp>
        <tr r="K16" s="21"/>
      </tp>
      <tp t="e">
        <v>#N/A</v>
        <stp/>
        <stp>BDH|10821782234054545830</stp>
        <tr r="W16" s="30"/>
      </tp>
      <tp t="e">
        <v>#N/A</v>
        <stp/>
        <stp>BDH|12652849004473534160</stp>
        <tr r="J100" s="18"/>
      </tp>
      <tp t="e">
        <v>#N/A</v>
        <stp/>
        <stp>BDH|15280089895135299180</stp>
        <tr r="Y71" s="24"/>
      </tp>
      <tp t="e">
        <v>#N/A</v>
        <stp/>
        <stp>BDH|12609910494138096267</stp>
        <tr r="J27" s="10"/>
        <tr r="L32" s="13"/>
      </tp>
      <tp t="e">
        <v>#N/A</v>
        <stp/>
        <stp>BDH|11083377114892480920</stp>
        <tr r="P6" s="19"/>
        <tr r="P37" s="17"/>
        <tr r="P16" s="3"/>
      </tp>
      <tp t="e">
        <v>#N/A</v>
        <stp/>
        <stp>BDH|12013158392654441664</stp>
        <tr r="E6" s="27"/>
      </tp>
      <tp t="e">
        <v>#N/A</v>
        <stp/>
        <stp>BDH|18202559663681938283</stp>
        <tr r="G84" s="18"/>
      </tp>
      <tp t="e">
        <v>#N/A</v>
        <stp/>
        <stp>BDH|11398942331234131724</stp>
        <tr r="M106" s="18"/>
        <tr r="K6" s="20"/>
      </tp>
      <tp t="e">
        <v>#N/A</v>
        <stp/>
        <stp>BDH|10242292768834144877</stp>
        <tr r="N8" s="22"/>
      </tp>
      <tp t="e">
        <v>#N/A</v>
        <stp/>
        <stp>BDH|10109702329098895557</stp>
        <tr r="W16" s="20"/>
      </tp>
      <tp t="e">
        <v>#N/A</v>
        <stp/>
        <stp>BDH|16370489675138823531</stp>
        <tr r="R28" s="26"/>
      </tp>
      <tp t="e">
        <v>#N/A</v>
        <stp/>
        <stp>BDH|15414195920646111890</stp>
        <tr r="R15" s="26"/>
      </tp>
      <tp t="e">
        <v>#N/A</v>
        <stp/>
        <stp>BDH|10628480885550773493</stp>
        <tr r="U148" s="18"/>
      </tp>
      <tp t="e">
        <v>#N/A</v>
        <stp/>
        <stp>BDH|11534209317982439833</stp>
        <tr r="Y71" s="18"/>
      </tp>
      <tp t="e">
        <v>#N/A</v>
        <stp/>
        <stp>BDH|16484100691682180414</stp>
        <tr r="M35" s="4"/>
      </tp>
      <tp t="e">
        <v>#N/A</v>
        <stp/>
        <stp>BDH|17542636145794133977</stp>
        <tr r="L40" s="21"/>
      </tp>
      <tp t="e">
        <v>#N/A</v>
        <stp/>
        <stp>BDH|15734089958159392113</stp>
        <tr r="P24" s="20"/>
      </tp>
      <tp t="e">
        <v>#N/A</v>
        <stp/>
        <stp>BDH|13031158746919476724</stp>
        <tr r="S33" s="22"/>
      </tp>
      <tp t="e">
        <v>#N/A</v>
        <stp/>
        <stp>BDH|14793066555329785065</stp>
        <tr r="M97" s="18"/>
      </tp>
      <tp t="e">
        <v>#N/A</v>
        <stp/>
        <stp>BDH|12044168532098592042</stp>
        <tr r="L56" s="17"/>
        <tr r="L17" s="3"/>
      </tp>
      <tp t="e">
        <v>#N/A</v>
        <stp/>
        <stp>BDH|13541902295433372862</stp>
        <tr r="F14" s="6"/>
      </tp>
      <tp t="e">
        <v>#N/A</v>
        <stp/>
        <stp>BDH|10026384996843282190</stp>
        <tr r="V21" s="30"/>
        <tr r="V24" s="23"/>
      </tp>
      <tp t="e">
        <v>#N/A</v>
        <stp/>
        <stp>BDH|11931233599394367653</stp>
        <tr r="R40" s="21"/>
      </tp>
      <tp t="e">
        <v>#N/A</v>
        <stp/>
        <stp>BDH|17547443195832306029</stp>
        <tr r="X49" s="12"/>
      </tp>
      <tp t="e">
        <v>#N/A</v>
        <stp/>
        <stp>BDH|12864635801515728981</stp>
        <tr r="R9" s="13"/>
      </tp>
      <tp t="e">
        <v>#N/A</v>
        <stp/>
        <stp>BDH|17153962314754132376</stp>
        <tr r="W59" s="21"/>
        <tr r="U56" s="11"/>
      </tp>
      <tp t="e">
        <v>#N/A</v>
        <stp/>
        <stp>BDH|10103490652959780084</stp>
        <tr r="N6" s="2"/>
        <tr r="M6" s="5"/>
        <tr r="M6" s="9"/>
        <tr r="O12" s="8"/>
        <tr r="P10" s="29"/>
        <tr r="P19" s="29"/>
        <tr r="P25" s="29"/>
      </tp>
      <tp t="e">
        <v>#N/A</v>
        <stp/>
        <stp>BDH|16801529185762920138</stp>
        <tr r="M38" s="22"/>
      </tp>
      <tp t="e">
        <v>#N/A</v>
        <stp/>
        <stp>BDH|17460757003701030971</stp>
        <tr r="X11" s="7"/>
      </tp>
      <tp t="e">
        <v>#N/A</v>
        <stp/>
        <stp>BDH|18417741169748560995</stp>
        <tr r="O10" s="23"/>
      </tp>
      <tp t="e">
        <v>#N/A</v>
        <stp/>
        <stp>BDH|18231940800431556879</stp>
        <tr r="M16" s="30"/>
      </tp>
      <tp t="e">
        <v>#N/A</v>
        <stp/>
        <stp>BDH|10781477883632006673</stp>
        <tr r="Q9" s="13"/>
      </tp>
      <tp t="e">
        <v>#N/A</v>
        <stp/>
        <stp>BDH|10776485212995044895</stp>
        <tr r="F126" s="18"/>
      </tp>
      <tp t="e">
        <v>#N/A</v>
        <stp/>
        <stp>BDH|11584177597331404056</stp>
        <tr r="X11" s="29"/>
      </tp>
      <tp t="e">
        <v>#N/A</v>
        <stp/>
        <stp>BDH|18255763960796384733</stp>
        <tr r="H21" s="17"/>
      </tp>
      <tp t="e">
        <v>#N/A</v>
        <stp/>
        <stp>BDH|15143888421255970253</stp>
        <tr r="I26" s="24"/>
      </tp>
      <tp t="e">
        <v>#N/A</v>
        <stp/>
        <stp>BDH|17188831628635930074</stp>
        <tr r="K18" s="6"/>
      </tp>
      <tp t="e">
        <v>#N/A</v>
        <stp/>
        <stp>BDH|17216318955011457864</stp>
        <tr r="W18" s="12"/>
      </tp>
      <tp t="e">
        <v>#N/A</v>
        <stp/>
        <stp>BDH|13695892329598383919</stp>
        <tr r="Z63" s="18"/>
      </tp>
      <tp t="e">
        <v>#N/A</v>
        <stp/>
        <stp>BDH|17114118754132127914</stp>
        <tr r="C36" s="21"/>
      </tp>
      <tp t="e">
        <v>#N/A</v>
        <stp/>
        <stp>BDH|11184251622149770051</stp>
        <tr r="F91" s="17"/>
      </tp>
      <tp t="e">
        <v>#N/A</v>
        <stp/>
        <stp>BDH|13982445085336428181</stp>
        <tr r="D62" s="12"/>
      </tp>
      <tp t="e">
        <v>#N/A</v>
        <stp/>
        <stp>BDH|16588103358139163380</stp>
        <tr r="N78" s="18"/>
      </tp>
      <tp t="e">
        <v>#N/A</v>
        <stp/>
        <stp>BDH|11662701044248668200</stp>
        <tr r="E25" s="4"/>
        <tr r="E64" s="10"/>
      </tp>
      <tp t="e">
        <v>#N/A</v>
        <stp/>
        <stp>BDH|12901492884055442345</stp>
        <tr r="M99" s="18"/>
      </tp>
      <tp t="e">
        <v>#N/A</v>
        <stp/>
        <stp>BDH|17207915443326155450</stp>
        <tr r="C9" s="26"/>
      </tp>
      <tp t="e">
        <v>#N/A</v>
        <stp/>
        <stp>BDH|11329372757519217656</stp>
        <tr r="V52" s="17"/>
      </tp>
      <tp t="e">
        <v>#N/A</v>
        <stp/>
        <stp>BDH|14943980655001844182</stp>
        <tr r="J31" s="25"/>
      </tp>
      <tp t="e">
        <v>#N/A</v>
        <stp/>
        <stp>BDH|11255807417051518142</stp>
        <tr r="Q18" s="14"/>
      </tp>
      <tp t="e">
        <v>#N/A</v>
        <stp/>
        <stp>BDH|12598398707340759986</stp>
        <tr r="X51" s="12"/>
      </tp>
      <tp t="e">
        <v>#N/A</v>
        <stp/>
        <stp>BDH|18213596320072845572</stp>
        <tr r="I123" s="18"/>
      </tp>
      <tp t="e">
        <v>#N/A</v>
        <stp/>
        <stp>BDH|11348823786489562065</stp>
        <tr r="D149" s="18"/>
      </tp>
      <tp t="e">
        <v>#N/A</v>
        <stp/>
        <stp>BDH|14465612384646131446</stp>
        <tr r="C35" s="4"/>
      </tp>
      <tp t="e">
        <v>#N/A</v>
        <stp/>
        <stp>BDH|18016487843581931166</stp>
        <tr r="Q66" s="18"/>
      </tp>
      <tp t="e">
        <v>#N/A</v>
        <stp/>
        <stp>BDH|12876254394096458793</stp>
        <tr r="L129" s="18"/>
      </tp>
      <tp t="e">
        <v>#N/A</v>
        <stp/>
        <stp>BDH|11725505184162543627</stp>
        <tr r="M41" s="21"/>
      </tp>
      <tp t="e">
        <v>#N/A</v>
        <stp/>
        <stp>BDH|14018891640134500485</stp>
        <tr r="X147" s="18"/>
      </tp>
      <tp t="e">
        <v>#N/A</v>
        <stp/>
        <stp>BDH|17018604186220440167</stp>
        <tr r="J11" s="3"/>
        <tr r="H49" s="10"/>
        <tr r="H43" s="11"/>
        <tr r="H8" s="7"/>
      </tp>
      <tp t="e">
        <v>#N/A</v>
        <stp/>
        <stp>BDH|16395808715312307516</stp>
        <tr r="L15" s="12"/>
      </tp>
      <tp t="e">
        <v>#N/A</v>
        <stp/>
        <stp>BDH|11162058199479876919</stp>
        <tr r="Q12" s="14"/>
      </tp>
      <tp t="e">
        <v>#N/A</v>
        <stp/>
        <stp>BDH|16030326021226759938</stp>
        <tr r="U15" s="6"/>
      </tp>
      <tp t="e">
        <v>#N/A</v>
        <stp/>
        <stp>BDH|14086654166738640425</stp>
        <tr r="D31" s="12"/>
      </tp>
      <tp t="e">
        <v>#N/A</v>
        <stp/>
        <stp>BDH|14043785889407689407</stp>
        <tr r="E22" s="26"/>
      </tp>
      <tp t="e">
        <v>#N/A</v>
        <stp/>
        <stp>BDH|14991705621709719083</stp>
        <tr r="C64" s="21"/>
      </tp>
      <tp t="e">
        <v>#N/A</v>
        <stp/>
        <stp>BDH|15355974123195804389</stp>
        <tr r="AA32" s="21"/>
      </tp>
      <tp t="e">
        <v>#N/A</v>
        <stp/>
        <stp>BDH|11795500449559145186</stp>
        <tr r="E65" s="24"/>
      </tp>
      <tp t="e">
        <v>#N/A</v>
        <stp/>
        <stp>BDH|12134513697454286222</stp>
        <tr r="C42" s="21"/>
      </tp>
      <tp t="e">
        <v>#N/A</v>
        <stp/>
        <stp>BDH|13536972626604385402</stp>
        <tr r="D12" s="18"/>
      </tp>
      <tp t="e">
        <v>#N/A</v>
        <stp/>
        <stp>BDH|12347705637887254910</stp>
        <tr r="J17" s="6"/>
      </tp>
      <tp t="e">
        <v>#N/A</v>
        <stp/>
        <stp>BDH|14553018823468646661</stp>
        <tr r="S15" s="24"/>
      </tp>
      <tp t="e">
        <v>#N/A</v>
        <stp/>
        <stp>BDH|15575547901621447931</stp>
        <tr r="V61" s="12"/>
      </tp>
      <tp t="e">
        <v>#N/A</v>
        <stp/>
        <stp>BDH|13470018781985544661</stp>
        <tr r="F12" s="7"/>
      </tp>
      <tp t="e">
        <v>#N/A</v>
        <stp/>
        <stp>BDH|17042325300598607436</stp>
        <tr r="Z9" s="18"/>
      </tp>
      <tp t="e">
        <v>#N/A</v>
        <stp/>
        <stp>BDH|10121995228751458237</stp>
        <tr r="T11" s="21"/>
      </tp>
      <tp t="e">
        <v>#N/A</v>
        <stp/>
        <stp>BDH|15868534616641310897</stp>
        <tr r="R18" s="9"/>
      </tp>
      <tp t="e">
        <v>#N/A</v>
        <stp/>
        <stp>BDH|15401338430329386431</stp>
        <tr r="F165" s="18"/>
      </tp>
      <tp t="e">
        <v>#N/A</v>
        <stp/>
        <stp>BDH|15930900554276930730</stp>
        <tr r="P24" s="4"/>
        <tr r="P58" s="11"/>
      </tp>
      <tp t="e">
        <v>#N/A</v>
        <stp/>
        <stp>BDH|15478432495320403017</stp>
        <tr r="G27" s="25"/>
        <tr r="D14" s="5"/>
        <tr r="G17" s="27"/>
      </tp>
      <tp t="e">
        <v>#N/A</v>
        <stp/>
        <stp>BDH|16197936501236092145</stp>
        <tr r="K10" s="4"/>
        <tr r="J6" s="16"/>
        <tr r="M6" s="3"/>
        <tr r="K6" s="11"/>
      </tp>
      <tp t="e">
        <v>#N/A</v>
        <stp/>
        <stp>BDH|11201730278879699081</stp>
        <tr r="V27" s="22"/>
      </tp>
      <tp t="e">
        <v>#N/A</v>
        <stp/>
        <stp>BDH|14618272177760701964</stp>
        <tr r="M8" s="10"/>
      </tp>
      <tp t="e">
        <v>#N/A</v>
        <stp/>
        <stp>BDH|15627105989237949311</stp>
        <tr r="T65" s="24"/>
      </tp>
      <tp t="e">
        <v>#N/A</v>
        <stp/>
        <stp>BDH|12292110869298531588</stp>
        <tr r="V71" s="24"/>
      </tp>
      <tp t="e">
        <v>#N/A</v>
        <stp/>
        <stp>BDH|13659762366723761961</stp>
        <tr r="R26" s="10"/>
        <tr r="T31" s="13"/>
      </tp>
      <tp t="e">
        <v>#N/A</v>
        <stp/>
        <stp>BDH|15357173613088037503</stp>
        <tr r="AA30" s="24"/>
      </tp>
      <tp t="e">
        <v>#N/A</v>
        <stp/>
        <stp>BDH|15758624197227075552</stp>
        <tr r="D126" s="18"/>
      </tp>
      <tp t="e">
        <v>#N/A</v>
        <stp/>
        <stp>BDH|18326015260482316464</stp>
        <tr r="Q15" s="10"/>
      </tp>
      <tp t="e">
        <v>#N/A</v>
        <stp/>
        <stp>BDH|12337977968742824734</stp>
        <tr r="C53" s="17"/>
      </tp>
      <tp t="e">
        <v>#N/A</v>
        <stp/>
        <stp>BDH|13985140489434112628</stp>
        <tr r="R15" s="9"/>
      </tp>
      <tp t="e">
        <v>#N/A</v>
        <stp/>
        <stp>BDH|14352855251674957596</stp>
        <tr r="U73" s="12"/>
      </tp>
      <tp t="e">
        <v>#N/A</v>
        <stp/>
        <stp>BDH|14315965352588773872</stp>
        <tr r="R13" s="18"/>
      </tp>
      <tp t="e">
        <v>#N/A</v>
        <stp/>
        <stp>BDH|10655771763618307166</stp>
        <tr r="T27" s="7"/>
      </tp>
      <tp t="e">
        <v>#N/A</v>
        <stp/>
        <stp>BDH|12455717585555253056</stp>
        <tr r="Z164" s="18"/>
      </tp>
      <tp t="e">
        <v>#N/A</v>
        <stp/>
        <stp>BDH|17225221486031744463</stp>
        <tr r="Z147" s="18"/>
      </tp>
      <tp t="e">
        <v>#N/A</v>
        <stp/>
        <stp>BDH|17209504080581295363</stp>
        <tr r="C9" s="23"/>
      </tp>
      <tp t="e">
        <v>#N/A</v>
        <stp/>
        <stp>BDH|11198454685310772500</stp>
        <tr r="T8" s="8"/>
      </tp>
      <tp t="e">
        <v>#N/A</v>
        <stp/>
        <stp>BDH|17275165685180521628</stp>
        <tr r="Q26" s="25"/>
        <tr r="Q16" s="27"/>
      </tp>
      <tp t="e">
        <v>#N/A</v>
        <stp/>
        <stp>BDH|17175239887597412273</stp>
        <tr r="O45" s="4"/>
        <tr r="O30" s="10"/>
        <tr r="O24" s="11"/>
        <tr r="Q30" s="13"/>
      </tp>
      <tp t="e">
        <v>#N/A</v>
        <stp/>
        <stp>BDH|18365925911091656909</stp>
        <tr r="N25" s="10"/>
      </tp>
      <tp t="e">
        <v>#N/A</v>
        <stp/>
        <stp>BDH|15757394033098973528</stp>
        <tr r="D32" s="22"/>
      </tp>
      <tp t="e">
        <v>#N/A</v>
        <stp/>
        <stp>BDH|10033051441735428969</stp>
        <tr r="E69" s="18"/>
      </tp>
      <tp t="e">
        <v>#N/A</v>
        <stp/>
        <stp>BDH|14269089418324070945</stp>
        <tr r="P26" s="29"/>
      </tp>
      <tp t="e">
        <v>#N/A</v>
        <stp/>
        <stp>BDH|16073221314915171816</stp>
        <tr r="O100" s="18"/>
      </tp>
      <tp t="e">
        <v>#N/A</v>
        <stp/>
        <stp>BDH|16635942251216056458</stp>
        <tr r="O84" s="18"/>
      </tp>
      <tp t="e">
        <v>#N/A</v>
        <stp/>
        <stp>BDH|17931183283092187455</stp>
        <tr r="H18" s="9"/>
      </tp>
      <tp t="e">
        <v>#N/A</v>
        <stp/>
        <stp>BDH|12911024485560149299</stp>
        <tr r="G71" s="18"/>
      </tp>
      <tp t="e">
        <v>#N/A</v>
        <stp/>
        <stp>BDH|14920534091857409792</stp>
        <tr r="T11" s="18"/>
      </tp>
      <tp t="e">
        <v>#N/A</v>
        <stp/>
        <stp>BDH|15769371940698153278</stp>
        <tr r="Y47" s="17"/>
      </tp>
      <tp t="e">
        <v>#N/A</v>
        <stp/>
        <stp>BDH|13586419682627833088</stp>
        <tr r="K136" s="18"/>
      </tp>
      <tp t="e">
        <v>#N/A</v>
        <stp/>
        <stp>BDH|17094250292127314325</stp>
        <tr r="AA114" s="18"/>
      </tp>
      <tp t="e">
        <v>#N/A</v>
        <stp/>
        <stp>BDH|12026161982863396011</stp>
        <tr r="U42" s="12"/>
      </tp>
      <tp t="e">
        <v>#N/A</v>
        <stp/>
        <stp>BDH|14086608856537000807</stp>
        <tr r="J82" s="18"/>
      </tp>
      <tp t="e">
        <v>#N/A</v>
        <stp/>
        <stp>BDH|17208202490822112659</stp>
        <tr r="C9" s="12"/>
      </tp>
      <tp t="e">
        <v>#N/A</v>
        <stp/>
        <stp>BDH|13163667780485233034</stp>
        <tr r="S72" s="12"/>
      </tp>
      <tp t="e">
        <v>#N/A</v>
        <stp/>
        <stp>BDH|12079831535455451445</stp>
        <tr r="W29" s="21"/>
      </tp>
      <tp t="e">
        <v>#N/A</v>
        <stp/>
        <stp>BDH|16442460645097055913</stp>
        <tr r="T94" s="17"/>
      </tp>
      <tp t="e">
        <v>#N/A</v>
        <stp/>
        <stp>BDH|12816546208388039725</stp>
        <tr r="K47" s="21"/>
      </tp>
      <tp t="e">
        <v>#N/A</v>
        <stp/>
        <stp>BDH|16886239528449068752</stp>
        <tr r="O10" s="24"/>
      </tp>
      <tp t="e">
        <v>#N/A</v>
        <stp/>
        <stp>BDH|12228450070699744061</stp>
        <tr r="X30" s="29"/>
        <tr r="X8" s="29"/>
      </tp>
      <tp t="e">
        <v>#N/A</v>
        <stp/>
        <stp>BDH|11089102486855608563</stp>
        <tr r="F67" s="10"/>
      </tp>
      <tp t="e">
        <v>#N/A</v>
        <stp/>
        <stp>BDH|17037459119739946338</stp>
        <tr r="K51" s="24"/>
      </tp>
      <tp t="e">
        <v>#N/A</v>
        <stp/>
        <stp>BDH|12408713235768751611</stp>
        <tr r="D86" s="18"/>
      </tp>
      <tp t="e">
        <v>#N/A</v>
        <stp/>
        <stp>BDH|11715048582922167366</stp>
        <tr r="J156" s="18"/>
      </tp>
      <tp t="e">
        <v>#N/A</v>
        <stp/>
        <stp>BDH|17363909987816122832</stp>
        <tr r="N39" s="4"/>
        <tr r="N65" s="10"/>
      </tp>
      <tp t="e">
        <v>#N/A</v>
        <stp/>
        <stp>BDH|11687872052245494116</stp>
        <tr r="I12" s="24"/>
      </tp>
      <tp t="e">
        <v>#N/A</v>
        <stp/>
        <stp>BDH|18267213737751018025</stp>
        <tr r="V81" s="18"/>
      </tp>
      <tp t="e">
        <v>#N/A</v>
        <stp/>
        <stp>BDH|17677351591567373271</stp>
        <tr r="H54" s="24"/>
      </tp>
      <tp t="e">
        <v>#N/A</v>
        <stp/>
        <stp>BDH|15036057450289261114</stp>
        <tr r="K45" s="17"/>
        <tr r="K9" s="25"/>
      </tp>
      <tp t="e">
        <v>#N/A</v>
        <stp/>
        <stp>BDH|16408494650138258794</stp>
        <tr r="U16" s="26"/>
      </tp>
      <tp t="e">
        <v>#N/A</v>
        <stp/>
        <stp>BDH|15075158221508177639</stp>
        <tr r="M20" s="23"/>
      </tp>
      <tp t="e">
        <v>#N/A</v>
        <stp/>
        <stp>BDH|17105432193585990715</stp>
        <tr r="Q8" s="21"/>
      </tp>
      <tp t="e">
        <v>#N/A</v>
        <stp/>
        <stp>BDH|13304936197452819969</stp>
        <tr r="S133" s="18"/>
      </tp>
      <tp t="e">
        <v>#N/A</v>
        <stp/>
        <stp>BDH|14121938291585330996</stp>
        <tr r="W136" s="18"/>
      </tp>
      <tp t="e">
        <v>#N/A</v>
        <stp/>
        <stp>BDH|15619939504783020787</stp>
        <tr r="F134" s="18"/>
      </tp>
      <tp t="e">
        <v>#N/A</v>
        <stp/>
        <stp>BDH|10359996242386594343</stp>
        <tr r="D15" s="25"/>
      </tp>
      <tp t="e">
        <v>#N/A</v>
        <stp/>
        <stp>BDH|12781251672696908906</stp>
        <tr r="R20" s="30"/>
      </tp>
      <tp t="e">
        <v>#N/A</v>
        <stp/>
        <stp>BDH|16715147356859833344</stp>
        <tr r="H25" s="18"/>
      </tp>
      <tp t="e">
        <v>#N/A</v>
        <stp/>
        <stp>BDH|12511997125683004208</stp>
        <tr r="W89" s="18"/>
      </tp>
      <tp t="e">
        <v>#N/A</v>
        <stp/>
        <stp>BDH|16029756057835373983</stp>
        <tr r="F21" s="3"/>
      </tp>
      <tp t="e">
        <v>#N/A</v>
        <stp/>
        <stp>BDH|17298318677893824853</stp>
        <tr r="S92" s="17"/>
      </tp>
      <tp t="e">
        <v>#N/A</v>
        <stp/>
        <stp>BDH|11087738503576889813</stp>
        <tr r="C108" s="18"/>
      </tp>
      <tp t="e">
        <v>#N/A</v>
        <stp/>
        <stp>BDH|11141098381438651960</stp>
        <tr r="D9" s="17"/>
      </tp>
      <tp t="e">
        <v>#N/A</v>
        <stp/>
        <stp>BDH|11096102968856105800</stp>
        <tr r="G7" s="30"/>
      </tp>
      <tp t="e">
        <v>#N/A</v>
        <stp/>
        <stp>BDH|18352375968910191543</stp>
        <tr r="T131" s="18"/>
      </tp>
      <tp t="e">
        <v>#N/A</v>
        <stp/>
        <stp>BDH|15471933675563975025</stp>
        <tr r="U99" s="17"/>
      </tp>
      <tp t="e">
        <v>#N/A</v>
        <stp/>
        <stp>BDH|17638869862559841838</stp>
        <tr r="L10" s="10"/>
      </tp>
      <tp t="e">
        <v>#N/A</v>
        <stp/>
        <stp>BDH|11063933129415756746</stp>
        <tr r="X16" s="26"/>
      </tp>
      <tp t="e">
        <v>#N/A</v>
        <stp/>
        <stp>BDH|16461923142445462695</stp>
        <tr r="R12" s="7"/>
      </tp>
      <tp t="e">
        <v>#N/A</v>
        <stp/>
        <stp>BDH|14730035198175444011</stp>
        <tr r="G42" s="22"/>
      </tp>
      <tp t="e">
        <v>#N/A</v>
        <stp/>
        <stp>BDH|17277255895037900323</stp>
        <tr r="U90" s="18"/>
      </tp>
      <tp t="e">
        <v>#N/A</v>
        <stp/>
        <stp>BDH|11000581988961814518</stp>
        <tr r="AA27" s="26"/>
        <tr r="X14" s="9"/>
      </tp>
      <tp t="e">
        <v>#N/A</v>
        <stp/>
        <stp>BDH|17038383533099425662</stp>
        <tr r="W28" s="24"/>
      </tp>
      <tp t="e">
        <v>#N/A</v>
        <stp/>
        <stp>BDH|17789966559912196109</stp>
        <tr r="V151" s="18"/>
      </tp>
      <tp t="e">
        <v>#N/A</v>
        <stp/>
        <stp>BDH|14166901951289922900</stp>
        <tr r="V29" s="9"/>
      </tp>
      <tp t="e">
        <v>#N/A</v>
        <stp/>
        <stp>BDH|17878432069069309483</stp>
        <tr r="Z141" s="18"/>
      </tp>
      <tp t="e">
        <v>#N/A</v>
        <stp/>
        <stp>BDH|13459635904064824924</stp>
        <tr r="M28" s="5"/>
      </tp>
      <tp t="e">
        <v>#N/A</v>
        <stp/>
        <stp>BDH|10244550591604715086</stp>
        <tr r="W26" s="6"/>
      </tp>
      <tp t="e">
        <v>#N/A</v>
        <stp/>
        <stp>BDH|18159896466986620802</stp>
        <tr r="M12" s="7"/>
      </tp>
      <tp t="e">
        <v>#N/A</v>
        <stp/>
        <stp>BDH|16416284957288550168</stp>
        <tr r="W62" s="24"/>
      </tp>
      <tp t="e">
        <v>#N/A</v>
        <stp/>
        <stp>BDH|15792203381243773495</stp>
        <tr r="N25" s="24"/>
      </tp>
      <tp t="e">
        <v>#N/A</v>
        <stp/>
        <stp>BDH|14555396064928244124</stp>
        <tr r="E17" s="11"/>
      </tp>
      <tp t="e">
        <v>#N/A</v>
        <stp/>
        <stp>BDH|14319754052796892841</stp>
        <tr r="S60" s="17"/>
      </tp>
      <tp t="e">
        <v>#N/A</v>
        <stp/>
        <stp>BDH|10495343241458908707</stp>
        <tr r="Y79" s="17"/>
      </tp>
      <tp t="e">
        <v>#N/A</v>
        <stp/>
        <stp>BDH|12596663682526925204</stp>
        <tr r="C82" s="18"/>
      </tp>
      <tp t="e">
        <v>#N/A</v>
        <stp/>
        <stp>BDH|11576812919956432617</stp>
        <tr r="R69" s="10"/>
        <tr r="R63" s="11"/>
        <tr r="R20" s="7"/>
      </tp>
      <tp t="e">
        <v>#N/A</v>
        <stp/>
        <stp>BDH|16636908587279964600</stp>
        <tr r="H54" s="17"/>
      </tp>
      <tp t="e">
        <v>#N/A</v>
        <stp/>
        <stp>BDH|16962308122019149624</stp>
        <tr r="H30" s="24"/>
      </tp>
      <tp t="e">
        <v>#N/A</v>
        <stp/>
        <stp>BDH|12385682115515402821</stp>
        <tr r="P42" s="12"/>
      </tp>
      <tp t="e">
        <v>#N/A</v>
        <stp/>
        <stp>BDH|11750098004751330815</stp>
        <tr r="H72" s="12"/>
      </tp>
      <tp t="e">
        <v>#N/A</v>
        <stp/>
        <stp>BDH|13139326499308225905</stp>
        <tr r="N66" s="21"/>
      </tp>
      <tp t="e">
        <v>#N/A</v>
        <stp/>
        <stp>BDH|13222682754331451926</stp>
        <tr r="M22" s="18"/>
      </tp>
      <tp t="e">
        <v>#N/A</v>
        <stp/>
        <stp>BDH|13249146317722819914</stp>
        <tr r="P70" s="18"/>
      </tp>
      <tp t="e">
        <v>#N/A</v>
        <stp/>
        <stp>BDH|15791262438718155409</stp>
        <tr r="P31" s="22"/>
      </tp>
      <tp t="e">
        <v>#N/A</v>
        <stp/>
        <stp>BDH|16016222580726940230</stp>
        <tr r="T7" s="17"/>
      </tp>
      <tp t="e">
        <v>#N/A</v>
        <stp/>
        <stp>BDH|17280238898614206031</stp>
        <tr r="N92" s="18"/>
      </tp>
      <tp t="e">
        <v>#N/A</v>
        <stp/>
        <stp>BDH|15878717214058301367</stp>
        <tr r="D81" s="17"/>
      </tp>
      <tp t="e">
        <v>#N/A</v>
        <stp/>
        <stp>BDH|11089923611367971628</stp>
        <tr r="E9" s="11"/>
      </tp>
      <tp t="e">
        <v>#N/A</v>
        <stp/>
        <stp>BDH|10919723838099823537</stp>
        <tr r="AA47" s="12"/>
      </tp>
      <tp t="e">
        <v>#N/A</v>
        <stp/>
        <stp>BDH|16379771234252925811</stp>
        <tr r="U50" s="18"/>
      </tp>
      <tp t="e">
        <v>#N/A</v>
        <stp/>
        <stp>BDH|12987253795833713265</stp>
        <tr r="Q50" s="17"/>
      </tp>
      <tp t="e">
        <v>#N/A</v>
        <stp/>
        <stp>BDH|11022300140477813901</stp>
        <tr r="Q22" s="11"/>
      </tp>
      <tp t="e">
        <v>#N/A</v>
        <stp/>
        <stp>BDH|17380313595635887073</stp>
        <tr r="W20" s="2"/>
        <tr r="W18" s="4"/>
        <tr r="W57" s="10"/>
        <tr r="W51" s="11"/>
        <tr r="W19" s="7"/>
        <tr r="Y57" s="13"/>
      </tp>
      <tp t="e">
        <v>#N/A</v>
        <stp/>
        <stp>BDH|11276946115008805937</stp>
        <tr r="U37" s="12"/>
      </tp>
      <tp t="e">
        <v>#N/A</v>
        <stp/>
        <stp>BDH|16140281357179619000</stp>
        <tr r="AA22" s="26"/>
      </tp>
      <tp t="e">
        <v>#N/A</v>
        <stp/>
        <stp>BDH|14775893720120456625</stp>
        <tr r="T167" s="18"/>
      </tp>
      <tp t="e">
        <v>#N/A</v>
        <stp/>
        <stp>BDH|17974863964289555866</stp>
        <tr r="E98" s="17"/>
        <tr r="E13" s="28"/>
      </tp>
      <tp t="e">
        <v>#N/A</v>
        <stp/>
        <stp>BDH|15475976975044777792</stp>
        <tr r="O79" s="12"/>
      </tp>
      <tp t="e">
        <v>#N/A</v>
        <stp/>
        <stp>BDH|17552697627339933299</stp>
        <tr r="N19" s="24"/>
      </tp>
      <tp t="e">
        <v>#N/A</v>
        <stp/>
        <stp>BDH|16819238906079064564</stp>
        <tr r="N16" s="12"/>
      </tp>
      <tp t="e">
        <v>#N/A</v>
        <stp/>
        <stp>BDH|12556418785013925535</stp>
        <tr r="S24" s="20"/>
      </tp>
      <tp t="e">
        <v>#N/A</v>
        <stp/>
        <stp>BDH|17140886623985801095</stp>
        <tr r="Q25" s="6"/>
      </tp>
      <tp t="e">
        <v>#N/A</v>
        <stp/>
        <stp>BDH|11382188225653295971</stp>
        <tr r="K32" s="18"/>
      </tp>
      <tp t="e">
        <v>#N/A</v>
        <stp/>
        <stp>BDH|15489268398373260538</stp>
        <tr r="O79" s="17"/>
      </tp>
      <tp t="e">
        <v>#N/A</v>
        <stp/>
        <stp>BDH|12101888072506252325</stp>
        <tr r="Y16" s="11"/>
      </tp>
      <tp t="e">
        <v>#N/A</v>
        <stp/>
        <stp>BDH|14773670230949319083</stp>
        <tr r="C33" s="17"/>
      </tp>
      <tp t="e">
        <v>#N/A</v>
        <stp/>
        <stp>BDH|12044061699111590211</stp>
        <tr r="X14" s="4"/>
      </tp>
      <tp t="e">
        <v>#N/A</v>
        <stp/>
        <stp>BDH|11951920491381260833</stp>
        <tr r="U66" s="12"/>
      </tp>
      <tp t="e">
        <v>#N/A</v>
        <stp/>
        <stp>BDH|13531680119569663593</stp>
        <tr r="T25" s="24"/>
      </tp>
      <tp t="e">
        <v>#N/A</v>
        <stp/>
        <stp>BDH|17763894761047011640</stp>
        <tr r="K12" s="21"/>
      </tp>
      <tp t="e">
        <v>#N/A</v>
        <stp/>
        <stp>BDH|17881099646623875842</stp>
        <tr r="V109" s="18"/>
        <tr r="T9" s="20"/>
      </tp>
      <tp t="e">
        <v>#N/A</v>
        <stp/>
        <stp>BDH|16532576589296658563</stp>
        <tr r="F41" s="12"/>
      </tp>
      <tp t="e">
        <v>#N/A</v>
        <stp/>
        <stp>BDH|15965244696661462745</stp>
        <tr r="Z28" s="17"/>
      </tp>
      <tp t="e">
        <v>#N/A</v>
        <stp/>
        <stp>BDH|11721173299552007323</stp>
        <tr r="AA108" s="18"/>
        <tr r="Z8" s="20"/>
      </tp>
      <tp t="e">
        <v>#N/A</v>
        <stp/>
        <stp>BDH|12346883755521548600</stp>
        <tr r="N143" s="18"/>
      </tp>
      <tp t="e">
        <v>#N/A</v>
        <stp/>
        <stp>BDH|12469792249090975966</stp>
        <tr r="S28" s="24"/>
      </tp>
      <tp t="e">
        <v>#N/A</v>
        <stp/>
        <stp>BDH|14879407362728905683</stp>
        <tr r="G7" s="28"/>
      </tp>
      <tp t="e">
        <v>#N/A</v>
        <stp/>
        <stp>BDH|15999115730998753744</stp>
        <tr r="K7" s="34"/>
      </tp>
      <tp t="e">
        <v>#N/A</v>
        <stp/>
        <stp>BDH|10749201978168017541</stp>
        <tr r="S70" s="10"/>
        <tr r="S64" s="11"/>
      </tp>
      <tp t="e">
        <v>#N/A</v>
        <stp/>
        <stp>BDH|14431936029594719325</stp>
        <tr r="O27" s="17"/>
      </tp>
      <tp t="e">
        <v>#N/A</v>
        <stp/>
        <stp>BDH|15129980355939180878</stp>
        <tr r="J70" s="18"/>
      </tp>
      <tp t="e">
        <v>#N/A</v>
        <stp/>
        <stp>BDH|17689174894144750383</stp>
        <tr r="I107" s="18"/>
        <tr r="G7" s="20"/>
      </tp>
      <tp t="e">
        <v>#N/A</v>
        <stp/>
        <stp>BDH|17970815625555187064</stp>
        <tr r="V42" s="12"/>
      </tp>
      <tp t="e">
        <v>#N/A</v>
        <stp/>
        <stp>BDH|14494665594603503091</stp>
        <tr r="X31" s="25"/>
      </tp>
      <tp t="e">
        <v>#N/A</v>
        <stp/>
        <stp>BDH|14432610939419297044</stp>
        <tr r="AA16" s="21"/>
      </tp>
      <tp t="e">
        <v>#N/A</v>
        <stp/>
        <stp>BDH|18297382176213169775</stp>
        <tr r="D50" s="12"/>
      </tp>
      <tp t="e">
        <v>#N/A</v>
        <stp/>
        <stp>BDH|11483592813238395578</stp>
        <tr r="C73" s="24"/>
      </tp>
      <tp t="e">
        <v>#N/A</v>
        <stp/>
        <stp>BDH|14758789532958799005</stp>
        <tr r="S23" s="21"/>
      </tp>
      <tp t="e">
        <v>#N/A</v>
        <stp/>
        <stp>BDH|15267949720705971357</stp>
        <tr r="E68" s="10"/>
      </tp>
      <tp t="e">
        <v>#N/A</v>
        <stp/>
        <stp>BDH|13167336128912047805</stp>
        <tr r="C121" s="18"/>
      </tp>
      <tp t="e">
        <v>#N/A</v>
        <stp/>
        <stp>BDH|10796450088721294528</stp>
        <tr r="S24" s="24"/>
      </tp>
      <tp t="e">
        <v>#N/A</v>
        <stp/>
        <stp>BDH|13855858114497625555</stp>
        <tr r="O23" s="23"/>
      </tp>
      <tp t="e">
        <v>#N/A</v>
        <stp/>
        <stp>BDH|11183747362349595188</stp>
        <tr r="S72" s="10"/>
        <tr r="S66" s="11"/>
      </tp>
      <tp t="e">
        <v>#N/A</v>
        <stp/>
        <stp>BDH|12943452658202809968</stp>
        <tr r="J49" s="4"/>
      </tp>
      <tp t="e">
        <v>#N/A</v>
        <stp/>
        <stp>BDH|15062523490532818303</stp>
        <tr r="S11" s="13"/>
      </tp>
      <tp t="e">
        <v>#N/A</v>
        <stp/>
        <stp>BDH|14539200482371887759</stp>
        <tr r="T71" s="10"/>
        <tr r="T65" s="11"/>
      </tp>
      <tp t="e">
        <v>#N/A</v>
        <stp/>
        <stp>BDH|12307220058759559463</stp>
        <tr r="C68" s="12"/>
      </tp>
      <tp t="e">
        <v>#N/A</v>
        <stp/>
        <stp>BDH|12863762779698558287</stp>
        <tr r="I7" s="4"/>
      </tp>
      <tp t="e">
        <v>#N/A</v>
        <stp/>
        <stp>BDH|16058281216288219563</stp>
        <tr r="T22" s="24"/>
      </tp>
      <tp t="e">
        <v>#N/A</v>
        <stp/>
        <stp>BDH|12881968360636544368</stp>
        <tr r="Y21" s="20"/>
      </tp>
      <tp t="e">
        <v>#N/A</v>
        <stp/>
        <stp>BDH|12781521567121707882</stp>
        <tr r="AA23" s="24"/>
      </tp>
      <tp t="e">
        <v>#N/A</v>
        <stp/>
        <stp>BDH|16042099404008077603</stp>
        <tr r="G58" s="24"/>
      </tp>
      <tp t="e">
        <v>#N/A</v>
        <stp/>
        <stp>BDH|15080617672285674985</stp>
        <tr r="U64" s="18"/>
      </tp>
      <tp t="e">
        <v>#N/A</v>
        <stp/>
        <stp>BDH|12346982563247290273</stp>
        <tr r="H14" s="22"/>
      </tp>
      <tp t="e">
        <v>#N/A</v>
        <stp/>
        <stp>BDH|10791066428668346270</stp>
        <tr r="L58" s="18"/>
      </tp>
      <tp t="e">
        <v>#N/A</v>
        <stp/>
        <stp>BDH|17920120046679200329</stp>
        <tr r="V15" s="13"/>
      </tp>
      <tp t="e">
        <v>#N/A</v>
        <stp/>
        <stp>BDH|11890885719344553417</stp>
        <tr r="M61" s="17"/>
      </tp>
      <tp t="e">
        <v>#N/A</v>
        <stp/>
        <stp>BDH|11446953671832470595</stp>
        <tr r="E26" s="6"/>
      </tp>
      <tp t="e">
        <v>#N/A</v>
        <stp/>
        <stp>BDH|11892075771276635851</stp>
        <tr r="D37" s="34"/>
      </tp>
      <tp t="e">
        <v>#N/A</v>
        <stp/>
        <stp>BDH|11840808251754641023</stp>
        <tr r="P26" s="34"/>
      </tp>
      <tp t="e">
        <v>#N/A</v>
        <stp/>
        <stp>BDH|17533981216112113571</stp>
        <tr r="S13" s="21"/>
      </tp>
      <tp t="e">
        <v>#N/A</v>
        <stp/>
        <stp>BDH|15321978354897435693</stp>
        <tr r="W53" s="17"/>
      </tp>
      <tp t="e">
        <v>#N/A</v>
        <stp/>
        <stp>BDH|13202716784706861225</stp>
        <tr r="E19" s="11"/>
      </tp>
      <tp t="e">
        <v>#N/A</v>
        <stp/>
        <stp>BDH|13922873883132655964</stp>
        <tr r="Y39" s="4"/>
        <tr r="Y65" s="10"/>
      </tp>
      <tp t="e">
        <v>#N/A</v>
        <stp/>
        <stp>BDH|17302260519709035515</stp>
        <tr r="H41" s="22"/>
      </tp>
      <tp t="e">
        <v>#N/A</v>
        <stp/>
        <stp>BDH|14967985099704605834</stp>
        <tr r="C22" s="26"/>
      </tp>
      <tp t="e">
        <v>#N/A</v>
        <stp/>
        <stp>BDH|16952593871744532897</stp>
        <tr r="J91" s="17"/>
      </tp>
      <tp t="e">
        <v>#N/A</v>
        <stp/>
        <stp>BDH|12964726990882553638</stp>
        <tr r="S8" s="23"/>
      </tp>
      <tp t="e">
        <v>#N/A</v>
        <stp/>
        <stp>BDH|14476911165263570086</stp>
        <tr r="I8" s="28"/>
      </tp>
      <tp t="e">
        <v>#N/A</v>
        <stp/>
        <stp>BDH|18225690142646379477</stp>
        <tr r="S123" s="18"/>
      </tp>
      <tp t="e">
        <v>#N/A</v>
        <stp/>
        <stp>BDH|17914633296316624677</stp>
        <tr r="L51" s="24"/>
      </tp>
      <tp t="e">
        <v>#N/A</v>
        <stp/>
        <stp>BDH|17092689384954930591</stp>
        <tr r="G23" s="18"/>
      </tp>
      <tp t="e">
        <v>#N/A</v>
        <stp/>
        <stp>BDH|11544777869880569827</stp>
        <tr r="S8" s="4"/>
      </tp>
      <tp t="e">
        <v>#N/A</v>
        <stp/>
        <stp>BDH|17077750986379694997</stp>
        <tr r="N22" s="10"/>
      </tp>
      <tp t="e">
        <v>#N/A</v>
        <stp/>
        <stp>BDH|14137129837026812801</stp>
        <tr r="U24" s="25"/>
        <tr r="U14" s="27"/>
      </tp>
      <tp t="e">
        <v>#N/A</v>
        <stp/>
        <stp>BDH|12132989700043304060</stp>
        <tr r="O28" s="9"/>
      </tp>
      <tp t="e">
        <v>#N/A</v>
        <stp/>
        <stp>BDH|16398584281452131173</stp>
        <tr r="T21" s="18"/>
      </tp>
      <tp t="e">
        <v>#N/A</v>
        <stp/>
        <stp>BDH|11815479384130364546</stp>
        <tr r="O87" s="17"/>
        <tr r="O20" s="3"/>
        <tr r="M6" s="7"/>
      </tp>
      <tp t="e">
        <v>#N/A</v>
        <stp/>
        <stp>BDH|10787944898649621117</stp>
        <tr r="Y15" s="10"/>
      </tp>
      <tp t="e">
        <v>#N/A</v>
        <stp/>
        <stp>BDH|17375929652842707189</stp>
        <tr r="AA23" s="18"/>
      </tp>
      <tp t="e">
        <v>#N/A</v>
        <stp/>
        <stp>BDH|18125618757603251096</stp>
        <tr r="F107" s="18"/>
        <tr r="D7" s="20"/>
      </tp>
      <tp t="e">
        <v>#N/A</v>
        <stp/>
        <stp>BDH|12476962379931070575</stp>
        <tr r="X10" s="6"/>
      </tp>
      <tp t="e">
        <v>#N/A</v>
        <stp/>
        <stp>BDH|11696506644970614889</stp>
        <tr r="L41" s="12"/>
      </tp>
      <tp t="e">
        <v>#N/A</v>
        <stp/>
        <stp>BDH|17176799684354618461</stp>
        <tr r="O8" s="14"/>
      </tp>
      <tp t="e">
        <v>#N/A</v>
        <stp/>
        <stp>BDH|17901961363181282125</stp>
        <tr r="K22" s="12"/>
      </tp>
      <tp t="e">
        <v>#N/A</v>
        <stp/>
        <stp>BDH|16964644437328348358</stp>
        <tr r="X20" s="29"/>
      </tp>
      <tp t="e">
        <v>#N/A</v>
        <stp/>
        <stp>BDH|18256588721642600516</stp>
        <tr r="M55" s="24"/>
      </tp>
      <tp t="e">
        <v>#N/A</v>
        <stp/>
        <stp>BDH|13063801105310998301</stp>
        <tr r="M50" s="4"/>
      </tp>
      <tp t="e">
        <v>#N/A</v>
        <stp/>
        <stp>BDH|15992863025661132673</stp>
        <tr r="X24" s="25"/>
        <tr r="X14" s="27"/>
      </tp>
      <tp t="e">
        <v>#N/A</v>
        <stp/>
        <stp>BDH|16810999726544893138</stp>
        <tr r="M12" s="3"/>
        <tr r="K54" s="10"/>
        <tr r="K48" s="11"/>
        <tr r="K7" s="7"/>
      </tp>
      <tp t="e">
        <v>#N/A</v>
        <stp/>
        <stp>BDH|15459239175320863868</stp>
        <tr r="Q34" s="18"/>
      </tp>
      <tp t="e">
        <v>#N/A</v>
        <stp/>
        <stp>BDH|13316164867504732893</stp>
        <tr r="V29" s="29"/>
        <tr r="V7" s="29"/>
      </tp>
      <tp t="e">
        <v>#N/A</v>
        <stp/>
        <stp>BDH|14500240576608360180</stp>
        <tr r="V18" s="2"/>
        <tr r="V53" s="4"/>
        <tr r="V45" s="10"/>
        <tr r="V39" s="11"/>
        <tr r="X46" s="13"/>
      </tp>
      <tp t="e">
        <v>#N/A</v>
        <stp/>
        <stp>BDH|15282982331975313242</stp>
        <tr r="R7" s="30"/>
      </tp>
      <tp t="e">
        <v>#N/A</v>
        <stp/>
        <stp>BDH|12711553722508935554</stp>
        <tr r="R53" s="13"/>
      </tp>
      <tp t="e">
        <v>#N/A</v>
        <stp/>
        <stp>BDH|12598549793551670785</stp>
        <tr r="Q11" s="14"/>
      </tp>
      <tp t="e">
        <v>#N/A</v>
        <stp/>
        <stp>BDH|17864517238199974041</stp>
        <tr r="O77" s="17"/>
      </tp>
      <tp t="e">
        <v>#N/A</v>
        <stp/>
        <stp>BDH|18132822799208578931</stp>
        <tr r="AA18" s="18"/>
      </tp>
      <tp t="e">
        <v>#N/A</v>
        <stp/>
        <stp>BDH|13204890934124370403</stp>
        <tr r="F34" s="24"/>
      </tp>
      <tp t="e">
        <v>#N/A</v>
        <stp/>
        <stp>BDH|10047908406848399998</stp>
        <tr r="X16" s="17"/>
        <tr r="X19" s="28"/>
      </tp>
      <tp t="e">
        <v>#N/A</v>
        <stp/>
        <stp>BDH|11921586080150973447</stp>
        <tr r="T9" s="12"/>
      </tp>
      <tp t="e">
        <v>#N/A</v>
        <stp/>
        <stp>BDH|17011067862708921117</stp>
        <tr r="U33" s="12"/>
      </tp>
      <tp t="e">
        <v>#N/A</v>
        <stp/>
        <stp>BDH|14168492004168965097</stp>
        <tr r="J28" s="5"/>
      </tp>
      <tp t="e">
        <v>#N/A</v>
        <stp/>
        <stp>BDH|13368999301780437201</stp>
        <tr r="G77" s="12"/>
      </tp>
      <tp t="e">
        <v>#N/A</v>
        <stp/>
        <stp>BDH|17503496893355284724</stp>
        <tr r="W114" s="18"/>
      </tp>
      <tp t="e">
        <v>#N/A</v>
        <stp/>
        <stp>BDH|15643259991112539486</stp>
        <tr r="N13" s="8"/>
      </tp>
      <tp t="e">
        <v>#N/A</v>
        <stp/>
        <stp>BDH|14588286610159127635</stp>
        <tr r="U17" s="21"/>
      </tp>
      <tp t="e">
        <v>#N/A</v>
        <stp/>
        <stp>BDH|15724365990802636584</stp>
        <tr r="E108" s="18"/>
        <tr r="C8" s="20"/>
      </tp>
      <tp t="e">
        <v>#N/A</v>
        <stp/>
        <stp>BDH|12905605437908015715</stp>
        <tr r="I12" s="3"/>
        <tr r="G54" s="10"/>
        <tr r="G48" s="11"/>
        <tr r="G7" s="7"/>
      </tp>
      <tp t="e">
        <v>#N/A</v>
        <stp/>
        <stp>BDH|11694102488620371022</stp>
        <tr r="H75" s="18"/>
      </tp>
      <tp t="e">
        <v>#N/A</v>
        <stp/>
        <stp>BDH|17169151792996164185</stp>
        <tr r="Y8" s="21"/>
      </tp>
      <tp t="e">
        <v>#N/A</v>
        <stp/>
        <stp>BDH|17543094740563768840</stp>
        <tr r="N26" s="21"/>
      </tp>
      <tp t="e">
        <v>#N/A</v>
        <stp/>
        <stp>BDH|10649184252695123927</stp>
        <tr r="L13" s="14"/>
      </tp>
      <tp t="e">
        <v>#N/A</v>
        <stp/>
        <stp>BDH|14903824458896492787</stp>
        <tr r="E104" s="18"/>
      </tp>
      <tp t="e">
        <v>#N/A</v>
        <stp/>
        <stp>BDH|14768197749620075980</stp>
        <tr r="J11" s="14"/>
      </tp>
      <tp t="e">
        <v>#N/A</v>
        <stp/>
        <stp>BDH|13454657559788533026</stp>
        <tr r="G42" s="12"/>
      </tp>
      <tp t="e">
        <v>#N/A</v>
        <stp/>
        <stp>BDH|10183945776836474082</stp>
        <tr r="G31" s="21"/>
      </tp>
      <tp t="e">
        <v>#N/A</v>
        <stp/>
        <stp>BDH|10419226266705710986</stp>
        <tr r="W28" s="18"/>
      </tp>
      <tp t="e">
        <v>#N/A</v>
        <stp/>
        <stp>BDH|18352211106064274696</stp>
        <tr r="X65" s="24"/>
      </tp>
      <tp t="e">
        <v>#N/A</v>
        <stp/>
        <stp>BDH|11250862790279962126</stp>
        <tr r="G53" s="13"/>
      </tp>
      <tp t="e">
        <v>#N/A</v>
        <stp/>
        <stp>BDH|17912802784149020624</stp>
        <tr r="L14" s="23"/>
      </tp>
      <tp t="e">
        <v>#N/A</v>
        <stp/>
        <stp>BDH|13992046296553641135</stp>
        <tr r="T23" s="17"/>
        <tr r="T15" s="3"/>
      </tp>
      <tp t="e">
        <v>#N/A</v>
        <stp/>
        <stp>BDH|12690309668927158816</stp>
        <tr r="U27" s="21"/>
      </tp>
      <tp t="e">
        <v>#N/A</v>
        <stp/>
        <stp>BDH|17174989876835690475</stp>
        <tr r="E34" s="21"/>
      </tp>
      <tp t="e">
        <v>#N/A</v>
        <stp/>
        <stp>BDH|14915998529193017473</stp>
        <tr r="J14" s="22"/>
      </tp>
      <tp t="e">
        <v>#N/A</v>
        <stp/>
        <stp>BDH|11894817663375116256</stp>
        <tr r="L17" s="23"/>
      </tp>
      <tp t="e">
        <v>#N/A</v>
        <stp/>
        <stp>BDH|13504986029003897326</stp>
        <tr r="X12" s="13"/>
      </tp>
      <tp t="e">
        <v>#N/A</v>
        <stp/>
        <stp>BDH|16266270801234980833</stp>
        <tr r="H64" s="21"/>
      </tp>
      <tp t="e">
        <v>#N/A</v>
        <stp/>
        <stp>BDH|15021920669456198440</stp>
        <tr r="Y95" s="17"/>
        <tr r="Y30" s="25"/>
      </tp>
      <tp t="e">
        <v>#N/A</v>
        <stp/>
        <stp>BDH|14654164859680012879</stp>
        <tr r="I89" s="18"/>
      </tp>
      <tp t="e">
        <v>#N/A</v>
        <stp/>
        <stp>BDH|15198942236945493295</stp>
        <tr r="H33" s="21"/>
      </tp>
      <tp t="e">
        <v>#N/A</v>
        <stp/>
        <stp>BDH|11187187799166637783</stp>
        <tr r="G10" s="2"/>
        <tr r="F11" s="5"/>
        <tr r="F36" s="6"/>
        <tr r="I31" s="29"/>
        <tr r="I39" s="29"/>
      </tp>
      <tp t="e">
        <v>#N/A</v>
        <stp/>
        <stp>BDH|13883229156245446969</stp>
        <tr r="T37" s="24"/>
      </tp>
      <tp t="e">
        <v>#N/A</v>
        <stp/>
        <stp>BDH|14003470187835763593</stp>
        <tr r="R69" s="12"/>
      </tp>
      <tp t="e">
        <v>#N/A</v>
        <stp/>
        <stp>BDH|10011342979215784945</stp>
        <tr r="R50" s="21"/>
      </tp>
      <tp t="e">
        <v>#N/A</v>
        <stp/>
        <stp>BDH|12378322374789832732</stp>
        <tr r="P72" s="10"/>
        <tr r="P66" s="11"/>
      </tp>
      <tp t="e">
        <v>#N/A</v>
        <stp/>
        <stp>BDH|16705838529896249217</stp>
        <tr r="R21" s="27"/>
      </tp>
      <tp t="e">
        <v>#N/A</v>
        <stp/>
        <stp>BDH|18218180965386815192</stp>
        <tr r="N57" s="17"/>
        <tr r="N10" s="25"/>
      </tp>
      <tp t="e">
        <v>#N/A</v>
        <stp/>
        <stp>BDH|16587250339578545728</stp>
        <tr r="T50" s="12"/>
      </tp>
      <tp t="e">
        <v>#N/A</v>
        <stp/>
        <stp>BDH|14880468085179198948</stp>
        <tr r="L19" s="14"/>
      </tp>
      <tp t="e">
        <v>#N/A</v>
        <stp/>
        <stp>BDH|16113702290331849174</stp>
        <tr r="H112" s="18"/>
        <tr r="F13" s="20"/>
      </tp>
      <tp t="e">
        <v>#N/A</v>
        <stp/>
        <stp>BDH|14525685744079528722</stp>
        <tr r="D11" s="9"/>
      </tp>
      <tp t="e">
        <v>#N/A</v>
        <stp/>
        <stp>BDH|17240126376450108991</stp>
        <tr r="H33" s="34"/>
      </tp>
      <tp t="e">
        <v>#N/A</v>
        <stp/>
        <stp>BDH|16137788466059199604</stp>
        <tr r="K41" s="22"/>
      </tp>
      <tp t="e">
        <v>#N/A</v>
        <stp/>
        <stp>BDH|11035857857435533196</stp>
        <tr r="N96" s="18"/>
      </tp>
      <tp t="e">
        <v>#N/A</v>
        <stp/>
        <stp>BDH|15122978934110475789</stp>
        <tr r="U29" s="9"/>
      </tp>
      <tp t="e">
        <v>#N/A</v>
        <stp/>
        <stp>BDH|17511278884986139396</stp>
        <tr r="P29" s="21"/>
      </tp>
      <tp t="e">
        <v>#N/A</v>
        <stp/>
        <stp>BDH|15653281785164458315</stp>
        <tr r="D41" s="22"/>
      </tp>
      <tp t="e">
        <v>#N/A</v>
        <stp/>
        <stp>BDH|12298274985947941774</stp>
        <tr r="L11" s="24"/>
      </tp>
      <tp t="e">
        <v>#N/A</v>
        <stp/>
        <stp>BDH|13281196438088272002</stp>
        <tr r="X91" s="18"/>
      </tp>
      <tp t="e">
        <v>#N/A</v>
        <stp/>
        <stp>BDH|14591237257882058808</stp>
        <tr r="D30" s="29"/>
        <tr r="D8" s="29"/>
      </tp>
      <tp t="e">
        <v>#N/A</v>
        <stp/>
        <stp>BDH|15938284907748729608</stp>
        <tr r="C96" s="17"/>
      </tp>
      <tp t="e">
        <v>#N/A</v>
        <stp/>
        <stp>BDH|15634601197844518751</stp>
        <tr r="O6" s="19"/>
        <tr r="O37" s="17"/>
        <tr r="O16" s="3"/>
      </tp>
      <tp t="e">
        <v>#N/A</v>
        <stp/>
        <stp>BDH|10330947085281380904</stp>
        <tr r="Z12" s="3"/>
        <tr r="X54" s="10"/>
        <tr r="X48" s="11"/>
        <tr r="X7" s="7"/>
      </tp>
      <tp t="e">
        <v>#N/A</v>
        <stp/>
        <stp>BDH|16940694902429270019</stp>
        <tr r="H15" s="11"/>
      </tp>
      <tp t="e">
        <v>#N/A</v>
        <stp/>
        <stp>BDH|12031474510207674908</stp>
        <tr r="D12" s="12"/>
      </tp>
      <tp t="e">
        <v>#N/A</v>
        <stp/>
        <stp>BDH|10284468525607789877</stp>
        <tr r="N7" s="10"/>
      </tp>
      <tp t="e">
        <v>#N/A</v>
        <stp/>
        <stp>BDH|11540649232348369510</stp>
        <tr r="N73" s="17"/>
        <tr r="K8" s="5"/>
        <tr r="K8" s="9"/>
      </tp>
      <tp t="e">
        <v>#N/A</v>
        <stp/>
        <stp>BDH|11911821998931267800</stp>
        <tr r="U18" s="22"/>
      </tp>
      <tp t="e">
        <v>#N/A</v>
        <stp/>
        <stp>BDH|17010314595640692435</stp>
        <tr r="D129" s="18"/>
      </tp>
      <tp t="e">
        <v>#N/A</v>
        <stp/>
        <stp>BDH|12160361593407279679</stp>
        <tr r="K69" s="10"/>
        <tr r="K63" s="11"/>
        <tr r="K20" s="7"/>
      </tp>
      <tp t="e">
        <v>#N/A</v>
        <stp/>
        <stp>BDH|16349425268768092582</stp>
        <tr r="U16" s="12"/>
      </tp>
      <tp t="e">
        <v>#N/A</v>
        <stp/>
        <stp>BDH|13227851178885713096</stp>
        <tr r="K37" s="21"/>
        <tr r="K24" s="3"/>
      </tp>
      <tp t="e">
        <v>#N/A</v>
        <stp/>
        <stp>BDH|17349738897402340250</stp>
        <tr r="K26" s="34"/>
      </tp>
      <tp t="e">
        <v>#N/A</v>
        <stp/>
        <stp>BDH|10839884856174359040</stp>
        <tr r="J142" s="18"/>
      </tp>
      <tp t="e">
        <v>#N/A</v>
        <stp/>
        <stp>BDH|10290362303143611908</stp>
        <tr r="E72" s="24"/>
      </tp>
      <tp t="e">
        <v>#N/A</v>
        <stp/>
        <stp>BDH|18437553427651767703</stp>
        <tr r="I73" s="10"/>
        <tr r="I67" s="11"/>
      </tp>
      <tp t="e">
        <v>#N/A</v>
        <stp/>
        <stp>BDH|15189012586203485732</stp>
        <tr r="J42" s="17"/>
      </tp>
      <tp t="e">
        <v>#N/A</v>
        <stp/>
        <stp>BDH|12609710784964722059</stp>
        <tr r="Y37" s="21"/>
        <tr r="Y24" s="3"/>
      </tp>
      <tp t="e">
        <v>#N/A</v>
        <stp/>
        <stp>BDH|17096921325115233048</stp>
        <tr r="K30" s="24"/>
      </tp>
      <tp t="e">
        <v>#N/A</v>
        <stp/>
        <stp>BDH|14233379083775272358</stp>
        <tr r="M14" s="21"/>
      </tp>
      <tp t="e">
        <v>#N/A</v>
        <stp/>
        <stp>BDH|13206863344931633778</stp>
        <tr r="E69" s="12"/>
      </tp>
      <tp t="e">
        <v>#N/A</v>
        <stp/>
        <stp>BDH|15571501391010357062</stp>
        <tr r="D56" s="12"/>
      </tp>
      <tp t="e">
        <v>#N/A</v>
        <stp/>
        <stp>BDH|15340741811569742304</stp>
        <tr r="P13" s="21"/>
      </tp>
      <tp t="e">
        <v>#N/A</v>
        <stp/>
        <stp>BDH|14738226645089839296</stp>
        <tr r="V57" s="11"/>
      </tp>
      <tp t="e">
        <v>#N/A</v>
        <stp/>
        <stp>BDH|10263946116031868096</stp>
        <tr r="M25" s="4"/>
        <tr r="M64" s="10"/>
      </tp>
      <tp t="e">
        <v>#N/A</v>
        <stp/>
        <stp>BDH|14343172597394746151</stp>
        <tr r="N125" s="18"/>
      </tp>
      <tp t="e">
        <v>#N/A</v>
        <stp/>
        <stp>BDH|14775929135554691372</stp>
        <tr r="T33" s="17"/>
      </tp>
      <tp t="e">
        <v>#N/A</v>
        <stp/>
        <stp>BDH|16733176926725745901</stp>
        <tr r="O63" s="21"/>
      </tp>
      <tp t="e">
        <v>#N/A</v>
        <stp/>
        <stp>BDH|11270980547697443282</stp>
        <tr r="R121" s="18"/>
      </tp>
      <tp t="e">
        <v>#N/A</v>
        <stp/>
        <stp>BDH|10074853916216172636</stp>
        <tr r="C50" s="24"/>
      </tp>
      <tp t="e">
        <v>#N/A</v>
        <stp/>
        <stp>BDH|12050287908050265932</stp>
        <tr r="E36" s="18"/>
      </tp>
      <tp t="e">
        <v>#N/A</v>
        <stp/>
        <stp>BDH|17629630956718615542</stp>
        <tr r="H26" s="29"/>
      </tp>
      <tp t="e">
        <v>#N/A</v>
        <stp/>
        <stp>BDH|15230110770069557370</stp>
        <tr r="S39" s="22"/>
      </tp>
      <tp t="e">
        <v>#N/A</v>
        <stp/>
        <stp>BDH|16409796118718716135</stp>
        <tr r="U45" s="13"/>
      </tp>
      <tp t="e">
        <v>#N/A</v>
        <stp/>
        <stp>BDH|13529910455311112715</stp>
        <tr r="T25" s="18"/>
      </tp>
      <tp t="e">
        <v>#N/A</v>
        <stp/>
        <stp>BDH|10276592351578946121</stp>
        <tr r="V89" s="18"/>
      </tp>
      <tp t="e">
        <v>#N/A</v>
        <stp/>
        <stp>BDH|13385934231914528453</stp>
        <tr r="L71" s="12"/>
      </tp>
      <tp t="e">
        <v>#N/A</v>
        <stp/>
        <stp>BDH|17584590380017588484</stp>
        <tr r="Z23" s="22"/>
      </tp>
      <tp t="e">
        <v>#N/A</v>
        <stp/>
        <stp>BDH|12833128519859306217</stp>
        <tr r="Z40" s="22"/>
      </tp>
      <tp t="e">
        <v>#N/A</v>
        <stp/>
        <stp>BDH|15307442489725962578</stp>
        <tr r="T45" s="17"/>
        <tr r="T9" s="25"/>
      </tp>
      <tp t="e">
        <v>#N/A</v>
        <stp/>
        <stp>BDH|18321522350843804293</stp>
        <tr r="X79" s="17"/>
      </tp>
      <tp t="e">
        <v>#N/A</v>
        <stp/>
        <stp>BDH|10436643435029307569</stp>
        <tr r="C37" s="21"/>
        <tr r="C24" s="3"/>
      </tp>
      <tp t="e">
        <v>#N/A</v>
        <stp/>
        <stp>BDH|14267659753406049847</stp>
        <tr r="M112" s="18"/>
        <tr r="K13" s="20"/>
      </tp>
      <tp t="e">
        <v>#N/A</v>
        <stp/>
        <stp>BDH|16402292978978101245</stp>
        <tr r="G36" s="21"/>
      </tp>
      <tp t="e">
        <v>#N/A</v>
        <stp/>
        <stp>BDH|15367739060478578552</stp>
        <tr r="C15" s="21"/>
      </tp>
      <tp t="e">
        <v>#N/A</v>
        <stp/>
        <stp>BDH|16598192662130916876</stp>
        <tr r="M51" s="13"/>
      </tp>
      <tp t="e">
        <v>#N/A</v>
        <stp/>
        <stp>BDH|13970712259398581043</stp>
        <tr r="Q10" s="10"/>
      </tp>
      <tp t="e">
        <v>#N/A</v>
        <stp/>
        <stp>BDH|16145398546959786190</stp>
        <tr r="AA7" s="30"/>
      </tp>
      <tp t="e">
        <v>#N/A</v>
        <stp/>
        <stp>BDH|13088511896636658016</stp>
        <tr r="E63" s="17"/>
      </tp>
      <tp t="e">
        <v>#N/A</v>
        <stp/>
        <stp>BDH|13374627142878235017</stp>
        <tr r="H33" s="26"/>
      </tp>
      <tp t="e">
        <v>#N/A</v>
        <stp/>
        <stp>BDH|12037942311572712129</stp>
        <tr r="Z45" s="24"/>
      </tp>
      <tp t="e">
        <v>#N/A</v>
        <stp/>
        <stp>BDH|12325636785762086757</stp>
        <tr r="I91" s="18"/>
      </tp>
      <tp t="e">
        <v>#N/A</v>
        <stp/>
        <stp>BDH|11648937271437164152</stp>
        <tr r="V7" s="30"/>
      </tp>
      <tp t="e">
        <v>#N/A</v>
        <stp/>
        <stp>BDH|12541492131794943846</stp>
        <tr r="K21" s="20"/>
      </tp>
      <tp t="e">
        <v>#N/A</v>
        <stp/>
        <stp>BDH|12683093406332180983</stp>
        <tr r="W17" s="14"/>
      </tp>
      <tp t="e">
        <v>#N/A</v>
        <stp/>
        <stp>BDH|14176909546577293751</stp>
        <tr r="C123" s="18"/>
      </tp>
      <tp t="e">
        <v>#N/A</v>
        <stp/>
        <stp>BDH|13358932549456827113</stp>
        <tr r="Y123" s="18"/>
      </tp>
      <tp t="e">
        <v>#N/A</v>
        <stp/>
        <stp>BDH|11218871556435576061</stp>
        <tr r="S15" s="22"/>
      </tp>
      <tp t="e">
        <v>#N/A</v>
        <stp/>
        <stp>BDH|11672463084103536714</stp>
        <tr r="V56" s="13"/>
      </tp>
      <tp t="e">
        <v>#N/A</v>
        <stp/>
        <stp>BDH|12498856234832109245</stp>
        <tr r="AA8" s="12"/>
      </tp>
      <tp t="e">
        <v>#N/A</v>
        <stp/>
        <stp>BDH|11666874335027776434</stp>
        <tr r="J18" s="17"/>
      </tp>
      <tp t="e">
        <v>#N/A</v>
        <stp/>
        <stp>BDH|14086859550492446211</stp>
        <tr r="N53" s="24"/>
      </tp>
      <tp t="e">
        <v>#N/A</v>
        <stp/>
        <stp>BDH|11565735167440479950</stp>
        <tr r="D20" s="18"/>
      </tp>
      <tp t="e">
        <v>#N/A</v>
        <stp/>
        <stp>BDH|14409068023147387821</stp>
        <tr r="U126" s="18"/>
      </tp>
      <tp t="e">
        <v>#N/A</v>
        <stp/>
        <stp>BDH|13840492986064756204</stp>
        <tr r="R54" s="12"/>
      </tp>
      <tp t="e">
        <v>#N/A</v>
        <stp/>
        <stp>BDH|15103949836873154522</stp>
        <tr r="AA34" s="22"/>
      </tp>
      <tp t="e">
        <v>#N/A</v>
        <stp/>
        <stp>BDH|12126020732239801196</stp>
        <tr r="M16" s="22"/>
      </tp>
      <tp t="e">
        <v>#N/A</v>
        <stp/>
        <stp>BDH|16000251119418543497</stp>
        <tr r="M7" s="30"/>
      </tp>
      <tp t="e">
        <v>#N/A</v>
        <stp/>
        <stp>BDH|13400564667409532007</stp>
        <tr r="P19" s="14"/>
      </tp>
      <tp t="e">
        <v>#N/A</v>
        <stp/>
        <stp>BDH|13092924451053845582</stp>
        <tr r="R45" s="13"/>
      </tp>
      <tp t="e">
        <v>#N/A</v>
        <stp/>
        <stp>BDH|16773338492421084458</stp>
        <tr r="M17" s="22"/>
      </tp>
      <tp t="e">
        <v>#N/A</v>
        <stp/>
        <stp>BDH|15789307826498308510</stp>
        <tr r="W33" s="6"/>
        <tr r="Y9" s="8"/>
      </tp>
      <tp t="e">
        <v>#N/A</v>
        <stp/>
        <stp>BDH|16317664085778490971</stp>
        <tr r="V20" s="12"/>
      </tp>
      <tp t="e">
        <v>#N/A</v>
        <stp/>
        <stp>BDH|18083536277546185569</stp>
        <tr r="Q33" s="18"/>
      </tp>
      <tp t="e">
        <v>#N/A</v>
        <stp/>
        <stp>BDH|14499014249099700087</stp>
        <tr r="V136" s="18"/>
      </tp>
      <tp t="e">
        <v>#N/A</v>
        <stp/>
        <stp>BDH|13358655080352381662</stp>
        <tr r="Y44" s="18"/>
      </tp>
      <tp t="e">
        <v>#N/A</v>
        <stp/>
        <stp>BDH|15706967732663111519</stp>
        <tr r="U21" s="5"/>
      </tp>
      <tp t="e">
        <v>#N/A</v>
        <stp/>
        <stp>BDH|11239601895323088441</stp>
        <tr r="J18" s="24"/>
      </tp>
      <tp t="e">
        <v>#N/A</v>
        <stp/>
        <stp>BDH|11671934630894313655</stp>
        <tr r="Z48" s="12"/>
      </tp>
      <tp t="e">
        <v>#N/A</v>
        <stp/>
        <stp>BDH|15817812147884961442</stp>
        <tr r="W18" s="30"/>
      </tp>
      <tp t="e">
        <v>#N/A</v>
        <stp/>
        <stp>BDH|14170155394530215518</stp>
        <tr r="E48" s="18"/>
      </tp>
      <tp t="e">
        <v>#N/A</v>
        <stp/>
        <stp>BDH|11902539848481827892</stp>
        <tr r="Z17" s="23"/>
      </tp>
      <tp t="e">
        <v>#N/A</v>
        <stp/>
        <stp>BDH|15651974800783490662</stp>
        <tr r="H19" s="22"/>
      </tp>
      <tp t="e">
        <v>#N/A</v>
        <stp/>
        <stp>BDH|13964787963883316825</stp>
        <tr r="W134" s="18"/>
      </tp>
      <tp t="e">
        <v>#N/A</v>
        <stp/>
        <stp>BDH|14333897619974991099</stp>
        <tr r="F142" s="18"/>
      </tp>
      <tp t="e">
        <v>#N/A</v>
        <stp/>
        <stp>BDH|13963777314204078896</stp>
        <tr r="AA7" s="14"/>
      </tp>
      <tp t="e">
        <v>#N/A</v>
        <stp/>
        <stp>BDH|12217011185880699333</stp>
        <tr r="U41" s="21"/>
      </tp>
      <tp t="e">
        <v>#N/A</v>
        <stp/>
        <stp>BDH|12946885632382709270</stp>
        <tr r="S37" s="24"/>
      </tp>
      <tp t="e">
        <v>#N/A</v>
        <stp/>
        <stp>BDH|10851830032414223681</stp>
        <tr r="R17" s="10"/>
      </tp>
      <tp t="e">
        <v>#N/A</v>
        <stp/>
        <stp>BDH|13616709492412787605</stp>
        <tr r="L46" s="18"/>
      </tp>
      <tp t="e">
        <v>#N/A</v>
        <stp/>
        <stp>BDH|10677484565039160294</stp>
        <tr r="Q16" s="25"/>
      </tp>
      <tp t="e">
        <v>#N/A</v>
        <stp/>
        <stp>BDH|13367947679024593089</stp>
        <tr r="X34" s="24"/>
      </tp>
      <tp t="e">
        <v>#N/A</v>
        <stp/>
        <stp>BDH|16301007737335503924</stp>
        <tr r="L31" s="21"/>
      </tp>
      <tp t="e">
        <v>#N/A</v>
        <stp/>
        <stp>BDH|12343221793149641970</stp>
        <tr r="G12" s="12"/>
      </tp>
      <tp t="e">
        <v>#N/A</v>
        <stp/>
        <stp>BDH|14420695226068967111</stp>
        <tr r="U44" s="18"/>
      </tp>
      <tp t="e">
        <v>#N/A</v>
        <stp/>
        <stp>BDH|16075953840165748711</stp>
        <tr r="N28" s="5"/>
      </tp>
      <tp t="e">
        <v>#N/A</v>
        <stp/>
        <stp>BDH|16443380199070627506</stp>
        <tr r="C14" s="13"/>
      </tp>
      <tp t="e">
        <v>#N/A</v>
        <stp/>
        <stp>BDH|14672183700955928948</stp>
        <tr r="Q13" s="13"/>
      </tp>
      <tp t="e">
        <v>#N/A</v>
        <stp/>
        <stp>BDH|10742682959118651234</stp>
        <tr r="K22" s="30"/>
        <tr r="K25" s="23"/>
      </tp>
      <tp t="e">
        <v>#N/A</v>
        <stp/>
        <stp>BDH|12214942755495599258</stp>
        <tr r="K24" s="12"/>
      </tp>
      <tp t="e">
        <v>#N/A</v>
        <stp/>
        <stp>BDH|16263169585612157439</stp>
        <tr r="D10" s="26"/>
      </tp>
      <tp t="e">
        <v>#N/A</v>
        <stp/>
        <stp>BDH|13595704002678170559</stp>
        <tr r="Y17" s="11"/>
      </tp>
      <tp t="e">
        <v>#N/A</v>
        <stp/>
        <stp>BDH|10160203830370553877</stp>
        <tr r="T92" s="17"/>
      </tp>
      <tp t="e">
        <v>#N/A</v>
        <stp/>
        <stp>BDH|16346357997271143431</stp>
        <tr r="U124" s="18"/>
      </tp>
      <tp t="e">
        <v>#N/A</v>
        <stp/>
        <stp>BDH|16231846922882614718</stp>
        <tr r="Z34" s="21"/>
      </tp>
      <tp t="e">
        <v>#N/A</v>
        <stp/>
        <stp>BDH|17279717404301183840</stp>
        <tr r="D28" s="21"/>
      </tp>
      <tp t="e">
        <v>#N/A</v>
        <stp/>
        <stp>BDH|18060201927168487914</stp>
        <tr r="G35" s="25"/>
        <tr r="G7" s="3"/>
        <tr r="E18" s="11"/>
        <tr r="G22" s="13"/>
        <tr r="G7" s="13"/>
      </tp>
      <tp t="e">
        <v>#N/A</v>
        <stp/>
        <stp>BDH|12742830923412631339</stp>
        <tr r="T7" s="6"/>
      </tp>
      <tp t="e">
        <v>#N/A</v>
        <stp/>
        <stp>BDH|15893316728079702445</stp>
        <tr r="X39" s="6"/>
      </tp>
      <tp t="e">
        <v>#N/A</v>
        <stp/>
        <stp>BDH|14385440422642315945</stp>
        <tr r="P10" s="24"/>
      </tp>
      <tp t="e">
        <v>#N/A</v>
        <stp/>
        <stp>BDH|11422588376648143290</stp>
        <tr r="F23" s="25"/>
        <tr r="F13" s="27"/>
      </tp>
      <tp t="e">
        <v>#N/A</v>
        <stp/>
        <stp>BDH|13509494674101236889</stp>
        <tr r="N33" s="21"/>
      </tp>
      <tp t="e">
        <v>#N/A</v>
        <stp/>
        <stp>BDH|10214336758438956729</stp>
        <tr r="I7" s="21"/>
      </tp>
      <tp t="e">
        <v>#N/A</v>
        <stp/>
        <stp>BDH|10694924025462602056</stp>
        <tr r="T13" s="8"/>
      </tp>
      <tp t="e">
        <v>#N/A</v>
        <stp/>
        <stp>BDH|18267629898278826621</stp>
        <tr r="S38" s="24"/>
      </tp>
      <tp t="e">
        <v>#N/A</v>
        <stp/>
        <stp>BDH|11990996012221428141</stp>
        <tr r="Q48" s="18"/>
      </tp>
      <tp t="e">
        <v>#N/A</v>
        <stp/>
        <stp>BDH|18068680518321039728</stp>
        <tr r="P52" s="10"/>
        <tr r="P46" s="11"/>
        <tr r="P16" s="7"/>
      </tp>
      <tp t="e">
        <v>#N/A</v>
        <stp/>
        <stp>BDH|11250978857311976595</stp>
        <tr r="E10" s="21"/>
      </tp>
      <tp t="e">
        <v>#N/A</v>
        <stp/>
        <stp>BDH|16342968376243330221</stp>
        <tr r="T15" s="21"/>
      </tp>
      <tp t="e">
        <v>#N/A</v>
        <stp/>
        <stp>BDH|14564061496915321140</stp>
        <tr r="R25" s="10"/>
      </tp>
      <tp t="e">
        <v>#N/A</v>
        <stp/>
        <stp>BDH|16577956972288681969</stp>
        <tr r="H28" s="4"/>
      </tp>
      <tp t="e">
        <v>#N/A</v>
        <stp/>
        <stp>BDH|17203281273523820834</stp>
        <tr r="G28" s="5"/>
      </tp>
      <tp t="e">
        <v>#N/A</v>
        <stp/>
        <stp>BDH|18124646286646149907</stp>
        <tr r="D20" s="12"/>
      </tp>
      <tp t="e">
        <v>#N/A</v>
        <stp/>
        <stp>BDH|14755024590451775503</stp>
        <tr r="X20" s="24"/>
      </tp>
      <tp t="e">
        <v>#N/A</v>
        <stp/>
        <stp>BDH|13556231649999490594</stp>
        <tr r="P150" s="18"/>
      </tp>
      <tp t="e">
        <v>#N/A</v>
        <stp/>
        <stp>BDH|15455430313561687808</stp>
        <tr r="X25" s="4"/>
        <tr r="X64" s="10"/>
      </tp>
      <tp t="e">
        <v>#N/A</v>
        <stp/>
        <stp>BDH|10378175093790101145</stp>
        <tr r="O65" s="18"/>
      </tp>
      <tp t="e">
        <v>#N/A</v>
        <stp/>
        <stp>BDH|10530813132370178253</stp>
        <tr r="U64" s="17"/>
      </tp>
      <tp t="e">
        <v>#N/A</v>
        <stp/>
        <stp>BDH|16306204879423021987</stp>
        <tr r="E76" s="18"/>
      </tp>
      <tp t="e">
        <v>#N/A</v>
        <stp/>
        <stp>BDH|10450454200439187428</stp>
        <tr r="D7" s="23"/>
      </tp>
      <tp t="e">
        <v>#N/A</v>
        <stp/>
        <stp>BDH|16120726719170963916</stp>
        <tr r="N148" s="18"/>
      </tp>
      <tp t="e">
        <v>#N/A</v>
        <stp/>
        <stp>BDH|10285815856810208451</stp>
        <tr r="L33" s="34"/>
      </tp>
      <tp t="e">
        <v>#N/A</v>
        <stp/>
        <stp>BDH|12133345503519318108</stp>
        <tr r="L123" s="18"/>
      </tp>
      <tp t="e">
        <v>#N/A</v>
        <stp/>
        <stp>BDH|18282207542385331265</stp>
        <tr r="C33" s="18"/>
      </tp>
      <tp t="e">
        <v>#N/A</v>
        <stp/>
        <stp>BDH|11068314697957122523</stp>
        <tr r="X17" s="24"/>
      </tp>
      <tp t="e">
        <v>#N/A</v>
        <stp/>
        <stp>BDH|16285604115480655847</stp>
        <tr r="Q11" s="11"/>
      </tp>
      <tp t="e">
        <v>#N/A</v>
        <stp/>
        <stp>BDH|12552557581152496400</stp>
        <tr r="Z96" s="18"/>
      </tp>
      <tp t="e">
        <v>#N/A</v>
        <stp/>
        <stp>BDH|11134816466267780145</stp>
        <tr r="H15" s="21"/>
      </tp>
      <tp t="e">
        <v>#N/A</v>
        <stp/>
        <stp>BDH|14501659150497634937</stp>
        <tr r="M12" s="13"/>
      </tp>
      <tp t="e">
        <v>#N/A</v>
        <stp/>
        <stp>BDH|10867936572293828449</stp>
        <tr r="S23" s="17"/>
        <tr r="S15" s="3"/>
      </tp>
      <tp t="e">
        <v>#N/A</v>
        <stp/>
        <stp>BDH|14105506236413181832</stp>
        <tr r="D97" s="17"/>
        <tr r="D7" s="27"/>
      </tp>
      <tp t="e">
        <v>#N/A</v>
        <stp/>
        <stp>BDH|11178107078176909859</stp>
        <tr r="U24" s="12"/>
      </tp>
      <tp t="e">
        <v>#N/A</v>
        <stp/>
        <stp>BDH|16429409095284563617</stp>
        <tr r="R12" s="14"/>
      </tp>
      <tp t="e">
        <v>#N/A</v>
        <stp/>
        <stp>BDH|18298741064539158967</stp>
        <tr r="D64" s="21"/>
      </tp>
      <tp t="e">
        <v>#N/A</v>
        <stp/>
        <stp>BDH|14793662815568214231</stp>
        <tr r="V22" s="27"/>
      </tp>
      <tp t="e">
        <v>#N/A</v>
        <stp/>
        <stp>BDH|15742859170272731102</stp>
        <tr r="T11" s="12"/>
      </tp>
      <tp t="e">
        <v>#N/A</v>
        <stp/>
        <stp>BDH|11367708084531753650</stp>
        <tr r="N39" s="12"/>
      </tp>
      <tp t="e">
        <v>#N/A</v>
        <stp/>
        <stp>BDH|16454078621258771506</stp>
        <tr r="M37" s="34"/>
      </tp>
      <tp t="e">
        <v>#N/A</v>
        <stp/>
        <stp>BDH|17679559805182029933</stp>
        <tr r="Z38" s="18"/>
      </tp>
      <tp t="e">
        <v>#N/A</v>
        <stp/>
        <stp>BDH|11135943562861124634</stp>
        <tr r="W165" s="18"/>
      </tp>
      <tp t="e">
        <v>#N/A</v>
        <stp/>
        <stp>BDH|14544205846423003868</stp>
        <tr r="S24" s="2"/>
      </tp>
      <tp t="e">
        <v>#N/A</v>
        <stp/>
        <stp>BDH|12159817634036686677</stp>
        <tr r="I156" s="18"/>
      </tp>
      <tp t="e">
        <v>#N/A</v>
        <stp/>
        <stp>BDH|18156151471617293026</stp>
        <tr r="D31" s="21"/>
      </tp>
      <tp t="e">
        <v>#N/A</v>
        <stp/>
        <stp>BDH|10891261094497933563</stp>
        <tr r="F19" s="12"/>
      </tp>
      <tp t="e">
        <v>#N/A</v>
        <stp/>
        <stp>BDH|11151724031488313448</stp>
        <tr r="L14" s="28"/>
      </tp>
      <tp t="e">
        <v>#N/A</v>
        <stp/>
        <stp>BDH|15704976625882540556</stp>
        <tr r="V16" s="24"/>
      </tp>
      <tp t="e">
        <v>#N/A</v>
        <stp/>
        <stp>BDH|10773197260617984922</stp>
        <tr r="W69" s="12"/>
      </tp>
      <tp t="e">
        <v>#N/A</v>
        <stp/>
        <stp>BDH|12310450162179952089</stp>
        <tr r="O144" s="18"/>
      </tp>
      <tp t="e">
        <v>#N/A</v>
        <stp/>
        <stp>BDH|11706602381480735646</stp>
        <tr r="M23" s="24"/>
      </tp>
      <tp t="e">
        <v>#N/A</v>
        <stp/>
        <stp>BDH|17729207827158336664</stp>
        <tr r="T10" s="2"/>
        <tr r="S11" s="5"/>
        <tr r="S36" s="6"/>
        <tr r="V31" s="29"/>
        <tr r="V39" s="29"/>
      </tp>
      <tp t="e">
        <v>#N/A</v>
        <stp/>
        <stp>BDH|17460914040063604060</stp>
        <tr r="F66" s="24"/>
      </tp>
      <tp t="e">
        <v>#N/A</v>
        <stp/>
        <stp>BDH|13492261122852152844</stp>
        <tr r="P71" s="12"/>
      </tp>
      <tp t="e">
        <v>#N/A</v>
        <stp/>
        <stp>BDH|13722914931414065424</stp>
        <tr r="F8" s="6"/>
      </tp>
      <tp t="e">
        <v>#N/A</v>
        <stp/>
        <stp>BDH|15381938855151713170</stp>
        <tr r="T8" s="10"/>
      </tp>
      <tp t="e">
        <v>#N/A</v>
        <stp/>
        <stp>BDH|12525523083290944687</stp>
        <tr r="U79" s="17"/>
      </tp>
      <tp t="e">
        <v>#N/A</v>
        <stp/>
        <stp>BDH|14741635602628423375</stp>
        <tr r="F41" s="13"/>
      </tp>
      <tp t="e">
        <v>#N/A</v>
        <stp/>
        <stp>BDH|17420208297855772012</stp>
        <tr r="O21" s="12"/>
      </tp>
      <tp t="e">
        <v>#N/A</v>
        <stp/>
        <stp>BDH|12231948265227697307</stp>
        <tr r="T86" s="18"/>
      </tp>
      <tp t="e">
        <v>#N/A</v>
        <stp/>
        <stp>BDH|11650509100618291514</stp>
        <tr r="K8" s="34"/>
      </tp>
      <tp t="e">
        <v>#N/A</v>
        <stp/>
        <stp>BDH|18120942485514674435</stp>
        <tr r="I9" s="10"/>
      </tp>
      <tp t="e">
        <v>#N/A</v>
        <stp/>
        <stp>BDH|18325455042036507740</stp>
        <tr r="AA12" s="14"/>
      </tp>
      <tp t="e">
        <v>#N/A</v>
        <stp/>
        <stp>BDH|15057436991238473930</stp>
        <tr r="R26" s="7"/>
      </tp>
      <tp t="e">
        <v>#N/A</v>
        <stp/>
        <stp>BDH|12378236877537317913</stp>
        <tr r="W65" s="18"/>
      </tp>
      <tp t="e">
        <v>#N/A</v>
        <stp/>
        <stp>BDH|13053446595444326370</stp>
        <tr r="X89" s="17"/>
      </tp>
      <tp t="e">
        <v>#N/A</v>
        <stp/>
        <stp>BDH|10578061496419270921</stp>
        <tr r="Y45" s="17"/>
        <tr r="Y9" s="25"/>
      </tp>
      <tp t="e">
        <v>#N/A</v>
        <stp/>
        <stp>BDH|12588032880327252418</stp>
        <tr r="E43" s="17"/>
      </tp>
      <tp t="e">
        <v>#N/A</v>
        <stp/>
        <stp>BDH|10020914534395965688</stp>
        <tr r="M120" s="18"/>
      </tp>
      <tp t="e">
        <v>#N/A</v>
        <stp/>
        <stp>BDH|13515982135991575196</stp>
        <tr r="M78" s="17"/>
      </tp>
      <tp t="e">
        <v>#N/A</v>
        <stp/>
        <stp>BDH|11652685086122426488</stp>
        <tr r="V17" s="5"/>
        <tr r="V24" s="6"/>
      </tp>
      <tp t="e">
        <v>#N/A</v>
        <stp/>
        <stp>BDH|14380882042255933440</stp>
        <tr r="O150" s="18"/>
      </tp>
      <tp t="e">
        <v>#N/A</v>
        <stp/>
        <stp>BDH|17487580166734767992</stp>
        <tr r="T44" s="24"/>
      </tp>
      <tp t="e">
        <v>#N/A</v>
        <stp/>
        <stp>BDH|16443619479169074781</stp>
        <tr r="T43" s="12"/>
      </tp>
      <tp t="e">
        <v>#N/A</v>
        <stp/>
        <stp>BDH|14075594349038198452</stp>
        <tr r="G26" s="26"/>
      </tp>
      <tp t="e">
        <v>#N/A</v>
        <stp/>
        <stp>BDH|17080070250368459376</stp>
        <tr r="S14" s="21"/>
      </tp>
      <tp t="e">
        <v>#N/A</v>
        <stp/>
        <stp>BDH|11267569208048034584</stp>
        <tr r="Q39" s="22"/>
      </tp>
      <tp t="e">
        <v>#N/A</v>
        <stp/>
        <stp>BDH|16124414553219196765</stp>
        <tr r="F105" s="18"/>
      </tp>
      <tp t="e">
        <v>#N/A</v>
        <stp/>
        <stp>BDH|16025871402025722269</stp>
        <tr r="S75" s="12"/>
      </tp>
      <tp t="e">
        <v>#N/A</v>
        <stp/>
        <stp>BDH|13717050942209143759</stp>
        <tr r="E30" s="22"/>
      </tp>
      <tp t="e">
        <v>#N/A</v>
        <stp/>
        <stp>BDH|13559362185003484261</stp>
        <tr r="U18" s="6"/>
      </tp>
      <tp t="e">
        <v>#N/A</v>
        <stp/>
        <stp>BDH|10892002596568960836</stp>
        <tr r="M164" s="18"/>
      </tp>
      <tp t="e">
        <v>#N/A</v>
        <stp/>
        <stp>BDH|17747708167679262662</stp>
        <tr r="S30" s="12"/>
      </tp>
      <tp t="e">
        <v>#N/A</v>
        <stp/>
        <stp>BDH|11170857837853266053</stp>
        <tr r="E82" s="17"/>
        <tr r="E19" s="3"/>
      </tp>
      <tp t="e">
        <v>#N/A</v>
        <stp/>
        <stp>BDH|14218526881966635630</stp>
        <tr r="E37" s="6"/>
      </tp>
      <tp t="e">
        <v>#N/A</v>
        <stp/>
        <stp>BDH|17012771869678884722</stp>
        <tr r="Y62" s="10"/>
      </tp>
      <tp t="e">
        <v>#N/A</v>
        <stp/>
        <stp>BDH|13738006024310666813</stp>
        <tr r="K50" s="13"/>
      </tp>
      <tp t="e">
        <v>#N/A</v>
        <stp/>
        <stp>BDH|13930636674983298887</stp>
        <tr r="V18" s="18"/>
      </tp>
      <tp t="e">
        <v>#N/A</v>
        <stp/>
        <stp>BDH|16589349837698767750</stp>
        <tr r="E17" s="22"/>
      </tp>
      <tp t="e">
        <v>#N/A</v>
        <stp/>
        <stp>BDH|14332561880030602073</stp>
        <tr r="U46" s="18"/>
      </tp>
      <tp t="e">
        <v>#N/A</v>
        <stp/>
        <stp>BDH|10735654463309534006</stp>
        <tr r="K25" s="6"/>
      </tp>
      <tp t="e">
        <v>#N/A</v>
        <stp/>
        <stp>BDH|12470562299767930060</stp>
        <tr r="E52" s="10"/>
        <tr r="E46" s="11"/>
        <tr r="E16" s="7"/>
      </tp>
      <tp t="e">
        <v>#N/A</v>
        <stp/>
        <stp>BDH|17159376489592361780</stp>
        <tr r="I15" s="4"/>
      </tp>
      <tp t="e">
        <v>#N/A</v>
        <stp/>
        <stp>BDH|10915263608168202313</stp>
        <tr r="O21" s="17"/>
      </tp>
      <tp t="e">
        <v>#N/A</v>
        <stp/>
        <stp>BDH|13016548563220026939</stp>
        <tr r="S64" s="17"/>
      </tp>
      <tp t="e">
        <v>#N/A</v>
        <stp/>
        <stp>BDH|16066139978830616991</stp>
        <tr r="E33" s="17"/>
      </tp>
      <tp t="e">
        <v>#N/A</v>
        <stp/>
        <stp>BDH|10646164554595472844</stp>
        <tr r="Y12" s="17"/>
      </tp>
      <tp t="e">
        <v>#N/A</v>
        <stp/>
        <stp>BDH|14865903137870980723</stp>
        <tr r="V32" s="12"/>
      </tp>
      <tp t="e">
        <v>#N/A</v>
        <stp/>
        <stp>BDH|13659773957240506872</stp>
        <tr r="G28" s="18"/>
      </tp>
      <tp t="e">
        <v>#N/A</v>
        <stp/>
        <stp>BDH|10259263451137546946</stp>
        <tr r="L100" s="18"/>
      </tp>
      <tp t="e">
        <v>#N/A</v>
        <stp/>
        <stp>BDH|15247835585455642964</stp>
        <tr r="O27" s="18"/>
      </tp>
      <tp t="e">
        <v>#N/A</v>
        <stp/>
        <stp>BDH|16933825665855223489</stp>
        <tr r="W32" s="12"/>
      </tp>
      <tp t="e">
        <v>#N/A</v>
        <stp/>
        <stp>BDH|17704770039753450996</stp>
        <tr r="Y9" s="17"/>
      </tp>
      <tp t="e">
        <v>#N/A</v>
        <stp/>
        <stp>BDH|12933640113879160586</stp>
        <tr r="E17" s="21"/>
      </tp>
      <tp t="e">
        <v>#N/A</v>
        <stp/>
        <stp>BDH|15557458194876166728</stp>
        <tr r="S10" s="21"/>
      </tp>
      <tp t="e">
        <v>#N/A</v>
        <stp/>
        <stp>BDH|14132740176104202969</stp>
        <tr r="L49" s="17"/>
      </tp>
      <tp t="e">
        <v>#N/A</v>
        <stp/>
        <stp>BDH|14037131244849034103</stp>
        <tr r="E55" s="24"/>
      </tp>
      <tp t="e">
        <v>#N/A</v>
        <stp/>
        <stp>BDH|10634975134213576079</stp>
        <tr r="G34" s="22"/>
      </tp>
      <tp t="e">
        <v>#N/A</v>
        <stp/>
        <stp>BDH|11027200076284085911</stp>
        <tr r="D16" s="11"/>
      </tp>
      <tp t="e">
        <v>#N/A</v>
        <stp/>
        <stp>BDH|14209259953632674851</stp>
        <tr r="C68" s="24"/>
      </tp>
      <tp t="e">
        <v>#N/A</v>
        <stp/>
        <stp>BDH|15203277046562199853</stp>
        <tr r="S140" s="18"/>
      </tp>
      <tp t="e">
        <v>#N/A</v>
        <stp/>
        <stp>BDH|12792134295870190373</stp>
        <tr r="S136" s="18"/>
      </tp>
      <tp t="e">
        <v>#N/A</v>
        <stp/>
        <stp>BDH|16602363083946525217</stp>
        <tr r="F52" s="10"/>
        <tr r="F46" s="11"/>
        <tr r="F16" s="7"/>
      </tp>
      <tp t="e">
        <v>#N/A</v>
        <stp/>
        <stp>BDH|10026507331866518932</stp>
        <tr r="Y125" s="18"/>
      </tp>
      <tp t="e">
        <v>#N/A</v>
        <stp/>
        <stp>BDH|18382602137300644453</stp>
        <tr r="R43" s="24"/>
      </tp>
      <tp t="e">
        <v>#N/A</v>
        <stp/>
        <stp>BDH|12194106364458024427</stp>
        <tr r="D13" s="14"/>
      </tp>
      <tp t="e">
        <v>#N/A</v>
        <stp/>
        <stp>BDH|14916165868413746979</stp>
        <tr r="V122" s="18"/>
      </tp>
      <tp t="e">
        <v>#N/A</v>
        <stp/>
        <stp>BDH|16052958861276776644</stp>
        <tr r="M18" s="30"/>
      </tp>
      <tp t="e">
        <v>#N/A</v>
        <stp/>
        <stp>BDH|14476650487411883297</stp>
        <tr r="Z15" s="22"/>
      </tp>
      <tp t="e">
        <v>#N/A</v>
        <stp/>
        <stp>BDH|15562916243774716575</stp>
        <tr r="AA54" s="12"/>
      </tp>
      <tp t="e">
        <v>#N/A</v>
        <stp/>
        <stp>BDH|13469404632634672971</stp>
        <tr r="K12" s="30"/>
      </tp>
      <tp t="e">
        <v>#N/A</v>
        <stp/>
        <stp>BDH|16774923902621754775</stp>
        <tr r="W22" s="17"/>
      </tp>
      <tp t="e">
        <v>#N/A</v>
        <stp/>
        <stp>BDH|10651594839449618676</stp>
        <tr r="Z52" s="12"/>
      </tp>
      <tp t="e">
        <v>#N/A</v>
        <stp/>
        <stp>BDH|12453003637239612127</stp>
        <tr r="R28" s="22"/>
      </tp>
      <tp t="e">
        <v>#N/A</v>
        <stp/>
        <stp>BDH|10428445037857677969</stp>
        <tr r="Y17" s="12"/>
      </tp>
      <tp t="e">
        <v>#N/A</v>
        <stp/>
        <stp>BDH|14890270998994725272</stp>
        <tr r="D61" s="21"/>
      </tp>
      <tp t="e">
        <v>#N/A</v>
        <stp/>
        <stp>BDH|15759319154513698930</stp>
        <tr r="Z16" s="20"/>
      </tp>
      <tp t="e">
        <v>#N/A</v>
        <stp/>
        <stp>BDH|17301931330834378049</stp>
        <tr r="V35" s="25"/>
        <tr r="V7" s="3"/>
        <tr r="T18" s="11"/>
        <tr r="V22" s="13"/>
        <tr r="V7" s="13"/>
      </tp>
      <tp t="e">
        <v>#N/A</v>
        <stp/>
        <stp>BDH|13779384930143901915</stp>
        <tr r="X29" s="29"/>
        <tr r="X7" s="29"/>
      </tp>
      <tp t="e">
        <v>#N/A</v>
        <stp/>
        <stp>BDH|14728028777982113845</stp>
        <tr r="X94" s="18"/>
      </tp>
      <tp t="e">
        <v>#N/A</v>
        <stp/>
        <stp>BDH|16112407898087972576</stp>
        <tr r="H29" s="10"/>
        <tr r="J34" s="13"/>
      </tp>
      <tp t="e">
        <v>#N/A</v>
        <stp/>
        <stp>BDH|17163664097702063374</stp>
        <tr r="X35" s="25"/>
        <tr r="X7" s="3"/>
        <tr r="V18" s="11"/>
        <tr r="X22" s="13"/>
        <tr r="X7" s="13"/>
      </tp>
      <tp t="e">
        <v>#N/A</v>
        <stp/>
        <stp>BDH|14333874570352535063</stp>
        <tr r="N34" s="18"/>
      </tp>
      <tp t="e">
        <v>#N/A</v>
        <stp/>
        <stp>BDH|14212351416416364949</stp>
        <tr r="W57" s="11"/>
      </tp>
      <tp t="e">
        <v>#N/A</v>
        <stp/>
        <stp>BDH|16042515883274514618</stp>
        <tr r="AA10" s="23"/>
      </tp>
      <tp t="e">
        <v>#N/A</v>
        <stp/>
        <stp>BDH|17197827068151439196</stp>
        <tr r="V13" s="6"/>
      </tp>
      <tp t="e">
        <v>#N/A</v>
        <stp/>
        <stp>BDH|15983986501451797419</stp>
        <tr r="W104" s="18"/>
      </tp>
      <tp t="e">
        <v>#N/A</v>
        <stp/>
        <stp>BDH|15563219177300073951</stp>
        <tr r="P23" s="17"/>
        <tr r="P15" s="3"/>
      </tp>
      <tp t="e">
        <v>#N/A</v>
        <stp/>
        <stp>BDH|12650471514256592865</stp>
        <tr r="O16" s="10"/>
      </tp>
      <tp t="e">
        <v>#N/A</v>
        <stp/>
        <stp>BDH|14543244783624177358</stp>
        <tr r="AA67" s="24"/>
      </tp>
      <tp t="e">
        <v>#N/A</v>
        <stp/>
        <stp>BDH|17205116620699218478</stp>
        <tr r="J19" s="14"/>
      </tp>
      <tp t="e">
        <v>#N/A</v>
        <stp/>
        <stp>BDH|17364339444609419067</stp>
        <tr r="T13" s="29"/>
        <tr r="T22" s="29"/>
        <tr r="T33" s="29"/>
      </tp>
      <tp t="e">
        <v>#N/A</v>
        <stp/>
        <stp>BDH|14680866619636654292</stp>
        <tr r="Q14" s="23"/>
      </tp>
      <tp t="e">
        <v>#N/A</v>
        <stp/>
        <stp>BDH|15601699740639826712</stp>
        <tr r="E17" s="17"/>
        <tr r="E20" s="28"/>
      </tp>
      <tp t="e">
        <v>#N/A</v>
        <stp/>
        <stp>BDH|12989605597436803207</stp>
        <tr r="J21" s="17"/>
      </tp>
      <tp t="e">
        <v>#N/A</v>
        <stp/>
        <stp>BDH|10053698435569364590</stp>
        <tr r="X73" s="12"/>
      </tp>
      <tp t="e">
        <v>#N/A</v>
        <stp/>
        <stp>BDH|11494624986657438126</stp>
        <tr r="X38" s="22"/>
      </tp>
      <tp t="e">
        <v>#N/A</v>
        <stp/>
        <stp>BDH|17980845848721533364</stp>
        <tr r="M87" s="18"/>
      </tp>
      <tp t="e">
        <v>#N/A</v>
        <stp/>
        <stp>BDH|17851107705138379787</stp>
        <tr r="N37" s="12"/>
      </tp>
      <tp t="e">
        <v>#N/A</v>
        <stp/>
        <stp>BDH|13825156850207334986</stp>
        <tr r="L65" s="21"/>
        <tr r="J23" s="7"/>
      </tp>
      <tp t="e">
        <v>#N/A</v>
        <stp/>
        <stp>BDH|17586223600998571446</stp>
        <tr r="N46" s="4"/>
        <tr r="N24" s="10"/>
        <tr r="P35" s="13"/>
      </tp>
      <tp t="e">
        <v>#N/A</v>
        <stp/>
        <stp>BDH|16486095692964858213</stp>
        <tr r="F61" s="24"/>
      </tp>
      <tp t="e">
        <v>#N/A</v>
        <stp/>
        <stp>BDH|14653300481135753363</stp>
        <tr r="U10" s="30"/>
      </tp>
      <tp t="e">
        <v>#N/A</v>
        <stp/>
        <stp>BDH|14564893732034838207</stp>
        <tr r="C140" s="18"/>
      </tp>
      <tp t="e">
        <v>#N/A</v>
        <stp/>
        <stp>BDH|11744800150970388524</stp>
        <tr r="T7" s="24"/>
      </tp>
      <tp t="e">
        <v>#N/A</v>
        <stp/>
        <stp>BDH|10071037784157290639</stp>
        <tr r="R10" s="28"/>
      </tp>
      <tp t="e">
        <v>#N/A</v>
        <stp/>
        <stp>BDH|16446578816843349801</stp>
        <tr r="D29" s="5"/>
      </tp>
      <tp t="e">
        <v>#N/A</v>
        <stp/>
        <stp>BDH|12167156380063574177</stp>
        <tr r="N39" s="10"/>
        <tr r="N33" s="11"/>
      </tp>
      <tp t="e">
        <v>#N/A</v>
        <stp/>
        <stp>BDH|15716177552241275963</stp>
        <tr r="L22" s="9"/>
      </tp>
      <tp t="e">
        <v>#N/A</v>
        <stp/>
        <stp>BDH|17472192731065251980</stp>
        <tr r="C14" s="22"/>
      </tp>
      <tp t="e">
        <v>#N/A</v>
        <stp/>
        <stp>BDH|11470242484774775652</stp>
        <tr r="AA15" s="18"/>
      </tp>
      <tp t="e">
        <v>#N/A</v>
        <stp/>
        <stp>BDH|11828113734949292397</stp>
        <tr r="Y118" s="18"/>
      </tp>
      <tp t="e">
        <v>#N/A</v>
        <stp/>
        <stp>BDH|13447650030446522924</stp>
        <tr r="S14" s="11"/>
      </tp>
      <tp t="e">
        <v>#N/A</v>
        <stp/>
        <stp>BDH|13352863873630211524</stp>
        <tr r="I19" s="17"/>
      </tp>
      <tp t="e">
        <v>#N/A</v>
        <stp/>
        <stp>BDH|10851558086783584786</stp>
        <tr r="N98" s="18"/>
      </tp>
      <tp t="e">
        <v>#N/A</v>
        <stp/>
        <stp>BDH|12602915110570245330</stp>
        <tr r="S14" s="8"/>
      </tp>
      <tp t="e">
        <v>#N/A</v>
        <stp/>
        <stp>BDH|17798269691595167077</stp>
        <tr r="M81" s="17"/>
        <tr r="J9" s="5"/>
        <tr r="J9" s="9"/>
      </tp>
      <tp t="e">
        <v>#N/A</v>
        <stp/>
        <stp>BDH|10985447040498145154</stp>
        <tr r="I120" s="18"/>
      </tp>
      <tp t="e">
        <v>#N/A</v>
        <stp/>
        <stp>BDH|18301380348206394091</stp>
        <tr r="K9" s="11"/>
      </tp>
      <tp t="e">
        <v>#N/A</v>
        <stp/>
        <stp>BDH|12218391634879008262</stp>
        <tr r="K164" s="18"/>
      </tp>
      <tp t="e">
        <v>#N/A</v>
        <stp/>
        <stp>BDH|14416373862831951916</stp>
        <tr r="S114" s="18"/>
      </tp>
      <tp t="e">
        <v>#N/A</v>
        <stp/>
        <stp>BDH|18245417310994304092</stp>
        <tr r="C19" s="23"/>
      </tp>
      <tp t="e">
        <v>#N/A</v>
        <stp/>
        <stp>BDH|17253557993211888350</stp>
        <tr r="U18" s="10"/>
        <tr r="W16" s="13"/>
        <tr r="W27" s="13"/>
      </tp>
      <tp t="e">
        <v>#N/A</v>
        <stp/>
        <stp>BDH|15124002886473999772</stp>
        <tr r="D79" s="17"/>
      </tp>
      <tp t="e">
        <v>#N/A</v>
        <stp/>
        <stp>BDH|16444089981247343075</stp>
        <tr r="D40" s="34"/>
      </tp>
      <tp t="e">
        <v>#N/A</v>
        <stp/>
        <stp>BDH|11916745758808504291</stp>
        <tr r="AA149" s="18"/>
      </tp>
      <tp t="e">
        <v>#N/A</v>
        <stp/>
        <stp>BDH|11965783539849213531</stp>
        <tr r="R22" s="5"/>
      </tp>
      <tp t="e">
        <v>#N/A</v>
        <stp/>
        <stp>BDH|13495023478838693517</stp>
        <tr r="W9" s="28"/>
      </tp>
      <tp t="e">
        <v>#N/A</v>
        <stp/>
        <stp>BDH|18096019057266779286</stp>
        <tr r="J79" s="12"/>
      </tp>
      <tp t="e">
        <v>#N/A</v>
        <stp/>
        <stp>BDH|11798937790820515886</stp>
        <tr r="E163" s="18"/>
      </tp>
      <tp t="e">
        <v>#N/A</v>
        <stp/>
        <stp>BDH|17529998983957151876</stp>
        <tr r="U42" s="13"/>
      </tp>
      <tp t="e">
        <v>#N/A</v>
        <stp/>
        <stp>BDH|11567423068778253247</stp>
        <tr r="O103" s="18"/>
      </tp>
      <tp t="e">
        <v>#N/A</v>
        <stp/>
        <stp>BDH|14529861518262062620</stp>
        <tr r="P74" s="17"/>
      </tp>
      <tp t="e">
        <v>#N/A</v>
        <stp/>
        <stp>BDH|16400250049298701165</stp>
        <tr r="M13" s="17"/>
        <tr r="M16" s="28"/>
      </tp>
      <tp t="e">
        <v>#N/A</v>
        <stp/>
        <stp>BDH|16752552309103556975</stp>
        <tr r="T16" s="18"/>
      </tp>
      <tp t="e">
        <v>#N/A</v>
        <stp/>
        <stp>BDH|16312037484001939640</stp>
        <tr r="S39" s="24"/>
      </tp>
      <tp t="e">
        <v>#N/A</v>
        <stp/>
        <stp>BDH|11986407587590361449</stp>
        <tr r="N25" s="18"/>
      </tp>
      <tp t="e">
        <v>#N/A</v>
        <stp/>
        <stp>BDH|16356695087529582818</stp>
        <tr r="G13" s="7"/>
      </tp>
      <tp t="e">
        <v>#N/A</v>
        <stp/>
        <stp>BDH|15489376973958034091</stp>
        <tr r="P56" s="12"/>
      </tp>
      <tp t="e">
        <v>#N/A</v>
        <stp/>
        <stp>BDH|12219822881458934311</stp>
        <tr r="D65" s="17"/>
      </tp>
      <tp t="e">
        <v>#N/A</v>
        <stp/>
        <stp>BDH|17062619959699890495</stp>
        <tr r="F27" s="22"/>
      </tp>
      <tp t="e">
        <v>#N/A</v>
        <stp/>
        <stp>BDH|10260997405255722505</stp>
        <tr r="S30" s="22"/>
      </tp>
      <tp t="e">
        <v>#N/A</v>
        <stp/>
        <stp>BDH|11115805369880313636</stp>
        <tr r="V18" s="24"/>
      </tp>
      <tp t="e">
        <v>#N/A</v>
        <stp/>
        <stp>BDH|12182753096247873225</stp>
        <tr r="M29" s="29"/>
        <tr r="M7" s="29"/>
      </tp>
      <tp t="e">
        <v>#N/A</v>
        <stp/>
        <stp>BDH|15381451206269994119</stp>
        <tr r="O73" s="12"/>
      </tp>
      <tp t="e">
        <v>#N/A</v>
        <stp/>
        <stp>BDH|17581466381512949035</stp>
        <tr r="J34" s="17"/>
      </tp>
      <tp t="e">
        <v>#N/A</v>
        <stp/>
        <stp>BDH|16251985302960730670</stp>
        <tr r="R29" s="4"/>
      </tp>
      <tp t="e">
        <v>#N/A</v>
        <stp/>
        <stp>BDH|16923605481529292822</stp>
        <tr r="N33" s="17"/>
      </tp>
      <tp t="e">
        <v>#N/A</v>
        <stp/>
        <stp>BDH|15228616780176849439</stp>
        <tr r="Y25" s="18"/>
      </tp>
      <tp t="e">
        <v>#N/A</v>
        <stp/>
        <stp>BDH|12449669129298711746</stp>
        <tr r="G22" s="10"/>
      </tp>
      <tp t="e">
        <v>#N/A</v>
        <stp/>
        <stp>BDH|10013978443585801142</stp>
        <tr r="Y7" s="4"/>
      </tp>
      <tp t="e">
        <v>#N/A</v>
        <stp/>
        <stp>BDH|18175527778970590363</stp>
        <tr r="Q34" s="26"/>
      </tp>
      <tp t="e">
        <v>#N/A</v>
        <stp/>
        <stp>BDH|11009705712029959732</stp>
        <tr r="V96" s="18"/>
      </tp>
      <tp t="e">
        <v>#N/A</v>
        <stp/>
        <stp>BDH|14367786167934232868</stp>
        <tr r="S25" s="10"/>
      </tp>
      <tp t="e">
        <v>#N/A</v>
        <stp/>
        <stp>BDH|15012077595324212186</stp>
        <tr r="I6" s="27"/>
      </tp>
      <tp t="e">
        <v>#N/A</v>
        <stp/>
        <stp>BDH|16034182685661115744</stp>
        <tr r="L42" s="22"/>
      </tp>
      <tp t="e">
        <v>#N/A</v>
        <stp/>
        <stp>BDH|10619625868600425901</stp>
        <tr r="C33" s="6"/>
        <tr r="E9" s="8"/>
      </tp>
      <tp t="e">
        <v>#N/A</v>
        <stp/>
        <stp>BDH|13893913115170494202</stp>
        <tr r="P98" s="17"/>
        <tr r="P13" s="28"/>
      </tp>
      <tp t="e">
        <v>#N/A</v>
        <stp/>
        <stp>BDH|14493818239301250767</stp>
        <tr r="M20" s="6"/>
      </tp>
      <tp t="e">
        <v>#N/A</v>
        <stp/>
        <stp>BDH|15361387107296116955</stp>
        <tr r="D12" s="17"/>
      </tp>
      <tp t="e">
        <v>#N/A</v>
        <stp/>
        <stp>BDH|18117201303613264087</stp>
        <tr r="K15" s="4"/>
      </tp>
      <tp t="e">
        <v>#N/A</v>
        <stp/>
        <stp>BDH|11807186964958811748</stp>
        <tr r="I26" s="13"/>
      </tp>
      <tp t="e">
        <v>#N/A</v>
        <stp/>
        <stp>BDH|11723040456489829452</stp>
        <tr r="Y25" s="4"/>
        <tr r="Y64" s="10"/>
      </tp>
      <tp t="e">
        <v>#N/A</v>
        <stp/>
        <stp>BDH|18328079720725815648</stp>
        <tr r="K17" s="6"/>
      </tp>
      <tp t="e">
        <v>#N/A</v>
        <stp/>
        <stp>BDH|12734933658647776035</stp>
        <tr r="AA34" s="12"/>
      </tp>
      <tp t="e">
        <v>#N/A</v>
        <stp/>
        <stp>BDH|16990730313720326917</stp>
        <tr r="U22" s="21"/>
      </tp>
      <tp t="e">
        <v>#N/A</v>
        <stp/>
        <stp>BDH|15160063778139662229</stp>
        <tr r="N8" s="6"/>
      </tp>
      <tp t="e">
        <v>#N/A</v>
        <stp/>
        <stp>BDH|14939981735341720689</stp>
        <tr r="N12" s="14"/>
      </tp>
      <tp t="e">
        <v>#N/A</v>
        <stp/>
        <stp>BDH|16767837374552995225</stp>
        <tr r="J9" s="34"/>
      </tp>
      <tp t="e">
        <v>#N/A</v>
        <stp/>
        <stp>BDH|10045339329170136800</stp>
        <tr r="C155" s="18"/>
      </tp>
      <tp t="e">
        <v>#N/A</v>
        <stp/>
        <stp>BDH|11389821469416584068</stp>
        <tr r="X49" s="18"/>
      </tp>
      <tp t="e">
        <v>#N/A</v>
        <stp/>
        <stp>BDH|13009061622888713084</stp>
        <tr r="J24" s="22"/>
      </tp>
      <tp t="e">
        <v>#N/A</v>
        <stp/>
        <stp>BDH|13410992567466909384</stp>
        <tr r="M10" s="18"/>
      </tp>
      <tp t="e">
        <v>#N/A</v>
        <stp/>
        <stp>BDH|11245573296383028785</stp>
        <tr r="G60" s="17"/>
      </tp>
      <tp t="e">
        <v>#N/A</v>
        <stp/>
        <stp>BDH|10242713819737622870</stp>
        <tr r="J161" s="18"/>
      </tp>
      <tp t="e">
        <v>#N/A</v>
        <stp/>
        <stp>BDH|18061388127885444502</stp>
        <tr r="D14" s="18"/>
      </tp>
      <tp t="e">
        <v>#N/A</v>
        <stp/>
        <stp>BDH|17645186980625112242</stp>
        <tr r="O24" s="12"/>
      </tp>
      <tp t="e">
        <v>#N/A</v>
        <stp/>
        <stp>BDH|12143394298667280699</stp>
        <tr r="Q27" s="17"/>
      </tp>
      <tp t="e">
        <v>#N/A</v>
        <stp/>
        <stp>BDH|18121894282444224537</stp>
        <tr r="F160" s="18"/>
      </tp>
      <tp t="e">
        <v>#N/A</v>
        <stp/>
        <stp>BDH|11141878377886915133</stp>
        <tr r="U13" s="21"/>
      </tp>
      <tp t="e">
        <v>#N/A</v>
        <stp/>
        <stp>BDH|13443656894656990378</stp>
        <tr r="F21" s="20"/>
      </tp>
      <tp t="e">
        <v>#N/A</v>
        <stp/>
        <stp>BDH|18384218809336868580</stp>
        <tr r="P29" s="12"/>
      </tp>
      <tp t="e">
        <v>#N/A</v>
        <stp/>
        <stp>BDH|17703772281896386796</stp>
        <tr r="G66" s="10"/>
      </tp>
      <tp t="e">
        <v>#N/A</v>
        <stp/>
        <stp>BDH|18001661927503939633</stp>
        <tr r="D17" s="11"/>
      </tp>
      <tp t="e">
        <v>#N/A</v>
        <stp/>
        <stp>BDH|12547890640731608608</stp>
        <tr r="W150" s="18"/>
      </tp>
      <tp t="e">
        <v>#N/A</v>
        <stp/>
        <stp>BDH|18248484921477681077</stp>
        <tr r="P155" s="18"/>
      </tp>
      <tp t="e">
        <v>#N/A</v>
        <stp/>
        <stp>BDH|18212669353041474394</stp>
        <tr r="Q43" s="18"/>
      </tp>
      <tp t="e">
        <v>#N/A</v>
        <stp/>
        <stp>BDH|15375172991857969360</stp>
        <tr r="C72" s="18"/>
      </tp>
      <tp t="e">
        <v>#N/A</v>
        <stp/>
        <stp>BDH|17895686083545996509</stp>
        <tr r="X14" s="2"/>
        <tr r="X11" s="10"/>
      </tp>
      <tp t="e">
        <v>#N/A</v>
        <stp/>
        <stp>BDH|17154410795195784682</stp>
        <tr r="H8" s="8"/>
      </tp>
      <tp t="e">
        <v>#N/A</v>
        <stp/>
        <stp>BDH|11576184290259085977</stp>
        <tr r="T137" s="18"/>
      </tp>
      <tp t="e">
        <v>#N/A</v>
        <stp/>
        <stp>BDH|13097333458618848495</stp>
        <tr r="X40" s="18"/>
      </tp>
      <tp t="e">
        <v>#N/A</v>
        <stp/>
        <stp>BDH|18382311318105616664</stp>
        <tr r="S41" s="17"/>
      </tp>
      <tp t="e">
        <v>#N/A</v>
        <stp/>
        <stp>BDH|11181465078002252975</stp>
        <tr r="T10" s="21"/>
      </tp>
      <tp t="e">
        <v>#N/A</v>
        <stp/>
        <stp>BDH|16789328267888131296</stp>
        <tr r="H13" s="17"/>
        <tr r="H16" s="28"/>
      </tp>
      <tp t="e">
        <v>#N/A</v>
        <stp/>
        <stp>BDH|14250449931889508388</stp>
        <tr r="I61" s="17"/>
      </tp>
      <tp t="e">
        <v>#N/A</v>
        <stp/>
        <stp>BDH|13487949791323386986</stp>
        <tr r="V18" s="17"/>
      </tp>
      <tp t="e">
        <v>#N/A</v>
        <stp/>
        <stp>BDH|17513868810246811119</stp>
        <tr r="X28" s="25"/>
        <tr r="X18" s="27"/>
      </tp>
      <tp t="e">
        <v>#N/A</v>
        <stp/>
        <stp>BDH|17175826061454947412</stp>
        <tr r="K35" s="21"/>
      </tp>
      <tp t="e">
        <v>#N/A</v>
        <stp/>
        <stp>BDH|18139730220631045583</stp>
        <tr r="X22" s="10"/>
      </tp>
      <tp t="e">
        <v>#N/A</v>
        <stp/>
        <stp>BDH|13619550908476120905</stp>
        <tr r="X7" s="28"/>
      </tp>
      <tp t="e">
        <v>#N/A</v>
        <stp/>
        <stp>BDH|10630872803770134194</stp>
        <tr r="J33" s="6"/>
        <tr r="L9" s="8"/>
      </tp>
      <tp t="e">
        <v>#N/A</v>
        <stp/>
        <stp>BDH|11592598716004168817</stp>
        <tr r="Z86" s="18"/>
      </tp>
      <tp t="e">
        <v>#N/A</v>
        <stp/>
        <stp>BDH|10854074621632220965</stp>
        <tr r="N14" s="21"/>
      </tp>
      <tp t="e">
        <v>#N/A</v>
        <stp/>
        <stp>BDH|13570531246178379397</stp>
        <tr r="V44" s="21"/>
      </tp>
      <tp t="e">
        <v>#N/A</v>
        <stp/>
        <stp>BDH|13063787062438556357</stp>
        <tr r="K70" s="17"/>
      </tp>
      <tp t="e">
        <v>#N/A</v>
        <stp/>
        <stp>BDH|13501231004729915110</stp>
        <tr r="C8" s="28"/>
      </tp>
      <tp t="e">
        <v>#N/A</v>
        <stp/>
        <stp>BDH|11373676078398354151</stp>
        <tr r="R31" s="24"/>
      </tp>
      <tp t="e">
        <v>#N/A</v>
        <stp/>
        <stp>BDH|13701388057249653549</stp>
        <tr r="F20" s="24"/>
      </tp>
      <tp t="e">
        <v>#N/A</v>
        <stp/>
        <stp>BDH|17365069570238730188</stp>
        <tr r="Z134" s="18"/>
      </tp>
      <tp t="e">
        <v>#N/A</v>
        <stp/>
        <stp>BDH|11293758098977049159</stp>
        <tr r="D82" s="17"/>
        <tr r="D19" s="3"/>
      </tp>
      <tp t="e">
        <v>#N/A</v>
        <stp/>
        <stp>BDH|16629512187086900435</stp>
        <tr r="D8" s="18"/>
      </tp>
      <tp t="e">
        <v>#N/A</v>
        <stp/>
        <stp>BDH|12848494488114166323</stp>
        <tr r="W84" s="18"/>
      </tp>
      <tp t="e">
        <v>#N/A</v>
        <stp/>
        <stp>BDH|10945963976205019230</stp>
        <tr r="J20" s="12"/>
      </tp>
      <tp t="e">
        <v>#N/A</v>
        <stp/>
        <stp>BDH|15225128995462901615</stp>
        <tr r="U25" s="7"/>
      </tp>
      <tp t="e">
        <v>#N/A</v>
        <stp/>
        <stp>BDH|15272828316826889334</stp>
        <tr r="E12" s="22"/>
      </tp>
      <tp t="e">
        <v>#N/A</v>
        <stp/>
        <stp>BDH|15307306717718996602</stp>
        <tr r="X43" s="13"/>
      </tp>
      <tp t="e">
        <v>#N/A</v>
        <stp/>
        <stp>BDH|11565090293905112437</stp>
        <tr r="K40" s="21"/>
      </tp>
      <tp t="e">
        <v>#N/A</v>
        <stp/>
        <stp>BDH|13732109378074159830</stp>
        <tr r="U12" s="3"/>
        <tr r="S54" s="10"/>
        <tr r="S48" s="11"/>
        <tr r="S7" s="7"/>
      </tp>
      <tp t="e">
        <v>#N/A</v>
        <stp/>
        <stp>BDH|15775320532824374897</stp>
        <tr r="S21" s="3"/>
      </tp>
      <tp t="e">
        <v>#N/A</v>
        <stp/>
        <stp>BDH|18223117146931973514</stp>
        <tr r="W24" s="18"/>
      </tp>
      <tp t="e">
        <v>#N/A</v>
        <stp/>
        <stp>BDH|16931212216938359403</stp>
        <tr r="G21" s="9"/>
      </tp>
      <tp t="e">
        <v>#N/A</v>
        <stp/>
        <stp>BDH|11006334073814550884</stp>
        <tr r="E38" s="22"/>
      </tp>
      <tp t="e">
        <v>#N/A</v>
        <stp/>
        <stp>BDH|16800709405140931896</stp>
        <tr r="C19" s="12"/>
      </tp>
      <tp t="e">
        <v>#N/A</v>
        <stp/>
        <stp>BDH|16653735930323976818</stp>
        <tr r="G39" s="24"/>
      </tp>
      <tp t="e">
        <v>#N/A</v>
        <stp/>
        <stp>BDH|15240736086310241389</stp>
        <tr r="D7" s="4"/>
      </tp>
      <tp t="e">
        <v>#N/A</v>
        <stp/>
        <stp>BDH|15211343308698776740</stp>
        <tr r="I28" s="25"/>
        <tr r="I18" s="27"/>
      </tp>
      <tp t="e">
        <v>#N/A</v>
        <stp/>
        <stp>BDH|15156873318236157323</stp>
        <tr r="L31" s="34"/>
      </tp>
      <tp t="e">
        <v>#N/A</v>
        <stp/>
        <stp>BDH|11753940949181560420</stp>
        <tr r="N14" s="25"/>
      </tp>
      <tp t="e">
        <v>#N/A</v>
        <stp/>
        <stp>BDH|16655503829538315013</stp>
        <tr r="W35" s="4"/>
      </tp>
      <tp t="e">
        <v>#N/A</v>
        <stp/>
        <stp>BDH|15467891266427060564</stp>
        <tr r="P53" s="24"/>
      </tp>
      <tp t="e">
        <v>#N/A</v>
        <stp/>
        <stp>BDH|15612913692239916510</stp>
        <tr r="W12" s="17"/>
      </tp>
      <tp t="e">
        <v>#N/A</v>
        <stp/>
        <stp>BDH|13449980705811441208</stp>
        <tr r="Q66" s="12"/>
      </tp>
      <tp t="e">
        <v>#N/A</v>
        <stp/>
        <stp>BDH|10842037843928632539</stp>
        <tr r="N81" s="18"/>
      </tp>
      <tp t="e">
        <v>#N/A</v>
        <stp/>
        <stp>BDH|15204192772022403802</stp>
        <tr r="J22" s="25"/>
        <tr r="J12" s="27"/>
      </tp>
      <tp t="e">
        <v>#N/A</v>
        <stp/>
        <stp>BDH|13044735683491940446</stp>
        <tr r="V43" s="4"/>
      </tp>
      <tp t="e">
        <v>#N/A</v>
        <stp/>
        <stp>BDH|10374860371601113787</stp>
        <tr r="M166" s="18"/>
      </tp>
      <tp t="e">
        <v>#N/A</v>
        <stp/>
        <stp>BDH|14049877641719357887</stp>
        <tr r="Z50" s="24"/>
      </tp>
      <tp t="e">
        <v>#N/A</v>
        <stp/>
        <stp>BDH|17472516812373814926</stp>
        <tr r="X18" s="23"/>
      </tp>
      <tp t="e">
        <v>#N/A</v>
        <stp/>
        <stp>BDH|10155116576508328781</stp>
        <tr r="O52" s="18"/>
      </tp>
      <tp t="e">
        <v>#N/A</v>
        <stp/>
        <stp>BDH|10187484643899537023</stp>
        <tr r="H31" s="18"/>
      </tp>
      <tp t="e">
        <v>#N/A</v>
        <stp/>
        <stp>BDH|16633823107085735297</stp>
        <tr r="H74" s="12"/>
      </tp>
      <tp t="e">
        <v>#N/A</v>
        <stp/>
        <stp>BDH|18375008227256012598</stp>
        <tr r="W10" s="23"/>
      </tp>
      <tp t="e">
        <v>#N/A</v>
        <stp/>
        <stp>BDH|11092958965144997352</stp>
        <tr r="N12" s="3"/>
        <tr r="L54" s="10"/>
        <tr r="L48" s="11"/>
        <tr r="L7" s="7"/>
      </tp>
      <tp t="e">
        <v>#N/A</v>
        <stp/>
        <stp>BDH|11504753089075199241</stp>
        <tr r="E14" s="6"/>
      </tp>
      <tp t="e">
        <v>#N/A</v>
        <stp/>
        <stp>BDH|12256714498161425439</stp>
        <tr r="AA105" s="18"/>
      </tp>
      <tp t="e">
        <v>#N/A</v>
        <stp/>
        <stp>BDH|11784370594792814004</stp>
        <tr r="E13" s="12"/>
      </tp>
      <tp t="e">
        <v>#N/A</v>
        <stp/>
        <stp>BDH|10730686137989723534</stp>
        <tr r="Z69" s="18"/>
      </tp>
      <tp t="e">
        <v>#N/A</v>
        <stp/>
        <stp>BDH|10381383091735102676</stp>
        <tr r="K7" s="8"/>
      </tp>
      <tp t="e">
        <v>#N/A</v>
        <stp/>
        <stp>BDH|11608397116188283274</stp>
        <tr r="C32" s="34"/>
      </tp>
      <tp t="e">
        <v>#N/A</v>
        <stp/>
        <stp>BDH|16756748428603439931</stp>
        <tr r="C50" s="17"/>
      </tp>
      <tp t="e">
        <v>#N/A</v>
        <stp/>
        <stp>BDH|10477053863568894765</stp>
        <tr r="G69" s="17"/>
      </tp>
      <tp t="e">
        <v>#N/A</v>
        <stp/>
        <stp>BDH|14786584961087506971</stp>
        <tr r="AA59" s="12"/>
      </tp>
      <tp t="e">
        <v>#N/A</v>
        <stp/>
        <stp>BDH|11251142102720130990</stp>
        <tr r="M40" s="10"/>
        <tr r="M34" s="11"/>
      </tp>
      <tp t="e">
        <v>#N/A</v>
        <stp/>
        <stp>BDH|13070643098511222422</stp>
        <tr r="Q26" s="6"/>
      </tp>
      <tp t="e">
        <v>#N/A</v>
        <stp/>
        <stp>BDH|15912818365641080317</stp>
        <tr r="Y8" s="10"/>
      </tp>
      <tp t="e">
        <v>#N/A</v>
        <stp/>
        <stp>BDH|10711435627429902660</stp>
        <tr r="K22" s="26"/>
      </tp>
      <tp t="e">
        <v>#N/A</v>
        <stp/>
        <stp>BDH|15187096012985501831</stp>
        <tr r="L26" s="26"/>
      </tp>
      <tp t="e">
        <v>#N/A</v>
        <stp/>
        <stp>BDH|11812424524419322715</stp>
        <tr r="P20" s="17"/>
      </tp>
      <tp t="e">
        <v>#N/A</v>
        <stp/>
        <stp>BDH|15457841722562601487</stp>
        <tr r="W72" s="18"/>
      </tp>
      <tp t="e">
        <v>#N/A</v>
        <stp/>
        <stp>BDH|14412868648137385656</stp>
        <tr r="O16" s="14"/>
      </tp>
      <tp t="e">
        <v>#N/A</v>
        <stp/>
        <stp>BDH|12856339245714762858</stp>
        <tr r="E51" s="13"/>
      </tp>
      <tp t="e">
        <v>#N/A</v>
        <stp/>
        <stp>BDH|17100462391920274388</stp>
        <tr r="L20" s="11"/>
      </tp>
      <tp t="e">
        <v>#N/A</v>
        <stp/>
        <stp>BDH|18402618965086643797</stp>
        <tr r="D7" s="21"/>
      </tp>
      <tp t="e">
        <v>#N/A</v>
        <stp/>
        <stp>BDH|10922947051650680551</stp>
        <tr r="H7" s="30"/>
      </tp>
      <tp t="e">
        <v>#N/A</v>
        <stp/>
        <stp>BDH|12592511690667227095</stp>
        <tr r="P68" s="10"/>
      </tp>
      <tp t="e">
        <v>#N/A</v>
        <stp/>
        <stp>BDH|16172897012565555309</stp>
        <tr r="O9" s="18"/>
      </tp>
      <tp t="e">
        <v>#N/A</v>
        <stp/>
        <stp>BDH|11580788081776183127</stp>
        <tr r="W126" s="18"/>
      </tp>
      <tp t="e">
        <v>#N/A</v>
        <stp/>
        <stp>BDH|10292653805207579880</stp>
        <tr r="F18" s="6"/>
      </tp>
      <tp t="e">
        <v>#N/A</v>
        <stp/>
        <stp>BDH|16473847471026880666</stp>
        <tr r="AA27" s="25"/>
        <tr r="X14" s="5"/>
        <tr r="AA17" s="27"/>
      </tp>
      <tp t="e">
        <v>#N/A</v>
        <stp/>
        <stp>BDH|13617261079757306859</stp>
        <tr r="E10" s="17"/>
      </tp>
      <tp t="e">
        <v>#N/A</v>
        <stp/>
        <stp>BDH|17200651039818741363</stp>
        <tr r="F21" s="25"/>
        <tr r="F10" s="27"/>
      </tp>
      <tp t="e">
        <v>#N/A</v>
        <stp/>
        <stp>BDH|16194247699075508163</stp>
        <tr r="R30" s="26"/>
      </tp>
      <tp t="e">
        <v>#N/A</v>
        <stp/>
        <stp>BDH|10328512439529485601</stp>
        <tr r="I155" s="18"/>
      </tp>
      <tp t="e">
        <v>#N/A</v>
        <stp/>
        <stp>BDH|12855957838154917531</stp>
        <tr r="L13" s="13"/>
      </tp>
      <tp t="e">
        <v>#N/A</v>
        <stp/>
        <stp>BDH|10714220853107056996</stp>
        <tr r="J16" s="29"/>
        <tr r="J36" s="29"/>
      </tp>
      <tp t="e">
        <v>#N/A</v>
        <stp/>
        <stp>BDH|13564376700229872056</stp>
        <tr r="D23" s="24"/>
      </tp>
      <tp t="e">
        <v>#N/A</v>
        <stp/>
        <stp>BDH|10554484587091171444</stp>
        <tr r="F49" s="17"/>
      </tp>
      <tp t="e">
        <v>#N/A</v>
        <stp/>
        <stp>BDH|17882645184098357849</stp>
        <tr r="T56" s="18"/>
      </tp>
      <tp t="e">
        <v>#N/A</v>
        <stp/>
        <stp>BDH|11252054271406178983</stp>
        <tr r="D57" s="11"/>
      </tp>
      <tp t="e">
        <v>#N/A</v>
        <stp/>
        <stp>BDH|13365217288679217977</stp>
        <tr r="C17" s="10"/>
      </tp>
      <tp t="e">
        <v>#N/A</v>
        <stp/>
        <stp>BDH|17775953033292921674</stp>
        <tr r="E9" s="13"/>
      </tp>
      <tp t="e">
        <v>#N/A</v>
        <stp/>
        <stp>BDH|15541461289570416011</stp>
        <tr r="D13" s="12"/>
      </tp>
      <tp t="e">
        <v>#N/A</v>
        <stp/>
        <stp>BDH|15790068012338975552</stp>
        <tr r="R155" s="18"/>
      </tp>
      <tp t="e">
        <v>#N/A</v>
        <stp/>
        <stp>BDH|10739321592150966313</stp>
        <tr r="V35" s="12"/>
      </tp>
      <tp t="e">
        <v>#N/A</v>
        <stp/>
        <stp>BDH|13678077002823484985</stp>
        <tr r="Q24" s="12"/>
      </tp>
      <tp t="e">
        <v>#N/A</v>
        <stp/>
        <stp>BDH|16990631217879042121</stp>
        <tr r="K33" s="10"/>
        <tr r="K27" s="11"/>
      </tp>
      <tp t="e">
        <v>#N/A</v>
        <stp/>
        <stp>BDH|17549813858184552767</stp>
        <tr r="W20" s="22"/>
      </tp>
      <tp t="e">
        <v>#N/A</v>
        <stp/>
        <stp>BDH|13762094470654839993</stp>
        <tr r="V60" s="11"/>
        <tr r="X15" s="23"/>
      </tp>
      <tp t="e">
        <v>#N/A</v>
        <stp/>
        <stp>BDH|12917805006062155115</stp>
        <tr r="I22" s="25"/>
        <tr r="I12" s="27"/>
      </tp>
      <tp t="e">
        <v>#N/A</v>
        <stp/>
        <stp>BDH|16495647348985580834</stp>
        <tr r="H12" s="10"/>
      </tp>
      <tp t="e">
        <v>#N/A</v>
        <stp/>
        <stp>BDH|16280656968858894794</stp>
        <tr r="U30" s="17"/>
      </tp>
      <tp t="e">
        <v>#N/A</v>
        <stp/>
        <stp>BDH|12343114784551191396</stp>
        <tr r="G96" s="17"/>
      </tp>
      <tp t="e">
        <v>#N/A</v>
        <stp/>
        <stp>BDH|15418171148818257174</stp>
        <tr r="H42" s="21"/>
      </tp>
      <tp t="e">
        <v>#N/A</v>
        <stp/>
        <stp>BDH|12850663527798589720</stp>
        <tr r="D58" s="17"/>
      </tp>
      <tp t="e">
        <v>#N/A</v>
        <stp/>
        <stp>BDH|10957334725809180108</stp>
        <tr r="C19" s="22"/>
      </tp>
      <tp t="e">
        <v>#N/A</v>
        <stp/>
        <stp>BDH|16543403841908274781</stp>
        <tr r="D34" s="18"/>
      </tp>
      <tp t="e">
        <v>#N/A</v>
        <stp/>
        <stp>BDH|16735069289827292043</stp>
        <tr r="Y61" s="12"/>
      </tp>
      <tp t="e">
        <v>#N/A</v>
        <stp/>
        <stp>BDH|17677399680777556244</stp>
        <tr r="I65" s="21"/>
        <tr r="G23" s="7"/>
      </tp>
      <tp t="e">
        <v>#N/A</v>
        <stp/>
        <stp>BDH|16012096973860119851</stp>
        <tr r="Q19" s="25"/>
        <tr r="O21" s="11"/>
      </tp>
      <tp t="e">
        <v>#N/A</v>
        <stp/>
        <stp>BDH|16283497491667347572</stp>
        <tr r="R25" s="18"/>
      </tp>
      <tp t="e">
        <v>#N/A</v>
        <stp/>
        <stp>BDH|14322050093150947428</stp>
        <tr r="Z10" s="13"/>
      </tp>
      <tp t="e">
        <v>#N/A</v>
        <stp/>
        <stp>BDH|10454536750238894116</stp>
        <tr r="N161" s="18"/>
      </tp>
      <tp t="e">
        <v>#N/A</v>
        <stp/>
        <stp>BDH|17578690138472298987</stp>
        <tr r="M14" s="2"/>
        <tr r="M11" s="10"/>
      </tp>
      <tp t="e">
        <v>#N/A</v>
        <stp/>
        <stp>BDH|11626484680374353032</stp>
        <tr r="U23" s="24"/>
      </tp>
      <tp t="e">
        <v>#N/A</v>
        <stp/>
        <stp>BDH|11260865864790941672</stp>
        <tr r="N149" s="18"/>
      </tp>
      <tp t="e">
        <v>#N/A</v>
        <stp/>
        <stp>BDH|15828913522381026652</stp>
        <tr r="X21" s="17"/>
      </tp>
      <tp t="e">
        <v>#N/A</v>
        <stp/>
        <stp>BDH|14910232137629464572</stp>
        <tr r="T42" s="12"/>
      </tp>
      <tp t="e">
        <v>#N/A</v>
        <stp/>
        <stp>BDH|11527242218032106961</stp>
        <tr r="X18" s="2"/>
        <tr r="X53" s="4"/>
        <tr r="X45" s="10"/>
        <tr r="X39" s="11"/>
        <tr r="Z46" s="13"/>
      </tp>
      <tp t="e">
        <v>#N/A</v>
        <stp/>
        <stp>BDH|14947693072369440580</stp>
        <tr r="U30" s="21"/>
      </tp>
      <tp t="e">
        <v>#N/A</v>
        <stp/>
        <stp>BDH|13492615208124392804</stp>
        <tr r="AA11" s="28"/>
      </tp>
      <tp t="e">
        <v>#N/A</v>
        <stp/>
        <stp>BDH|16069640347885586881</stp>
        <tr r="L63" s="12"/>
      </tp>
      <tp t="e">
        <v>#N/A</v>
        <stp/>
        <stp>BDH|16688856058892647035</stp>
        <tr r="V63" s="24"/>
      </tp>
      <tp t="e">
        <v>#N/A</v>
        <stp/>
        <stp>BDH|17970638671399207679</stp>
        <tr r="I32" s="12"/>
      </tp>
      <tp t="e">
        <v>#N/A</v>
        <stp/>
        <stp>BDH|16036367791203854617</stp>
        <tr r="N12" s="7"/>
      </tp>
      <tp t="e">
        <v>#N/A</v>
        <stp/>
        <stp>BDH|17607530374145856970</stp>
        <tr r="D19" s="23"/>
      </tp>
      <tp t="e">
        <v>#N/A</v>
        <stp/>
        <stp>BDH|15093105881472905093</stp>
        <tr r="M52" s="21"/>
      </tp>
      <tp t="e">
        <v>#N/A</v>
        <stp/>
        <stp>BDH|16077148582632749306</stp>
        <tr r="P64" s="18"/>
      </tp>
      <tp t="e">
        <v>#N/A</v>
        <stp/>
        <stp>BDH|12907933454558740889</stp>
        <tr r="J13" s="8"/>
      </tp>
      <tp t="e">
        <v>#N/A</v>
        <stp/>
        <stp>BDH|17355425492884666044</stp>
        <tr r="R78" s="18"/>
      </tp>
      <tp t="e">
        <v>#N/A</v>
        <stp/>
        <stp>BDH|17603314757027489856</stp>
        <tr r="S26" s="17"/>
      </tp>
      <tp t="e">
        <v>#N/A</v>
        <stp/>
        <stp>BDH|14983064756456855907</stp>
        <tr r="V64" s="21"/>
      </tp>
      <tp t="e">
        <v>#N/A</v>
        <stp/>
        <stp>BDH|17056878203056405717</stp>
        <tr r="AA33" s="17"/>
      </tp>
      <tp t="e">
        <v>#N/A</v>
        <stp/>
        <stp>BDH|16219338936589448122</stp>
        <tr r="M132" s="18"/>
      </tp>
      <tp t="e">
        <v>#N/A</v>
        <stp/>
        <stp>BDH|16502580621817926840</stp>
        <tr r="F136" s="18"/>
      </tp>
      <tp t="e">
        <v>#N/A</v>
        <stp/>
        <stp>BDH|11679513431109058079</stp>
        <tr r="Z22" s="27"/>
      </tp>
      <tp t="e">
        <v>#N/A</v>
        <stp/>
        <stp>BDH|16081540719088518491</stp>
        <tr r="F52" s="18"/>
      </tp>
      <tp t="e">
        <v>#N/A</v>
        <stp/>
        <stp>BDH|11272548820821511929</stp>
        <tr r="M85" s="18"/>
      </tp>
      <tp t="e">
        <v>#N/A</v>
        <stp/>
        <stp>BDH|12319514115380591830</stp>
        <tr r="N22" s="5"/>
      </tp>
      <tp t="e">
        <v>#N/A</v>
        <stp/>
        <stp>BDH|10608300827629100618</stp>
        <tr r="C125" s="18"/>
      </tp>
      <tp t="e">
        <v>#N/A</v>
        <stp/>
        <stp>BDH|14418590199526400019</stp>
        <tr r="X9" s="28"/>
      </tp>
      <tp t="e">
        <v>#N/A</v>
        <stp/>
        <stp>BDH|16428087380974851455</stp>
        <tr r="L139" s="18"/>
      </tp>
      <tp t="e">
        <v>#N/A</v>
        <stp/>
        <stp>BDH|13377944655029368806</stp>
        <tr r="T28" s="10"/>
        <tr r="V33" s="13"/>
      </tp>
      <tp t="e">
        <v>#N/A</v>
        <stp/>
        <stp>BDH|15725880948583465422</stp>
        <tr r="U10" s="23"/>
      </tp>
      <tp t="e">
        <v>#N/A</v>
        <stp/>
        <stp>BDH|16994538487895838049</stp>
        <tr r="AA30" s="17"/>
      </tp>
      <tp t="e">
        <v>#N/A</v>
        <stp/>
        <stp>BDH|11358875550765267771</stp>
        <tr r="U9" s="22"/>
      </tp>
      <tp t="e">
        <v>#N/A</v>
        <stp/>
        <stp>BDH|14254957458611678783</stp>
        <tr r="N43" s="24"/>
      </tp>
      <tp t="e">
        <v>#N/A</v>
        <stp/>
        <stp>BDH|13185618554817085950</stp>
        <tr r="L19" s="22"/>
      </tp>
      <tp t="e">
        <v>#N/A</v>
        <stp/>
        <stp>BDH|11656753172679531653</stp>
        <tr r="P16" s="14"/>
      </tp>
      <tp t="e">
        <v>#N/A</v>
        <stp/>
        <stp>BDH|12197295668398010019</stp>
        <tr r="Q108" s="18"/>
        <tr r="O8" s="20"/>
      </tp>
      <tp t="e">
        <v>#N/A</v>
        <stp/>
        <stp>BDH|15728551175519596039</stp>
        <tr r="X15" s="26"/>
      </tp>
      <tp t="e">
        <v>#N/A</v>
        <stp/>
        <stp>BDH|13634156079782345980</stp>
        <tr r="K67" s="18"/>
      </tp>
      <tp t="e">
        <v>#N/A</v>
        <stp/>
        <stp>BDH|15090944965713243728</stp>
        <tr r="X109" s="18"/>
        <tr r="V9" s="20"/>
      </tp>
      <tp t="e">
        <v>#N/A</v>
        <stp/>
        <stp>BDH|14724105991204629611</stp>
        <tr r="P13" s="22"/>
      </tp>
      <tp t="e">
        <v>#N/A</v>
        <stp/>
        <stp>BDH|11265984265667636781</stp>
        <tr r="Z16" s="30"/>
      </tp>
      <tp t="e">
        <v>#N/A</v>
        <stp/>
        <stp>BDH|14515865463693139707</stp>
        <tr r="J9" s="3"/>
        <tr r="H50" s="10"/>
        <tr r="H44" s="11"/>
        <tr r="H14" s="7"/>
      </tp>
      <tp t="e">
        <v>#N/A</v>
        <stp/>
        <stp>BDH|12324958081424285943</stp>
        <tr r="C126" s="18"/>
      </tp>
      <tp t="e">
        <v>#N/A</v>
        <stp/>
        <stp>BDH|15744394024733844936</stp>
        <tr r="T54" s="12"/>
      </tp>
      <tp t="e">
        <v>#N/A</v>
        <stp/>
        <stp>BDH|15057543625339008501</stp>
        <tr r="H45" s="17"/>
        <tr r="H9" s="25"/>
      </tp>
      <tp t="e">
        <v>#N/A</v>
        <stp/>
        <stp>BDH|12789011781224220052</stp>
        <tr r="H52" s="21"/>
      </tp>
      <tp t="e">
        <v>#N/A</v>
        <stp/>
        <stp>BDH|18432108968742960351</stp>
        <tr r="W13" s="8"/>
      </tp>
      <tp t="e">
        <v>#N/A</v>
        <stp/>
        <stp>BDH|18002336047726498703</stp>
        <tr r="O32" s="10"/>
        <tr r="O26" s="11"/>
      </tp>
      <tp t="e">
        <v>#N/A</v>
        <stp/>
        <stp>BDH|12293545904180663940</stp>
        <tr r="I67" s="18"/>
      </tp>
      <tp t="e">
        <v>#N/A</v>
        <stp/>
        <stp>BDH|12092431154328036572</stp>
        <tr r="T72" s="10"/>
        <tr r="T66" s="11"/>
      </tp>
      <tp t="e">
        <v>#N/A</v>
        <stp/>
        <stp>BDH|15567951156733395453</stp>
        <tr r="E41" s="10"/>
        <tr r="E35" s="11"/>
      </tp>
      <tp t="e">
        <v>#N/A</v>
        <stp/>
        <stp>BDH|12048883945246481694</stp>
        <tr r="I47" s="12"/>
      </tp>
      <tp t="e">
        <v>#N/A</v>
        <stp/>
        <stp>BDH|12785571297201323140</stp>
        <tr r="D11" s="12"/>
      </tp>
      <tp t="e">
        <v>#N/A</v>
        <stp/>
        <stp>BDH|16092649326158603448</stp>
        <tr r="O10" s="6"/>
      </tp>
      <tp t="e">
        <v>#N/A</v>
        <stp/>
        <stp>BDH|17022408334048462605</stp>
        <tr r="Y46" s="12"/>
      </tp>
      <tp t="e">
        <v>#N/A</v>
        <stp/>
        <stp>BDH|18089422102182444047</stp>
        <tr r="C18" s="2"/>
        <tr r="C53" s="4"/>
        <tr r="C45" s="10"/>
        <tr r="C39" s="11"/>
        <tr r="E46" s="13"/>
      </tp>
      <tp t="e">
        <v>#N/A</v>
        <stp/>
        <stp>BDH|14353790286803822647</stp>
        <tr r="G28" s="12"/>
      </tp>
      <tp t="e">
        <v>#N/A</v>
        <stp/>
        <stp>BDH|18162244201835520110</stp>
        <tr r="J11" s="12"/>
      </tp>
      <tp t="e">
        <v>#N/A</v>
        <stp/>
        <stp>BDH|12629328811959286774</stp>
        <tr r="J58" s="17"/>
      </tp>
      <tp t="e">
        <v>#N/A</v>
        <stp/>
        <stp>BDH|15131506358858071397</stp>
        <tr r="P118" s="18"/>
      </tp>
      <tp t="e">
        <v>#N/A</v>
        <stp/>
        <stp>BDH|17340803621991242206</stp>
        <tr r="J88" s="18"/>
      </tp>
      <tp t="e">
        <v>#N/A</v>
        <stp/>
        <stp>BDH|12875690971915627860</stp>
        <tr r="Z17" s="20"/>
      </tp>
      <tp t="e">
        <v>#N/A</v>
        <stp/>
        <stp>BDH|16253432597270194570</stp>
        <tr r="N12" s="10"/>
      </tp>
      <tp t="e">
        <v>#N/A</v>
        <stp/>
        <stp>BDH|11810816226860925561</stp>
        <tr r="T8" s="27"/>
      </tp>
      <tp t="e">
        <v>#N/A</v>
        <stp/>
        <stp>BDH|14595551252312775850</stp>
        <tr r="AA47" s="24"/>
      </tp>
      <tp t="e">
        <v>#N/A</v>
        <stp/>
        <stp>BDH|10091917070755976582</stp>
        <tr r="G162" s="18"/>
      </tp>
      <tp t="e">
        <v>#N/A</v>
        <stp/>
        <stp>BDH|10607634224069267331</stp>
        <tr r="G77" s="17"/>
      </tp>
      <tp t="e">
        <v>#N/A</v>
        <stp/>
        <stp>BDH|12354336205757734824</stp>
        <tr r="L21" s="21"/>
      </tp>
      <tp t="e">
        <v>#N/A</v>
        <stp/>
        <stp>BDH|16377511745751727800</stp>
        <tr r="F39" s="22"/>
      </tp>
      <tp t="e">
        <v>#N/A</v>
        <stp/>
        <stp>BDH|11114985370490807110</stp>
        <tr r="O36" s="17"/>
      </tp>
      <tp t="e">
        <v>#N/A</v>
        <stp/>
        <stp>BDH|13783930139027595081</stp>
        <tr r="S38" s="10"/>
        <tr r="S32" s="11"/>
      </tp>
      <tp t="e">
        <v>#N/A</v>
        <stp/>
        <stp>BDH|11461615231432171850</stp>
        <tr r="Y14" s="8"/>
      </tp>
      <tp t="e">
        <v>#N/A</v>
        <stp/>
        <stp>BDH|13142036032096230826</stp>
        <tr r="I18" s="30"/>
      </tp>
      <tp t="e">
        <v>#N/A</v>
        <stp/>
        <stp>BDH|13776928395848110511</stp>
        <tr r="T21" s="12"/>
      </tp>
      <tp t="e">
        <v>#N/A</v>
        <stp/>
        <stp>BDH|13045091238388772665</stp>
        <tr r="J70" s="12"/>
      </tp>
      <tp t="e">
        <v>#N/A</v>
        <stp/>
        <stp>BDH|12130540211510028840</stp>
        <tr r="M20" s="24"/>
      </tp>
      <tp t="e">
        <v>#N/A</v>
        <stp/>
        <stp>BDH|11296165678070480980</stp>
        <tr r="Q10" s="23"/>
      </tp>
      <tp t="e">
        <v>#N/A</v>
        <stp/>
        <stp>BDH|12148513508039395085</stp>
        <tr r="R15" s="25"/>
      </tp>
      <tp t="e">
        <v>#N/A</v>
        <stp/>
        <stp>BDH|13785651364905286873</stp>
        <tr r="C9" s="11"/>
      </tp>
      <tp t="e">
        <v>#N/A</v>
        <stp/>
        <stp>BDH|14282463960381131960</stp>
        <tr r="G99" s="17"/>
      </tp>
      <tp t="e">
        <v>#N/A</v>
        <stp/>
        <stp>BDH|11830633684734559598</stp>
        <tr r="C39" s="10"/>
        <tr r="C33" s="11"/>
      </tp>
      <tp t="e">
        <v>#N/A</v>
        <stp/>
        <stp>BDH|16186651792431204677</stp>
        <tr r="L13" s="8"/>
      </tp>
      <tp t="e">
        <v>#N/A</v>
        <stp/>
        <stp>BDH|16483383553086845846</stp>
        <tr r="N35" s="34"/>
      </tp>
      <tp t="e">
        <v>#N/A</v>
        <stp/>
        <stp>BDH|10907542479955465934</stp>
        <tr r="I10" s="34"/>
      </tp>
      <tp t="e">
        <v>#N/A</v>
        <stp/>
        <stp>BDH|14666265377389612629</stp>
        <tr r="I15" s="6"/>
      </tp>
      <tp t="e">
        <v>#N/A</v>
        <stp/>
        <stp>BDH|12299704847006454920</stp>
        <tr r="S45" s="17"/>
        <tr r="S9" s="25"/>
      </tp>
      <tp t="e">
        <v>#N/A</v>
        <stp/>
        <stp>BDH|18244438079654345186</stp>
        <tr r="Q68" s="17"/>
      </tp>
      <tp t="e">
        <v>#N/A</v>
        <stp/>
        <stp>BDH|14395961771093126765</stp>
        <tr r="W48" s="21"/>
      </tp>
      <tp t="e">
        <v>#N/A</v>
        <stp/>
        <stp>BDH|15560328883100014070</stp>
        <tr r="AA76" s="18"/>
      </tp>
      <tp t="e">
        <v>#N/A</v>
        <stp/>
        <stp>BDH|11023232990594214029</stp>
        <tr r="H8" s="22"/>
      </tp>
      <tp t="e">
        <v>#N/A</v>
        <stp/>
        <stp>BDH|15262424132374847898</stp>
        <tr r="K143" s="18"/>
      </tp>
      <tp t="e">
        <v>#N/A</v>
        <stp/>
        <stp>BDH|18068044376927157602</stp>
        <tr r="G16" s="22"/>
      </tp>
      <tp t="e">
        <v>#N/A</v>
        <stp/>
        <stp>BDH|17516857413509366939</stp>
        <tr r="I137" s="18"/>
      </tp>
      <tp t="e">
        <v>#N/A</v>
        <stp/>
        <stp>BDH|12151667472129118471</stp>
        <tr r="Z21" s="26"/>
      </tp>
      <tp t="e">
        <v>#N/A</v>
        <stp/>
        <stp>BDH|14600135382434379775</stp>
        <tr r="M71" s="17"/>
      </tp>
      <tp t="e">
        <v>#N/A</v>
        <stp/>
        <stp>BDH|15294478179581856972</stp>
        <tr r="N156" s="18"/>
      </tp>
      <tp t="e">
        <v>#N/A</v>
        <stp/>
        <stp>BDH|10803683890123344204</stp>
        <tr r="F33" s="6"/>
        <tr r="H9" s="8"/>
      </tp>
      <tp t="e">
        <v>#N/A</v>
        <stp/>
        <stp>BDH|15719150227130557837</stp>
        <tr r="H124" s="18"/>
      </tp>
      <tp t="e">
        <v>#N/A</v>
        <stp/>
        <stp>BDH|15251033999152915027</stp>
        <tr r="T15" s="4"/>
      </tp>
      <tp t="e">
        <v>#N/A</v>
        <stp/>
        <stp>BDH|11171628273858537665</stp>
        <tr r="E8" s="4"/>
      </tp>
      <tp t="e">
        <v>#N/A</v>
        <stp/>
        <stp>BDH|14063973356000731657</stp>
        <tr r="H58" s="21"/>
        <tr r="H33" s="25"/>
        <tr r="F31" s="4"/>
        <tr r="F55" s="11"/>
      </tp>
      <tp t="e">
        <v>#N/A</v>
        <stp/>
        <stp>BDH|13913061972198633283</stp>
        <tr r="O52" s="24"/>
      </tp>
      <tp t="e">
        <v>#N/A</v>
        <stp/>
        <stp>BDH|10670017381632002457</stp>
        <tr r="H43" s="24"/>
      </tp>
      <tp t="e">
        <v>#N/A</v>
        <stp/>
        <stp>BDH|13032840243304679527</stp>
        <tr r="U56" s="18"/>
      </tp>
      <tp t="e">
        <v>#N/A</v>
        <stp/>
        <stp>BDH|11067340190975093076</stp>
        <tr r="U47" s="12"/>
      </tp>
      <tp t="e">
        <v>#N/A</v>
        <stp/>
        <stp>BDH|10764555876455594929</stp>
        <tr r="R33" s="6"/>
        <tr r="T9" s="8"/>
      </tp>
      <tp t="e">
        <v>#N/A</v>
        <stp/>
        <stp>BDH|17801126993371270085</stp>
        <tr r="C10" s="30"/>
      </tp>
      <tp t="e">
        <v>#N/A</v>
        <stp/>
        <stp>BDH|15950991240051661755</stp>
        <tr r="Y22" s="7"/>
      </tp>
      <tp t="e">
        <v>#N/A</v>
        <stp/>
        <stp>BDH|17258290918303718972</stp>
        <tr r="T16" s="30"/>
      </tp>
      <tp t="e">
        <v>#N/A</v>
        <stp/>
        <stp>BDH|12192005609815373986</stp>
        <tr r="I66" s="18"/>
      </tp>
      <tp t="e">
        <v>#N/A</v>
        <stp/>
        <stp>BDH|17110812919654976436</stp>
        <tr r="AA10" s="26"/>
      </tp>
      <tp t="e">
        <v>#N/A</v>
        <stp/>
        <stp>BDH|15520023366245446863</stp>
        <tr r="Q142" s="18"/>
      </tp>
      <tp t="e">
        <v>#N/A</v>
        <stp/>
        <stp>BDH|17401128794605231426</stp>
        <tr r="E70" s="24"/>
      </tp>
      <tp t="e">
        <v>#N/A</v>
        <stp/>
        <stp>BDH|14240949856076516076</stp>
        <tr r="L34" s="22"/>
      </tp>
      <tp t="e">
        <v>#N/A</v>
        <stp/>
        <stp>BDH|18015792282279098092</stp>
        <tr r="K53" s="17"/>
      </tp>
      <tp t="e">
        <v>#N/A</v>
        <stp/>
        <stp>BDH|13089014227496055947</stp>
        <tr r="P29" s="10"/>
        <tr r="R34" s="13"/>
      </tp>
      <tp t="e">
        <v>#N/A</v>
        <stp/>
        <stp>BDH|14509535079789538188</stp>
        <tr r="Y6" s="19"/>
        <tr r="Y37" s="17"/>
        <tr r="Y16" s="3"/>
      </tp>
      <tp t="e">
        <v>#N/A</v>
        <stp/>
        <stp>BDH|11602341384842361676</stp>
        <tr r="U49" s="21"/>
      </tp>
      <tp t="e">
        <v>#N/A</v>
        <stp/>
        <stp>BDH|13527335841043782927</stp>
        <tr r="L45" s="13"/>
      </tp>
      <tp t="e">
        <v>#N/A</v>
        <stp/>
        <stp>BDH|11761736614958744155</stp>
        <tr r="F38" s="18"/>
      </tp>
      <tp t="e">
        <v>#N/A</v>
        <stp/>
        <stp>BDH|18410501391939196368</stp>
        <tr r="L73" s="12"/>
      </tp>
      <tp t="e">
        <v>#N/A</v>
        <stp/>
        <stp>BDH|13096821431533322527</stp>
        <tr r="X50" s="18"/>
      </tp>
      <tp t="e">
        <v>#N/A</v>
        <stp/>
        <stp>BDH|16708493261702984843</stp>
        <tr r="C30" s="17"/>
      </tp>
      <tp t="e">
        <v>#N/A</v>
        <stp/>
        <stp>BDH|18222380778623789173</stp>
        <tr r="H20" s="22"/>
      </tp>
      <tp t="e">
        <v>#N/A</v>
        <stp/>
        <stp>BDH|10524766970318286630</stp>
        <tr r="Z90" s="17"/>
      </tp>
      <tp t="e">
        <v>#N/A</v>
        <stp/>
        <stp>BDH|16358815827083291157</stp>
        <tr r="Y52" s="18"/>
      </tp>
      <tp t="e">
        <v>#N/A</v>
        <stp/>
        <stp>BDH|13777662985927468424</stp>
        <tr r="P47" s="12"/>
      </tp>
      <tp t="e">
        <v>#N/A</v>
        <stp/>
        <stp>BDH|16113353498950909276</stp>
        <tr r="J152" s="18"/>
      </tp>
      <tp t="e">
        <v>#N/A</v>
        <stp/>
        <stp>BDH|12917568849235669820</stp>
        <tr r="P9" s="22"/>
      </tp>
      <tp t="e">
        <v>#N/A</v>
        <stp/>
        <stp>BDH|14664072388411391384</stp>
        <tr r="K21" s="25"/>
        <tr r="K10" s="27"/>
      </tp>
      <tp t="e">
        <v>#N/A</v>
        <stp/>
        <stp>BDH|13130917402903496749</stp>
        <tr r="I131" s="18"/>
      </tp>
      <tp t="e">
        <v>#N/A</v>
        <stp/>
        <stp>BDH|12787106717244272807</stp>
        <tr r="R42" s="21"/>
      </tp>
      <tp t="e">
        <v>#N/A</v>
        <stp/>
        <stp>BDH|10367267181022110673</stp>
        <tr r="R28" s="4"/>
      </tp>
      <tp t="e">
        <v>#N/A</v>
        <stp/>
        <stp>BDH|16482201003452094857</stp>
        <tr r="V18" s="20"/>
      </tp>
      <tp t="e">
        <v>#N/A</v>
        <stp/>
        <stp>BDH|16173644793252303572</stp>
        <tr r="M7" s="8"/>
      </tp>
      <tp t="e">
        <v>#N/A</v>
        <stp/>
        <stp>BDH|11873212951801867929</stp>
        <tr r="P59" s="21"/>
        <tr r="N56" s="11"/>
      </tp>
      <tp t="e">
        <v>#N/A</v>
        <stp/>
        <stp>BDH|18362134136030774437</stp>
        <tr r="U19" s="14"/>
      </tp>
      <tp t="e">
        <v>#N/A</v>
        <stp/>
        <stp>BDH|17207535444611263957</stp>
        <tr r="O72" s="24"/>
      </tp>
      <tp t="e">
        <v>#N/A</v>
        <stp/>
        <stp>BDH|12304811750775117415</stp>
        <tr r="Q82" s="17"/>
        <tr r="Q19" s="3"/>
      </tp>
      <tp t="e">
        <v>#N/A</v>
        <stp/>
        <stp>BDH|12154028075592184951</stp>
        <tr r="D15" s="6"/>
      </tp>
      <tp t="e">
        <v>#N/A</v>
        <stp/>
        <stp>BDH|14354205594641707027</stp>
        <tr r="G22" s="12"/>
      </tp>
      <tp t="e">
        <v>#N/A</v>
        <stp/>
        <stp>BDH|10029254477118444343</stp>
        <tr r="I134" s="18"/>
      </tp>
      <tp t="e">
        <v>#N/A</v>
        <stp/>
        <stp>BDH|12301364297801149718</stp>
        <tr r="W11" s="9"/>
      </tp>
      <tp t="e">
        <v>#N/A</v>
        <stp/>
        <stp>BDH|12757777794627628506</stp>
        <tr r="M63" s="12"/>
      </tp>
      <tp t="e">
        <v>#N/A</v>
        <stp/>
        <stp>BDH|10439590634331820935</stp>
        <tr r="C63" s="18"/>
      </tp>
      <tp t="e">
        <v>#N/A</v>
        <stp/>
        <stp>BDH|11749512495117254435</stp>
        <tr r="P70" s="24"/>
      </tp>
      <tp t="e">
        <v>#N/A</v>
        <stp/>
        <stp>BDH|14787952462282370718</stp>
        <tr r="T91" s="18"/>
      </tp>
      <tp t="e">
        <v>#N/A</v>
        <stp/>
        <stp>BDH|16459154554489301542</stp>
        <tr r="C16" s="10"/>
      </tp>
      <tp t="e">
        <v>#N/A</v>
        <stp/>
        <stp>BDH|16009592919005570972</stp>
        <tr r="Q32" s="6"/>
        <tr r="S6" s="8"/>
      </tp>
      <tp t="e">
        <v>#N/A</v>
        <stp/>
        <stp>BDH|16028074813779744012</stp>
        <tr r="X154" s="18"/>
      </tp>
      <tp t="e">
        <v>#N/A</v>
        <stp/>
        <stp>BDH|17368627556619073356</stp>
        <tr r="G13" s="5"/>
      </tp>
      <tp t="e">
        <v>#N/A</v>
        <stp/>
        <stp>BDH|17871710472331058897</stp>
        <tr r="J26" s="34"/>
      </tp>
      <tp t="e">
        <v>#N/A</v>
        <stp/>
        <stp>BDH|15989684187797148259</stp>
        <tr r="C71" s="12"/>
      </tp>
      <tp t="e">
        <v>#N/A</v>
        <stp/>
        <stp>BDH|15088434992404074239</stp>
        <tr r="K26" s="10"/>
        <tr r="M31" s="13"/>
      </tp>
      <tp t="e">
        <v>#N/A</v>
        <stp/>
        <stp>BDH|16635641388000809607</stp>
        <tr r="C22" s="7"/>
      </tp>
      <tp t="e">
        <v>#N/A</v>
        <stp/>
        <stp>BDH|17883986832901325230</stp>
        <tr r="L122" s="18"/>
      </tp>
      <tp t="e">
        <v>#N/A</v>
        <stp/>
        <stp>BDH|14058728283991653454</stp>
        <tr r="J46" s="10"/>
        <tr r="J40" s="11"/>
      </tp>
      <tp t="e">
        <v>#N/A</v>
        <stp/>
        <stp>BDH|10291860697996134907</stp>
        <tr r="O8" s="23"/>
      </tp>
      <tp t="e">
        <v>#N/A</v>
        <stp/>
        <stp>BDH|13309640795933759178</stp>
        <tr r="E23" s="24"/>
      </tp>
      <tp t="e">
        <v>#N/A</v>
        <stp/>
        <stp>BDH|14153461866411185953</stp>
        <tr r="K9" s="13"/>
      </tp>
      <tp t="e">
        <v>#N/A</v>
        <stp/>
        <stp>BDH|14016302495411646168</stp>
        <tr r="F14" s="13"/>
      </tp>
      <tp t="e">
        <v>#N/A</v>
        <stp/>
        <stp>BDH|13383713511249649207</stp>
        <tr r="H10" s="10"/>
      </tp>
      <tp t="e">
        <v>#N/A</v>
        <stp/>
        <stp>BDH|17341053813100963899</stp>
        <tr r="U14" s="17"/>
        <tr r="U17" s="28"/>
      </tp>
      <tp t="e">
        <v>#N/A</v>
        <stp/>
        <stp>BDH|17693806532923076118</stp>
        <tr r="AA13" s="14"/>
      </tp>
      <tp t="e">
        <v>#N/A</v>
        <stp/>
        <stp>BDH|10787255495242147733</stp>
        <tr r="F16" s="25"/>
      </tp>
      <tp t="e">
        <v>#N/A</v>
        <stp/>
        <stp>BDH|13671166861959644323</stp>
        <tr r="M55" s="13"/>
      </tp>
      <tp t="e">
        <v>#N/A</v>
        <stp/>
        <stp>BDH|17737965319710575189</stp>
        <tr r="N47" s="21"/>
      </tp>
      <tp t="e">
        <v>#N/A</v>
        <stp/>
        <stp>BDH|17673440987845701071</stp>
        <tr r="F24" s="25"/>
        <tr r="F14" s="27"/>
      </tp>
      <tp t="e">
        <v>#N/A</v>
        <stp/>
        <stp>BDH|16815633676328074188</stp>
        <tr r="H45" s="21"/>
      </tp>
      <tp t="e">
        <v>#N/A</v>
        <stp/>
        <stp>BDH|18297278486224484826</stp>
        <tr r="I73" s="24"/>
      </tp>
      <tp t="e">
        <v>#N/A</v>
        <stp/>
        <stp>BDH|17749768082583521536</stp>
        <tr r="Z8" s="12"/>
      </tp>
      <tp t="e">
        <v>#N/A</v>
        <stp/>
        <stp>BDH|12151096555440837908</stp>
        <tr r="F17" s="11"/>
      </tp>
      <tp t="e">
        <v>#N/A</v>
        <stp/>
        <stp>BDH|11520800340473939096</stp>
        <tr r="G142" s="18"/>
      </tp>
      <tp t="e">
        <v>#N/A</v>
        <stp/>
        <stp>BDH|16736132446339039472</stp>
        <tr r="Q163" s="18"/>
      </tp>
      <tp t="e">
        <v>#N/A</v>
        <stp/>
        <stp>BDH|12156175337078234660</stp>
        <tr r="Q9" s="2"/>
        <tr r="S8" s="25"/>
        <tr r="P10" s="5"/>
      </tp>
      <tp t="e">
        <v>#N/A</v>
        <stp/>
        <stp>BDH|16523584189665055017</stp>
        <tr r="P14" s="17"/>
        <tr r="P17" s="28"/>
      </tp>
      <tp t="e">
        <v>#N/A</v>
        <stp/>
        <stp>BDH|17211932201049455914</stp>
        <tr r="F72" s="17"/>
        <tr r="F18" s="3"/>
      </tp>
      <tp t="e">
        <v>#N/A</v>
        <stp/>
        <stp>BDH|15257911355101635657</stp>
        <tr r="Y52" s="21"/>
      </tp>
      <tp t="e">
        <v>#N/A</v>
        <stp/>
        <stp>BDH|12619360860060605930</stp>
        <tr r="X38" s="24"/>
      </tp>
      <tp t="e">
        <v>#N/A</v>
        <stp/>
        <stp>BDH|15200168323558048029</stp>
        <tr r="P33" s="26"/>
      </tp>
      <tp t="e">
        <v>#N/A</v>
        <stp/>
        <stp>BDH|15042602312108414436</stp>
        <tr r="M18" s="23"/>
      </tp>
      <tp t="e">
        <v>#N/A</v>
        <stp/>
        <stp>BDH|17020753503126542864</stp>
        <tr r="V166" s="18"/>
      </tp>
      <tp t="e">
        <v>#N/A</v>
        <stp/>
        <stp>BDH|14441934826706381778</stp>
        <tr r="M151" s="18"/>
      </tp>
      <tp t="e">
        <v>#N/A</v>
        <stp/>
        <stp>BDH|18079196634271810505</stp>
        <tr r="P33" s="34"/>
      </tp>
      <tp t="e">
        <v>#N/A</v>
        <stp/>
        <stp>BDH|15034145996000706301</stp>
        <tr r="Y14" s="18"/>
      </tp>
      <tp t="e">
        <v>#N/A</v>
        <stp/>
        <stp>BDH|16139115733352110872</stp>
        <tr r="D30" s="24"/>
      </tp>
      <tp t="e">
        <v>#N/A</v>
        <stp/>
        <stp>BDH|16553006395215665431</stp>
        <tr r="M67" s="17"/>
      </tp>
      <tp t="e">
        <v>#N/A</v>
        <stp/>
        <stp>BDH|17066633885687267013</stp>
        <tr r="N62" s="18"/>
      </tp>
      <tp t="e">
        <v>#N/A</v>
        <stp/>
        <stp>BDH|17973820876033166594</stp>
        <tr r="AA168" s="18"/>
      </tp>
      <tp t="e">
        <v>#N/A</v>
        <stp/>
        <stp>BDH|12741814664567215551</stp>
        <tr r="O55" s="17"/>
      </tp>
      <tp t="e">
        <v>#N/A</v>
        <stp/>
        <stp>BDH|13142607457468634651</stp>
        <tr r="R30" s="12"/>
      </tp>
      <tp t="e">
        <v>#N/A</v>
        <stp/>
        <stp>BDH|17879928471003739487</stp>
        <tr r="T25" s="2"/>
        <tr r="V62" s="21"/>
      </tp>
      <tp t="e">
        <v>#N/A</v>
        <stp/>
        <stp>BDH|10950949700214101385</stp>
        <tr r="N56" s="13"/>
      </tp>
      <tp t="e">
        <v>#N/A</v>
        <stp/>
        <stp>BDH|13895865040307265682</stp>
        <tr r="X71" s="18"/>
      </tp>
      <tp t="e">
        <v>#N/A</v>
        <stp/>
        <stp>BDH|12756833084625626929</stp>
        <tr r="E26" s="25"/>
        <tr r="E16" s="27"/>
      </tp>
      <tp t="e">
        <v>#N/A</v>
        <stp/>
        <stp>BDH|14546409877549135072</stp>
        <tr r="Z26" s="13"/>
      </tp>
      <tp t="e">
        <v>#N/A</v>
        <stp/>
        <stp>BDH|12297887366537124590</stp>
        <tr r="Z58" s="18"/>
      </tp>
      <tp t="e">
        <v>#N/A</v>
        <stp/>
        <stp>BDH|14268201505961142925</stp>
        <tr r="T8" s="21"/>
      </tp>
      <tp t="e">
        <v>#N/A</v>
        <stp/>
        <stp>BDH|16085928979517684192</stp>
        <tr r="U72" s="17"/>
        <tr r="U18" s="3"/>
      </tp>
      <tp t="e">
        <v>#N/A</v>
        <stp/>
        <stp>BDH|13468058152658264051</stp>
        <tr r="K17" s="29"/>
        <tr r="K37" s="29"/>
      </tp>
      <tp t="e">
        <v>#N/A</v>
        <stp/>
        <stp>BDH|13759703054399283652</stp>
        <tr r="I22" s="30"/>
        <tr r="I25" s="23"/>
      </tp>
      <tp t="e">
        <v>#N/A</v>
        <stp/>
        <stp>BDH|18064396343375968478</stp>
        <tr r="K33" s="22"/>
      </tp>
      <tp t="e">
        <v>#N/A</v>
        <stp/>
        <stp>BDH|15747308072399114603</stp>
        <tr r="C42" s="22"/>
      </tp>
      <tp t="e">
        <v>#N/A</v>
        <stp/>
        <stp>BDH|18319221040653426319</stp>
        <tr r="H76" s="18"/>
      </tp>
      <tp t="e">
        <v>#N/A</v>
        <stp/>
        <stp>BDH|17635255193026291463</stp>
        <tr r="G36" s="17"/>
      </tp>
      <tp t="e">
        <v>#N/A</v>
        <stp/>
        <stp>BDH|16330399495834274699</stp>
        <tr r="T79" s="17"/>
      </tp>
      <tp t="e">
        <v>#N/A</v>
        <stp/>
        <stp>BDH|12383849870127173424</stp>
        <tr r="R49" s="4"/>
      </tp>
      <tp t="e">
        <v>#N/A</v>
        <stp/>
        <stp>BDH|17006932232751316267</stp>
        <tr r="K29" s="5"/>
      </tp>
      <tp t="e">
        <v>#N/A</v>
        <stp/>
        <stp>BDH|16190073682788578859</stp>
        <tr r="O22" s="12"/>
      </tp>
      <tp t="e">
        <v>#N/A</v>
        <stp/>
        <stp>BDH|16674743930395766912</stp>
        <tr r="C13" s="17"/>
        <tr r="C16" s="28"/>
      </tp>
      <tp t="e">
        <v>#N/A</v>
        <stp/>
        <stp>BDH|11313326265249911396</stp>
        <tr r="O77" s="18"/>
      </tp>
      <tp t="e">
        <v>#N/A</v>
        <stp/>
        <stp>BDH|16004293326939290192</stp>
        <tr r="I54" s="18"/>
      </tp>
      <tp t="e">
        <v>#N/A</v>
        <stp/>
        <stp>BDH|16943684298324427390</stp>
        <tr r="L33" s="18"/>
      </tp>
      <tp t="e">
        <v>#N/A</v>
        <stp/>
        <stp>BDH|16681384765434806979</stp>
        <tr r="J22" s="4"/>
      </tp>
      <tp t="e">
        <v>#N/A</v>
        <stp/>
        <stp>BDH|12945104922447743880</stp>
        <tr r="O21" s="5"/>
      </tp>
      <tp t="e">
        <v>#N/A</v>
        <stp/>
        <stp>BDH|13444158594416912389</stp>
        <tr r="O26" s="24"/>
      </tp>
      <tp t="e">
        <v>#N/A</v>
        <stp/>
        <stp>BDH|10003554430671148901</stp>
        <tr r="T66" s="24"/>
      </tp>
      <tp t="e">
        <v>#N/A</v>
        <stp/>
        <stp>BDH|12816738809988277340</stp>
        <tr r="P87" s="18"/>
      </tp>
      <tp t="e">
        <v>#N/A</v>
        <stp/>
        <stp>BDH|13657174831649237661</stp>
        <tr r="W72" s="24"/>
      </tp>
      <tp t="e">
        <v>#N/A</v>
        <stp/>
        <stp>BDH|11330368292224556169</stp>
        <tr r="J72" s="12"/>
      </tp>
      <tp t="e">
        <v>#N/A</v>
        <stp/>
        <stp>BDH|13201908172825707634</stp>
        <tr r="C20" s="30"/>
      </tp>
      <tp t="e">
        <v>#N/A</v>
        <stp/>
        <stp>BDH|14650804079951858406</stp>
        <tr r="W135" s="18"/>
      </tp>
      <tp t="e">
        <v>#N/A</v>
        <stp/>
        <stp>BDH|14036963737678157878</stp>
        <tr r="P72" s="18"/>
      </tp>
      <tp t="e">
        <v>#N/A</v>
        <stp/>
        <stp>BDH|16725524426579311678</stp>
        <tr r="C52" s="12"/>
      </tp>
      <tp t="e">
        <v>#N/A</v>
        <stp/>
        <stp>BDH|17594656126224006917</stp>
        <tr r="Y11" s="3"/>
        <tr r="W49" s="10"/>
        <tr r="W43" s="11"/>
        <tr r="W8" s="7"/>
      </tp>
      <tp t="e">
        <v>#N/A</v>
        <stp/>
        <stp>BDH|17705297251198896606</stp>
        <tr r="S40" s="22"/>
      </tp>
      <tp t="e">
        <v>#N/A</v>
        <stp/>
        <stp>BDH|12116109319238811472</stp>
        <tr r="T57" s="12"/>
      </tp>
      <tp t="e">
        <v>#N/A</v>
        <stp/>
        <stp>BDH|18263969497901799737</stp>
        <tr r="O44" s="24"/>
      </tp>
      <tp t="e">
        <v>#N/A</v>
        <stp/>
        <stp>BDH|18445843801526736819</stp>
        <tr r="X13" s="18"/>
      </tp>
      <tp t="e">
        <v>#N/A</v>
        <stp/>
        <stp>BDH|15613431326094183950</stp>
        <tr r="R64" s="18"/>
      </tp>
      <tp t="e">
        <v>#N/A</v>
        <stp/>
        <stp>BDH|15561074100122497912</stp>
        <tr r="G12" s="10"/>
      </tp>
      <tp t="e">
        <v>#N/A</v>
        <stp/>
        <stp>BDH|13973416426922175987</stp>
        <tr r="G9" s="23"/>
      </tp>
      <tp t="e">
        <v>#N/A</v>
        <stp/>
        <stp>BDH|14004620390884279170</stp>
        <tr r="C11" s="9"/>
      </tp>
      <tp t="e">
        <v>#N/A</v>
        <stp/>
        <stp>BDH|13492406852218851496</stp>
        <tr r="Q29" s="10"/>
        <tr r="S34" s="13"/>
      </tp>
      <tp t="e">
        <v>#N/A</v>
        <stp/>
        <stp>BDH|15013609244231266811</stp>
        <tr r="H45" s="24"/>
      </tp>
      <tp t="e">
        <v>#N/A</v>
        <stp/>
        <stp>BDH|12173500694083733358</stp>
        <tr r="K31" s="18"/>
      </tp>
      <tp t="e">
        <v>#N/A</v>
        <stp/>
        <stp>BDH|18046926940623787820</stp>
        <tr r="AA62" s="24"/>
      </tp>
      <tp t="e">
        <v>#N/A</v>
        <stp/>
        <stp>BDH|13848138209358746428</stp>
        <tr r="F10" s="30"/>
      </tp>
      <tp t="e">
        <v>#N/A</v>
        <stp/>
        <stp>BDH|13267417646064527970</stp>
        <tr r="N90" s="18"/>
      </tp>
      <tp t="e">
        <v>#N/A</v>
        <stp/>
        <stp>BDH|17775015431308226221</stp>
        <tr r="G8" s="12"/>
      </tp>
      <tp t="e">
        <v>#N/A</v>
        <stp/>
        <stp>BDH|14936181095927414578</stp>
        <tr r="Z8" s="27"/>
      </tp>
      <tp t="e">
        <v>#N/A</v>
        <stp/>
        <stp>BDH|17439714430604662946</stp>
        <tr r="M17" s="13"/>
      </tp>
      <tp t="e">
        <v>#N/A</v>
        <stp/>
        <stp>BDH|15940188676214193916</stp>
        <tr r="I92" s="17"/>
      </tp>
      <tp t="e">
        <v>#N/A</v>
        <stp/>
        <stp>BDH|10745801111615045216</stp>
        <tr r="H34" s="21"/>
      </tp>
      <tp t="e">
        <v>#N/A</v>
        <stp/>
        <stp>BDH|15673925331081637046</stp>
        <tr r="E35" s="17"/>
      </tp>
      <tp t="e">
        <v>#N/A</v>
        <stp/>
        <stp>BDH|15202085522420678990</stp>
        <tr r="K12" s="11"/>
      </tp>
      <tp t="e">
        <v>#N/A</v>
        <stp/>
        <stp>BDH|12958334719629603721</stp>
        <tr r="X158" s="18"/>
      </tp>
      <tp t="e">
        <v>#N/A</v>
        <stp/>
        <stp>BDH|11138816367634239526</stp>
        <tr r="L27" s="17"/>
      </tp>
      <tp t="e">
        <v>#N/A</v>
        <stp/>
        <stp>BDH|17526378756789490671</stp>
        <tr r="U55" s="24"/>
      </tp>
      <tp t="e">
        <v>#N/A</v>
        <stp/>
        <stp>BDH|14618646598740976543</stp>
        <tr r="V13" s="29"/>
        <tr r="V22" s="29"/>
        <tr r="V33" s="29"/>
      </tp>
      <tp t="e">
        <v>#N/A</v>
        <stp/>
        <stp>BDH|14672403992751250612</stp>
        <tr r="L124" s="18"/>
      </tp>
      <tp t="e">
        <v>#N/A</v>
        <stp/>
        <stp>BDH|15395094669275484803</stp>
        <tr r="K168" s="18"/>
      </tp>
      <tp t="e">
        <v>#N/A</v>
        <stp/>
        <stp>BDH|10325925120371091469</stp>
        <tr r="C27" s="7"/>
      </tp>
      <tp t="e">
        <v>#N/A</v>
        <stp/>
        <stp>BDH|12183597244465359895</stp>
        <tr r="H50" s="24"/>
      </tp>
      <tp t="e">
        <v>#N/A</v>
        <stp/>
        <stp>BDH|17761823323367596454</stp>
        <tr r="J9" s="21"/>
      </tp>
      <tp t="e">
        <v>#N/A</v>
        <stp/>
        <stp>BDH|15834868509690179302</stp>
        <tr r="S55" s="12"/>
      </tp>
      <tp t="e">
        <v>#N/A</v>
        <stp/>
        <stp>BDH|11615626222859089208</stp>
        <tr r="Y63" s="12"/>
      </tp>
      <tp t="e">
        <v>#N/A</v>
        <stp/>
        <stp>BDH|16572279692127550435</stp>
        <tr r="C9" s="17"/>
      </tp>
      <tp t="e">
        <v>#N/A</v>
        <stp/>
        <stp>BDH|13726645174234534849</stp>
        <tr r="D47" s="17"/>
      </tp>
      <tp t="e">
        <v>#N/A</v>
        <stp/>
        <stp>BDH|15113668565273539816</stp>
        <tr r="R154" s="18"/>
      </tp>
      <tp t="e">
        <v>#N/A</v>
        <stp/>
        <stp>BDH|10606596835718883044</stp>
        <tr r="G36" s="4"/>
      </tp>
      <tp t="e">
        <v>#N/A</v>
        <stp/>
        <stp>BDH|13227509484651209120</stp>
        <tr r="L137" s="18"/>
      </tp>
      <tp t="e">
        <v>#N/A</v>
        <stp/>
        <stp>BDH|14031127927350323909</stp>
        <tr r="Z14" s="13"/>
      </tp>
      <tp t="e">
        <v>#N/A</v>
        <stp/>
        <stp>BDH|10782950247233762040</stp>
        <tr r="C6" s="3"/>
      </tp>
      <tp t="e">
        <v>#N/A</v>
        <stp/>
        <stp>BDH|13278362993746564148</stp>
        <tr r="M9" s="34"/>
      </tp>
      <tp t="e">
        <v>#N/A</v>
        <stp/>
        <stp>BDH|11015952654421731208</stp>
        <tr r="P7" s="21"/>
      </tp>
      <tp t="e">
        <v>#N/A</v>
        <stp/>
        <stp>BDH|10337633034193702852</stp>
        <tr r="V25" s="18"/>
      </tp>
      <tp t="e">
        <v>#N/A</v>
        <stp/>
        <stp>BDH|10168267700828289432</stp>
        <tr r="N25" s="21"/>
      </tp>
      <tp t="e">
        <v>#N/A</v>
        <stp/>
        <stp>BDH|10260701565108051710</stp>
        <tr r="H19" s="17"/>
      </tp>
      <tp t="e">
        <v>#N/A</v>
        <stp/>
        <stp>BDH|14219047801329474351</stp>
        <tr r="S25" s="4"/>
        <tr r="S64" s="10"/>
      </tp>
      <tp t="e">
        <v>#N/A</v>
        <stp/>
        <stp>BDH|12168501987536199719</stp>
        <tr r="C13" s="9"/>
      </tp>
      <tp t="e">
        <v>#N/A</v>
        <stp/>
        <stp>BDH|16019209855258310709</stp>
        <tr r="I31" s="17"/>
      </tp>
      <tp t="e">
        <v>#N/A</v>
        <stp/>
        <stp>BDH|15714600587272416720</stp>
        <tr r="S12" s="17"/>
      </tp>
      <tp t="e">
        <v>#N/A</v>
        <stp/>
        <stp>BDH|15246506401199545706</stp>
        <tr r="G59" s="12"/>
      </tp>
      <tp t="e">
        <v>#N/A</v>
        <stp/>
        <stp>BDH|15249151180611538341</stp>
        <tr r="T50" s="13"/>
      </tp>
      <tp t="e">
        <v>#N/A</v>
        <stp/>
        <stp>BDH|10836464677649911460</stp>
        <tr r="U80" s="17"/>
      </tp>
      <tp t="e">
        <v>#N/A</v>
        <stp/>
        <stp>BDH|13131811421341267657</stp>
        <tr r="Y66" s="24"/>
      </tp>
      <tp t="e">
        <v>#N/A</v>
        <stp/>
        <stp>BDH|12773203480735728367</stp>
        <tr r="E76" s="17"/>
      </tp>
      <tp t="e">
        <v>#N/A</v>
        <stp/>
        <stp>BDH|11113710756178744572</stp>
        <tr r="G14" s="14"/>
      </tp>
      <tp t="e">
        <v>#N/A</v>
        <stp/>
        <stp>BDH|16040869103632753248</stp>
        <tr r="N13" s="11"/>
      </tp>
      <tp t="e">
        <v>#N/A</v>
        <stp/>
        <stp>BDH|15405886226516806745</stp>
        <tr r="S10" s="28"/>
      </tp>
      <tp t="e">
        <v>#N/A</v>
        <stp/>
        <stp>BDH|11210342752950844957</stp>
        <tr r="L55" s="12"/>
      </tp>
      <tp t="e">
        <v>#N/A</v>
        <stp/>
        <stp>BDH|16811467696566497353</stp>
        <tr r="V62" s="10"/>
      </tp>
      <tp t="e">
        <v>#N/A</v>
        <stp/>
        <stp>BDH|11446547495950434386</stp>
        <tr r="T66" s="10"/>
      </tp>
      <tp t="e">
        <v>#N/A</v>
        <stp/>
        <stp>BDH|13020395514278794730</stp>
        <tr r="R25" s="3"/>
      </tp>
      <tp t="e">
        <v>#N/A</v>
        <stp/>
        <stp>BDH|14507805459907055055</stp>
        <tr r="AA11" s="29"/>
      </tp>
      <tp t="e">
        <v>#N/A</v>
        <stp/>
        <stp>BDH|14977617022787072933</stp>
        <tr r="W40" s="18"/>
      </tp>
      <tp t="e">
        <v>#N/A</v>
        <stp/>
        <stp>BDH|10385874871898800946</stp>
        <tr r="F34" s="10"/>
        <tr r="F28" s="11"/>
      </tp>
      <tp t="e">
        <v>#N/A</v>
        <stp/>
        <stp>BDH|17894248885105976696</stp>
        <tr r="X8" s="28"/>
      </tp>
      <tp t="e">
        <v>#N/A</v>
        <stp/>
        <stp>BDH|13322212595966694081</stp>
        <tr r="R62" s="11"/>
      </tp>
      <tp t="e">
        <v>#N/A</v>
        <stp/>
        <stp>BDH|15077311265678836652</stp>
        <tr r="M13" s="5"/>
      </tp>
      <tp t="e">
        <v>#N/A</v>
        <stp/>
        <stp>BDH|13406382743998484223</stp>
        <tr r="E109" s="18"/>
        <tr r="C9" s="20"/>
      </tp>
      <tp t="e">
        <v>#N/A</v>
        <stp/>
        <stp>BDH|10957652146055389909</stp>
        <tr r="P12" s="24"/>
      </tp>
      <tp t="e">
        <v>#N/A</v>
        <stp/>
        <stp>BDH|11520564354259975676</stp>
        <tr r="L99" s="18"/>
      </tp>
      <tp t="e">
        <v>#N/A</v>
        <stp/>
        <stp>BDH|17303880252760560455</stp>
        <tr r="D45" s="13"/>
      </tp>
      <tp t="e">
        <v>#N/A</v>
        <stp/>
        <stp>BDH|15930626219675964921</stp>
        <tr r="U81" s="18"/>
      </tp>
      <tp t="e">
        <v>#N/A</v>
        <stp/>
        <stp>BDH|15963953127346066624</stp>
        <tr r="M34" s="18"/>
      </tp>
      <tp t="e">
        <v>#N/A</v>
        <stp/>
        <stp>BDH|10479786703829517022</stp>
        <tr r="R15" s="21"/>
      </tp>
      <tp t="e">
        <v>#N/A</v>
        <stp/>
        <stp>BDH|13107902894669555488</stp>
        <tr r="S48" s="12"/>
      </tp>
      <tp t="e">
        <v>#N/A</v>
        <stp/>
        <stp>BDH|15908928154976485130</stp>
        <tr r="C10" s="13"/>
      </tp>
      <tp t="e">
        <v>#N/A</v>
        <stp/>
        <stp>BDH|10012879061162958273</stp>
        <tr r="O65" s="24"/>
      </tp>
      <tp t="e">
        <v>#N/A</v>
        <stp/>
        <stp>BDH|10641663829979526342</stp>
        <tr r="R97" s="17"/>
        <tr r="R7" s="27"/>
      </tp>
      <tp t="e">
        <v>#N/A</v>
        <stp/>
        <stp>BDH|16409997370407686136</stp>
        <tr r="M22" s="21"/>
      </tp>
      <tp t="e">
        <v>#N/A</v>
        <stp/>
        <stp>BDH|11946547406808675250</stp>
        <tr r="S7" s="30"/>
      </tp>
      <tp t="e">
        <v>#N/A</v>
        <stp/>
        <stp>BDH|17246826357374928061</stp>
        <tr r="T112" s="18"/>
        <tr r="R13" s="20"/>
      </tp>
      <tp t="e">
        <v>#N/A</v>
        <stp/>
        <stp>BDH|13681387621345282956</stp>
        <tr r="L138" s="18"/>
      </tp>
      <tp t="e">
        <v>#N/A</v>
        <stp/>
        <stp>BDH|10816051112646063972</stp>
        <tr r="G45" s="17"/>
        <tr r="G9" s="25"/>
      </tp>
      <tp t="e">
        <v>#N/A</v>
        <stp/>
        <stp>BDH|12072530443064965911</stp>
        <tr r="AA9" s="23"/>
      </tp>
      <tp t="e">
        <v>#N/A</v>
        <stp/>
        <stp>BDH|16518737922168501597</stp>
        <tr r="Q27" s="21"/>
      </tp>
      <tp t="e">
        <v>#N/A</v>
        <stp/>
        <stp>BDH|12780822025347184196</stp>
        <tr r="W43" s="12"/>
      </tp>
      <tp t="e">
        <v>#N/A</v>
        <stp/>
        <stp>BDH|11701660784489518883</stp>
        <tr r="P8" s="26"/>
        <tr r="M10" s="9"/>
      </tp>
      <tp t="e">
        <v>#N/A</v>
        <stp/>
        <stp>BDH|11238356738308013772</stp>
        <tr r="O12" s="10"/>
      </tp>
      <tp t="e">
        <v>#N/A</v>
        <stp/>
        <stp>BDH|12124606958027274836</stp>
        <tr r="F19" s="10"/>
      </tp>
      <tp t="e">
        <v>#N/A</v>
        <stp/>
        <stp>BDH|16723900295299325196</stp>
        <tr r="U46" s="21"/>
      </tp>
      <tp t="e">
        <v>#N/A</v>
        <stp/>
        <stp>BDH|11451637984622348384</stp>
        <tr r="R56" s="10"/>
        <tr r="R50" s="11"/>
        <tr r="R18" s="7"/>
        <tr r="T52" s="13"/>
      </tp>
      <tp t="e">
        <v>#N/A</v>
        <stp/>
        <stp>BDH|13438635627658929116</stp>
        <tr r="C112" s="18"/>
      </tp>
      <tp t="e">
        <v>#N/A</v>
        <stp/>
        <stp>BDH|18153498010355234629</stp>
        <tr r="R43" s="17"/>
      </tp>
      <tp t="e">
        <v>#N/A</v>
        <stp/>
        <stp>BDH|10459634254325085881</stp>
        <tr r="R14" s="29"/>
        <tr r="R23" s="29"/>
        <tr r="R34" s="29"/>
      </tp>
      <tp t="e">
        <v>#N/A</v>
        <stp/>
        <stp>BDH|15541989653727499018</stp>
        <tr r="U23" s="17"/>
        <tr r="U15" s="3"/>
      </tp>
      <tp t="e">
        <v>#N/A</v>
        <stp/>
        <stp>BDH|17875113624168371259</stp>
        <tr r="M24" s="24"/>
      </tp>
      <tp t="e">
        <v>#N/A</v>
        <stp/>
        <stp>BDH|14583459399877417063</stp>
        <tr r="Q20" s="29"/>
      </tp>
      <tp t="e">
        <v>#N/A</v>
        <stp/>
        <stp>BDH|10710853743141397390</stp>
        <tr r="E97" s="17"/>
        <tr r="E7" s="27"/>
      </tp>
      <tp t="e">
        <v>#N/A</v>
        <stp/>
        <stp>BDH|16273410819439884493</stp>
        <tr r="Z30" s="24"/>
      </tp>
      <tp t="e">
        <v>#N/A</v>
        <stp/>
        <stp>BDH|10237487810272896997</stp>
        <tr r="G13" s="10"/>
      </tp>
      <tp t="e">
        <v>#N/A</v>
        <stp/>
        <stp>BDH|18401589252190510606</stp>
        <tr r="U19" s="20"/>
      </tp>
      <tp t="e">
        <v>#N/A</v>
        <stp/>
        <stp>BDH|18067760389921124853</stp>
        <tr r="H41" s="10"/>
        <tr r="H35" s="11"/>
      </tp>
      <tp t="e">
        <v>#N/A</v>
        <stp/>
        <stp>BDH|13306428424459989279</stp>
        <tr r="X12" s="11"/>
      </tp>
      <tp t="e">
        <v>#N/A</v>
        <stp/>
        <stp>BDH|12609365419986392819</stp>
        <tr r="E54" s="21"/>
      </tp>
      <tp t="e">
        <v>#N/A</v>
        <stp/>
        <stp>BDH|18420340637814537295</stp>
        <tr r="U59" s="12"/>
      </tp>
      <tp t="e">
        <v>#N/A</v>
        <stp/>
        <stp>BDH|16207798561991288835</stp>
        <tr r="L6" s="19"/>
        <tr r="L37" s="17"/>
        <tr r="L16" s="3"/>
      </tp>
      <tp t="e">
        <v>#N/A</v>
        <stp/>
        <stp>BDH|16894299748578407669</stp>
        <tr r="AA96" s="17"/>
      </tp>
      <tp t="e">
        <v>#N/A</v>
        <stp/>
        <stp>BDH|17906870885341502851</stp>
        <tr r="V7" s="24"/>
      </tp>
      <tp t="e">
        <v>#N/A</v>
        <stp/>
        <stp>BDH|18046584292288128202</stp>
        <tr r="U39" s="10"/>
        <tr r="U33" s="11"/>
      </tp>
      <tp t="e">
        <v>#N/A</v>
        <stp/>
        <stp>BDH|13844136574473521816</stp>
        <tr r="P10" s="21"/>
      </tp>
      <tp t="e">
        <v>#N/A</v>
        <stp/>
        <stp>BDH|17820030721358370327</stp>
        <tr r="F31" s="12"/>
      </tp>
      <tp t="e">
        <v>#N/A</v>
        <stp/>
        <stp>BDH|11402087693904071249</stp>
        <tr r="I65" s="24"/>
      </tp>
      <tp t="e">
        <v>#N/A</v>
        <stp/>
        <stp>BDH|11033072699690163646</stp>
        <tr r="E58" s="18"/>
      </tp>
      <tp t="e">
        <v>#N/A</v>
        <stp/>
        <stp>BDH|11068090297542142441</stp>
        <tr r="N43" s="13"/>
      </tp>
      <tp t="e">
        <v>#N/A</v>
        <stp/>
        <stp>BDH|17104131583018362891</stp>
        <tr r="N21" s="3"/>
      </tp>
      <tp t="e">
        <v>#N/A</v>
        <stp/>
        <stp>BDH|10321695892837437679</stp>
        <tr r="Z52" s="24"/>
      </tp>
      <tp t="e">
        <v>#N/A</v>
        <stp/>
        <stp>BDH|12494192185326192324</stp>
        <tr r="F26" s="24"/>
      </tp>
      <tp t="e">
        <v>#N/A</v>
        <stp/>
        <stp>BDH|18441547560024963120</stp>
        <tr r="Q135" s="18"/>
      </tp>
      <tp t="e">
        <v>#N/A</v>
        <stp/>
        <stp>BDH|10362539605653850869</stp>
        <tr r="W143" s="18"/>
      </tp>
      <tp t="e">
        <v>#N/A</v>
        <stp/>
        <stp>BDH|15226082790362390031</stp>
        <tr r="V56" s="10"/>
        <tr r="V50" s="11"/>
        <tr r="V18" s="7"/>
        <tr r="X52" s="13"/>
      </tp>
      <tp t="e">
        <v>#N/A</v>
        <stp/>
        <stp>BDH|15204722895483788684</stp>
        <tr r="C17" s="20"/>
      </tp>
      <tp t="e">
        <v>#N/A</v>
        <stp/>
        <stp>BDH|10806253740609383144</stp>
        <tr r="R8" s="6"/>
      </tp>
      <tp t="e">
        <v>#N/A</v>
        <stp/>
        <stp>BDH|17973351932660110959</stp>
        <tr r="R91" s="18"/>
      </tp>
      <tp t="e">
        <v>#N/A</v>
        <stp/>
        <stp>BDH|13035762069679594506</stp>
        <tr r="D16" s="20"/>
      </tp>
      <tp t="e">
        <v>#N/A</v>
        <stp/>
        <stp>BDH|11689983358401980258</stp>
        <tr r="R20" s="11"/>
      </tp>
      <tp t="e">
        <v>#N/A</v>
        <stp/>
        <stp>BDH|16748637927654832819</stp>
        <tr r="AA62" s="17"/>
      </tp>
      <tp t="e">
        <v>#N/A</v>
        <stp/>
        <stp>BDH|13613952789684595852</stp>
        <tr r="AA8" s="23"/>
      </tp>
      <tp t="e">
        <v>#N/A</v>
        <stp/>
        <stp>BDH|12576490696356799770</stp>
        <tr r="U7" s="2"/>
        <tr r="T7" s="5"/>
        <tr r="T7" s="9"/>
        <tr r="W14" s="3"/>
      </tp>
      <tp t="e">
        <v>#N/A</v>
        <stp/>
        <stp>BDH|16187005813768133195</stp>
        <tr r="D118" s="18"/>
      </tp>
      <tp t="e">
        <v>#N/A</v>
        <stp/>
        <stp>BDH|17992042789500607182</stp>
        <tr r="T59" s="17"/>
      </tp>
      <tp t="e">
        <v>#N/A</v>
        <stp/>
        <stp>BDH|14206134194393661192</stp>
        <tr r="M13" s="12"/>
      </tp>
      <tp t="e">
        <v>#N/A</v>
        <stp/>
        <stp>BDH|13678955268712536044</stp>
        <tr r="K125" s="18"/>
      </tp>
      <tp t="e">
        <v>#N/A</v>
        <stp/>
        <stp>BDH|13780916858091190056</stp>
        <tr r="X66" s="17"/>
      </tp>
      <tp t="e">
        <v>#N/A</v>
        <stp/>
        <stp>BDH|14972861904263027116</stp>
        <tr r="AA6" s="28"/>
      </tp>
      <tp t="e">
        <v>#N/A</v>
        <stp/>
        <stp>BDH|16606867668263070524</stp>
        <tr r="Q21" s="17"/>
      </tp>
      <tp t="e">
        <v>#N/A</v>
        <stp/>
        <stp>BDH|18122596206354225763</stp>
        <tr r="I11" s="3"/>
        <tr r="G49" s="10"/>
        <tr r="G43" s="11"/>
        <tr r="G8" s="7"/>
      </tp>
      <tp t="e">
        <v>#N/A</v>
        <stp/>
        <stp>BDH|10303811062882999236</stp>
        <tr r="M143" s="18"/>
      </tp>
      <tp t="e">
        <v>#N/A</v>
        <stp/>
        <stp>BDH|17970604796693628532</stp>
        <tr r="R86" s="18"/>
      </tp>
      <tp t="e">
        <v>#N/A</v>
        <stp/>
        <stp>BDH|18265320254158913873</stp>
        <tr r="J13" s="18"/>
      </tp>
      <tp t="e">
        <v>#N/A</v>
        <stp/>
        <stp>BDH|17426230987727276486</stp>
        <tr r="Q79" s="17"/>
      </tp>
      <tp t="e">
        <v>#N/A</v>
        <stp/>
        <stp>BDH|10643647216009734094</stp>
        <tr r="E36" s="17"/>
      </tp>
      <tp t="e">
        <v>#N/A</v>
        <stp/>
        <stp>BDH|17923891904256628787</stp>
        <tr r="K17" s="17"/>
        <tr r="K20" s="28"/>
      </tp>
      <tp t="e">
        <v>#N/A</v>
        <stp/>
        <stp>BDH|10930311394461055567</stp>
        <tr r="V134" s="18"/>
      </tp>
      <tp t="e">
        <v>#N/A</v>
        <stp/>
        <stp>BDH|17862623633525706944</stp>
        <tr r="X21" s="24"/>
      </tp>
      <tp t="e">
        <v>#N/A</v>
        <stp/>
        <stp>BDH|16508966127511900208</stp>
        <tr r="K11" s="12"/>
      </tp>
      <tp t="e">
        <v>#N/A</v>
        <stp/>
        <stp>BDH|12392274212548264795</stp>
        <tr r="D22" s="9"/>
      </tp>
      <tp t="e">
        <v>#N/A</v>
        <stp/>
        <stp>BDH|15686717180830287484</stp>
        <tr r="V13" s="10"/>
      </tp>
      <tp t="e">
        <v>#N/A</v>
        <stp/>
        <stp>BDH|11314630488070122149</stp>
        <tr r="C18" s="14"/>
      </tp>
      <tp t="e">
        <v>#N/A</v>
        <stp/>
        <stp>BDH|13533746391334586784</stp>
        <tr r="D27" s="21"/>
      </tp>
      <tp t="e">
        <v>#N/A</v>
        <stp/>
        <stp>BDH|12833361897660051648</stp>
        <tr r="J13" s="9"/>
      </tp>
      <tp t="e">
        <v>#N/A</v>
        <stp/>
        <stp>BDH|12329332994203999503</stp>
        <tr r="P10" s="28"/>
      </tp>
      <tp t="e">
        <v>#N/A</v>
        <stp/>
        <stp>BDH|14072088825091648965</stp>
        <tr r="I121" s="18"/>
      </tp>
      <tp t="e">
        <v>#N/A</v>
        <stp/>
        <stp>BDH|13887897419145392169</stp>
        <tr r="P28" s="12"/>
      </tp>
      <tp t="e">
        <v>#N/A</v>
        <stp/>
        <stp>BDH|14844144891887629567</stp>
        <tr r="I27" s="10"/>
        <tr r="K32" s="13"/>
      </tp>
      <tp t="e">
        <v>#N/A</v>
        <stp/>
        <stp>BDH|15246389025199023323</stp>
        <tr r="Y22" s="17"/>
      </tp>
      <tp t="e">
        <v>#N/A</v>
        <stp/>
        <stp>BDH|12721744899523065178</stp>
        <tr r="H65" s="24"/>
      </tp>
      <tp t="e">
        <v>#N/A</v>
        <stp/>
        <stp>BDH|14445901706942748185</stp>
        <tr r="O42" s="22"/>
      </tp>
      <tp t="e">
        <v>#N/A</v>
        <stp/>
        <stp>BDH|16443954812504783490</stp>
        <tr r="U66" s="21"/>
      </tp>
      <tp t="e">
        <v>#N/A</v>
        <stp/>
        <stp>BDH|17484565056258046196</stp>
        <tr r="P25" s="6"/>
      </tp>
      <tp t="e">
        <v>#N/A</v>
        <stp/>
        <stp>BDH|11788055808626253953</stp>
        <tr r="G151" s="18"/>
      </tp>
      <tp t="e">
        <v>#N/A</v>
        <stp/>
        <stp>BDH|13466742281694481689</stp>
        <tr r="N93" s="17"/>
      </tp>
      <tp t="e">
        <v>#N/A</v>
        <stp/>
        <stp>BDH|18043274918467105237</stp>
        <tr r="D62" s="18"/>
      </tp>
      <tp t="e">
        <v>#N/A</v>
        <stp/>
        <stp>BDH|15541065516478977210</stp>
        <tr r="X76" s="12"/>
      </tp>
      <tp t="e">
        <v>#N/A</v>
        <stp/>
        <stp>BDH|18404267828177507126</stp>
        <tr r="R153" s="18"/>
      </tp>
      <tp t="e">
        <v>#N/A</v>
        <stp/>
        <stp>BDH|12550229453798847318</stp>
        <tr r="T12" s="13"/>
      </tp>
      <tp t="e">
        <v>#N/A</v>
        <stp/>
        <stp>BDH|15136341707698885078</stp>
        <tr r="D40" s="21"/>
      </tp>
      <tp t="e">
        <v>#N/A</v>
        <stp/>
        <stp>BDH|14288990335829221916</stp>
        <tr r="R13" s="24"/>
      </tp>
      <tp t="e">
        <v>#N/A</v>
        <stp/>
        <stp>BDH|18223158359975670750</stp>
        <tr r="W23" s="12"/>
      </tp>
      <tp t="e">
        <v>#N/A</v>
        <stp/>
        <stp>BDH|18271985864559452068</stp>
        <tr r="J28" s="25"/>
        <tr r="J18" s="27"/>
      </tp>
      <tp t="e">
        <v>#N/A</v>
        <stp/>
        <stp>BDH|17532923528307401579</stp>
        <tr r="C61" s="12"/>
      </tp>
      <tp t="e">
        <v>#N/A</v>
        <stp/>
        <stp>BDH|15652874013673991177</stp>
        <tr r="Z34" s="18"/>
      </tp>
      <tp t="e">
        <v>#N/A</v>
        <stp/>
        <stp>BDH|14311073606813663984</stp>
        <tr r="X44" s="17"/>
      </tp>
      <tp t="e">
        <v>#N/A</v>
        <stp/>
        <stp>BDH|12861408097615680458</stp>
        <tr r="F20" s="17"/>
      </tp>
      <tp t="e">
        <v>#N/A</v>
        <stp/>
        <stp>BDH|10473460571888752585</stp>
        <tr r="E11" s="22"/>
      </tp>
      <tp t="e">
        <v>#N/A</v>
        <stp/>
        <stp>BDH|14962793199823747726</stp>
        <tr r="Y23" s="22"/>
      </tp>
      <tp t="e">
        <v>#N/A</v>
        <stp/>
        <stp>BDH|15961650205958692538</stp>
        <tr r="E39" s="24"/>
      </tp>
      <tp t="e">
        <v>#N/A</v>
        <stp/>
        <stp>BDH|11976988544567866512</stp>
        <tr r="N16" s="22"/>
      </tp>
      <tp t="e">
        <v>#N/A</v>
        <stp/>
        <stp>BDH|17585544398641656432</stp>
        <tr r="M77" s="18"/>
      </tp>
      <tp t="e">
        <v>#N/A</v>
        <stp/>
        <stp>BDH|18201598792463716921</stp>
        <tr r="D8" s="3"/>
        <tr r="D38" s="13"/>
      </tp>
      <tp t="e">
        <v>#N/A</v>
        <stp/>
        <stp>BDH|10711474465328036499</stp>
        <tr r="M12" s="11"/>
      </tp>
      <tp t="e">
        <v>#N/A</v>
        <stp/>
        <stp>BDH|16744942170303637595</stp>
        <tr r="J17" s="29"/>
        <tr r="J37" s="29"/>
      </tp>
      <tp t="e">
        <v>#N/A</v>
        <stp/>
        <stp>BDH|14417522295403631596</stp>
        <tr r="D80" s="18"/>
      </tp>
      <tp t="e">
        <v>#N/A</v>
        <stp/>
        <stp>BDH|17368941568190320606</stp>
        <tr r="AA145" s="18"/>
      </tp>
      <tp t="e">
        <v>#N/A</v>
        <stp/>
        <stp>BDH|10797846560646706688</stp>
        <tr r="O24" s="20"/>
      </tp>
      <tp t="e">
        <v>#N/A</v>
        <stp/>
        <stp>BDH|16541535584326956376</stp>
        <tr r="Q29" s="21"/>
      </tp>
      <tp t="e">
        <v>#N/A</v>
        <stp/>
        <stp>BDH|17986930976447526059</stp>
        <tr r="X66" s="24"/>
      </tp>
      <tp t="e">
        <v>#N/A</v>
        <stp/>
        <stp>BDH|10949555911413016911</stp>
        <tr r="J22" s="5"/>
      </tp>
      <tp t="e">
        <v>#N/A</v>
        <stp/>
        <stp>BDH|11147082392430759603</stp>
        <tr r="T129" s="18"/>
      </tp>
      <tp t="e">
        <v>#N/A</v>
        <stp/>
        <stp>BDH|14199552888176277129</stp>
        <tr r="X19" s="17"/>
      </tp>
      <tp t="e">
        <v>#N/A</v>
        <stp/>
        <stp>BDH|13281578689659159928</stp>
        <tr r="V14" s="11"/>
      </tp>
      <tp t="e">
        <v>#N/A</v>
        <stp/>
        <stp>BDH|17739254751937869943</stp>
        <tr r="J11" s="9"/>
      </tp>
      <tp t="e">
        <v>#N/A</v>
        <stp/>
        <stp>BDH|14382907328008561912</stp>
        <tr r="X23" s="13"/>
      </tp>
      <tp t="e">
        <v>#N/A</v>
        <stp/>
        <stp>BDH|14881296080643656387</stp>
        <tr r="L8" s="21"/>
      </tp>
      <tp t="e">
        <v>#N/A</v>
        <stp/>
        <stp>BDH|16650752488414286361</stp>
        <tr r="T30" s="18"/>
      </tp>
      <tp t="e">
        <v>#N/A</v>
        <stp/>
        <stp>BDH|13080186887072230624</stp>
        <tr r="D25" s="4"/>
        <tr r="D64" s="10"/>
      </tp>
      <tp t="e">
        <v>#N/A</v>
        <stp/>
        <stp>BDH|15842447833929211523</stp>
        <tr r="X89" s="18"/>
      </tp>
      <tp t="e">
        <v>#N/A</v>
        <stp/>
        <stp>BDH|13292789698625470699</stp>
        <tr r="S42" s="12"/>
      </tp>
      <tp t="e">
        <v>#N/A</v>
        <stp/>
        <stp>BDH|15592041721008895179</stp>
        <tr r="Y15" s="12"/>
      </tp>
      <tp t="e">
        <v>#N/A</v>
        <stp/>
        <stp>BDH|13228671059247261918</stp>
        <tr r="W70" s="10"/>
        <tr r="W64" s="11"/>
      </tp>
      <tp t="e">
        <v>#N/A</v>
        <stp/>
        <stp>BDH|12958802301412444638</stp>
        <tr r="L75" s="18"/>
      </tp>
      <tp t="e">
        <v>#N/A</v>
        <stp/>
        <stp>BDH|10908046029074214899</stp>
        <tr r="AA27" s="17"/>
      </tp>
      <tp t="e">
        <v>#N/A</v>
        <stp/>
        <stp>BDH|12921430995995239425</stp>
        <tr r="H148" s="18"/>
      </tp>
      <tp t="e">
        <v>#N/A</v>
        <stp/>
        <stp>BDH|18353888251189413210</stp>
        <tr r="Y15" s="21"/>
      </tp>
      <tp t="e">
        <v>#N/A</v>
        <stp/>
        <stp>BDH|17524413520929874632</stp>
        <tr r="L23" s="10"/>
      </tp>
      <tp t="e">
        <v>#N/A</v>
        <stp/>
        <stp>BDH|10669746800658939146</stp>
        <tr r="T57" s="24"/>
      </tp>
      <tp t="e">
        <v>#N/A</v>
        <stp/>
        <stp>BDH|10872070191187342021</stp>
        <tr r="S16" s="24"/>
      </tp>
      <tp t="e">
        <v>#N/A</v>
        <stp/>
        <stp>BDH|15662474783515930247</stp>
        <tr r="G99" s="18"/>
      </tp>
      <tp t="e">
        <v>#N/A</v>
        <stp/>
        <stp>BDH|14921941869773379681</stp>
        <tr r="K14" s="17"/>
        <tr r="K17" s="28"/>
      </tp>
      <tp t="e">
        <v>#N/A</v>
        <stp/>
        <stp>BDH|10175915796389061796</stp>
        <tr r="R8" s="14"/>
      </tp>
      <tp t="e">
        <v>#N/A</v>
        <stp/>
        <stp>BDH|17643012840945878809</stp>
        <tr r="AA74" s="18"/>
      </tp>
      <tp t="e">
        <v>#N/A</v>
        <stp/>
        <stp>BDH|13690429833832998810</stp>
        <tr r="E30" s="34"/>
      </tp>
      <tp t="e">
        <v>#N/A</v>
        <stp/>
        <stp>BDH|12154022188783101750</stp>
        <tr r="I57" s="17"/>
        <tr r="I10" s="25"/>
      </tp>
      <tp t="e">
        <v>#N/A</v>
        <stp/>
        <stp>BDH|18133266959230326122</stp>
        <tr r="R11" s="18"/>
      </tp>
      <tp t="e">
        <v>#N/A</v>
        <stp/>
        <stp>BDH|18095795542735248068</stp>
        <tr r="O72" s="17"/>
        <tr r="O18" s="3"/>
      </tp>
      <tp t="e">
        <v>#N/A</v>
        <stp/>
        <stp>BDH|14929340089643228291</stp>
        <tr r="S26" s="10"/>
        <tr r="U31" s="13"/>
      </tp>
      <tp t="e">
        <v>#N/A</v>
        <stp/>
        <stp>BDH|18074122672544765481</stp>
        <tr r="C32" s="13"/>
      </tp>
      <tp t="e">
        <v>#N/A</v>
        <stp/>
        <stp>BDH|11526701038703022823</stp>
        <tr r="P85" s="18"/>
      </tp>
      <tp t="e">
        <v>#N/A</v>
        <stp/>
        <stp>BDH|12083347999485176339</stp>
        <tr r="K52" s="12"/>
      </tp>
      <tp t="e">
        <v>#N/A</v>
        <stp/>
        <stp>BDH|18280855133389878422</stp>
        <tr r="R43" s="4"/>
      </tp>
      <tp t="e">
        <v>#N/A</v>
        <stp/>
        <stp>BDH|12996422378267835853</stp>
        <tr r="F54" s="24"/>
      </tp>
      <tp t="e">
        <v>#N/A</v>
        <stp/>
        <stp>BDH|17272104597892808332</stp>
        <tr r="Y24" s="24"/>
      </tp>
      <tp t="e">
        <v>#N/A</v>
        <stp/>
        <stp>BDH|14282749283830820532</stp>
        <tr r="V22" s="26"/>
      </tp>
      <tp t="e">
        <v>#N/A</v>
        <stp/>
        <stp>BDH|12010207649069360348</stp>
        <tr r="X10" s="26"/>
      </tp>
      <tp t="e">
        <v>#N/A</v>
        <stp/>
        <stp>BDH|14525535144592947959</stp>
        <tr r="I15" s="26"/>
      </tp>
      <tp t="e">
        <v>#N/A</v>
        <stp/>
        <stp>BDH|17366506393970937575</stp>
        <tr r="O40" s="24"/>
      </tp>
      <tp t="e">
        <v>#N/A</v>
        <stp/>
        <stp>BDH|15829685279422445839</stp>
        <tr r="S61" s="17"/>
      </tp>
      <tp t="e">
        <v>#N/A</v>
        <stp/>
        <stp>BDH|12039174169202989993</stp>
        <tr r="P23" s="22"/>
      </tp>
      <tp t="e">
        <v>#N/A</v>
        <stp/>
        <stp>BDH|14223978129815098426</stp>
        <tr r="M50" s="17"/>
      </tp>
      <tp t="e">
        <v>#N/A</v>
        <stp/>
        <stp>BDH|11985605191035008561</stp>
        <tr r="Q9" s="24"/>
      </tp>
      <tp t="e">
        <v>#N/A</v>
        <stp/>
        <stp>BDH|14457845237469086890</stp>
        <tr r="M165" s="18"/>
      </tp>
      <tp t="e">
        <v>#N/A</v>
        <stp/>
        <stp>BDH|16051857998058188126</stp>
        <tr r="F36" s="24"/>
      </tp>
      <tp t="e">
        <v>#N/A</v>
        <stp/>
        <stp>BDH|15688806440987079083</stp>
        <tr r="Q39" s="24"/>
      </tp>
      <tp t="e">
        <v>#N/A</v>
        <stp/>
        <stp>BDH|17938095078447783919</stp>
        <tr r="Y34" s="17"/>
      </tp>
      <tp t="e">
        <v>#N/A</v>
        <stp/>
        <stp>BDH|15700930059350200710</stp>
        <tr r="M30" s="26"/>
      </tp>
      <tp t="e">
        <v>#N/A</v>
        <stp/>
        <stp>BDH|15494329194555847442</stp>
        <tr r="M66" s="10"/>
      </tp>
      <tp t="e">
        <v>#N/A</v>
        <stp/>
        <stp>BDH|11023612788498604916</stp>
        <tr r="M53" s="18"/>
      </tp>
      <tp t="e">
        <v>#N/A</v>
        <stp/>
        <stp>BDH|16287820368056098063</stp>
        <tr r="Y41" s="21"/>
      </tp>
      <tp t="e">
        <v>#N/A</v>
        <stp/>
        <stp>BDH|12478641137741051895</stp>
        <tr r="L90" s="17"/>
      </tp>
      <tp t="e">
        <v>#N/A</v>
        <stp/>
        <stp>BDH|10532284576703532802</stp>
        <tr r="L12" s="21"/>
      </tp>
      <tp t="e">
        <v>#N/A</v>
        <stp/>
        <stp>BDH|12602927992058848403</stp>
        <tr r="C26" s="26"/>
      </tp>
      <tp t="e">
        <v>#N/A</v>
        <stp/>
        <stp>BDH|10618786466248131771</stp>
        <tr r="C50" s="18"/>
      </tp>
      <tp t="e">
        <v>#N/A</v>
        <stp/>
        <stp>BDH|13729143971259471283</stp>
        <tr r="X45" s="21"/>
      </tp>
      <tp t="e">
        <v>#N/A</v>
        <stp/>
        <stp>BDH|17717307399934601768</stp>
        <tr r="K25" s="24"/>
      </tp>
      <tp t="e">
        <v>#N/A</v>
        <stp/>
        <stp>BDH|15697663563643934848</stp>
        <tr r="N20" s="12"/>
      </tp>
      <tp t="e">
        <v>#N/A</v>
        <stp/>
        <stp>BDH|14245147885467480499</stp>
        <tr r="R17" s="6"/>
      </tp>
      <tp t="e">
        <v>#N/A</v>
        <stp/>
        <stp>BDH|15312556897710863773</stp>
        <tr r="Q20" s="22"/>
      </tp>
      <tp t="e">
        <v>#N/A</v>
        <stp/>
        <stp>BDH|17737402871589961317</stp>
        <tr r="Q28" s="10"/>
        <tr r="S33" s="13"/>
      </tp>
      <tp t="e">
        <v>#N/A</v>
        <stp/>
        <stp>BDH|10503927171116053686</stp>
        <tr r="V87" s="18"/>
      </tp>
      <tp t="e">
        <v>#N/A</v>
        <stp/>
        <stp>BDH|18393546361200808509</stp>
        <tr r="G78" s="17"/>
      </tp>
      <tp t="e">
        <v>#N/A</v>
        <stp/>
        <stp>BDH|15980812155887112127</stp>
        <tr r="AA17" s="14"/>
      </tp>
      <tp t="e">
        <v>#N/A</v>
        <stp/>
        <stp>BDH|11390886384888996675</stp>
        <tr r="K25" s="2"/>
        <tr r="M62" s="21"/>
      </tp>
      <tp t="e">
        <v>#N/A</v>
        <stp/>
        <stp>BDH|16026715800609199713</stp>
        <tr r="Z8" s="17"/>
      </tp>
      <tp t="e">
        <v>#N/A</v>
        <stp/>
        <stp>BDH|10221165581911352771</stp>
        <tr r="T6" s="15"/>
        <tr r="T12" s="2"/>
        <tr r="T11" s="4"/>
        <tr r="T6" s="10"/>
      </tp>
      <tp t="e">
        <v>#N/A</v>
        <stp/>
        <stp>BDH|15276840475785687040</stp>
        <tr r="U72" s="10"/>
        <tr r="U66" s="11"/>
      </tp>
      <tp t="e">
        <v>#N/A</v>
        <stp/>
        <stp>BDH|13143110845910712933</stp>
        <tr r="P72" s="24"/>
      </tp>
      <tp t="e">
        <v>#N/A</v>
        <stp/>
        <stp>BDH|11278110380913236403</stp>
        <tr r="I21" s="24"/>
      </tp>
      <tp t="e">
        <v>#N/A</v>
        <stp/>
        <stp>BDH|13886897800460624467</stp>
        <tr r="N76" s="12"/>
      </tp>
      <tp t="e">
        <v>#N/A</v>
        <stp/>
        <stp>BDH|10995995322470059433</stp>
        <tr r="U26" s="25"/>
        <tr r="U16" s="27"/>
      </tp>
      <tp t="e">
        <v>#N/A</v>
        <stp/>
        <stp>BDH|11709970011977461142</stp>
        <tr r="Q18" s="18"/>
      </tp>
      <tp t="e">
        <v>#N/A</v>
        <stp/>
        <stp>BDH|16324498944248874173</stp>
        <tr r="T17" s="18"/>
      </tp>
      <tp t="e">
        <v>#N/A</v>
        <stp/>
        <stp>BDH|18375061977525471578</stp>
        <tr r="V15" s="10"/>
      </tp>
      <tp t="e">
        <v>#N/A</v>
        <stp/>
        <stp>BDH|11383807479015312482</stp>
        <tr r="X9" s="21"/>
      </tp>
      <tp t="e">
        <v>#N/A</v>
        <stp/>
        <stp>BDH|15253421219838873707</stp>
        <tr r="E29" s="17"/>
      </tp>
      <tp t="e">
        <v>#N/A</v>
        <stp/>
        <stp>BDH|11562465554598212744</stp>
        <tr r="V30" s="22"/>
      </tp>
      <tp t="e">
        <v>#N/A</v>
        <stp/>
        <stp>BDH|12256947011707249242</stp>
        <tr r="V125" s="18"/>
      </tp>
      <tp t="e">
        <v>#N/A</v>
        <stp/>
        <stp>BDH|15011345075709287728</stp>
        <tr r="H11" s="7"/>
      </tp>
      <tp t="e">
        <v>#N/A</v>
        <stp/>
        <stp>BDH|14169035030640632857</stp>
        <tr r="F28" s="22"/>
      </tp>
      <tp t="e">
        <v>#N/A</v>
        <stp/>
        <stp>BDH|13031966794654714843</stp>
        <tr r="H44" s="12"/>
      </tp>
      <tp t="e">
        <v>#N/A</v>
        <stp/>
        <stp>BDH|18406624562253400417</stp>
        <tr r="D18" s="9"/>
      </tp>
      <tp t="e">
        <v>#N/A</v>
        <stp/>
        <stp>BDH|16267521472022659952</stp>
        <tr r="D35" s="26"/>
      </tp>
      <tp t="e">
        <v>#N/A</v>
        <stp/>
        <stp>BDH|12836931755124915562</stp>
        <tr r="O11" s="7"/>
      </tp>
      <tp t="e">
        <v>#N/A</v>
        <stp/>
        <stp>BDH|10956941686106250880</stp>
        <tr r="N26" s="24"/>
      </tp>
      <tp t="e">
        <v>#N/A</v>
        <stp/>
        <stp>BDH|16072018989802109387</stp>
        <tr r="E43" s="21"/>
      </tp>
      <tp t="e">
        <v>#N/A</v>
        <stp/>
        <stp>BDH|13848156698371267560</stp>
        <tr r="S152" s="18"/>
      </tp>
      <tp t="e">
        <v>#N/A</v>
        <stp/>
        <stp>BDH|14298262687349281807</stp>
        <tr r="F32" s="22"/>
      </tp>
      <tp t="e">
        <v>#N/A</v>
        <stp/>
        <stp>BDH|10103807505101150644</stp>
        <tr r="M18" s="2"/>
        <tr r="M53" s="4"/>
        <tr r="M45" s="10"/>
        <tr r="M39" s="11"/>
        <tr r="O46" s="13"/>
      </tp>
      <tp t="e">
        <v>#N/A</v>
        <stp/>
        <stp>BDH|12146080888391107410</stp>
        <tr r="L25" s="12"/>
      </tp>
      <tp t="e">
        <v>#N/A</v>
        <stp/>
        <stp>BDH|10083578866724344835</stp>
        <tr r="G24" s="22"/>
      </tp>
      <tp t="e">
        <v>#N/A</v>
        <stp/>
        <stp>BDH|10764519690592646118</stp>
        <tr r="D51" s="18"/>
      </tp>
      <tp t="e">
        <v>#N/A</v>
        <stp/>
        <stp>BDH|17269932503358005931</stp>
        <tr r="I43" s="18"/>
      </tp>
      <tp t="e">
        <v>#N/A</v>
        <stp/>
        <stp>BDH|17844978972862410483</stp>
        <tr r="X12" s="22"/>
      </tp>
      <tp t="e">
        <v>#N/A</v>
        <stp/>
        <stp>BDH|17356258751157493823</stp>
        <tr r="W44" s="24"/>
      </tp>
      <tp t="e">
        <v>#N/A</v>
        <stp/>
        <stp>BDH|18290315534915705213</stp>
        <tr r="W19" s="22"/>
      </tp>
      <tp t="e">
        <v>#N/A</v>
        <stp/>
        <stp>BDH|11266036530109504454</stp>
        <tr r="N25" s="17"/>
      </tp>
      <tp t="e">
        <v>#N/A</v>
        <stp/>
        <stp>BDH|11589076881403363519</stp>
        <tr r="K46" s="10"/>
        <tr r="K40" s="11"/>
      </tp>
      <tp t="e">
        <v>#N/A</v>
        <stp/>
        <stp>BDH|13196946433547480136</stp>
        <tr r="T10" s="11"/>
      </tp>
      <tp t="e">
        <v>#N/A</v>
        <stp/>
        <stp>BDH|12147623964985326858</stp>
        <tr r="G41" s="17"/>
      </tp>
      <tp t="e">
        <v>#N/A</v>
        <stp/>
        <stp>BDH|15535753241269241022</stp>
        <tr r="Z23" s="17"/>
        <tr r="Z15" s="3"/>
      </tp>
      <tp t="e">
        <v>#N/A</v>
        <stp/>
        <stp>BDH|16666540533507330834</stp>
        <tr r="R133" s="18"/>
      </tp>
      <tp t="e">
        <v>#N/A</v>
        <stp/>
        <stp>BDH|15461873859982925535</stp>
        <tr r="P13" s="8"/>
      </tp>
      <tp t="e">
        <v>#N/A</v>
        <stp/>
        <stp>BDH|16961124539303795853</stp>
        <tr r="H81" s="18"/>
      </tp>
      <tp t="e">
        <v>#N/A</v>
        <stp/>
        <stp>BDH|13249931038327841118</stp>
        <tr r="E36" s="4"/>
      </tp>
      <tp t="e">
        <v>#N/A</v>
        <stp/>
        <stp>BDH|10174346251509670029</stp>
        <tr r="T93" s="18"/>
      </tp>
      <tp t="e">
        <v>#N/A</v>
        <stp/>
        <stp>BDH|16380671380412573510</stp>
        <tr r="T20" s="30"/>
      </tp>
      <tp t="e">
        <v>#N/A</v>
        <stp/>
        <stp>BDH|13047181023799331689</stp>
        <tr r="V165" s="18"/>
      </tp>
      <tp t="e">
        <v>#N/A</v>
        <stp/>
        <stp>BDH|10629000095973437576</stp>
        <tr r="AA7" s="28"/>
      </tp>
      <tp t="e">
        <v>#N/A</v>
        <stp/>
        <stp>BDH|16198093036189639385</stp>
        <tr r="H63" s="12"/>
      </tp>
      <tp t="e">
        <v>#N/A</v>
        <stp/>
        <stp>BDH|11984118289844937386</stp>
        <tr r="O33" s="18"/>
      </tp>
      <tp t="e">
        <v>#N/A</v>
        <stp/>
        <stp>BDH|14844295291872065202</stp>
        <tr r="G32" s="18"/>
      </tp>
      <tp t="e">
        <v>#N/A</v>
        <stp/>
        <stp>BDH|14541098718442605825</stp>
        <tr r="L106" s="18"/>
        <tr r="J6" s="20"/>
      </tp>
      <tp t="e">
        <v>#N/A</v>
        <stp/>
        <stp>BDH|18296191828195036137</stp>
        <tr r="M29" s="17"/>
      </tp>
      <tp t="e">
        <v>#N/A</v>
        <stp/>
        <stp>BDH|11043905166962506335</stp>
        <tr r="P91" s="18"/>
      </tp>
      <tp t="e">
        <v>#N/A</v>
        <stp/>
        <stp>BDH|18318498117537507580</stp>
        <tr r="R16" s="30"/>
      </tp>
      <tp t="e">
        <v>#N/A</v>
        <stp/>
        <stp>BDH|14898941435993991204</stp>
        <tr r="C115" s="18"/>
      </tp>
      <tp t="e">
        <v>#N/A</v>
        <stp/>
        <stp>BDH|15177281299397015607</stp>
        <tr r="AA22" s="12"/>
      </tp>
      <tp t="e">
        <v>#N/A</v>
        <stp/>
        <stp>BDH|14302959222211295161</stp>
        <tr r="F92" s="17"/>
      </tp>
      <tp t="e">
        <v>#N/A</v>
        <stp/>
        <stp>BDH|11826700398344746476</stp>
        <tr r="D100" s="18"/>
      </tp>
      <tp t="e">
        <v>#N/A</v>
        <stp/>
        <stp>BDH|17334571294016018201</stp>
        <tr r="Y18" s="18"/>
      </tp>
      <tp t="e">
        <v>#N/A</v>
        <stp/>
        <stp>BDH|11508921235365122132</stp>
        <tr r="AA60" s="21"/>
      </tp>
      <tp t="e">
        <v>#N/A</v>
        <stp/>
        <stp>BDH|11771886368269480939</stp>
        <tr r="P26" s="22"/>
      </tp>
      <tp t="e">
        <v>#N/A</v>
        <stp/>
        <stp>BDH|13363125501565430847</stp>
        <tr r="AA21" s="21"/>
      </tp>
      <tp t="e">
        <v>#N/A</v>
        <stp/>
        <stp>BDH|17552979556721607529</stp>
        <tr r="D64" s="24"/>
      </tp>
      <tp t="e">
        <v>#N/A</v>
        <stp/>
        <stp>BDH|11027827671634200512</stp>
        <tr r="Q28" s="4"/>
      </tp>
      <tp t="e">
        <v>#N/A</v>
        <stp/>
        <stp>BDH|16330588003145834909</stp>
        <tr r="X104" s="18"/>
      </tp>
      <tp t="e">
        <v>#N/A</v>
        <stp/>
        <stp>BDH|16232094381773955235</stp>
        <tr r="F37" s="22"/>
      </tp>
      <tp t="e">
        <v>#N/A</v>
        <stp/>
        <stp>BDH|10355231899625812114</stp>
        <tr r="M17" s="11"/>
      </tp>
      <tp t="e">
        <v>#N/A</v>
        <stp/>
        <stp>BDH|17662470855470417904</stp>
        <tr r="S18" s="29"/>
        <tr r="S38" s="29"/>
      </tp>
      <tp t="e">
        <v>#N/A</v>
        <stp/>
        <stp>BDH|18328048429052989775</stp>
        <tr r="Y16" s="30"/>
      </tp>
      <tp t="e">
        <v>#N/A</v>
        <stp/>
        <stp>BDH|10692771083320553079</stp>
        <tr r="E151" s="18"/>
      </tp>
      <tp t="e">
        <v>#N/A</v>
        <stp/>
        <stp>BDH|16344910205799743901</stp>
        <tr r="X15" s="18"/>
      </tp>
      <tp t="e">
        <v>#N/A</v>
        <stp/>
        <stp>BDH|15189146363735140878</stp>
        <tr r="V49" s="21"/>
      </tp>
      <tp t="e">
        <v>#N/A</v>
        <stp/>
        <stp>BDH|11315741652774375865</stp>
        <tr r="V7" s="4"/>
      </tp>
      <tp t="e">
        <v>#N/A</v>
        <stp/>
        <stp>BDH|14830411998064713267</stp>
        <tr r="V110" s="18"/>
        <tr r="T11" s="20"/>
      </tp>
      <tp t="e">
        <v>#N/A</v>
        <stp/>
        <stp>BDH|17622172550858988484</stp>
        <tr r="I138" s="18"/>
      </tp>
      <tp t="e">
        <v>#N/A</v>
        <stp/>
        <stp>BDH|13571663184496332478</stp>
        <tr r="L44" s="17"/>
      </tp>
      <tp t="e">
        <v>#N/A</v>
        <stp/>
        <stp>BDH|13718636247236663868</stp>
        <tr r="P73" s="17"/>
        <tr r="M8" s="5"/>
        <tr r="M8" s="9"/>
      </tp>
      <tp t="e">
        <v>#N/A</v>
        <stp/>
        <stp>BDH|13964027787764981065</stp>
        <tr r="H17" s="9"/>
      </tp>
      <tp t="e">
        <v>#N/A</v>
        <stp/>
        <stp>BDH|12973763154778117798</stp>
        <tr r="T18" s="6"/>
      </tp>
      <tp t="e">
        <v>#N/A</v>
        <stp/>
        <stp>BDH|14805097935938017077</stp>
        <tr r="M42" s="10"/>
        <tr r="M36" s="11"/>
      </tp>
      <tp t="e">
        <v>#N/A</v>
        <stp/>
        <stp>BDH|10307275256579292131</stp>
        <tr r="X166" s="18"/>
      </tp>
      <tp t="e">
        <v>#N/A</v>
        <stp/>
        <stp>BDH|13472981949702266348</stp>
        <tr r="W58" s="18"/>
      </tp>
      <tp t="e">
        <v>#N/A</v>
        <stp/>
        <stp>BDH|10338992049460391233</stp>
        <tr r="S60" s="24"/>
      </tp>
      <tp t="e">
        <v>#N/A</v>
        <stp/>
        <stp>BDH|18290235027492717526</stp>
        <tr r="S96" s="18"/>
      </tp>
      <tp t="e">
        <v>#N/A</v>
        <stp/>
        <stp>BDH|12421644306578347368</stp>
        <tr r="Z13" s="8"/>
      </tp>
      <tp t="e">
        <v>#N/A</v>
        <stp/>
        <stp>BDH|10448260131359590750</stp>
        <tr r="H52" s="4"/>
        <tr r="J8" s="3"/>
        <tr r="H43" s="10"/>
        <tr r="H37" s="11"/>
        <tr r="J38" s="13"/>
      </tp>
      <tp t="e">
        <v>#N/A</v>
        <stp/>
        <stp>BDH|17392886863247925121</stp>
        <tr r="M70" s="10"/>
        <tr r="M64" s="11"/>
      </tp>
      <tp t="e">
        <v>#N/A</v>
        <stp/>
        <stp>BDH|13995747797106964407</stp>
        <tr r="F22" s="21"/>
      </tp>
      <tp t="e">
        <v>#N/A</v>
        <stp/>
        <stp>BDH|17119172293633495321</stp>
        <tr r="E77" s="18"/>
      </tp>
      <tp t="e">
        <v>#N/A</v>
        <stp/>
        <stp>BDH|18345765325684557661</stp>
        <tr r="L151" s="18"/>
      </tp>
      <tp t="e">
        <v>#N/A</v>
        <stp/>
        <stp>BDH|12154966755780028115</stp>
        <tr r="U93" s="17"/>
      </tp>
      <tp t="e">
        <v>#N/A</v>
        <stp/>
        <stp>BDH|15536889404994839623</stp>
        <tr r="H22" s="18"/>
      </tp>
      <tp t="e">
        <v>#N/A</v>
        <stp/>
        <stp>BDH|17034026994798259975</stp>
        <tr r="J97" s="18"/>
      </tp>
      <tp t="e">
        <v>#N/A</v>
        <stp/>
        <stp>BDH|17078956763055382268</stp>
        <tr r="Z156" s="18"/>
      </tp>
      <tp t="e">
        <v>#N/A</v>
        <stp/>
        <stp>BDH|11462761493203573373</stp>
        <tr r="C38" s="22"/>
      </tp>
      <tp t="e">
        <v>#N/A</v>
        <stp/>
        <stp>BDH|16071499505285759888</stp>
        <tr r="M48" s="21"/>
      </tp>
      <tp t="e">
        <v>#N/A</v>
        <stp/>
        <stp>BDH|17023047486261352123</stp>
        <tr r="T72" s="17"/>
        <tr r="T18" s="3"/>
      </tp>
      <tp t="e">
        <v>#N/A</v>
        <stp/>
        <stp>BDH|16502393656467127885</stp>
        <tr r="W19" s="10"/>
      </tp>
      <tp t="e">
        <v>#N/A</v>
        <stp/>
        <stp>BDH|11770370782324606174</stp>
        <tr r="X107" s="18"/>
        <tr r="V7" s="20"/>
      </tp>
      <tp t="e">
        <v>#N/A</v>
        <stp/>
        <stp>BDH|16151016695284366450</stp>
        <tr r="K22" s="4"/>
      </tp>
      <tp t="e">
        <v>#N/A</v>
        <stp/>
        <stp>BDH|18336107526837023369</stp>
        <tr r="X62" s="18"/>
      </tp>
      <tp t="e">
        <v>#N/A</v>
        <stp/>
        <stp>BDH|17439230240038507615</stp>
        <tr r="Q102" s="18"/>
      </tp>
      <tp t="e">
        <v>#N/A</v>
        <stp/>
        <stp>BDH|16716429333207194945</stp>
        <tr r="Y21" s="12"/>
      </tp>
      <tp t="e">
        <v>#N/A</v>
        <stp/>
        <stp>BDH|10601833932897298367</stp>
        <tr r="J34" s="34"/>
      </tp>
      <tp t="e">
        <v>#N/A</v>
        <stp/>
        <stp>BDH|10866600943594022984</stp>
        <tr r="D16" s="12"/>
      </tp>
      <tp t="e">
        <v>#N/A</v>
        <stp/>
        <stp>BDH|15084715157528486014</stp>
        <tr r="V44" s="18"/>
      </tp>
      <tp t="e">
        <v>#N/A</v>
        <stp/>
        <stp>BDH|18155268708323421688</stp>
        <tr r="P43" s="21"/>
      </tp>
      <tp t="e">
        <v>#N/A</v>
        <stp/>
        <stp>BDH|11634530983914363777</stp>
        <tr r="O28" s="5"/>
      </tp>
      <tp t="e">
        <v>#N/A</v>
        <stp/>
        <stp>BDH|17846858279505043267</stp>
        <tr r="X10" s="13"/>
      </tp>
      <tp t="e">
        <v>#N/A</v>
        <stp/>
        <stp>BDH|13373540775948503657</stp>
        <tr r="Z24" s="18"/>
      </tp>
      <tp t="e">
        <v>#N/A</v>
        <stp/>
        <stp>BDH|10558059607616173945</stp>
        <tr r="F24" s="24"/>
      </tp>
      <tp t="e">
        <v>#N/A</v>
        <stp/>
        <stp>BDH|10216804025716785325</stp>
        <tr r="X37" s="22"/>
      </tp>
      <tp t="e">
        <v>#N/A</v>
        <stp/>
        <stp>BDH|18334718275876385165</stp>
        <tr r="E11" s="28"/>
      </tp>
      <tp t="e">
        <v>#N/A</v>
        <stp/>
        <stp>BDH|13334570917640238838</stp>
        <tr r="O160" s="18"/>
      </tp>
      <tp t="e">
        <v>#N/A</v>
        <stp/>
        <stp>BDH|10416008266529035001</stp>
        <tr r="P19" s="6"/>
      </tp>
      <tp t="e">
        <v>#N/A</v>
        <stp/>
        <stp>BDH|15612653071923536855</stp>
        <tr r="X72" s="17"/>
        <tr r="X18" s="3"/>
      </tp>
      <tp t="e">
        <v>#N/A</v>
        <stp/>
        <stp>BDH|11769152826155714819</stp>
        <tr r="N18" s="30"/>
      </tp>
      <tp t="e">
        <v>#N/A</v>
        <stp/>
        <stp>BDH|16331596000299028588</stp>
        <tr r="R15" s="4"/>
      </tp>
      <tp t="e">
        <v>#N/A</v>
        <stp/>
        <stp>BDH|18184534571652864791</stp>
        <tr r="P142" s="18"/>
      </tp>
      <tp t="e">
        <v>#N/A</v>
        <stp/>
        <stp>BDH|10166208433618041601</stp>
        <tr r="D26" s="7"/>
      </tp>
      <tp t="e">
        <v>#N/A</v>
        <stp/>
        <stp>BDH|17032545703039766423</stp>
        <tr r="K36" s="22"/>
      </tp>
      <tp t="e">
        <v>#N/A</v>
        <stp/>
        <stp>BDH|10532092820739766492</stp>
        <tr r="F20" s="18"/>
      </tp>
      <tp t="e">
        <v>#N/A</v>
        <stp/>
        <stp>BDH|16586523305599586554</stp>
        <tr r="V21" s="10"/>
      </tp>
      <tp t="e">
        <v>#N/A</v>
        <stp/>
        <stp>BDH|13702116780565234062</stp>
        <tr r="Q49" s="18"/>
      </tp>
      <tp t="e">
        <v>#N/A</v>
        <stp/>
        <stp>BDH|15332577271708659016</stp>
        <tr r="Z45" s="21"/>
      </tp>
      <tp t="e">
        <v>#N/A</v>
        <stp/>
        <stp>BDH|15531827549367406187</stp>
        <tr r="C51" s="18"/>
      </tp>
      <tp t="e">
        <v>#N/A</v>
        <stp/>
        <stp>BDH|11579034280791242760</stp>
        <tr r="O20" s="30"/>
      </tp>
      <tp t="e">
        <v>#N/A</v>
        <stp/>
        <stp>BDH|10106855946794325737</stp>
        <tr r="Q25" s="3"/>
      </tp>
      <tp t="e">
        <v>#N/A</v>
        <stp/>
        <stp>BDH|12154125879439963214</stp>
        <tr r="C33" s="34"/>
      </tp>
      <tp t="e">
        <v>#N/A</v>
        <stp/>
        <stp>BDH|12026219699925845323</stp>
        <tr r="T145" s="18"/>
      </tp>
      <tp t="e">
        <v>#N/A</v>
        <stp/>
        <stp>BDH|17050934521672555156</stp>
        <tr r="AA18" s="13"/>
      </tp>
      <tp t="e">
        <v>#N/A</v>
        <stp/>
        <stp>BDH|11316934265519553821</stp>
        <tr r="J9" s="17"/>
      </tp>
      <tp t="e">
        <v>#N/A</v>
        <stp/>
        <stp>BDH|15098674223419205733</stp>
        <tr r="N13" s="7"/>
      </tp>
      <tp t="e">
        <v>#N/A</v>
        <stp/>
        <stp>BDH|16521937487231480905</stp>
        <tr r="D34" s="34"/>
      </tp>
      <tp t="e">
        <v>#N/A</v>
        <stp/>
        <stp>BDH|13291953035267636112</stp>
        <tr r="U33" s="21"/>
      </tp>
      <tp t="e">
        <v>#N/A</v>
        <stp/>
        <stp>BDH|14969654374548597286</stp>
        <tr r="K10" s="2"/>
        <tr r="J11" s="5"/>
        <tr r="J36" s="6"/>
        <tr r="M31" s="29"/>
        <tr r="M39" s="29"/>
      </tp>
      <tp t="e">
        <v>#N/A</v>
        <stp/>
        <stp>BDH|10591775906030710865</stp>
        <tr r="T161" s="18"/>
      </tp>
      <tp t="e">
        <v>#N/A</v>
        <stp/>
        <stp>BDH|16204504134917318803</stp>
        <tr r="N53" s="17"/>
      </tp>
      <tp t="e">
        <v>#N/A</v>
        <stp/>
        <stp>BDH|10548996250967114485</stp>
        <tr r="O68" s="12"/>
      </tp>
      <tp t="e">
        <v>#N/A</v>
        <stp/>
        <stp>BDH|16017595346211990930</stp>
        <tr r="AA125" s="18"/>
      </tp>
      <tp t="e">
        <v>#N/A</v>
        <stp/>
        <stp>BDH|11640729192559473970</stp>
        <tr r="D9" s="11"/>
      </tp>
      <tp t="e">
        <v>#N/A</v>
        <stp/>
        <stp>BDH|16090202280712445117</stp>
        <tr r="Z145" s="18"/>
      </tp>
      <tp t="e">
        <v>#N/A</v>
        <stp/>
        <stp>BDH|17806514890396487280</stp>
        <tr r="S151" s="18"/>
      </tp>
      <tp t="e">
        <v>#N/A</v>
        <stp/>
        <stp>BDH|12656144633808727735</stp>
        <tr r="F152" s="18"/>
      </tp>
      <tp t="e">
        <v>#N/A</v>
        <stp/>
        <stp>BDH|15757612157721582816</stp>
        <tr r="F20" s="22"/>
      </tp>
      <tp t="e">
        <v>#N/A</v>
        <stp/>
        <stp>BDH|10375226135639990783</stp>
        <tr r="T57" s="18"/>
      </tp>
      <tp t="e">
        <v>#N/A</v>
        <stp/>
        <stp>BDH|14980967344127877164</stp>
        <tr r="N49" s="12"/>
      </tp>
      <tp t="e">
        <v>#N/A</v>
        <stp/>
        <stp>BDH|15613134623938154124</stp>
        <tr r="W16" s="21"/>
      </tp>
      <tp t="e">
        <v>#N/A</v>
        <stp/>
        <stp>BDH|14446428933608432445</stp>
        <tr r="U30" s="12"/>
      </tp>
      <tp t="e">
        <v>#N/A</v>
        <stp/>
        <stp>BDH|11641220866979322343</stp>
        <tr r="J7" s="14"/>
      </tp>
      <tp t="e">
        <v>#N/A</v>
        <stp/>
        <stp>BDH|15682961196459408371</stp>
        <tr r="N104" s="18"/>
      </tp>
      <tp t="e">
        <v>#N/A</v>
        <stp/>
        <stp>BDH|13043041883654186037</stp>
        <tr r="AA48" s="21"/>
      </tp>
      <tp t="e">
        <v>#N/A</v>
        <stp/>
        <stp>BDH|12956475614600625898</stp>
        <tr r="L6" s="2"/>
        <tr r="K6" s="5"/>
        <tr r="K6" s="9"/>
        <tr r="M12" s="8"/>
        <tr r="N10" s="29"/>
        <tr r="N19" s="29"/>
        <tr r="N25" s="29"/>
      </tp>
      <tp t="e">
        <v>#N/A</v>
        <stp/>
        <stp>BDH|13960398425388275529</stp>
        <tr r="T8" s="12"/>
      </tp>
      <tp t="e">
        <v>#N/A</v>
        <stp/>
        <stp>BDH|15000154882043214006</stp>
        <tr r="N99" s="17"/>
      </tp>
      <tp t="e">
        <v>#N/A</v>
        <stp/>
        <stp>BDH|15292969698542037895</stp>
        <tr r="H36" s="12"/>
      </tp>
      <tp t="e">
        <v>#N/A</v>
        <stp/>
        <stp>BDH|11875943266082831375</stp>
        <tr r="U25" s="21"/>
      </tp>
      <tp t="e">
        <v>#N/A</v>
        <stp/>
        <stp>BDH|17594897849744426049</stp>
        <tr r="O30" s="24"/>
      </tp>
      <tp t="e">
        <v>#N/A</v>
        <stp/>
        <stp>BDH|16320404306005229826</stp>
        <tr r="P73" s="18"/>
      </tp>
      <tp t="e">
        <v>#N/A</v>
        <stp/>
        <stp>BDH|14124833040773074473</stp>
        <tr r="M41" s="34"/>
      </tp>
      <tp t="e">
        <v>#N/A</v>
        <stp/>
        <stp>BDH|13015554495769245974</stp>
        <tr r="Y14" s="11"/>
      </tp>
      <tp t="e">
        <v>#N/A</v>
        <stp/>
        <stp>BDH|15040010626788533071</stp>
        <tr r="K20" s="10"/>
      </tp>
      <tp t="e">
        <v>#N/A</v>
        <stp/>
        <stp>BDH|15545052735778453145</stp>
        <tr r="K41" s="24"/>
      </tp>
      <tp t="e">
        <v>#N/A</v>
        <stp/>
        <stp>BDH|11960887352180773317</stp>
        <tr r="Y23" s="26"/>
      </tp>
      <tp t="e">
        <v>#N/A</v>
        <stp/>
        <stp>BDH|16577005890148670864</stp>
        <tr r="E26" s="13"/>
      </tp>
      <tp t="e">
        <v>#N/A</v>
        <stp/>
        <stp>BDH|15589199989122162116</stp>
        <tr r="F32" s="10"/>
        <tr r="F26" s="11"/>
      </tp>
      <tp t="e">
        <v>#N/A</v>
        <stp/>
        <stp>BDH|17519030003179610166</stp>
        <tr r="X101" s="18"/>
      </tp>
      <tp t="e">
        <v>#N/A</v>
        <stp/>
        <stp>BDH|13077677678704889928</stp>
        <tr r="Y120" s="18"/>
      </tp>
      <tp t="e">
        <v>#N/A</v>
        <stp/>
        <stp>BDH|10504691842448952527</stp>
        <tr r="I22" s="18"/>
      </tp>
      <tp t="e">
        <v>#N/A</v>
        <stp/>
        <stp>BDH|15879674045561862976</stp>
        <tr r="M72" s="10"/>
        <tr r="M66" s="11"/>
      </tp>
      <tp t="e">
        <v>#N/A</v>
        <stp/>
        <stp>BDH|15125872470463053637</stp>
        <tr r="N7" s="34"/>
      </tp>
      <tp t="e">
        <v>#N/A</v>
        <stp/>
        <stp>BDH|15532743977598475274</stp>
        <tr r="Y10" s="23"/>
      </tp>
      <tp t="e">
        <v>#N/A</v>
        <stp/>
        <stp>BDH|15612132354138250662</stp>
        <tr r="H57" s="18"/>
      </tp>
      <tp t="e">
        <v>#N/A</v>
        <stp/>
        <stp>BDH|10750715908320205897</stp>
        <tr r="P65" s="18"/>
      </tp>
      <tp t="e">
        <v>#N/A</v>
        <stp/>
        <stp>BDH|17744436265199416306</stp>
        <tr r="E152" s="18"/>
      </tp>
      <tp t="e">
        <v>#N/A</v>
        <stp/>
        <stp>BDH|11441971115146331003</stp>
        <tr r="AA29" s="17"/>
      </tp>
      <tp t="e">
        <v>#N/A</v>
        <stp/>
        <stp>BDH|12776667171918282475</stp>
        <tr r="H10" s="34"/>
      </tp>
      <tp t="e">
        <v>#N/A</v>
        <stp/>
        <stp>BDH|16196745090150307726</stp>
        <tr r="Y35" s="21"/>
      </tp>
      <tp t="e">
        <v>#N/A</v>
        <stp/>
        <stp>BDH|14380069968528876519</stp>
        <tr r="C122" s="18"/>
      </tp>
      <tp t="e">
        <v>#N/A</v>
        <stp/>
        <stp>BDH|12197139148971919972</stp>
        <tr r="I8" s="4"/>
      </tp>
      <tp t="e">
        <v>#N/A</v>
        <stp/>
        <stp>BDH|12491977370461696219</stp>
        <tr r="G134" s="18"/>
      </tp>
      <tp t="e">
        <v>#N/A</v>
        <stp/>
        <stp>BDH|14586714984551537513</stp>
        <tr r="P21" s="2"/>
      </tp>
      <tp t="e">
        <v>#N/A</v>
        <stp/>
        <stp>BDH|12279872853484797450</stp>
        <tr r="U23" s="18"/>
      </tp>
      <tp t="e">
        <v>#N/A</v>
        <stp/>
        <stp>BDH|10596924794747071872</stp>
        <tr r="C66" s="10"/>
      </tp>
      <tp t="e">
        <v>#N/A</v>
        <stp/>
        <stp>BDH|17017324659007632999</stp>
        <tr r="Y14" s="21"/>
      </tp>
      <tp t="e">
        <v>#N/A</v>
        <stp/>
        <stp>BDH|11227916471079298943</stp>
        <tr r="C35" s="17"/>
      </tp>
      <tp t="e">
        <v>#N/A</v>
        <stp/>
        <stp>BDH|13004759095525232761</stp>
        <tr r="H22" s="25"/>
        <tr r="H12" s="27"/>
      </tp>
      <tp t="e">
        <v>#N/A</v>
        <stp/>
        <stp>BDH|14547078403349576206</stp>
        <tr r="C50" s="12"/>
      </tp>
      <tp t="e">
        <v>#N/A</v>
        <stp/>
        <stp>BDH|13549236581300050639</stp>
        <tr r="W22" s="20"/>
      </tp>
      <tp t="e">
        <v>#N/A</v>
        <stp/>
        <stp>BDH|16168864074867566121</stp>
        <tr r="D19" s="25"/>
      </tp>
      <tp t="e">
        <v>#N/A</v>
        <stp/>
        <stp>BDH|16413937855771571435</stp>
        <tr r="U17" s="20"/>
      </tp>
      <tp t="e">
        <v>#N/A</v>
        <stp/>
        <stp>BDH|16856039240154895977</stp>
        <tr r="L19" s="6"/>
      </tp>
      <tp t="e">
        <v>#N/A</v>
        <stp/>
        <stp>BDH|15695918939699876923</stp>
        <tr r="O15" s="10"/>
      </tp>
      <tp t="e">
        <v>#N/A</v>
        <stp/>
        <stp>BDH|18262103277743837292</stp>
        <tr r="O18" s="23"/>
      </tp>
      <tp t="e">
        <v>#N/A</v>
        <stp/>
        <stp>BDH|10311667945305454802</stp>
        <tr r="P56" s="18"/>
      </tp>
      <tp t="e">
        <v>#N/A</v>
        <stp/>
        <stp>BDH|14891514806928977621</stp>
        <tr r="D12" s="30"/>
      </tp>
      <tp t="e">
        <v>#N/A</v>
        <stp/>
        <stp>BDH|15053010436590664954</stp>
        <tr r="G21" s="17"/>
      </tp>
      <tp t="e">
        <v>#N/A</v>
        <stp/>
        <stp>BDH|11315834428251412584</stp>
        <tr r="H15" s="25"/>
      </tp>
      <tp t="e">
        <v>#N/A</v>
        <stp/>
        <stp>BDH|14052773353959182015</stp>
        <tr r="X64" s="21"/>
      </tp>
      <tp t="e">
        <v>#N/A</v>
        <stp/>
        <stp>BDH|15564635740128337013</stp>
        <tr r="L23" s="20"/>
      </tp>
      <tp t="e">
        <v>#N/A</v>
        <stp/>
        <stp>BDH|14072109106358674248</stp>
        <tr r="C20" s="2"/>
        <tr r="C18" s="4"/>
        <tr r="C57" s="10"/>
        <tr r="C51" s="11"/>
        <tr r="C19" s="7"/>
        <tr r="E57" s="13"/>
      </tp>
      <tp t="e">
        <v>#N/A</v>
        <stp/>
        <stp>BDH|18341870773280529865</stp>
        <tr r="S13" s="10"/>
      </tp>
      <tp t="e">
        <v>#N/A</v>
        <stp/>
        <stp>BDH|18228549106883355176</stp>
        <tr r="N38" s="22"/>
      </tp>
      <tp t="e">
        <v>#N/A</v>
        <stp/>
        <stp>BDH|15556379695964331406</stp>
        <tr r="L22" s="7"/>
      </tp>
      <tp t="e">
        <v>#N/A</v>
        <stp/>
        <stp>BDH|11255135845483363835</stp>
        <tr r="D34" s="26"/>
      </tp>
      <tp t="e">
        <v>#N/A</v>
        <stp/>
        <stp>BDH|11275871442803487171</stp>
        <tr r="I43" s="24"/>
      </tp>
      <tp t="e">
        <v>#N/A</v>
        <stp/>
        <stp>BDH|15384816624713389317</stp>
        <tr r="X48" s="21"/>
      </tp>
      <tp t="e">
        <v>#N/A</v>
        <stp/>
        <stp>BDH|13484152374893207937</stp>
        <tr r="D14" s="14"/>
      </tp>
      <tp t="e">
        <v>#N/A</v>
        <stp/>
        <stp>BDH|12500980272595983628</stp>
        <tr r="I23" s="25"/>
        <tr r="I13" s="27"/>
      </tp>
      <tp t="e">
        <v>#N/A</v>
        <stp/>
        <stp>BDH|14990226205208987130</stp>
        <tr r="I25" s="6"/>
      </tp>
      <tp t="e">
        <v>#N/A</v>
        <stp/>
        <stp>BDH|16009110693922058368</stp>
        <tr r="Z19" s="20"/>
      </tp>
      <tp t="e">
        <v>#N/A</v>
        <stp/>
        <stp>BDH|13034025598907458293</stp>
        <tr r="H27" s="7"/>
      </tp>
      <tp t="e">
        <v>#N/A</v>
        <stp/>
        <stp>BDH|14302929727388604873</stp>
        <tr r="W15" s="17"/>
        <tr r="W18" s="28"/>
      </tp>
      <tp t="e">
        <v>#N/A</v>
        <stp/>
        <stp>BDH|13512837044814031454</stp>
        <tr r="R33" s="21"/>
      </tp>
      <tp t="e">
        <v>#N/A</v>
        <stp/>
        <stp>BDH|15510926055790613639</stp>
        <tr r="Y9" s="12"/>
      </tp>
      <tp t="e">
        <v>#N/A</v>
        <stp/>
        <stp>BDH|10332185415078174789</stp>
        <tr r="L27" s="5"/>
        <tr r="L27" s="9"/>
      </tp>
      <tp t="e">
        <v>#N/A</v>
        <stp/>
        <stp>BDH|11604351376883055923</stp>
        <tr r="H10" s="26"/>
      </tp>
      <tp t="e">
        <v>#N/A</v>
        <stp/>
        <stp>BDH|15614897137835773486</stp>
        <tr r="S10" s="6"/>
      </tp>
      <tp t="e">
        <v>#N/A</v>
        <stp/>
        <stp>BDH|15239094026981911930</stp>
        <tr r="W25" s="12"/>
      </tp>
      <tp t="e">
        <v>#N/A</v>
        <stp/>
        <stp>BDH|18145089270229877967</stp>
        <tr r="Q23" s="10"/>
      </tp>
      <tp t="e">
        <v>#N/A</v>
        <stp/>
        <stp>BDH|13522410673207063808</stp>
        <tr r="S74" s="18"/>
      </tp>
      <tp t="e">
        <v>#N/A</v>
        <stp/>
        <stp>BDH|12998364206717762991</stp>
        <tr r="N55" s="18"/>
      </tp>
      <tp t="e">
        <v>#N/A</v>
        <stp/>
        <stp>BDH|10993762199445643476</stp>
        <tr r="S162" s="18"/>
      </tp>
      <tp t="e">
        <v>#N/A</v>
        <stp/>
        <stp>BDH|11455494243676035899</stp>
        <tr r="K18" s="29"/>
        <tr r="K38" s="29"/>
      </tp>
      <tp t="e">
        <v>#N/A</v>
        <stp/>
        <stp>BDH|16974101491376693791</stp>
        <tr r="Z41" s="18"/>
      </tp>
      <tp t="e">
        <v>#N/A</v>
        <stp/>
        <stp>BDH|11978796809929628086</stp>
        <tr r="AA6" s="19"/>
        <tr r="AA37" s="17"/>
        <tr r="AA16" s="3"/>
      </tp>
      <tp t="e">
        <v>#N/A</v>
        <stp/>
        <stp>BDH|12078758164864066862</stp>
        <tr r="K21" s="3"/>
      </tp>
      <tp t="e">
        <v>#N/A</v>
        <stp/>
        <stp>BDH|10029840080488127727</stp>
        <tr r="P34" s="21"/>
      </tp>
      <tp t="e">
        <v>#N/A</v>
        <stp/>
        <stp>BDH|10736782968749447740</stp>
        <tr r="E46" s="17"/>
      </tp>
      <tp t="e">
        <v>#N/A</v>
        <stp/>
        <stp>BDH|13962732349406708932</stp>
        <tr r="N41" s="24"/>
      </tp>
      <tp t="e">
        <v>#N/A</v>
        <stp/>
        <stp>BDH|14180847746927561012</stp>
        <tr r="AA41" s="12"/>
      </tp>
      <tp t="e">
        <v>#N/A</v>
        <stp/>
        <stp>BDH|10024953428975226188</stp>
        <tr r="F81" s="17"/>
        <tr r="C9" s="5"/>
        <tr r="C9" s="9"/>
      </tp>
      <tp t="e">
        <v>#N/A</v>
        <stp/>
        <stp>BDH|16102323725199440157</stp>
        <tr r="C26" s="7"/>
      </tp>
      <tp t="e">
        <v>#N/A</v>
        <stp/>
        <stp>BDH|13017309655898126233</stp>
        <tr r="W25" s="13"/>
      </tp>
      <tp t="e">
        <v>#N/A</v>
        <stp/>
        <stp>BDH|11146814278485638497</stp>
        <tr r="I32" s="10"/>
        <tr r="I26" s="11"/>
      </tp>
      <tp t="e">
        <v>#N/A</v>
        <stp/>
        <stp>BDH|13372813583955542939</stp>
        <tr r="H28" s="18"/>
      </tp>
      <tp t="e">
        <v>#N/A</v>
        <stp/>
        <stp>BDH|12231948082569594567</stp>
        <tr r="E20" s="12"/>
      </tp>
      <tp t="e">
        <v>#N/A</v>
        <stp/>
        <stp>BDH|14515048636358946099</stp>
        <tr r="O7" s="2"/>
        <tr r="N7" s="5"/>
        <tr r="N7" s="9"/>
        <tr r="Q14" s="3"/>
      </tp>
      <tp t="e">
        <v>#N/A</v>
        <stp/>
        <stp>BDH|16193274358407078998</stp>
        <tr r="F110" s="18"/>
        <tr r="D11" s="20"/>
      </tp>
      <tp t="e">
        <v>#N/A</v>
        <stp/>
        <stp>BDH|10710834876217751727</stp>
        <tr r="D108" s="18"/>
      </tp>
      <tp t="e">
        <v>#N/A</v>
        <stp/>
        <stp>BDH|14827012639269515126</stp>
        <tr r="AA14" s="17"/>
        <tr r="AA17" s="28"/>
      </tp>
      <tp t="e">
        <v>#N/A</v>
        <stp/>
        <stp>BDH|13503208094090754719</stp>
        <tr r="J76" s="17"/>
      </tp>
      <tp t="e">
        <v>#N/A</v>
        <stp/>
        <stp>BDH|18318922839498763585</stp>
        <tr r="D7" s="2"/>
        <tr r="C7" s="5"/>
        <tr r="C7" s="9"/>
        <tr r="F14" s="3"/>
      </tp>
      <tp t="e">
        <v>#N/A</v>
        <stp/>
        <stp>BDH|11961942905247758087</stp>
        <tr r="R33" s="22"/>
      </tp>
      <tp t="e">
        <v>#N/A</v>
        <stp/>
        <stp>BDH|17667735220365722856</stp>
        <tr r="AA26" s="25"/>
        <tr r="AA16" s="27"/>
      </tp>
      <tp t="e">
        <v>#N/A</v>
        <stp/>
        <stp>BDH|13991343887050555794</stp>
        <tr r="L30" s="18"/>
      </tp>
      <tp t="e">
        <v>#N/A</v>
        <stp/>
        <stp>BDH|15207458204338765626</stp>
        <tr r="Q20" s="10"/>
      </tp>
      <tp t="e">
        <v>#N/A</v>
        <stp/>
        <stp>BDH|10650976830047692210</stp>
        <tr r="W103" s="18"/>
      </tp>
      <tp t="e">
        <v>#N/A</v>
        <stp/>
        <stp>BDH|17169898029626000472</stp>
        <tr r="U12" s="14"/>
      </tp>
      <tp t="e">
        <v>#N/A</v>
        <stp/>
        <stp>BDH|12196812665235372604</stp>
        <tr r="C22" s="11"/>
      </tp>
      <tp t="e">
        <v>#N/A</v>
        <stp/>
        <stp>BDH|13293034047741124912</stp>
        <tr r="L10" s="26"/>
      </tp>
      <tp t="e">
        <v>#N/A</v>
        <stp/>
        <stp>BDH|15444607783546344228</stp>
        <tr r="E39" s="6"/>
      </tp>
      <tp t="e">
        <v>#N/A</v>
        <stp/>
        <stp>BDH|11450339865619235260</stp>
        <tr r="O88" s="18"/>
      </tp>
      <tp t="e">
        <v>#N/A</v>
        <stp/>
        <stp>BDH|10686030497042619420</stp>
        <tr r="P52" s="17"/>
      </tp>
      <tp t="e">
        <v>#N/A</v>
        <stp/>
        <stp>BDH|14366542292142559568</stp>
        <tr r="Z12" s="18"/>
      </tp>
      <tp t="e">
        <v>#N/A</v>
        <stp/>
        <stp>BDH|16581434582531770456</stp>
        <tr r="Y15" s="17"/>
        <tr r="Y18" s="28"/>
      </tp>
      <tp t="e">
        <v>#N/A</v>
        <stp/>
        <stp>BDH|15573353360099638608</stp>
        <tr r="Q42" s="4"/>
      </tp>
      <tp t="e">
        <v>#N/A</v>
        <stp/>
        <stp>BDH|13098157084756728305</stp>
        <tr r="K25" s="4"/>
        <tr r="K64" s="10"/>
      </tp>
      <tp t="e">
        <v>#N/A</v>
        <stp/>
        <stp>BDH|12665567536593998893</stp>
        <tr r="P20" s="22"/>
      </tp>
      <tp t="e">
        <v>#N/A</v>
        <stp/>
        <stp>BDH|15639616147389628109</stp>
        <tr r="L70" s="12"/>
      </tp>
      <tp t="e">
        <v>#N/A</v>
        <stp/>
        <stp>BDH|11074539099015855746</stp>
        <tr r="P36" s="22"/>
      </tp>
      <tp t="e">
        <v>#N/A</v>
        <stp/>
        <stp>BDH|14144320205369118115</stp>
        <tr r="L11" s="12"/>
      </tp>
      <tp t="e">
        <v>#N/A</v>
        <stp/>
        <stp>BDH|13798102813824268806</stp>
        <tr r="E83" s="17"/>
      </tp>
      <tp t="e">
        <v>#N/A</v>
        <stp/>
        <stp>BDH|15960446383021910712</stp>
        <tr r="D120" s="18"/>
      </tp>
      <tp t="e">
        <v>#N/A</v>
        <stp/>
        <stp>BDH|13328184680190864552</stp>
        <tr r="P67" s="17"/>
      </tp>
      <tp t="e">
        <v>#N/A</v>
        <stp/>
        <stp>BDH|14828585360048463023</stp>
        <tr r="H109" s="18"/>
        <tr r="F9" s="20"/>
      </tp>
      <tp t="e">
        <v>#N/A</v>
        <stp/>
        <stp>BDH|13725862312787561203</stp>
        <tr r="D10" s="30"/>
      </tp>
      <tp t="e">
        <v>#N/A</v>
        <stp/>
        <stp>BDH|13239762874755160972</stp>
        <tr r="K20" s="11"/>
      </tp>
      <tp t="e">
        <v>#N/A</v>
        <stp/>
        <stp>BDH|12861793613613213863</stp>
        <tr r="M37" s="18"/>
      </tp>
      <tp t="e">
        <v>#N/A</v>
        <stp/>
        <stp>BDH|11696832714890478735</stp>
        <tr r="O75" s="12"/>
      </tp>
      <tp t="e">
        <v>#N/A</v>
        <stp/>
        <stp>BDH|18256880612247914976</stp>
        <tr r="O58" s="18"/>
      </tp>
      <tp t="e">
        <v>#N/A</v>
        <stp/>
        <stp>BDH|10691986769967399728</stp>
        <tr r="U22" s="12"/>
      </tp>
      <tp t="e">
        <v>#N/A</v>
        <stp/>
        <stp>BDH|15309612630909746638</stp>
        <tr r="H33" s="10"/>
        <tr r="H27" s="11"/>
      </tp>
      <tp t="e">
        <v>#N/A</v>
        <stp/>
        <stp>BDH|14630962118075754692</stp>
        <tr r="W43" s="18"/>
      </tp>
      <tp t="e">
        <v>#N/A</v>
        <stp/>
        <stp>BDH|13550729468955831813</stp>
        <tr r="E14" s="18"/>
      </tp>
      <tp t="e">
        <v>#N/A</v>
        <stp/>
        <stp>BDH|15345780099074060047</stp>
        <tr r="J38" s="34"/>
      </tp>
      <tp t="e">
        <v>#N/A</v>
        <stp/>
        <stp>BDH|14128331330418458306</stp>
        <tr r="X15" s="9"/>
      </tp>
      <tp t="e">
        <v>#N/A</v>
        <stp/>
        <stp>BDH|14963746496925024020</stp>
        <tr r="D159" s="18"/>
      </tp>
      <tp t="e">
        <v>#N/A</v>
        <stp/>
        <stp>BDH|18190628478813504573</stp>
        <tr r="U71" s="12"/>
      </tp>
      <tp t="e">
        <v>#N/A</v>
        <stp/>
        <stp>BDH|17933895010745077499</stp>
        <tr r="Q32" s="22"/>
      </tp>
      <tp t="e">
        <v>#N/A</v>
        <stp/>
        <stp>BDH|11376906473658804818</stp>
        <tr r="K10" s="21"/>
      </tp>
      <tp t="e">
        <v>#N/A</v>
        <stp/>
        <stp>BDH|12103989670393570050</stp>
        <tr r="E56" s="10"/>
        <tr r="E50" s="11"/>
        <tr r="E18" s="7"/>
        <tr r="G52" s="13"/>
      </tp>
      <tp t="e">
        <v>#N/A</v>
        <stp/>
        <stp>BDH|18195114585059839743</stp>
        <tr r="J93" s="18"/>
      </tp>
      <tp t="e">
        <v>#N/A</v>
        <stp/>
        <stp>BDH|10821104736425676819</stp>
        <tr r="H77" s="18"/>
      </tp>
      <tp t="e">
        <v>#N/A</v>
        <stp/>
        <stp>BDH|11048693281103061313</stp>
        <tr r="D76" s="12"/>
      </tp>
      <tp t="e">
        <v>#N/A</v>
        <stp/>
        <stp>BDH|11400975233124843013</stp>
        <tr r="R73" s="24"/>
      </tp>
      <tp t="e">
        <v>#N/A</v>
        <stp/>
        <stp>BDH|10329483785067035470</stp>
        <tr r="AA33" s="26"/>
      </tp>
      <tp t="e">
        <v>#N/A</v>
        <stp/>
        <stp>BDH|12339685519838943228</stp>
        <tr r="T76" s="12"/>
      </tp>
      <tp t="e">
        <v>#N/A</v>
        <stp/>
        <stp>BDH|10394815841767336499</stp>
        <tr r="D11" s="17"/>
      </tp>
      <tp t="e">
        <v>#N/A</v>
        <stp/>
        <stp>BDH|16530584662673138972</stp>
        <tr r="X28" s="26"/>
      </tp>
      <tp t="e">
        <v>#N/A</v>
        <stp/>
        <stp>BDH|17867559982706682307</stp>
        <tr r="F37" s="6"/>
      </tp>
      <tp t="e">
        <v>#N/A</v>
        <stp/>
        <stp>BDH|16452601986201804631</stp>
        <tr r="H43" s="12"/>
      </tp>
      <tp t="e">
        <v>#N/A</v>
        <stp/>
        <stp>BDH|10341812950575258791</stp>
        <tr r="F8" s="18"/>
      </tp>
      <tp t="e">
        <v>#N/A</v>
        <stp/>
        <stp>BDH|13037421389734536471</stp>
        <tr r="I160" s="18"/>
      </tp>
      <tp t="e">
        <v>#N/A</v>
        <stp/>
        <stp>BDH|14730671186670774584</stp>
        <tr r="Z168" s="18"/>
      </tp>
      <tp t="e">
        <v>#N/A</v>
        <stp/>
        <stp>BDH|13551984257588610853</stp>
        <tr r="O14" s="23"/>
      </tp>
      <tp t="e">
        <v>#N/A</v>
        <stp/>
        <stp>BDH|15120436316359851654</stp>
        <tr r="H82" s="18"/>
      </tp>
      <tp t="e">
        <v>#N/A</v>
        <stp/>
        <stp>BDH|17160854320727816552</stp>
        <tr r="M27" s="18"/>
      </tp>
      <tp t="e">
        <v>#N/A</v>
        <stp/>
        <stp>BDH|13497827173334983750</stp>
        <tr r="F37" s="10"/>
        <tr r="F31" s="11"/>
        <tr r="H40" s="13"/>
      </tp>
      <tp t="e">
        <v>#N/A</v>
        <stp/>
        <stp>BDH|16460692671500315865</stp>
        <tr r="S16" s="25"/>
      </tp>
      <tp t="e">
        <v>#N/A</v>
        <stp/>
        <stp>BDH|16656909161954931273</stp>
        <tr r="C98" s="18"/>
      </tp>
      <tp t="e">
        <v>#N/A</v>
        <stp/>
        <stp>BDH|10933441921120135944</stp>
        <tr r="G67" s="24"/>
      </tp>
      <tp t="e">
        <v>#N/A</v>
        <stp/>
        <stp>BDH|13943845064217779570</stp>
        <tr r="G27" s="17"/>
      </tp>
      <tp t="e">
        <v>#N/A</v>
        <stp/>
        <stp>BDH|12912954467064536672</stp>
        <tr r="T49" s="18"/>
      </tp>
      <tp t="e">
        <v>#N/A</v>
        <stp/>
        <stp>BDH|14450389310241187842</stp>
        <tr r="V28" s="17"/>
      </tp>
      <tp t="e">
        <v>#N/A</v>
        <stp/>
        <stp>BDH|17149895782031021928</stp>
        <tr r="L28" s="9"/>
      </tp>
      <tp t="e">
        <v>#N/A</v>
        <stp/>
        <stp>BDH|10411346559851758861</stp>
        <tr r="J91" s="18"/>
      </tp>
      <tp t="e">
        <v>#N/A</v>
        <stp/>
        <stp>BDH|10313376822098746698</stp>
        <tr r="Q66" s="17"/>
      </tp>
      <tp t="e">
        <v>#N/A</v>
        <stp/>
        <stp>BDH|10773708296120119185</stp>
        <tr r="D14" s="25"/>
      </tp>
      <tp t="e">
        <v>#N/A</v>
        <stp/>
        <stp>BDH|11595373686155534092</stp>
        <tr r="T27" s="26"/>
        <tr r="Q14" s="9"/>
      </tp>
      <tp t="e">
        <v>#N/A</v>
        <stp/>
        <stp>BDH|10622960459924204733</stp>
        <tr r="I9" s="24"/>
      </tp>
      <tp t="e">
        <v>#N/A</v>
        <stp/>
        <stp>BDH|14917130572699184410</stp>
        <tr r="W73" s="24"/>
      </tp>
      <tp t="e">
        <v>#N/A</v>
        <stp/>
        <stp>BDH|10314998535646620313</stp>
        <tr r="W42" s="18"/>
      </tp>
      <tp t="e">
        <v>#N/A</v>
        <stp/>
        <stp>BDH|10808731433983451840</stp>
        <tr r="G57" s="12"/>
      </tp>
      <tp t="e">
        <v>#N/A</v>
        <stp/>
        <stp>BDH|14755941115635982676</stp>
        <tr r="F64" s="12"/>
      </tp>
      <tp t="e">
        <v>#N/A</v>
        <stp/>
        <stp>BDH|15411577968841358807</stp>
        <tr r="AA67" s="17"/>
      </tp>
      <tp t="e">
        <v>#N/A</v>
        <stp/>
        <stp>BDH|11734126597217308194</stp>
        <tr r="H42" s="18"/>
      </tp>
      <tp t="e">
        <v>#N/A</v>
        <stp/>
        <stp>BDH|11937433683757503544</stp>
        <tr r="Z13" s="17"/>
        <tr r="Z16" s="28"/>
      </tp>
      <tp t="e">
        <v>#N/A</v>
        <stp/>
        <stp>BDH|14511483655629654362</stp>
        <tr r="H156" s="18"/>
      </tp>
      <tp t="e">
        <v>#N/A</v>
        <stp/>
        <stp>BDH|18036875872050539886</stp>
        <tr r="U56" s="17"/>
        <tr r="U17" s="3"/>
      </tp>
      <tp t="e">
        <v>#N/A</v>
        <stp/>
        <stp>BDH|12571685845647223824</stp>
        <tr r="L68" s="18"/>
      </tp>
      <tp t="e">
        <v>#N/A</v>
        <stp/>
        <stp>BDH|13702626550866557989</stp>
        <tr r="H22" s="12"/>
      </tp>
      <tp t="e">
        <v>#N/A</v>
        <stp/>
        <stp>BDH|13914870604550318414</stp>
        <tr r="D11" s="3"/>
      </tp>
      <tp t="e">
        <v>#N/A</v>
        <stp/>
        <stp>BDH|13253505448389222401</stp>
        <tr r="Q139" s="18"/>
      </tp>
      <tp t="e">
        <v>#N/A</v>
        <stp/>
        <stp>BDH|13882739725980680900</stp>
        <tr r="G30" s="26"/>
      </tp>
      <tp t="e">
        <v>#N/A</v>
        <stp/>
        <stp>BDH|12933796164474419880</stp>
        <tr r="C50" s="13"/>
      </tp>
      <tp t="e">
        <v>#N/A</v>
        <stp/>
        <stp>BDH|16310397061745067930</stp>
        <tr r="Q122" s="18"/>
      </tp>
      <tp t="e">
        <v>#N/A</v>
        <stp/>
        <stp>BDH|13218822044385445581</stp>
        <tr r="E12" s="11"/>
      </tp>
      <tp t="e">
        <v>#N/A</v>
        <stp/>
        <stp>BDH|16807033490559712942</stp>
        <tr r="Y42" s="17"/>
      </tp>
      <tp t="e">
        <v>#N/A</v>
        <stp/>
        <stp>BDH|10605110819057146870</stp>
        <tr r="U146" s="18"/>
      </tp>
      <tp t="e">
        <v>#N/A</v>
        <stp/>
        <stp>BDH|14880835765972667739</stp>
        <tr r="S25" s="24"/>
      </tp>
      <tp t="e">
        <v>#N/A</v>
        <stp/>
        <stp>BDH|11221078573110903940</stp>
        <tr r="P16" s="20"/>
      </tp>
      <tp t="e">
        <v>#N/A</v>
        <stp/>
        <stp>BDH|17926022723052198820</stp>
        <tr r="I14" s="30"/>
      </tp>
      <tp t="e">
        <v>#N/A</v>
        <stp/>
        <stp>BDH|10916460937840713841</stp>
        <tr r="I48" s="18"/>
      </tp>
      <tp t="e">
        <v>#N/A</v>
        <stp/>
        <stp>BDH|15889538583681267619</stp>
        <tr r="Q25" s="17"/>
      </tp>
      <tp t="e">
        <v>#N/A</v>
        <stp/>
        <stp>BDH|12706631090875929763</stp>
        <tr r="X22" s="22"/>
      </tp>
      <tp t="e">
        <v>#N/A</v>
        <stp/>
        <stp>BDH|13979957880765671818</stp>
        <tr r="L45" s="17"/>
        <tr r="L9" s="25"/>
      </tp>
      <tp t="e">
        <v>#N/A</v>
        <stp/>
        <stp>BDH|13778726638591354959</stp>
        <tr r="R29" s="5"/>
      </tp>
      <tp t="e">
        <v>#N/A</v>
        <stp/>
        <stp>BDH|11598461340379911715</stp>
        <tr r="J55" s="24"/>
      </tp>
      <tp t="e">
        <v>#N/A</v>
        <stp/>
        <stp>BDH|11069260194853104681</stp>
        <tr r="V27" s="10"/>
        <tr r="X32" s="13"/>
      </tp>
      <tp t="e">
        <v>#N/A</v>
        <stp/>
        <stp>BDH|18287053668581150054</stp>
        <tr r="L19" s="26"/>
      </tp>
      <tp t="e">
        <v>#N/A</v>
        <stp/>
        <stp>BDH|15383037625361710992</stp>
        <tr r="W34" s="24"/>
      </tp>
      <tp t="e">
        <v>#N/A</v>
        <stp/>
        <stp>BDH|13887741736401674977</stp>
        <tr r="C35" s="13"/>
      </tp>
      <tp t="e">
        <v>#N/A</v>
        <stp/>
        <stp>BDH|12002373430349990454</stp>
        <tr r="M18" s="29"/>
        <tr r="M38" s="29"/>
      </tp>
      <tp t="e">
        <v>#N/A</v>
        <stp/>
        <stp>BDH|12800649137291132914</stp>
        <tr r="D10" s="10"/>
      </tp>
      <tp t="e">
        <v>#N/A</v>
        <stp/>
        <stp>BDH|13968988562000990314</stp>
        <tr r="R161" s="18"/>
      </tp>
      <tp t="e">
        <v>#N/A</v>
        <stp/>
        <stp>BDH|16980981023295887710</stp>
        <tr r="X33" s="6"/>
        <tr r="Z9" s="8"/>
      </tp>
      <tp t="e">
        <v>#N/A</v>
        <stp/>
        <stp>BDH|16920966765712926482</stp>
        <tr r="E26" s="26"/>
      </tp>
      <tp t="e">
        <v>#N/A</v>
        <stp/>
        <stp>BDH|12143735739801882883</stp>
        <tr r="R18" s="20"/>
      </tp>
      <tp t="e">
        <v>#N/A</v>
        <stp/>
        <stp>BDH|11345073989664621202</stp>
        <tr r="U11" s="14"/>
      </tp>
      <tp t="e">
        <v>#N/A</v>
        <stp/>
        <stp>BDH|17865258637141684876</stp>
        <tr r="H18" s="6"/>
      </tp>
      <tp t="e">
        <v>#N/A</v>
        <stp/>
        <stp>BDH|16808125172117477873</stp>
        <tr r="W16" s="12"/>
      </tp>
      <tp t="e">
        <v>#N/A</v>
        <stp/>
        <stp>BDH|14658937139960397142</stp>
        <tr r="P18" s="23"/>
      </tp>
      <tp t="e">
        <v>#N/A</v>
        <stp/>
        <stp>BDH|18437794427604674676</stp>
        <tr r="P33" s="18"/>
      </tp>
      <tp t="e">
        <v>#N/A</v>
        <stp/>
        <stp>BDH|16623995175313218432</stp>
        <tr r="W21" s="25"/>
        <tr r="W10" s="27"/>
      </tp>
      <tp t="e">
        <v>#N/A</v>
        <stp/>
        <stp>BDH|10027572829660431813</stp>
        <tr r="H154" s="18"/>
      </tp>
      <tp t="e">
        <v>#N/A</v>
        <stp/>
        <stp>BDH|14442145188526102422</stp>
        <tr r="E54" s="13"/>
      </tp>
      <tp t="e">
        <v>#N/A</v>
        <stp/>
        <stp>BDH|11752315815614919813</stp>
        <tr r="P14" s="21"/>
      </tp>
      <tp t="e">
        <v>#N/A</v>
        <stp/>
        <stp>BDH|14721925272894555180</stp>
        <tr r="T40" s="24"/>
      </tp>
      <tp t="e">
        <v>#N/A</v>
        <stp/>
        <stp>BDH|17927348420811793802</stp>
        <tr r="X29" s="12"/>
      </tp>
      <tp t="e">
        <v>#N/A</v>
        <stp/>
        <stp>BDH|12977741986845066710</stp>
        <tr r="Y24" s="29"/>
      </tp>
      <tp t="e">
        <v>#N/A</v>
        <stp/>
        <stp>BDH|17837859581749654100</stp>
        <tr r="I29" s="9"/>
      </tp>
      <tp t="e">
        <v>#N/A</v>
        <stp/>
        <stp>BDH|11244496797675737618</stp>
        <tr r="AA119" s="18"/>
      </tp>
      <tp t="e">
        <v>#N/A</v>
        <stp/>
        <stp>BDH|17444005627632105889</stp>
        <tr r="Z73" s="17"/>
        <tr r="W8" s="5"/>
        <tr r="W8" s="9"/>
      </tp>
      <tp t="e">
        <v>#N/A</v>
        <stp/>
        <stp>BDH|15357341981639971859</stp>
        <tr r="W23" s="2"/>
        <tr r="Y18" s="21"/>
        <tr r="Y23" s="3"/>
      </tp>
      <tp t="e">
        <v>#N/A</v>
        <stp/>
        <stp>BDH|13974116372319880386</stp>
        <tr r="F10" s="2"/>
        <tr r="E11" s="5"/>
        <tr r="E36" s="6"/>
        <tr r="H31" s="29"/>
        <tr r="H39" s="29"/>
      </tp>
      <tp t="e">
        <v>#N/A</v>
        <stp/>
        <stp>BDH|15796837805331271399</stp>
        <tr r="R10" s="22"/>
      </tp>
      <tp t="e">
        <v>#N/A</v>
        <stp/>
        <stp>BDH|16355495928177818803</stp>
        <tr r="Z33" s="17"/>
      </tp>
      <tp t="e">
        <v>#N/A</v>
        <stp/>
        <stp>BDH|13331910238587672163</stp>
        <tr r="G35" s="18"/>
      </tp>
      <tp t="e">
        <v>#N/A</v>
        <stp/>
        <stp>BDH|13378672881763835173</stp>
        <tr r="J12" s="11"/>
      </tp>
      <tp t="e">
        <v>#N/A</v>
        <stp/>
        <stp>BDH|15740190200393241862</stp>
        <tr r="L15" s="4"/>
      </tp>
      <tp t="e">
        <v>#N/A</v>
        <stp/>
        <stp>BDH|17859166369287828853</stp>
        <tr r="J63" s="10"/>
      </tp>
      <tp t="e">
        <v>#N/A</v>
        <stp/>
        <stp>BDH|13730297424505392938</stp>
        <tr r="W8" s="13"/>
      </tp>
      <tp t="e">
        <v>#N/A</v>
        <stp/>
        <stp>BDH|16907974841623739726</stp>
        <tr r="O48" s="18"/>
      </tp>
      <tp t="e">
        <v>#N/A</v>
        <stp/>
        <stp>BDH|16372218287627966469</stp>
        <tr r="V67" s="17"/>
      </tp>
      <tp t="e">
        <v>#N/A</v>
        <stp/>
        <stp>BDH|14969400800078035733</stp>
        <tr r="T154" s="18"/>
      </tp>
      <tp t="e">
        <v>#N/A</v>
        <stp/>
        <stp>BDH|14800214067387063844</stp>
        <tr r="S132" s="18"/>
      </tp>
      <tp t="e">
        <v>#N/A</v>
        <stp/>
        <stp>BDH|15690058286143715184</stp>
        <tr r="U97" s="18"/>
      </tp>
      <tp t="e">
        <v>#N/A</v>
        <stp/>
        <stp>BDH|12042166661629485398</stp>
        <tr r="D91" s="17"/>
      </tp>
      <tp t="e">
        <v>#N/A</v>
        <stp/>
        <stp>BDH|13481753298736112429</stp>
        <tr r="T83" s="17"/>
      </tp>
      <tp t="e">
        <v>#N/A</v>
        <stp/>
        <stp>BDH|12740463494657083782</stp>
        <tr r="V12" s="10"/>
      </tp>
      <tp t="e">
        <v>#N/A</v>
        <stp/>
        <stp>BDH|10192945999118070710</stp>
        <tr r="N14" s="26"/>
      </tp>
      <tp t="e">
        <v>#N/A</v>
        <stp/>
        <stp>BDH|18410700218797072619</stp>
        <tr r="N70" s="17"/>
      </tp>
      <tp t="e">
        <v>#N/A</v>
        <stp/>
        <stp>BDH|11336360426757893865</stp>
        <tr r="R26" s="29"/>
      </tp>
      <tp t="e">
        <v>#N/A</v>
        <stp/>
        <stp>BDH|16512809313423877333</stp>
        <tr r="T48" s="21"/>
      </tp>
      <tp t="e">
        <v>#N/A</v>
        <stp/>
        <stp>BDH|13991698152177801878</stp>
        <tr r="C51" s="12"/>
      </tp>
      <tp t="e">
        <v>#N/A</v>
        <stp/>
        <stp>BDH|10076019145349973202</stp>
        <tr r="K28" s="5"/>
      </tp>
      <tp t="e">
        <v>#N/A</v>
        <stp/>
        <stp>BDH|17378676500789915708</stp>
        <tr r="Q6" s="27"/>
      </tp>
      <tp t="e">
        <v>#N/A</v>
        <stp/>
        <stp>BDH|10275729683042959275</stp>
        <tr r="Y51" s="18"/>
      </tp>
      <tp t="e">
        <v>#N/A</v>
        <stp/>
        <stp>BDH|11932243123518291612</stp>
        <tr r="U22" s="25"/>
        <tr r="U12" s="27"/>
      </tp>
      <tp t="e">
        <v>#N/A</v>
        <stp/>
        <stp>BDH|14024865134295982561</stp>
        <tr r="U35" s="4"/>
      </tp>
      <tp t="e">
        <v>#N/A</v>
        <stp/>
        <stp>BDH|13084891952236635704</stp>
        <tr r="F10" s="18"/>
      </tp>
      <tp t="e">
        <v>#N/A</v>
        <stp/>
        <stp>BDH|18323286179152685091</stp>
        <tr r="P16" s="22"/>
      </tp>
      <tp t="e">
        <v>#N/A</v>
        <stp/>
        <stp>BDH|12695260630219815559</stp>
        <tr r="W46" s="18"/>
      </tp>
      <tp t="e">
        <v>#N/A</v>
        <stp/>
        <stp>BDH|11400591209172003993</stp>
        <tr r="L72" s="12"/>
      </tp>
      <tp t="e">
        <v>#N/A</v>
        <stp/>
        <stp>BDH|14460501425645910953</stp>
        <tr r="C23" s="21"/>
      </tp>
      <tp t="e">
        <v>#N/A</v>
        <stp/>
        <stp>BDH|14097902947896863027</stp>
        <tr r="S28" s="17"/>
      </tp>
      <tp t="e">
        <v>#N/A</v>
        <stp/>
        <stp>BDH|18143419272853675790</stp>
        <tr r="X22" s="20"/>
      </tp>
      <tp t="e">
        <v>#N/A</v>
        <stp/>
        <stp>BDH|11771552998056740400</stp>
        <tr r="W28" s="9"/>
      </tp>
      <tp t="e">
        <v>#N/A</v>
        <stp/>
        <stp>BDH|12708536584441405193</stp>
        <tr r="E18" s="17"/>
      </tp>
      <tp t="e">
        <v>#N/A</v>
        <stp/>
        <stp>BDH|16521930441256214280</stp>
        <tr r="P53" s="17"/>
      </tp>
      <tp t="e">
        <v>#N/A</v>
        <stp/>
        <stp>BDH|14694680005648677509</stp>
        <tr r="O27" s="34"/>
      </tp>
      <tp t="e">
        <v>#N/A</v>
        <stp/>
        <stp>BDH|14303807259515500322</stp>
        <tr r="M42" s="22"/>
      </tp>
      <tp t="e">
        <v>#N/A</v>
        <stp/>
        <stp>BDH|15131713916398912422</stp>
        <tr r="T19" s="24"/>
      </tp>
      <tp t="e">
        <v>#N/A</v>
        <stp/>
        <stp>BDH|14008885356817797143</stp>
        <tr r="E31" s="10"/>
        <tr r="E25" s="11"/>
      </tp>
      <tp t="e">
        <v>#N/A</v>
        <stp/>
        <stp>BDH|13801516893076401631</stp>
        <tr r="W140" s="18"/>
      </tp>
      <tp t="e">
        <v>#N/A</v>
        <stp/>
        <stp>BDH|11315161979689196108</stp>
        <tr r="U62" s="18"/>
      </tp>
      <tp t="e">
        <v>#N/A</v>
        <stp/>
        <stp>BDH|14710474889040363775</stp>
        <tr r="P17" s="18"/>
      </tp>
      <tp t="e">
        <v>#N/A</v>
        <stp/>
        <stp>BDH|15322977173926284282</stp>
        <tr r="V11" s="12"/>
      </tp>
      <tp t="e">
        <v>#N/A</v>
        <stp/>
        <stp>BDH|18290088823372213766</stp>
        <tr r="L18" s="30"/>
      </tp>
      <tp t="e">
        <v>#N/A</v>
        <stp/>
        <stp>BDH|13542198526926008971</stp>
        <tr r="G11" s="14"/>
      </tp>
      <tp t="e">
        <v>#N/A</v>
        <stp/>
        <stp>BDH|15385073509748485240</stp>
        <tr r="J9" s="22"/>
      </tp>
      <tp t="e">
        <v>#N/A</v>
        <stp/>
        <stp>BDH|14792877703557642494</stp>
        <tr r="F36" s="22"/>
      </tp>
      <tp t="e">
        <v>#N/A</v>
        <stp/>
        <stp>BDH|17806608121158262475</stp>
        <tr r="R40" s="18"/>
      </tp>
      <tp t="e">
        <v>#N/A</v>
        <stp/>
        <stp>BDH|11819940056141202348</stp>
        <tr r="V41" s="12"/>
      </tp>
      <tp t="e">
        <v>#N/A</v>
        <stp/>
        <stp>BDH|18370453112934158690</stp>
        <tr r="M68" s="12"/>
      </tp>
      <tp t="e">
        <v>#N/A</v>
        <stp/>
        <stp>BDH|12955047980542698776</stp>
        <tr r="AA143" s="18"/>
      </tp>
      <tp t="e">
        <v>#N/A</v>
        <stp/>
        <stp>BDH|11402811976410924168</stp>
        <tr r="H103" s="18"/>
      </tp>
      <tp t="e">
        <v>#N/A</v>
        <stp/>
        <stp>BDH|16851420480093582632</stp>
        <tr r="P46" s="21"/>
      </tp>
      <tp t="e">
        <v>#N/A</v>
        <stp/>
        <stp>BDH|17467523008994603942</stp>
        <tr r="V15" s="12"/>
      </tp>
      <tp t="e">
        <v>#N/A</v>
        <stp/>
        <stp>BDH|10506843758637184543</stp>
        <tr r="O59" s="17"/>
      </tp>
      <tp t="e">
        <v>#N/A</v>
        <stp/>
        <stp>BDH|15037714457818320090</stp>
        <tr r="Z27" s="18"/>
      </tp>
      <tp t="e">
        <v>#N/A</v>
        <stp/>
        <stp>BDH|15339619028747439922</stp>
        <tr r="AA43" s="17"/>
      </tp>
      <tp t="e">
        <v>#N/A</v>
        <stp/>
        <stp>BDH|10194073395564817272</stp>
        <tr r="U8" s="14"/>
      </tp>
      <tp t="e">
        <v>#N/A</v>
        <stp/>
        <stp>BDH|16569040960498469798</stp>
        <tr r="Q64" s="21"/>
      </tp>
      <tp t="e">
        <v>#N/A</v>
        <stp/>
        <stp>BDH|15349620569883696929</stp>
        <tr r="L64" s="24"/>
      </tp>
      <tp t="e">
        <v>#N/A</v>
        <stp/>
        <stp>BDH|16537983977034171375</stp>
        <tr r="K25" s="10"/>
      </tp>
      <tp t="e">
        <v>#N/A</v>
        <stp/>
        <stp>BDH|17566797122164378915</stp>
        <tr r="O34" s="10"/>
        <tr r="O28" s="11"/>
      </tp>
      <tp t="e">
        <v>#N/A</v>
        <stp/>
        <stp>BDH|16324944104699608992</stp>
        <tr r="V60" s="21"/>
      </tp>
      <tp t="e">
        <v>#N/A</v>
        <stp/>
        <stp>BDH|16990808379761425785</stp>
        <tr r="Y78" s="17"/>
      </tp>
      <tp t="e">
        <v>#N/A</v>
        <stp/>
        <stp>BDH|15440615656258638190</stp>
        <tr r="R94" s="17"/>
      </tp>
      <tp t="e">
        <v>#N/A</v>
        <stp/>
        <stp>BDH|17483914778815706364</stp>
        <tr r="R57" s="12"/>
      </tp>
      <tp t="e">
        <v>#N/A</v>
        <stp/>
        <stp>BDH|13665738624928526181</stp>
        <tr r="D71" s="18"/>
      </tp>
      <tp t="e">
        <v>#N/A</v>
        <stp/>
        <stp>BDH|14362156642989247796</stp>
        <tr r="R24" s="20"/>
      </tp>
      <tp t="e">
        <v>#N/A</v>
        <stp/>
        <stp>BDH|15897527449089421287</stp>
        <tr r="W81" s="17"/>
        <tr r="T9" s="5"/>
        <tr r="T9" s="9"/>
      </tp>
      <tp t="e">
        <v>#N/A</v>
        <stp/>
        <stp>BDH|17022784690670697612</stp>
        <tr r="O42" s="12"/>
      </tp>
      <tp t="e">
        <v>#N/A</v>
        <stp/>
        <stp>BDH|15195846314296917576</stp>
        <tr r="J7" s="23"/>
      </tp>
      <tp t="e">
        <v>#N/A</v>
        <stp/>
        <stp>BDH|17365155379836416840</stp>
        <tr r="C28" s="21"/>
      </tp>
      <tp t="e">
        <v>#N/A</v>
        <stp/>
        <stp>BDH|10199193691231526633</stp>
        <tr r="L160" s="18"/>
      </tp>
      <tp t="e">
        <v>#N/A</v>
        <stp/>
        <stp>BDH|17811183089872227341</stp>
        <tr r="AA13" s="22"/>
      </tp>
      <tp t="e">
        <v>#N/A</v>
        <stp/>
        <stp>BDH|11735309990435011187</stp>
        <tr r="C67" s="17"/>
      </tp>
      <tp t="e">
        <v>#N/A</v>
        <stp/>
        <stp>BDH|10946056421264379918</stp>
        <tr r="H66" s="12"/>
      </tp>
      <tp t="e">
        <v>#N/A</v>
        <stp/>
        <stp>BDH|17095061964639811750</stp>
        <tr r="G29" s="21"/>
      </tp>
      <tp t="e">
        <v>#N/A</v>
        <stp/>
        <stp>BDH|16756894551887413347</stp>
        <tr r="Y44" s="21"/>
      </tp>
      <tp t="e">
        <v>#N/A</v>
        <stp/>
        <stp>BDH|13831021303039556539</stp>
        <tr r="T148" s="18"/>
      </tp>
      <tp t="e">
        <v>#N/A</v>
        <stp/>
        <stp>BDH|10550315291975316096</stp>
        <tr r="G89" s="17"/>
      </tp>
      <tp t="e">
        <v>#N/A</v>
        <stp/>
        <stp>BDH|16244983800539173948</stp>
        <tr r="U28" s="25"/>
        <tr r="U18" s="27"/>
      </tp>
      <tp t="e">
        <v>#N/A</v>
        <stp/>
        <stp>BDH|15549336868098907781</stp>
        <tr r="C31" s="26"/>
      </tp>
      <tp t="e">
        <v>#N/A</v>
        <stp/>
        <stp>BDH|11998109748133979875</stp>
        <tr r="G101" s="18"/>
      </tp>
      <tp t="e">
        <v>#N/A</v>
        <stp/>
        <stp>BDH|17685531315984629891</stp>
        <tr r="F132" s="18"/>
      </tp>
      <tp t="e">
        <v>#N/A</v>
        <stp/>
        <stp>BDH|12916788494067327498</stp>
        <tr r="Z65" s="21"/>
        <tr r="X23" s="7"/>
      </tp>
      <tp t="e">
        <v>#N/A</v>
        <stp/>
        <stp>BDH|18197669855127521381</stp>
        <tr r="Z58" s="17"/>
      </tp>
      <tp t="e">
        <v>#N/A</v>
        <stp/>
        <stp>BDH|10436813354683661181</stp>
        <tr r="I20" s="18"/>
      </tp>
      <tp t="e">
        <v>#N/A</v>
        <stp/>
        <stp>BDH|11473760573537829961</stp>
        <tr r="Z44" s="21"/>
      </tp>
      <tp t="e">
        <v>#N/A</v>
        <stp/>
        <stp>BDH|14823036044349233625</stp>
        <tr r="Y34" s="26"/>
      </tp>
      <tp t="e">
        <v>#N/A</v>
        <stp/>
        <stp>BDH|15058131103698656396</stp>
        <tr r="R62" s="24"/>
      </tp>
      <tp t="e">
        <v>#N/A</v>
        <stp/>
        <stp>BDH|11924270494523301666</stp>
        <tr r="Z161" s="18"/>
      </tp>
      <tp t="e">
        <v>#N/A</v>
        <stp/>
        <stp>BDH|10153894848550703384</stp>
        <tr r="S158" s="18"/>
      </tp>
      <tp t="e">
        <v>#N/A</v>
        <stp/>
        <stp>BDH|10633240699465739134</stp>
        <tr r="Q20" s="11"/>
      </tp>
      <tp t="e">
        <v>#N/A</v>
        <stp/>
        <stp>BDH|15570186604008581339</stp>
        <tr r="C81" s="18"/>
      </tp>
      <tp t="e">
        <v>#N/A</v>
        <stp/>
        <stp>BDH|18042496342000427700</stp>
        <tr r="G29" s="4"/>
      </tp>
      <tp t="e">
        <v>#N/A</v>
        <stp/>
        <stp>BDH|10866775723819331308</stp>
        <tr r="M72" s="17"/>
        <tr r="M18" s="3"/>
      </tp>
      <tp t="e">
        <v>#N/A</v>
        <stp/>
        <stp>BDH|14456967871384576196</stp>
        <tr r="Y8" s="23"/>
      </tp>
      <tp t="e">
        <v>#N/A</v>
        <stp/>
        <stp>BDH|17168475985865951159</stp>
        <tr r="K14" s="10"/>
      </tp>
      <tp t="e">
        <v>#N/A</v>
        <stp/>
        <stp>BDH|17272744790791124780</stp>
        <tr r="M32" s="22"/>
      </tp>
      <tp t="e">
        <v>#N/A</v>
        <stp/>
        <stp>BDH|10149926559247042452</stp>
        <tr r="L17" s="24"/>
      </tp>
      <tp t="e">
        <v>#N/A</v>
        <stp/>
        <stp>BDH|13208491785613622371</stp>
        <tr r="AA15" s="12"/>
      </tp>
      <tp t="e">
        <v>#N/A</v>
        <stp/>
        <stp>BDH|12359568808710079829</stp>
        <tr r="L14" s="22"/>
      </tp>
      <tp t="e">
        <v>#N/A</v>
        <stp/>
        <stp>BDH|12880523047704609848</stp>
        <tr r="M12" s="10"/>
      </tp>
      <tp t="e">
        <v>#N/A</v>
        <stp/>
        <stp>BDH|11299623226552124889</stp>
        <tr r="I63" s="10"/>
      </tp>
      <tp t="e">
        <v>#N/A</v>
        <stp/>
        <stp>BDH|16378537455400999939</stp>
        <tr r="D14" s="22"/>
      </tp>
      <tp t="e">
        <v>#N/A</v>
        <stp/>
        <stp>BDH|10485379326426827823</stp>
        <tr r="M18" s="12"/>
      </tp>
      <tp t="e">
        <v>#N/A</v>
        <stp/>
        <stp>BDH|11583193659913967930</stp>
        <tr r="L20" s="29"/>
      </tp>
      <tp t="e">
        <v>#N/A</v>
        <stp/>
        <stp>BDH|13740447862566686895</stp>
        <tr r="C26" s="24"/>
      </tp>
      <tp t="e">
        <v>#N/A</v>
        <stp/>
        <stp>BDH|12293020428866685902</stp>
        <tr r="K13" s="24"/>
      </tp>
      <tp t="e">
        <v>#N/A</v>
        <stp/>
        <stp>BDH|11153395732576660828</stp>
        <tr r="Q55" s="24"/>
      </tp>
      <tp t="e">
        <v>#N/A</v>
        <stp/>
        <stp>BDH|13342964818545097136</stp>
        <tr r="O59" s="21"/>
        <tr r="M56" s="11"/>
      </tp>
      <tp t="e">
        <v>#N/A</v>
        <stp/>
        <stp>BDH|12964850984529021468</stp>
        <tr r="U14" s="10"/>
      </tp>
      <tp t="e">
        <v>#N/A</v>
        <stp/>
        <stp>BDH|17208928025630867337</stp>
        <tr r="X61" s="21"/>
      </tp>
      <tp t="e">
        <v>#N/A</v>
        <stp/>
        <stp>BDH|16602836329284139738</stp>
        <tr r="E20" s="27"/>
      </tp>
      <tp t="e">
        <v>#N/A</v>
        <stp/>
        <stp>BDH|17291425106504163891</stp>
        <tr r="E82" s="18"/>
      </tp>
      <tp t="e">
        <v>#N/A</v>
        <stp/>
        <stp>BDH|11984713953745200971</stp>
        <tr r="Q10" s="4"/>
        <tr r="P6" s="16"/>
        <tr r="S6" s="3"/>
        <tr r="Q6" s="11"/>
      </tp>
      <tp t="e">
        <v>#N/A</v>
        <stp/>
        <stp>BDH|17425191493876016607</stp>
        <tr r="W9" s="11"/>
      </tp>
      <tp t="e">
        <v>#N/A</v>
        <stp/>
        <stp>BDH|10443874847827974433</stp>
        <tr r="E22" s="25"/>
        <tr r="E12" s="27"/>
      </tp>
      <tp t="e">
        <v>#N/A</v>
        <stp/>
        <stp>BDH|12250945350693131299</stp>
        <tr r="Z80" s="18"/>
      </tp>
      <tp t="e">
        <v>#N/A</v>
        <stp/>
        <stp>BDH|17158958595240718882</stp>
        <tr r="H73" s="24"/>
      </tp>
      <tp t="e">
        <v>#N/A</v>
        <stp/>
        <stp>BDH|13408084081773370707</stp>
        <tr r="U75" s="18"/>
      </tp>
      <tp t="e">
        <v>#N/A</v>
        <stp/>
        <stp>BDH|10409148303578565688</stp>
        <tr r="D54" s="17"/>
      </tp>
      <tp t="e">
        <v>#N/A</v>
        <stp/>
        <stp>BDH|16036541284310740496</stp>
        <tr r="R29" s="10"/>
        <tr r="T34" s="13"/>
      </tp>
      <tp t="e">
        <v>#N/A</v>
        <stp/>
        <stp>BDH|13837407057229107405</stp>
        <tr r="R27" s="10"/>
        <tr r="T32" s="13"/>
      </tp>
      <tp t="e">
        <v>#N/A</v>
        <stp/>
        <stp>BDH|12308267898636138023</stp>
        <tr r="R162" s="18"/>
      </tp>
      <tp t="e">
        <v>#N/A</v>
        <stp/>
        <stp>BDH|15627815800557011592</stp>
        <tr r="H42" s="17"/>
      </tp>
      <tp t="e">
        <v>#N/A</v>
        <stp/>
        <stp>BDH|10877896931540822466</stp>
        <tr r="E63" s="21"/>
      </tp>
      <tp t="e">
        <v>#N/A</v>
        <stp/>
        <stp>BDH|13701506191469058980</stp>
        <tr r="D24" s="21"/>
      </tp>
      <tp t="e">
        <v>#N/A</v>
        <stp/>
        <stp>BDH|10900271012184330815</stp>
        <tr r="D18" s="6"/>
      </tp>
      <tp t="e">
        <v>#N/A</v>
        <stp/>
        <stp>BDH|12127817308122761717</stp>
        <tr r="AA24" s="12"/>
      </tp>
      <tp t="e">
        <v>#N/A</v>
        <stp/>
        <stp>BDH|17144399542859687629</stp>
        <tr r="M24" s="25"/>
        <tr r="M14" s="27"/>
      </tp>
      <tp t="e">
        <v>#N/A</v>
        <stp/>
        <stp>BDH|17237916413103621382</stp>
        <tr r="M69" s="12"/>
      </tp>
      <tp t="e">
        <v>#N/A</v>
        <stp/>
        <stp>BDH|18152285609144972172</stp>
        <tr r="J41" s="24"/>
      </tp>
      <tp t="e">
        <v>#N/A</v>
        <stp/>
        <stp>BDH|13276317013759287434</stp>
        <tr r="W79" s="18"/>
      </tp>
      <tp t="e">
        <v>#N/A</v>
        <stp/>
        <stp>BDH|18395436016448710901</stp>
        <tr r="R9" s="11"/>
      </tp>
      <tp t="e">
        <v>#N/A</v>
        <stp/>
        <stp>BDH|15475770949469294390</stp>
        <tr r="L36" s="17"/>
      </tp>
      <tp t="e">
        <v>#N/A</v>
        <stp/>
        <stp>BDH|17494130309113823973</stp>
        <tr r="O31" s="22"/>
      </tp>
      <tp t="e">
        <v>#N/A</v>
        <stp/>
        <stp>BDH|16659929580588172347</stp>
        <tr r="Z68" s="18"/>
      </tp>
      <tp t="e">
        <v>#N/A</v>
        <stp/>
        <stp>BDH|11289747383104514617</stp>
        <tr r="T64" s="18"/>
      </tp>
      <tp t="e">
        <v>#N/A</v>
        <stp/>
        <stp>BDH|18124336331391317519</stp>
        <tr r="J27" s="17"/>
      </tp>
      <tp t="e">
        <v>#N/A</v>
        <stp/>
        <stp>BDH|10967695318119152288</stp>
        <tr r="M73" s="17"/>
        <tr r="J8" s="5"/>
        <tr r="J8" s="9"/>
      </tp>
      <tp t="e">
        <v>#N/A</v>
        <stp/>
        <stp>BDH|10270457590815677400</stp>
        <tr r="M31" s="12"/>
      </tp>
      <tp t="e">
        <v>#N/A</v>
        <stp/>
        <stp>BDH|14700440074892413927</stp>
        <tr r="T19" s="26"/>
      </tp>
      <tp t="e">
        <v>#N/A</v>
        <stp/>
        <stp>BDH|16110897538889328822</stp>
        <tr r="Y36" s="21"/>
      </tp>
      <tp t="e">
        <v>#N/A</v>
        <stp/>
        <stp>BDH|18096329636145063159</stp>
        <tr r="O22" s="4"/>
      </tp>
      <tp t="e">
        <v>#N/A</v>
        <stp/>
        <stp>BDH|12887888943633680143</stp>
        <tr r="M130" s="18"/>
      </tp>
      <tp t="e">
        <v>#N/A</v>
        <stp/>
        <stp>BDH|17469524703176462808</stp>
        <tr r="E74" s="17"/>
      </tp>
      <tp t="e">
        <v>#N/A</v>
        <stp/>
        <stp>BDH|18241853353561182846</stp>
        <tr r="AA20" s="29"/>
      </tp>
      <tp t="e">
        <v>#N/A</v>
        <stp/>
        <stp>BDH|14866532926228517794</stp>
        <tr r="T22" s="25"/>
        <tr r="T12" s="27"/>
      </tp>
      <tp t="e">
        <v>#N/A</v>
        <stp/>
        <stp>BDH|17734300796471861082</stp>
        <tr r="O36" s="21"/>
      </tp>
      <tp t="e">
        <v>#N/A</v>
        <stp/>
        <stp>BDH|14020996759796258235</stp>
        <tr r="J39" s="10"/>
        <tr r="J33" s="11"/>
      </tp>
      <tp t="e">
        <v>#N/A</v>
        <stp/>
        <stp>BDH|11248657512063759935</stp>
        <tr r="N49" s="18"/>
      </tp>
      <tp t="e">
        <v>#N/A</v>
        <stp/>
        <stp>BDH|15590119769396993858</stp>
        <tr r="E32" s="34"/>
      </tp>
      <tp t="e">
        <v>#N/A</v>
        <stp/>
        <stp>BDH|16277326143995123838</stp>
        <tr r="V33" s="12"/>
      </tp>
      <tp t="e">
        <v>#N/A</v>
        <stp/>
        <stp>BDH|15737417584922769749</stp>
        <tr r="U47" s="24"/>
      </tp>
      <tp t="e">
        <v>#N/A</v>
        <stp/>
        <stp>BDH|10140331394306577020</stp>
        <tr r="S18" s="24"/>
      </tp>
      <tp t="e">
        <v>#N/A</v>
        <stp/>
        <stp>BDH|10720280781434640293</stp>
        <tr r="U14" s="14"/>
      </tp>
      <tp t="e">
        <v>#N/A</v>
        <stp/>
        <stp>BDH|10876908942693994221</stp>
        <tr r="P7" s="30"/>
      </tp>
      <tp t="e">
        <v>#N/A</v>
        <stp/>
        <stp>BDH|13714998469403395354</stp>
        <tr r="R17" s="5"/>
        <tr r="R24" s="6"/>
      </tp>
      <tp t="e">
        <v>#N/A</v>
        <stp/>
        <stp>BDH|14287920774795385361</stp>
        <tr r="H47" s="21"/>
      </tp>
      <tp t="e">
        <v>#N/A</v>
        <stp/>
        <stp>BDH|14466278899572340189</stp>
        <tr r="E64" s="12"/>
      </tp>
      <tp t="e">
        <v>#N/A</v>
        <stp/>
        <stp>BDH|17507817917442122037</stp>
        <tr r="S30" s="29"/>
        <tr r="S8" s="29"/>
      </tp>
      <tp t="e">
        <v>#N/A</v>
        <stp/>
        <stp>BDH|14532562818269335595</stp>
        <tr r="U9" s="11"/>
      </tp>
      <tp t="e">
        <v>#N/A</v>
        <stp/>
        <stp>BDH|13767468081046299532</stp>
        <tr r="F10" s="17"/>
      </tp>
      <tp t="e">
        <v>#N/A</v>
        <stp/>
        <stp>BDH|15797867517885707502</stp>
        <tr r="L72" s="17"/>
        <tr r="L18" s="3"/>
      </tp>
      <tp t="e">
        <v>#N/A</v>
        <stp/>
        <stp>BDH|18031229159980977330</stp>
        <tr r="H22" s="30"/>
        <tr r="H25" s="23"/>
      </tp>
      <tp t="e">
        <v>#N/A</v>
        <stp/>
        <stp>BDH|13179219607858152577</stp>
        <tr r="J13" s="5"/>
      </tp>
      <tp t="e">
        <v>#N/A</v>
        <stp/>
        <stp>BDH|11765559099078354981</stp>
        <tr r="O10" s="26"/>
      </tp>
      <tp t="e">
        <v>#N/A</v>
        <stp/>
        <stp>BDH|12808579206059009292</stp>
        <tr r="N25" s="34"/>
      </tp>
      <tp t="e">
        <v>#N/A</v>
        <stp/>
        <stp>BDH|13047636695880335053</stp>
        <tr r="N28" s="12"/>
      </tp>
      <tp t="e">
        <v>#N/A</v>
        <stp/>
        <stp>BDH|17749278751728812490</stp>
        <tr r="K82" s="17"/>
        <tr r="K19" s="3"/>
      </tp>
      <tp t="e">
        <v>#N/A</v>
        <stp/>
        <stp>BDH|18023131452944239433</stp>
        <tr r="AA35" s="26"/>
      </tp>
      <tp t="e">
        <v>#N/A</v>
        <stp/>
        <stp>BDH|15578778050668308313</stp>
        <tr r="W99" s="18"/>
      </tp>
      <tp t="e">
        <v>#N/A</v>
        <stp/>
        <stp>BDH|12727927768531497090</stp>
        <tr r="J55" s="12"/>
      </tp>
      <tp t="e">
        <v>#N/A</v>
        <stp/>
        <stp>BDH|11641695742916881959</stp>
        <tr r="G32" s="17"/>
      </tp>
      <tp t="e">
        <v>#N/A</v>
        <stp/>
        <stp>BDH|16323460767901047926</stp>
        <tr r="AA17" s="23"/>
      </tp>
      <tp t="e">
        <v>#N/A</v>
        <stp/>
        <stp>BDH|14462052299694093583</stp>
        <tr r="L66" s="18"/>
      </tp>
      <tp t="e">
        <v>#N/A</v>
        <stp/>
        <stp>BDH|17573368980286675652</stp>
        <tr r="F19" s="6"/>
      </tp>
      <tp t="e">
        <v>#N/A</v>
        <stp/>
        <stp>BDH|10234775565709994497</stp>
        <tr r="F13" s="13"/>
      </tp>
      <tp t="e">
        <v>#N/A</v>
        <stp/>
        <stp>BDH|14440078487542350273</stp>
        <tr r="Y36" s="17"/>
      </tp>
      <tp t="e">
        <v>#N/A</v>
        <stp/>
        <stp>BDH|13352870407692340509</stp>
        <tr r="U24" s="20"/>
      </tp>
      <tp t="e">
        <v>#N/A</v>
        <stp/>
        <stp>BDH|15450840875663375569</stp>
        <tr r="K51" s="12"/>
      </tp>
      <tp t="e">
        <v>#N/A</v>
        <stp/>
        <stp>BDH|14876704218119360739</stp>
        <tr r="O20" s="22"/>
      </tp>
      <tp t="e">
        <v>#N/A</v>
        <stp/>
        <stp>BDH|13920799082629015921</stp>
        <tr r="W17" s="12"/>
      </tp>
      <tp t="e">
        <v>#N/A</v>
        <stp/>
        <stp>BDH|11811296206869038670</stp>
        <tr r="F54" s="13"/>
      </tp>
      <tp t="e">
        <v>#N/A</v>
        <stp/>
        <stp>BDH|16726471112719486660</stp>
        <tr r="S43" s="12"/>
      </tp>
      <tp t="e">
        <v>#N/A</v>
        <stp/>
        <stp>BDH|12725141505517738816</stp>
        <tr r="P13" s="10"/>
      </tp>
      <tp t="e">
        <v>#N/A</v>
        <stp/>
        <stp>BDH|12031516771458874485</stp>
        <tr r="P29" s="9"/>
      </tp>
      <tp t="e">
        <v>#N/A</v>
        <stp/>
        <stp>BDH|11812709482446864429</stp>
        <tr r="F43" s="4"/>
      </tp>
      <tp t="e">
        <v>#N/A</v>
        <stp/>
        <stp>BDH|18363104033363809580</stp>
        <tr r="Y146" s="18"/>
      </tp>
      <tp t="e">
        <v>#N/A</v>
        <stp/>
        <stp>BDH|18252798825362675388</stp>
        <tr r="U138" s="18"/>
      </tp>
      <tp t="e">
        <v>#N/A</v>
        <stp/>
        <stp>BDH|13169866410705016377</stp>
        <tr r="H41" s="17"/>
      </tp>
      <tp t="e">
        <v>#N/A</v>
        <stp/>
        <stp>BDH|11061483590555964517</stp>
        <tr r="Z25" s="24"/>
      </tp>
      <tp t="e">
        <v>#N/A</v>
        <stp/>
        <stp>BDH|11162983254268850953</stp>
        <tr r="J22" s="18"/>
      </tp>
      <tp t="e">
        <v>#N/A</v>
        <stp/>
        <stp>BDH|10631032668363807952</stp>
        <tr r="E37" s="34"/>
      </tp>
      <tp t="e">
        <v>#N/A</v>
        <stp/>
        <stp>BDH|15679416387303256620</stp>
        <tr r="T54" s="18"/>
      </tp>
      <tp t="e">
        <v>#N/A</v>
        <stp/>
        <stp>BDH|17059023990881414368</stp>
        <tr r="E66" s="18"/>
      </tp>
      <tp t="e">
        <v>#N/A</v>
        <stp/>
        <stp>BDH|16668515097140902695</stp>
        <tr r="I15" s="29"/>
        <tr r="I35" s="29"/>
      </tp>
      <tp t="e">
        <v>#N/A</v>
        <stp/>
        <stp>BDH|13019157122445267953</stp>
        <tr r="G41" s="10"/>
        <tr r="G35" s="11"/>
      </tp>
      <tp t="e">
        <v>#N/A</v>
        <stp/>
        <stp>BDH|13136353643230375842</stp>
        <tr r="J59" s="12"/>
      </tp>
      <tp t="e">
        <v>#N/A</v>
        <stp/>
        <stp>BDH|17313517327068768426</stp>
        <tr r="R38" s="6"/>
      </tp>
      <tp t="e">
        <v>#N/A</v>
        <stp/>
        <stp>BDH|11212579283066755618</stp>
        <tr r="AA91" s="17"/>
      </tp>
      <tp t="e">
        <v>#N/A</v>
        <stp/>
        <stp>BDH|14555305500309318266</stp>
        <tr r="G13" s="8"/>
      </tp>
      <tp t="e">
        <v>#N/A</v>
        <stp/>
        <stp>BDH|11550946325417755136</stp>
        <tr r="I34" s="26"/>
      </tp>
      <tp t="e">
        <v>#N/A</v>
        <stp/>
        <stp>BDH|18027490203435843519</stp>
        <tr r="L27" s="7"/>
      </tp>
      <tp t="e">
        <v>#N/A</v>
        <stp/>
        <stp>BDH|14219290528791185915</stp>
        <tr r="X54" s="21"/>
      </tp>
      <tp t="e">
        <v>#N/A</v>
        <stp/>
        <stp>BDH|16591101563885325868</stp>
        <tr r="S15" s="12"/>
      </tp>
      <tp t="e">
        <v>#N/A</v>
        <stp/>
        <stp>BDH|10554828401626349266</stp>
        <tr r="K40" s="18"/>
      </tp>
      <tp t="e">
        <v>#N/A</v>
        <stp/>
        <stp>BDH|13654208090710605433</stp>
        <tr r="M14" s="28"/>
      </tp>
      <tp t="e">
        <v>#N/A</v>
        <stp/>
        <stp>BDH|14325754202458588722</stp>
        <tr r="T12" s="17"/>
      </tp>
      <tp t="e">
        <v>#N/A</v>
        <stp/>
        <stp>BDH|12442468742106743841</stp>
        <tr r="Q31" s="21"/>
      </tp>
      <tp t="e">
        <v>#N/A</v>
        <stp/>
        <stp>BDH|14283163709180854963</stp>
        <tr r="Q46" s="21"/>
      </tp>
      <tp t="e">
        <v>#N/A</v>
        <stp/>
        <stp>BDH|18248064362001090355</stp>
        <tr r="L68" s="17"/>
      </tp>
      <tp t="e">
        <v>#N/A</v>
        <stp/>
        <stp>BDH|16859962681119524298</stp>
        <tr r="AA18" s="23"/>
      </tp>
      <tp t="e">
        <v>#N/A</v>
        <stp/>
        <stp>BDH|17775040268835932810</stp>
        <tr r="K13" s="14"/>
      </tp>
      <tp t="e">
        <v>#N/A</v>
        <stp/>
        <stp>BDH|16108166445559397629</stp>
        <tr r="X21" s="2"/>
      </tp>
      <tp t="e">
        <v>#N/A</v>
        <stp/>
        <stp>BDH|12378059183981759711</stp>
        <tr r="E12" s="24"/>
      </tp>
      <tp t="e">
        <v>#N/A</v>
        <stp/>
        <stp>BDH|17382115826700612818</stp>
        <tr r="C31" s="24"/>
      </tp>
      <tp t="e">
        <v>#N/A</v>
        <stp/>
        <stp>BDH|13662277915079167564</stp>
        <tr r="O67" s="12"/>
      </tp>
      <tp t="e">
        <v>#N/A</v>
        <stp/>
        <stp>BDH|15668876923542515147</stp>
        <tr r="O76" s="18"/>
      </tp>
      <tp t="e">
        <v>#N/A</v>
        <stp/>
        <stp>BDH|14820564998663401712</stp>
        <tr r="M24" s="22"/>
      </tp>
      <tp t="e">
        <v>#N/A</v>
        <stp/>
        <stp>BDH|11370581654779958456</stp>
        <tr r="G16" s="30"/>
      </tp>
      <tp t="e">
        <v>#N/A</v>
        <stp/>
        <stp>BDH|15772600381330509706</stp>
        <tr r="N22" s="21"/>
      </tp>
      <tp t="e">
        <v>#N/A</v>
        <stp/>
        <stp>BDH|11819558014781950839</stp>
        <tr r="E133" s="18"/>
      </tp>
      <tp t="e">
        <v>#N/A</v>
        <stp/>
        <stp>BDH|12756426764209190538</stp>
        <tr r="P38" s="10"/>
        <tr r="P32" s="11"/>
      </tp>
      <tp t="e">
        <v>#N/A</v>
        <stp/>
        <stp>BDH|14050610324328010467</stp>
        <tr r="Y52" s="24"/>
      </tp>
      <tp t="e">
        <v>#N/A</v>
        <stp/>
        <stp>BDH|11966665068388041543</stp>
        <tr r="X61" s="12"/>
      </tp>
      <tp t="e">
        <v>#N/A</v>
        <stp/>
        <stp>BDH|16576764155868443018</stp>
        <tr r="F23" s="18"/>
      </tp>
      <tp t="e">
        <v>#N/A</v>
        <stp/>
        <stp>BDH|14755127670698034662</stp>
        <tr r="U16" s="11"/>
      </tp>
      <tp t="e">
        <v>#N/A</v>
        <stp/>
        <stp>BDH|10915827436301847664</stp>
        <tr r="P31" s="25"/>
      </tp>
      <tp t="e">
        <v>#N/A</v>
        <stp/>
        <stp>BDH|12328994678119302923</stp>
        <tr r="Y152" s="18"/>
      </tp>
      <tp t="e">
        <v>#N/A</v>
        <stp/>
        <stp>BDH|17952150027111979917</stp>
        <tr r="V24" s="24"/>
      </tp>
      <tp t="e">
        <v>#N/A</v>
        <stp/>
        <stp>BDH|10695751322779036028</stp>
        <tr r="V66" s="18"/>
      </tp>
      <tp t="e">
        <v>#N/A</v>
        <stp/>
        <stp>BDH|10280657227071641940</stp>
        <tr r="X30" s="18"/>
      </tp>
      <tp t="e">
        <v>#N/A</v>
        <stp/>
        <stp>BDH|15910521798266206339</stp>
        <tr r="AA65" s="17"/>
      </tp>
      <tp t="e">
        <v>#N/A</v>
        <stp/>
        <stp>BDH|17315108155626158950</stp>
        <tr r="M18" s="14"/>
      </tp>
      <tp t="e">
        <v>#N/A</v>
        <stp/>
        <stp>BDH|11207785638258791174</stp>
        <tr r="P129" s="18"/>
      </tp>
      <tp t="e">
        <v>#N/A</v>
        <stp/>
        <stp>BDH|10333824915960223545</stp>
        <tr r="Y68" s="12"/>
      </tp>
      <tp t="e">
        <v>#N/A</v>
        <stp/>
        <stp>BDH|10236232687547156158</stp>
        <tr r="Y65" s="17"/>
      </tp>
      <tp t="e">
        <v>#N/A</v>
        <stp/>
        <stp>BDH|16571517705389036638</stp>
        <tr r="W14" s="17"/>
        <tr r="W17" s="28"/>
      </tp>
      <tp t="e">
        <v>#N/A</v>
        <stp/>
        <stp>BDH|15500323338349812059</stp>
        <tr r="C14" s="8"/>
      </tp>
      <tp t="e">
        <v>#N/A</v>
        <stp/>
        <stp>BDH|18350509073470361616</stp>
        <tr r="L78" s="12"/>
      </tp>
      <tp t="e">
        <v>#N/A</v>
        <stp/>
        <stp>BDH|13618962346346160459</stp>
        <tr r="E22" s="24"/>
      </tp>
      <tp t="e">
        <v>#N/A</v>
        <stp/>
        <stp>BDH|15193415085231199468</stp>
        <tr r="Z46" s="12"/>
      </tp>
      <tp t="e">
        <v>#N/A</v>
        <stp/>
        <stp>BDH|12057761114450970898</stp>
        <tr r="D17" s="6"/>
      </tp>
      <tp t="e">
        <v>#N/A</v>
        <stp/>
        <stp>BDH|13790873812031269723</stp>
        <tr r="Z69" s="12"/>
      </tp>
      <tp t="e">
        <v>#N/A</v>
        <stp/>
        <stp>BDH|10236614925298439008</stp>
        <tr r="Q107" s="18"/>
        <tr r="O7" s="20"/>
      </tp>
      <tp t="e">
        <v>#N/A</v>
        <stp/>
        <stp>BDH|14847979105123081289</stp>
        <tr r="S102" s="18"/>
      </tp>
      <tp t="e">
        <v>#N/A</v>
        <stp/>
        <stp>BDH|12932901728853356602</stp>
        <tr r="J72" s="10"/>
        <tr r="J66" s="11"/>
      </tp>
      <tp t="e">
        <v>#N/A</v>
        <stp/>
        <stp>BDH|11563361300147948983</stp>
        <tr r="F35" s="12"/>
      </tp>
      <tp t="e">
        <v>#N/A</v>
        <stp/>
        <stp>BDH|18354152702667309250</stp>
        <tr r="I56" s="18"/>
      </tp>
      <tp t="e">
        <v>#N/A</v>
        <stp/>
        <stp>BDH|13818867305650147785</stp>
        <tr r="R49" s="18"/>
      </tp>
      <tp t="e">
        <v>#N/A</v>
        <stp/>
        <stp>BDH|12628271197836293362</stp>
        <tr r="Y38" s="18"/>
      </tp>
      <tp t="e">
        <v>#N/A</v>
        <stp/>
        <stp>BDH|15889848272381571793</stp>
        <tr r="J12" s="14"/>
      </tp>
      <tp t="e">
        <v>#N/A</v>
        <stp/>
        <stp>BDH|12065432472385154824</stp>
        <tr r="I32" s="22"/>
      </tp>
      <tp t="e">
        <v>#N/A</v>
        <stp/>
        <stp>BDH|10828169485411982401</stp>
        <tr r="F24" s="13"/>
      </tp>
      <tp t="e">
        <v>#N/A</v>
        <stp/>
        <stp>BDH|17018671238586977844</stp>
        <tr r="J87" s="17"/>
        <tr r="J20" s="3"/>
        <tr r="H6" s="7"/>
      </tp>
      <tp t="e">
        <v>#N/A</v>
        <stp/>
        <stp>BDH|11414821473596185468</stp>
        <tr r="G14" s="4"/>
      </tp>
      <tp t="e">
        <v>#N/A</v>
        <stp/>
        <stp>BDH|16774407550392606936</stp>
        <tr r="E22" s="18"/>
      </tp>
      <tp t="e">
        <v>#N/A</v>
        <stp/>
        <stp>BDH|14378416333597623853</stp>
        <tr r="S153" s="18"/>
      </tp>
      <tp t="e">
        <v>#N/A</v>
        <stp/>
        <stp>BDH|13866634688764426552</stp>
        <tr r="H46" s="10"/>
        <tr r="H40" s="11"/>
      </tp>
      <tp t="e">
        <v>#N/A</v>
        <stp/>
        <stp>BDH|12484019699685926271</stp>
        <tr r="J9" s="28"/>
      </tp>
      <tp t="e">
        <v>#N/A</v>
        <stp/>
        <stp>BDH|13645993708604217274</stp>
        <tr r="D10" s="6"/>
      </tp>
      <tp t="e">
        <v>#N/A</v>
        <stp/>
        <stp>BDH|13917522962764829832</stp>
        <tr r="M26" s="6"/>
      </tp>
      <tp t="e">
        <v>#N/A</v>
        <stp/>
        <stp>BDH|12889375628707206801</stp>
        <tr r="R41" s="22"/>
      </tp>
      <tp t="e">
        <v>#N/A</v>
        <stp/>
        <stp>BDH|17651808777925691126</stp>
        <tr r="D21" s="18"/>
      </tp>
      <tp t="e">
        <v>#N/A</v>
        <stp/>
        <stp>BDH|17236460400147985881</stp>
        <tr r="D31" s="17"/>
      </tp>
      <tp t="e">
        <v>#N/A</v>
        <stp/>
        <stp>BDH|15911431365699847228</stp>
        <tr r="T39" s="12"/>
      </tp>
      <tp t="e">
        <v>#N/A</v>
        <stp/>
        <stp>BDH|18088288852892636191</stp>
        <tr r="N26" s="25"/>
        <tr r="N16" s="27"/>
      </tp>
      <tp t="e">
        <v>#N/A</v>
        <stp/>
        <stp>BDH|16479140265128199515</stp>
        <tr r="N12" s="13"/>
      </tp>
      <tp t="e">
        <v>#N/A</v>
        <stp/>
        <stp>BDH|10933250396915904263</stp>
        <tr r="AA24" s="25"/>
        <tr r="AA14" s="27"/>
      </tp>
      <tp t="e">
        <v>#N/A</v>
        <stp/>
        <stp>BDH|18396717727612140315</stp>
        <tr r="W87" s="17"/>
        <tr r="W20" s="3"/>
        <tr r="U6" s="7"/>
      </tp>
      <tp t="e">
        <v>#N/A</v>
        <stp/>
        <stp>BDH|13833210060233983850</stp>
        <tr r="V59" s="17"/>
      </tp>
      <tp t="e">
        <v>#N/A</v>
        <stp/>
        <stp>BDH|16310235527038185235</stp>
        <tr r="E51" s="24"/>
      </tp>
      <tp t="e">
        <v>#N/A</v>
        <stp/>
        <stp>BDH|13955194627085113938</stp>
        <tr r="I11" s="7"/>
      </tp>
      <tp t="e">
        <v>#N/A</v>
        <stp/>
        <stp>BDH|13821471915849931367</stp>
        <tr r="AA45" s="12"/>
      </tp>
      <tp t="e">
        <v>#N/A</v>
        <stp/>
        <stp>BDH|15869261205898907370</stp>
        <tr r="V67" s="18"/>
      </tp>
      <tp t="e">
        <v>#N/A</v>
        <stp/>
        <stp>BDH|12680531215258477213</stp>
        <tr r="C32" s="12"/>
      </tp>
      <tp t="e">
        <v>#N/A</v>
        <stp/>
        <stp>BDH|10474107026778480730</stp>
        <tr r="K58" s="21"/>
        <tr r="K33" s="25"/>
        <tr r="I31" s="4"/>
        <tr r="I55" s="11"/>
      </tp>
      <tp t="e">
        <v>#N/A</v>
        <stp/>
        <stp>BDH|15592055004500827995</stp>
        <tr r="F19" s="14"/>
      </tp>
      <tp t="e">
        <v>#N/A</v>
        <stp/>
        <stp>BDH|13007965531653488666</stp>
        <tr r="W31" s="26"/>
      </tp>
      <tp t="e">
        <v>#N/A</v>
        <stp/>
        <stp>BDH|10420959706476610343</stp>
        <tr r="W42" s="10"/>
        <tr r="W36" s="11"/>
      </tp>
      <tp t="e">
        <v>#N/A</v>
        <stp/>
        <stp>BDH|14332346064948769516</stp>
        <tr r="C40" s="18"/>
      </tp>
      <tp t="e">
        <v>#N/A</v>
        <stp/>
        <stp>BDH|15987191062139226756</stp>
        <tr r="E161" s="18"/>
      </tp>
      <tp t="e">
        <v>#N/A</v>
        <stp/>
        <stp>BDH|17017029571279584531</stp>
        <tr r="W27" s="21"/>
      </tp>
      <tp t="e">
        <v>#N/A</v>
        <stp/>
        <stp>BDH|13800351291083979605</stp>
        <tr r="K42" s="34"/>
      </tp>
      <tp t="e">
        <v>#N/A</v>
        <stp/>
        <stp>BDH|12600292505179676596</stp>
        <tr r="X65" s="17"/>
      </tp>
      <tp t="e">
        <v>#N/A</v>
        <stp/>
        <stp>BDH|12696967063772685303</stp>
        <tr r="V9" s="21"/>
      </tp>
      <tp t="e">
        <v>#N/A</v>
        <stp/>
        <stp>BDH|16786814113974838786</stp>
        <tr r="K15" s="13"/>
      </tp>
      <tp t="e">
        <v>#N/A</v>
        <stp/>
        <stp>BDH|14659097441404308886</stp>
        <tr r="Z7" s="24"/>
      </tp>
      <tp t="e">
        <v>#N/A</v>
        <stp/>
        <stp>BDH|15705767496045114236</stp>
        <tr r="O11" s="17"/>
      </tp>
      <tp t="e">
        <v>#N/A</v>
        <stp/>
        <stp>BDH|14318809226140362238</stp>
        <tr r="L111" s="18"/>
        <tr r="J12" s="20"/>
      </tp>
      <tp t="e">
        <v>#N/A</v>
        <stp/>
        <stp>BDH|17430505731504622966</stp>
        <tr r="S28" s="22"/>
      </tp>
      <tp t="e">
        <v>#N/A</v>
        <stp/>
        <stp>BDH|17533565497813282431</stp>
        <tr r="D22" s="7"/>
      </tp>
      <tp t="e">
        <v>#N/A</v>
        <stp/>
        <stp>BDH|16428758893530497433</stp>
        <tr r="M21" s="27"/>
      </tp>
      <tp t="e">
        <v>#N/A</v>
        <stp/>
        <stp>BDH|12466717045448582508</stp>
        <tr r="H9" s="26"/>
      </tp>
      <tp t="e">
        <v>#N/A</v>
        <stp/>
        <stp>BDH|13434732461607229911</stp>
        <tr r="I41" s="17"/>
      </tp>
      <tp t="e">
        <v>#N/A</v>
        <stp/>
        <stp>BDH|16591431789986239086</stp>
        <tr r="X9" s="2"/>
        <tr r="Z8" s="25"/>
        <tr r="W10" s="5"/>
      </tp>
      <tp t="e">
        <v>#N/A</v>
        <stp/>
        <stp>BDH|13213754630002433962</stp>
        <tr r="Z14" s="25"/>
      </tp>
      <tp t="e">
        <v>#N/A</v>
        <stp/>
        <stp>BDH|14748101737883291970</stp>
        <tr r="H56" s="10"/>
        <tr r="H50" s="11"/>
        <tr r="H18" s="7"/>
        <tr r="J52" s="13"/>
      </tp>
      <tp t="e">
        <v>#N/A</v>
        <stp/>
        <stp>BDH|15342414110054466832</stp>
        <tr r="M28" s="4"/>
      </tp>
      <tp t="e">
        <v>#N/A</v>
        <stp/>
        <stp>BDH|10577525785001605009</stp>
        <tr r="C43" s="22"/>
      </tp>
      <tp t="e">
        <v>#N/A</v>
        <stp/>
        <stp>BDH|16585724660249723247</stp>
        <tr r="H46" s="4"/>
        <tr r="H24" s="10"/>
        <tr r="J35" s="13"/>
      </tp>
      <tp t="e">
        <v>#N/A</v>
        <stp/>
        <stp>BDH|18128848245158779037</stp>
        <tr r="D148" s="18"/>
      </tp>
      <tp t="e">
        <v>#N/A</v>
        <stp/>
        <stp>BDH|10677660334321794876</stp>
        <tr r="R88" s="17"/>
      </tp>
      <tp t="e">
        <v>#N/A</v>
        <stp/>
        <stp>BDH|17868408381133904445</stp>
        <tr r="R59" s="12"/>
      </tp>
      <tp t="e">
        <v>#N/A</v>
        <stp/>
        <stp>BDH|17815492486660269719</stp>
        <tr r="J36" s="34"/>
      </tp>
      <tp t="e">
        <v>#N/A</v>
        <stp/>
        <stp>BDH|14778319026060619925</stp>
        <tr r="AA63" s="21"/>
      </tp>
      <tp t="e">
        <v>#N/A</v>
        <stp/>
        <stp>BDH|11073607624931867885</stp>
        <tr r="K43" s="24"/>
      </tp>
      <tp t="e">
        <v>#N/A</v>
        <stp/>
        <stp>BDH|17181807672353033775</stp>
        <tr r="S7" s="10"/>
      </tp>
      <tp t="e">
        <v>#N/A</v>
        <stp/>
        <stp>BDH|15030218236699277113</stp>
        <tr r="H34" s="12"/>
      </tp>
      <tp t="e">
        <v>#N/A</v>
        <stp/>
        <stp>BDH|14684914723221608267</stp>
        <tr r="G21" s="5"/>
      </tp>
      <tp t="e">
        <v>#N/A</v>
        <stp/>
        <stp>BDH|14347825234755062619</stp>
        <tr r="C26" s="18"/>
      </tp>
      <tp t="e">
        <v>#N/A</v>
        <stp/>
        <stp>BDH|10881141929666831994</stp>
        <tr r="T38" s="10"/>
        <tr r="T32" s="11"/>
      </tp>
      <tp t="e">
        <v>#N/A</v>
        <stp/>
        <stp>BDH|13407798682638245895</stp>
        <tr r="G143" s="18"/>
      </tp>
      <tp t="e">
        <v>#N/A</v>
        <stp/>
        <stp>BDH|17516618629078851713</stp>
        <tr r="F151" s="18"/>
      </tp>
      <tp t="e">
        <v>#N/A</v>
        <stp/>
        <stp>BDH|16372351935899202351</stp>
        <tr r="V135" s="18"/>
      </tp>
      <tp t="e">
        <v>#N/A</v>
        <stp/>
        <stp>BDH|17494833664883786604</stp>
        <tr r="S50" s="13"/>
      </tp>
      <tp t="e">
        <v>#N/A</v>
        <stp/>
        <stp>BDH|12146611197788372908</stp>
        <tr r="U8" s="11"/>
      </tp>
      <tp t="e">
        <v>#N/A</v>
        <stp/>
        <stp>BDH|14595081484568992849</stp>
        <tr r="U40" s="21"/>
      </tp>
      <tp t="e">
        <v>#N/A</v>
        <stp/>
        <stp>BDH|17524851344875714277</stp>
        <tr r="P21" s="4"/>
      </tp>
      <tp t="e">
        <v>#N/A</v>
        <stp/>
        <stp>BDH|17707197481930230290</stp>
        <tr r="F113" s="18"/>
        <tr r="D14" s="20"/>
      </tp>
      <tp t="e">
        <v>#N/A</v>
        <stp/>
        <stp>BDH|12389022365629953195</stp>
        <tr r="N137" s="18"/>
      </tp>
      <tp t="e">
        <v>#N/A</v>
        <stp/>
        <stp>BDH|18192143942997286617</stp>
        <tr r="F73" s="18"/>
      </tp>
      <tp t="e">
        <v>#N/A</v>
        <stp/>
        <stp>BDH|12905952176870711097</stp>
        <tr r="D51" s="24"/>
      </tp>
      <tp t="e">
        <v>#N/A</v>
        <stp/>
        <stp>BDH|14555128795910348053</stp>
        <tr r="Z75" s="18"/>
      </tp>
      <tp t="e">
        <v>#N/A</v>
        <stp/>
        <stp>BDH|14483476955711631849</stp>
        <tr r="D57" s="24"/>
      </tp>
      <tp t="e">
        <v>#N/A</v>
        <stp/>
        <stp>BDH|12726702433803623969</stp>
        <tr r="I14" s="4"/>
      </tp>
      <tp t="e">
        <v>#N/A</v>
        <stp/>
        <stp>BDH|16420651810329608433</stp>
        <tr r="N12" s="11"/>
      </tp>
      <tp t="e">
        <v>#N/A</v>
        <stp/>
        <stp>BDH|13553815385346199948</stp>
        <tr r="R13" s="8"/>
      </tp>
      <tp t="e">
        <v>#N/A</v>
        <stp/>
        <stp>BDH|15173220796487200531</stp>
        <tr r="S69" s="18"/>
      </tp>
      <tp t="e">
        <v>#N/A</v>
        <stp/>
        <stp>BDH|13378862650503004112</stp>
        <tr r="P67" s="12"/>
      </tp>
      <tp t="e">
        <v>#N/A</v>
        <stp/>
        <stp>BDH|15158531186735290128</stp>
        <tr r="U49" s="17"/>
      </tp>
      <tp t="e">
        <v>#N/A</v>
        <stp/>
        <stp>BDH|10060467546708257461</stp>
        <tr r="F30" s="17"/>
      </tp>
      <tp t="e">
        <v>#N/A</v>
        <stp/>
        <stp>BDH|14179655177848083173</stp>
        <tr r="S12" s="6"/>
      </tp>
      <tp t="e">
        <v>#N/A</v>
        <stp/>
        <stp>BDH|11398311993254230378</stp>
        <tr r="F150" s="18"/>
      </tp>
      <tp t="e">
        <v>#N/A</v>
        <stp/>
        <stp>BDH|16074627879599615295</stp>
        <tr r="Z24" s="21"/>
      </tp>
      <tp t="e">
        <v>#N/A</v>
        <stp/>
        <stp>BDH|15040992589768653024</stp>
        <tr r="O10" s="10"/>
      </tp>
      <tp t="e">
        <v>#N/A</v>
        <stp/>
        <stp>BDH|17457948773247164269</stp>
        <tr r="U58" s="17"/>
      </tp>
      <tp t="e">
        <v>#N/A</v>
        <stp/>
        <stp>BDH|11134873512470124416</stp>
        <tr r="G20" s="17"/>
      </tp>
      <tp t="e">
        <v>#N/A</v>
        <stp/>
        <stp>BDH|15057908506580598071</stp>
        <tr r="D35" s="17"/>
      </tp>
      <tp t="e">
        <v>#N/A</v>
        <stp/>
        <stp>BDH|13737845011907190171</stp>
        <tr r="J27" s="22"/>
      </tp>
      <tp t="e">
        <v>#N/A</v>
        <stp/>
        <stp>BDH|17640931060042113603</stp>
        <tr r="H22" s="27"/>
      </tp>
      <tp t="e">
        <v>#N/A</v>
        <stp/>
        <stp>BDH|15554972037945110608</stp>
        <tr r="D9" s="28"/>
      </tp>
      <tp t="e">
        <v>#N/A</v>
        <stp/>
        <stp>BDH|10252495159314720916</stp>
        <tr r="K11" s="24"/>
      </tp>
      <tp t="e">
        <v>#N/A</v>
        <stp/>
        <stp>BDH|16863686182483475725</stp>
        <tr r="U8" s="8"/>
      </tp>
      <tp t="e">
        <v>#N/A</v>
        <stp/>
        <stp>BDH|16023944831813181300</stp>
        <tr r="C17" s="23"/>
      </tp>
      <tp t="e">
        <v>#N/A</v>
        <stp/>
        <stp>BDH|15341935982809482127</stp>
        <tr r="N48" s="21"/>
      </tp>
      <tp t="e">
        <v>#N/A</v>
        <stp/>
        <stp>BDH|16234033383061246342</stp>
        <tr r="K93" s="18"/>
      </tp>
      <tp t="e">
        <v>#N/A</v>
        <stp/>
        <stp>BDH|15977384666545453975</stp>
        <tr r="Q25" s="2"/>
        <tr r="S62" s="21"/>
      </tp>
      <tp t="e">
        <v>#N/A</v>
        <stp/>
        <stp>BDH|18060827949640764884</stp>
        <tr r="W8" s="18"/>
      </tp>
      <tp t="e">
        <v>#N/A</v>
        <stp/>
        <stp>BDH|13985942433580291583</stp>
        <tr r="Z17" s="24"/>
      </tp>
      <tp t="e">
        <v>#N/A</v>
        <stp/>
        <stp>BDH|12753035594023765433</stp>
        <tr r="I62" s="17"/>
      </tp>
      <tp t="e">
        <v>#N/A</v>
        <stp/>
        <stp>BDH|11382559196721612022</stp>
        <tr r="F77" s="17"/>
      </tp>
      <tp t="e">
        <v>#N/A</v>
        <stp/>
        <stp>BDH|14568000985566234665</stp>
        <tr r="H11" s="17"/>
      </tp>
      <tp t="e">
        <v>#N/A</v>
        <stp/>
        <stp>BDH|18158587839661416301</stp>
        <tr r="I64" s="18"/>
      </tp>
      <tp t="e">
        <v>#N/A</v>
        <stp/>
        <stp>BDH|16168109795361426374</stp>
        <tr r="R124" s="18"/>
      </tp>
      <tp t="e">
        <v>#N/A</v>
        <stp/>
        <stp>BDH|15643641163419713019</stp>
        <tr r="E68" s="12"/>
      </tp>
      <tp t="e">
        <v>#N/A</v>
        <stp/>
        <stp>BDH|14286563660599050234</stp>
        <tr r="D42" s="34"/>
      </tp>
      <tp t="e">
        <v>#N/A</v>
        <stp/>
        <stp>BDH|18252761738922807232</stp>
        <tr r="R21" s="20"/>
      </tp>
      <tp t="e">
        <v>#N/A</v>
        <stp/>
        <stp>BDH|14491726437609349553</stp>
        <tr r="X61" s="18"/>
      </tp>
      <tp t="e">
        <v>#N/A</v>
        <stp/>
        <stp>BDH|13540139344852522809</stp>
        <tr r="H87" s="18"/>
      </tp>
      <tp t="e">
        <v>#N/A</v>
        <stp/>
        <stp>BDH|12556249615005282819</stp>
        <tr r="X60" s="21"/>
      </tp>
      <tp t="e">
        <v>#N/A</v>
        <stp/>
        <stp>BDH|13536770625672202829</stp>
        <tr r="R9" s="27"/>
      </tp>
      <tp t="e">
        <v>#N/A</v>
        <stp/>
        <stp>BDH|17827341848619423574</stp>
        <tr r="N15" s="5"/>
      </tp>
      <tp t="e">
        <v>#N/A</v>
        <stp/>
        <stp>BDH|18067991409695420830</stp>
        <tr r="J117" s="18"/>
      </tp>
      <tp t="e">
        <v>#N/A</v>
        <stp/>
        <stp>BDH|12166837231303409600</stp>
        <tr r="H24" s="17"/>
      </tp>
      <tp t="e">
        <v>#N/A</v>
        <stp/>
        <stp>BDH|11146060193497345306</stp>
        <tr r="F74" s="18"/>
      </tp>
      <tp t="e">
        <v>#N/A</v>
        <stp/>
        <stp>BDH|17736869596369725379</stp>
        <tr r="Q46" s="17"/>
      </tp>
      <tp t="e">
        <v>#N/A</v>
        <stp/>
        <stp>BDH|17999759699523173633</stp>
        <tr r="T37" s="18"/>
      </tp>
      <tp t="e">
        <v>#N/A</v>
        <stp/>
        <stp>BDH|16391232791068498922</stp>
        <tr r="E15" s="26"/>
      </tp>
      <tp t="e">
        <v>#N/A</v>
        <stp/>
        <stp>BDH|18318404272076605105</stp>
        <tr r="Y10" s="4"/>
        <tr r="X6" s="16"/>
        <tr r="AA6" s="3"/>
        <tr r="Y6" s="11"/>
      </tp>
      <tp t="e">
        <v>#N/A</v>
        <stp/>
        <stp>BDH|17264835607000359326</stp>
        <tr r="E64" s="17"/>
      </tp>
      <tp t="e">
        <v>#N/A</v>
        <stp/>
        <stp>BDH|12426991241673809035</stp>
        <tr r="I9" s="29"/>
      </tp>
      <tp t="e">
        <v>#N/A</v>
        <stp/>
        <stp>BDH|15455144498660853172</stp>
        <tr r="D41" s="17"/>
      </tp>
      <tp t="e">
        <v>#N/A</v>
        <stp/>
        <stp>BDH|16545005734280629901</stp>
        <tr r="H133" s="18"/>
      </tp>
      <tp t="e">
        <v>#N/A</v>
        <stp/>
        <stp>BDH|17974657712789065596</stp>
        <tr r="G34" s="25"/>
      </tp>
      <tp t="e">
        <v>#N/A</v>
        <stp/>
        <stp>BDH|13912728669377441919</stp>
        <tr r="X48" s="18"/>
      </tp>
      <tp t="e">
        <v>#N/A</v>
        <stp/>
        <stp>BDH|12181404952858475705</stp>
        <tr r="C34" s="12"/>
      </tp>
      <tp t="e">
        <v>#N/A</v>
        <stp/>
        <stp>BDH|16750421507019557707</stp>
        <tr r="X20" s="30"/>
      </tp>
      <tp t="e">
        <v>#N/A</v>
        <stp/>
        <stp>BDH|16335005620971230969</stp>
        <tr r="J50" s="21"/>
      </tp>
      <tp t="e">
        <v>#N/A</v>
        <stp/>
        <stp>BDH|12831180762778049154</stp>
        <tr r="N19" s="26"/>
      </tp>
      <tp t="e">
        <v>#N/A</v>
        <stp/>
        <stp>BDH|12798523462568457550</stp>
        <tr r="G11" s="21"/>
      </tp>
      <tp t="e">
        <v>#N/A</v>
        <stp/>
        <stp>BDH|11331826067303759079</stp>
        <tr r="D40" s="10"/>
        <tr r="D34" s="11"/>
      </tp>
      <tp t="e">
        <v>#N/A</v>
        <stp/>
        <stp>BDH|18119143630931576766</stp>
        <tr r="Z29" s="21"/>
      </tp>
      <tp t="e">
        <v>#N/A</v>
        <stp/>
        <stp>BDH|18203636001627082561</stp>
        <tr r="X16" s="11"/>
      </tp>
      <tp t="e">
        <v>#N/A</v>
        <stp/>
        <stp>BDH|10512421676979649615</stp>
        <tr r="G41" s="18"/>
      </tp>
      <tp t="e">
        <v>#N/A</v>
        <stp/>
        <stp>BDH|16779541329474599993</stp>
        <tr r="Y13" s="2"/>
      </tp>
      <tp t="e">
        <v>#N/A</v>
        <stp/>
        <stp>BDH|14650334352818440655</stp>
        <tr r="U98" s="17"/>
        <tr r="U13" s="28"/>
      </tp>
      <tp t="e">
        <v>#N/A</v>
        <stp/>
        <stp>BDH|17276265311181155929</stp>
        <tr r="Q8" s="17"/>
      </tp>
      <tp t="e">
        <v>#N/A</v>
        <stp/>
        <stp>BDH|12943080968998868075</stp>
        <tr r="G14" s="29"/>
        <tr r="G23" s="29"/>
        <tr r="G34" s="29"/>
      </tp>
      <tp t="e">
        <v>#N/A</v>
        <stp/>
        <stp>BDH|14609510237918408627</stp>
        <tr r="K33" s="6"/>
        <tr r="M9" s="8"/>
      </tp>
      <tp t="e">
        <v>#N/A</v>
        <stp/>
        <stp>BDH|18241005434396266129</stp>
        <tr r="H38" s="10"/>
        <tr r="H32" s="11"/>
      </tp>
      <tp t="e">
        <v>#N/A</v>
        <stp/>
        <stp>BDH|18408107927205216279</stp>
        <tr r="X42" s="13"/>
      </tp>
      <tp t="e">
        <v>#N/A</v>
        <stp/>
        <stp>BDH|17195355988213904332</stp>
        <tr r="L77" s="12"/>
      </tp>
      <tp t="e">
        <v>#N/A</v>
        <stp/>
        <stp>BDH|17994473359298347220</stp>
        <tr r="I7" s="10"/>
      </tp>
      <tp t="e">
        <v>#N/A</v>
        <stp/>
        <stp>BDH|16732903253430719659</stp>
        <tr r="T17" s="9"/>
      </tp>
      <tp t="e">
        <v>#N/A</v>
        <stp/>
        <stp>BDH|17140174439751927809</stp>
        <tr r="G98" s="18"/>
      </tp>
      <tp t="e">
        <v>#N/A</v>
        <stp/>
        <stp>BDH|13910309736796993905</stp>
        <tr r="P16" s="11"/>
      </tp>
      <tp t="e">
        <v>#N/A</v>
        <stp/>
        <stp>BDH|16374946349083156497</stp>
        <tr r="AA17" s="17"/>
        <tr r="AA20" s="28"/>
      </tp>
      <tp t="e">
        <v>#N/A</v>
        <stp/>
        <stp>BDH|10953243699490359714</stp>
        <tr r="H72" s="18"/>
      </tp>
      <tp t="e">
        <v>#N/A</v>
        <stp/>
        <stp>BDH|16024161082187148435</stp>
        <tr r="G24" s="29"/>
      </tp>
      <tp t="e">
        <v>#N/A</v>
        <stp/>
        <stp>BDH|14628926146721290468</stp>
        <tr r="H28" s="9"/>
      </tp>
      <tp t="e">
        <v>#N/A</v>
        <stp/>
        <stp>BDH|16921101634578365082</stp>
        <tr r="O32" s="6"/>
        <tr r="Q6" s="8"/>
      </tp>
      <tp t="e">
        <v>#N/A</v>
        <stp/>
        <stp>BDH|14298418904469175500</stp>
        <tr r="U12" s="7"/>
      </tp>
      <tp t="e">
        <v>#N/A</v>
        <stp/>
        <stp>BDH|12741913923457321200</stp>
        <tr r="G8" s="21"/>
      </tp>
      <tp t="e">
        <v>#N/A</v>
        <stp/>
        <stp>BDH|16313940721408944990</stp>
        <tr r="F24" s="21"/>
      </tp>
      <tp t="e">
        <v>#N/A</v>
        <stp/>
        <stp>BDH|13291884146613839028</stp>
        <tr r="O14" s="18"/>
      </tp>
      <tp t="e">
        <v>#N/A</v>
        <stp/>
        <stp>BDH|13058874601172052505</stp>
        <tr r="E52" s="21"/>
      </tp>
      <tp t="e">
        <v>#N/A</v>
        <stp/>
        <stp>BDH|12015325696300596479</stp>
        <tr r="AA68" s="18"/>
      </tp>
      <tp t="e">
        <v>#N/A</v>
        <stp/>
        <stp>BDH|12842379114969513582</stp>
        <tr r="H9" s="21"/>
      </tp>
      <tp t="e">
        <v>#N/A</v>
        <stp/>
        <stp>BDH|13830694850279454536</stp>
        <tr r="W66" s="24"/>
      </tp>
      <tp t="e">
        <v>#N/A</v>
        <stp/>
        <stp>BDH|17333119053956157960</stp>
        <tr r="R26" s="24"/>
      </tp>
      <tp t="e">
        <v>#N/A</v>
        <stp/>
        <stp>BDH|10159323705938190713</stp>
        <tr r="O7" s="28"/>
      </tp>
      <tp t="e">
        <v>#N/A</v>
        <stp/>
        <stp>BDH|16570026704768547207</stp>
        <tr r="M54" s="17"/>
      </tp>
      <tp t="e">
        <v>#N/A</v>
        <stp/>
        <stp>BDH|13440808868831206080</stp>
        <tr r="N27" s="5"/>
        <tr r="N27" s="9"/>
      </tp>
      <tp t="e">
        <v>#N/A</v>
        <stp/>
        <stp>BDH|12474655847969976598</stp>
        <tr r="R55" s="13"/>
      </tp>
      <tp t="e">
        <v>#N/A</v>
        <stp/>
        <stp>BDH|18294505425686612581</stp>
        <tr r="AA132" s="18"/>
      </tp>
      <tp t="e">
        <v>#N/A</v>
        <stp/>
        <stp>BDH|10249040303058968458</stp>
        <tr r="C18" s="13"/>
      </tp>
      <tp t="e">
        <v>#N/A</v>
        <stp/>
        <stp>BDH|14808083295904803543</stp>
        <tr r="N14" s="4"/>
      </tp>
      <tp t="e">
        <v>#N/A</v>
        <stp/>
        <stp>BDH|14256260933769686082</stp>
        <tr r="H29" s="9"/>
      </tp>
      <tp t="e">
        <v>#N/A</v>
        <stp/>
        <stp>BDH|15079420800685991820</stp>
        <tr r="C23" s="26"/>
      </tp>
      <tp t="e">
        <v>#N/A</v>
        <stp/>
        <stp>BDH|14511974368445391200</stp>
        <tr r="T21" s="4"/>
      </tp>
      <tp t="e">
        <v>#N/A</v>
        <stp/>
        <stp>BDH|14299245472798534580</stp>
        <tr r="F8" s="11"/>
      </tp>
      <tp t="e">
        <v>#N/A</v>
        <stp/>
        <stp>BDH|16954063660739460528</stp>
        <tr r="R43" s="12"/>
      </tp>
      <tp t="e">
        <v>#N/A</v>
        <stp/>
        <stp>BDH|17770997313533533019</stp>
        <tr r="F13" s="21"/>
      </tp>
      <tp t="e">
        <v>#N/A</v>
        <stp/>
        <stp>BDH|16118970716532090090</stp>
        <tr r="G55" s="24"/>
      </tp>
      <tp t="e">
        <v>#N/A</v>
        <stp/>
        <stp>BDH|12620145198934302203</stp>
        <tr r="I127" s="18"/>
      </tp>
      <tp t="e">
        <v>#N/A</v>
        <stp/>
        <stp>BDH|13969292051421922911</stp>
        <tr r="C11" s="18"/>
      </tp>
      <tp t="e">
        <v>#N/A</v>
        <stp/>
        <stp>BDH|11521383135388550544</stp>
        <tr r="V44" s="12"/>
      </tp>
      <tp t="e">
        <v>#N/A</v>
        <stp/>
        <stp>BDH|13875513367148636415</stp>
        <tr r="Y8" s="13"/>
      </tp>
      <tp t="e">
        <v>#N/A</v>
        <stp/>
        <stp>BDH|12352021517406660995</stp>
        <tr r="N23" s="21"/>
      </tp>
      <tp t="e">
        <v>#N/A</v>
        <stp/>
        <stp>BDH|17055364688012175265</stp>
        <tr r="Q55" s="12"/>
      </tp>
      <tp t="e">
        <v>#N/A</v>
        <stp/>
        <stp>BDH|12761096771179170075</stp>
        <tr r="G94" s="17"/>
      </tp>
      <tp t="e">
        <v>#N/A</v>
        <stp/>
        <stp>BDH|14896852245641563548</stp>
        <tr r="J66" s="10"/>
      </tp>
      <tp t="e">
        <v>#N/A</v>
        <stp/>
        <stp>BDH|17601454233375151980</stp>
        <tr r="E41" s="18"/>
      </tp>
      <tp t="e">
        <v>#N/A</v>
        <stp/>
        <stp>BDH|18253591017638574807</stp>
        <tr r="Z59" s="12"/>
      </tp>
      <tp t="e">
        <v>#N/A</v>
        <stp/>
        <stp>BDH|10735893436015703262</stp>
        <tr r="I22" s="24"/>
      </tp>
      <tp t="e">
        <v>#N/A</v>
        <stp/>
        <stp>BDH|14756452940810285896</stp>
        <tr r="I73" s="12"/>
      </tp>
      <tp t="e">
        <v>#N/A</v>
        <stp/>
        <stp>BDH|15734636899057333177</stp>
        <tr r="Q59" s="12"/>
      </tp>
      <tp t="e">
        <v>#N/A</v>
        <stp/>
        <stp>BDH|14641283584380115225</stp>
        <tr r="K9" s="27"/>
      </tp>
      <tp t="e">
        <v>#N/A</v>
        <stp/>
        <stp>BDH|10836102390330673475</stp>
        <tr r="X99" s="18"/>
      </tp>
      <tp t="e">
        <v>#N/A</v>
        <stp/>
        <stp>BDH|12983184723564903929</stp>
        <tr r="O30" s="22"/>
      </tp>
      <tp t="e">
        <v>#N/A</v>
        <stp/>
        <stp>BDH|13154570881491964377</stp>
        <tr r="W10" s="4"/>
        <tr r="V6" s="16"/>
        <tr r="Y6" s="3"/>
        <tr r="W6" s="11"/>
      </tp>
      <tp t="e">
        <v>#N/A</v>
        <stp/>
        <stp>BDH|16172830469193158734</stp>
        <tr r="O78" s="12"/>
      </tp>
      <tp t="e">
        <v>#N/A</v>
        <stp/>
        <stp>BDH|14079153087310216190</stp>
        <tr r="T71" s="12"/>
      </tp>
      <tp t="e">
        <v>#N/A</v>
        <stp/>
        <stp>BDH|16106853903630752296</stp>
        <tr r="J46" s="21"/>
      </tp>
      <tp t="e">
        <v>#N/A</v>
        <stp/>
        <stp>BDH|14825038436813249860</stp>
        <tr r="C89" s="18"/>
      </tp>
      <tp t="e">
        <v>#N/A</v>
        <stp/>
        <stp>BDH|13894091462521928839</stp>
        <tr r="J45" s="18"/>
      </tp>
      <tp t="e">
        <v>#N/A</v>
        <stp/>
        <stp>BDH|12590259337759779695</stp>
        <tr r="D34" s="17"/>
      </tp>
      <tp t="e">
        <v>#N/A</v>
        <stp/>
        <stp>BDH|17723943152083044480</stp>
        <tr r="E7" s="17"/>
      </tp>
      <tp t="e">
        <v>#N/A</v>
        <stp/>
        <stp>BDH|15414700454579153284</stp>
        <tr r="H16" s="29"/>
        <tr r="H36" s="29"/>
      </tp>
      <tp t="e">
        <v>#N/A</v>
        <stp/>
        <stp>BDH|10890285274159400098</stp>
        <tr r="Y143" s="18"/>
      </tp>
      <tp t="e">
        <v>#N/A</v>
        <stp/>
        <stp>BDH|11234839130605895300</stp>
        <tr r="F97" s="18"/>
      </tp>
      <tp t="e">
        <v>#N/A</v>
        <stp/>
        <stp>BDH|16143962431480601089</stp>
        <tr r="R46" s="17"/>
      </tp>
      <tp t="e">
        <v>#N/A</v>
        <stp/>
        <stp>BDH|13825452404693381825</stp>
        <tr r="I25" s="4"/>
        <tr r="I64" s="10"/>
      </tp>
      <tp t="e">
        <v>#N/A</v>
        <stp/>
        <stp>BDH|17960541313856426927</stp>
        <tr r="AA60" s="12"/>
      </tp>
      <tp t="e">
        <v>#N/A</v>
        <stp/>
        <stp>BDH|15593427709948153578</stp>
        <tr r="O23" s="21"/>
      </tp>
      <tp t="e">
        <v>#N/A</v>
        <stp/>
        <stp>BDH|11133962834867820032</stp>
        <tr r="O35" s="22"/>
      </tp>
      <tp t="e">
        <v>#N/A</v>
        <stp/>
        <stp>BDH|15911869956487110304</stp>
        <tr r="N17" s="14"/>
      </tp>
      <tp t="e">
        <v>#N/A</v>
        <stp/>
        <stp>BDH|15982871186730140913</stp>
        <tr r="V23" s="12"/>
      </tp>
      <tp t="e">
        <v>#N/A</v>
        <stp/>
        <stp>BDH|16304881962683297736</stp>
        <tr r="F50" s="13"/>
      </tp>
      <tp t="e">
        <v>#N/A</v>
        <stp/>
        <stp>BDH|16489996876342132621</stp>
        <tr r="J71" s="12"/>
      </tp>
      <tp t="e">
        <v>#N/A</v>
        <stp/>
        <stp>BDH|10966882403260312498</stp>
        <tr r="X139" s="18"/>
      </tp>
      <tp t="e">
        <v>#N/A</v>
        <stp/>
        <stp>BDH|13029079455692346896</stp>
        <tr r="H51" s="17"/>
      </tp>
      <tp t="e">
        <v>#N/A</v>
        <stp/>
        <stp>BDH|14556774382083083487</stp>
        <tr r="E58" s="17"/>
      </tp>
      <tp t="e">
        <v>#N/A</v>
        <stp/>
        <stp>BDH|17598991748445541394</stp>
        <tr r="R123" s="18"/>
      </tp>
      <tp t="e">
        <v>#N/A</v>
        <stp/>
        <stp>BDH|14877347655146359824</stp>
        <tr r="N18" s="9"/>
      </tp>
      <tp t="e">
        <v>#N/A</v>
        <stp/>
        <stp>BDH|15299052037699191394</stp>
        <tr r="H68" s="10"/>
      </tp>
      <tp t="e">
        <v>#N/A</v>
        <stp/>
        <stp>BDH|10019243881005508385</stp>
        <tr r="S9" s="13"/>
      </tp>
      <tp t="e">
        <v>#N/A</v>
        <stp/>
        <stp>BDH|10272620393725321685</stp>
        <tr r="U68" s="18"/>
      </tp>
      <tp t="e">
        <v>#N/A</v>
        <stp/>
        <stp>BDH|12726537922610716994</stp>
        <tr r="P30" s="34"/>
      </tp>
      <tp t="e">
        <v>#N/A</v>
        <stp/>
        <stp>BDH|17177652916224357894</stp>
        <tr r="H41" s="13"/>
      </tp>
      <tp t="e">
        <v>#N/A</v>
        <stp/>
        <stp>BDH|13692766438588148318</stp>
        <tr r="F41" s="22"/>
      </tp>
      <tp t="e">
        <v>#N/A</v>
        <stp/>
        <stp>BDH|14614102530288994243</stp>
        <tr r="C149" s="18"/>
      </tp>
      <tp t="e">
        <v>#N/A</v>
        <stp/>
        <stp>BDH|15320209258627536954</stp>
        <tr r="G16" s="29"/>
        <tr r="G36" s="29"/>
      </tp>
      <tp t="e">
        <v>#N/A</v>
        <stp/>
        <stp>BDH|12932952723810704533</stp>
        <tr r="U61" s="17"/>
      </tp>
      <tp t="e">
        <v>#N/A</v>
        <stp/>
        <stp>BDH|11265698454999085746</stp>
        <tr r="Z61" s="21"/>
      </tp>
      <tp t="e">
        <v>#N/A</v>
        <stp/>
        <stp>BDH|10670170461708910328</stp>
        <tr r="P16" s="25"/>
      </tp>
      <tp t="e">
        <v>#N/A</v>
        <stp/>
        <stp>BDH|14800849770961317648</stp>
        <tr r="J35" s="12"/>
      </tp>
      <tp t="e">
        <v>#N/A</v>
        <stp/>
        <stp>BDH|17053364271807967856</stp>
        <tr r="X34" s="12"/>
      </tp>
      <tp t="e">
        <v>#N/A</v>
        <stp/>
        <stp>BDH|17099978269730796427</stp>
        <tr r="F16" s="20"/>
      </tp>
      <tp t="e">
        <v>#N/A</v>
        <stp/>
        <stp>BDH|12532998459691769395</stp>
        <tr r="G93" s="17"/>
      </tp>
      <tp t="e">
        <v>#N/A</v>
        <stp/>
        <stp>BDH|13899658791481395142</stp>
        <tr r="Y56" s="18"/>
      </tp>
      <tp t="e">
        <v>#N/A</v>
        <stp/>
        <stp>BDH|10778530347464175998</stp>
        <tr r="V32" s="6"/>
        <tr r="X6" s="8"/>
      </tp>
      <tp t="e">
        <v>#N/A</v>
        <stp/>
        <stp>BDH|12266189901379410641</stp>
        <tr r="N8" s="17"/>
      </tp>
      <tp t="e">
        <v>#N/A</v>
        <stp/>
        <stp>BDH|16277224025848629285</stp>
        <tr r="I36" s="10"/>
        <tr r="I30" s="11"/>
        <tr r="K39" s="13"/>
      </tp>
      <tp t="e">
        <v>#N/A</v>
        <stp/>
        <stp>BDH|15359229434680760890</stp>
        <tr r="U129" s="18"/>
      </tp>
      <tp t="e">
        <v>#N/A</v>
        <stp/>
        <stp>BDH|18343999385120461506</stp>
        <tr r="G51" s="17"/>
      </tp>
      <tp t="e">
        <v>#N/A</v>
        <stp/>
        <stp>BDH|18382089374987581413</stp>
        <tr r="P77" s="18"/>
      </tp>
      <tp t="e">
        <v>#N/A</v>
        <stp/>
        <stp>BDH|11318683939178114081</stp>
        <tr r="S14" s="30"/>
      </tp>
      <tp t="e">
        <v>#N/A</v>
        <stp/>
        <stp>BDH|15933606986341752631</stp>
        <tr r="T73" s="10"/>
        <tr r="T67" s="11"/>
      </tp>
      <tp t="e">
        <v>#N/A</v>
        <stp/>
        <stp>BDH|10215900454229478996</stp>
        <tr r="AA9" s="24"/>
      </tp>
      <tp t="e">
        <v>#N/A</v>
        <stp/>
        <stp>BDH|12107153828249371444</stp>
        <tr r="U30" s="24"/>
      </tp>
      <tp t="e">
        <v>#N/A</v>
        <stp/>
        <stp>BDH|11300610292793963120</stp>
        <tr r="E14" s="4"/>
      </tp>
      <tp t="e">
        <v>#N/A</v>
        <stp/>
        <stp>BDH|13439783179587635887</stp>
        <tr r="N6" s="19"/>
        <tr r="N37" s="17"/>
        <tr r="N16" s="3"/>
      </tp>
      <tp t="e">
        <v>#N/A</v>
        <stp/>
        <stp>BDH|14560160783457908622</stp>
        <tr r="Z64" s="18"/>
      </tp>
      <tp t="e">
        <v>#N/A</v>
        <stp/>
        <stp>BDH|14727475875053767896</stp>
        <tr r="W45" s="24"/>
      </tp>
      <tp t="e">
        <v>#N/A</v>
        <stp/>
        <stp>BDH|11716954566075673795</stp>
        <tr r="C25" s="24"/>
      </tp>
      <tp t="e">
        <v>#N/A</v>
        <stp/>
        <stp>BDH|12062734453318979423</stp>
        <tr r="H8" s="11"/>
      </tp>
      <tp t="e">
        <v>#N/A</v>
        <stp/>
        <stp>BDH|16171397087128378973</stp>
        <tr r="W13" s="10"/>
      </tp>
      <tp t="e">
        <v>#N/A</v>
        <stp/>
        <stp>BDH|16959085796376901549</stp>
        <tr r="H26" s="24"/>
      </tp>
      <tp t="e">
        <v>#N/A</v>
        <stp/>
        <stp>BDH|14028263884072998011</stp>
        <tr r="Q72" s="12"/>
      </tp>
      <tp t="e">
        <v>#N/A</v>
        <stp/>
        <stp>BDH|13992881485107959874</stp>
        <tr r="Z15" s="17"/>
        <tr r="Z18" s="28"/>
      </tp>
      <tp t="e">
        <v>#N/A</v>
        <stp/>
        <stp>BDH|13189995061559682958</stp>
        <tr r="N28" s="21"/>
      </tp>
      <tp t="e">
        <v>#N/A</v>
        <stp/>
        <stp>BDH|16577776419289762569</stp>
        <tr r="F138" s="18"/>
      </tp>
      <tp t="e">
        <v>#N/A</v>
        <stp/>
        <stp>BDH|17794906734185831411</stp>
        <tr r="I9" s="22"/>
      </tp>
      <tp t="e">
        <v>#N/A</v>
        <stp/>
        <stp>BDH|11004949049538613811</stp>
        <tr r="D18" s="20"/>
      </tp>
      <tp t="e">
        <v>#N/A</v>
        <stp/>
        <stp>BDH|16016424010028822704</stp>
        <tr r="Z10" s="12"/>
      </tp>
      <tp t="e">
        <v>#N/A</v>
        <stp/>
        <stp>BDH|15990801526934338763</stp>
        <tr r="L12" s="11"/>
      </tp>
      <tp t="e">
        <v>#N/A</v>
        <stp/>
        <stp>BDH|11801899035840963676</stp>
        <tr r="F51" s="13"/>
      </tp>
      <tp t="e">
        <v>#N/A</v>
        <stp/>
        <stp>BDH|11969904238615908223</stp>
        <tr r="M7" s="21"/>
      </tp>
      <tp t="e">
        <v>#N/A</v>
        <stp/>
        <stp>BDH|17223046497654872633</stp>
        <tr r="AA49" s="18"/>
      </tp>
      <tp t="e">
        <v>#N/A</v>
        <stp/>
        <stp>BDH|17545870010261183398</stp>
        <tr r="D13" s="13"/>
      </tp>
      <tp t="e">
        <v>#N/A</v>
        <stp/>
        <stp>BDH|10640101128416760932</stp>
        <tr r="O40" s="17"/>
      </tp>
      <tp t="e">
        <v>#N/A</v>
        <stp/>
        <stp>BDH|13015448782074307782</stp>
        <tr r="M11" s="29"/>
      </tp>
      <tp t="e">
        <v>#N/A</v>
        <stp/>
        <stp>BDH|18393350177028902852</stp>
        <tr r="I29" s="24"/>
      </tp>
      <tp t="e">
        <v>#N/A</v>
        <stp/>
        <stp>BDH|13908871313843047504</stp>
        <tr r="G27" s="5"/>
        <tr r="G27" s="9"/>
      </tp>
      <tp t="e">
        <v>#N/A</v>
        <stp/>
        <stp>BDH|14330640678108727159</stp>
        <tr r="O105" s="18"/>
      </tp>
      <tp t="e">
        <v>#N/A</v>
        <stp/>
        <stp>BDH|17291022737588868020</stp>
        <tr r="S14" s="26"/>
      </tp>
      <tp t="e">
        <v>#N/A</v>
        <stp/>
        <stp>BDH|11779096309968828525</stp>
        <tr r="E37" s="18"/>
      </tp>
      <tp t="e">
        <v>#N/A</v>
        <stp/>
        <stp>BDH|15273825517234892427</stp>
        <tr r="W6" s="27"/>
      </tp>
      <tp t="e">
        <v>#N/A</v>
        <stp/>
        <stp>BDH|13663637590645000589</stp>
        <tr r="AA62" s="18"/>
      </tp>
      <tp t="e">
        <v>#N/A</v>
        <stp/>
        <stp>BDH|11540108979662063911</stp>
        <tr r="V59" s="21"/>
        <tr r="T56" s="11"/>
      </tp>
      <tp t="e">
        <v>#N/A</v>
        <stp/>
        <stp>BDH|10155909839252535401</stp>
        <tr r="H90" s="18"/>
      </tp>
      <tp t="e">
        <v>#N/A</v>
        <stp/>
        <stp>BDH|18043033409793652719</stp>
        <tr r="J43" s="13"/>
      </tp>
      <tp t="e">
        <v>#N/A</v>
        <stp/>
        <stp>BDH|17479566681414990270</stp>
        <tr r="E13" s="9"/>
      </tp>
      <tp t="e">
        <v>#N/A</v>
        <stp/>
        <stp>BDH|16117579414387910966</stp>
        <tr r="G25" s="12"/>
      </tp>
      <tp t="e">
        <v>#N/A</v>
        <stp/>
        <stp>BDH|10561445276776273980</stp>
        <tr r="Z27" s="17"/>
      </tp>
      <tp t="e">
        <v>#N/A</v>
        <stp/>
        <stp>BDH|11848753397210035377</stp>
        <tr r="E18" s="30"/>
      </tp>
      <tp t="e">
        <v>#N/A</v>
        <stp/>
        <stp>BDH|10509386193510522660</stp>
        <tr r="U37" s="6"/>
      </tp>
      <tp t="e">
        <v>#N/A</v>
        <stp/>
        <stp>BDH|11884934843982418214</stp>
        <tr r="P7" s="23"/>
      </tp>
      <tp t="e">
        <v>#N/A</v>
        <stp/>
        <stp>BDH|14888023471879616605</stp>
        <tr r="D68" s="17"/>
      </tp>
      <tp t="e">
        <v>#N/A</v>
        <stp/>
        <stp>BDH|18432099037371698617</stp>
        <tr r="V24" s="2"/>
      </tp>
      <tp t="e">
        <v>#N/A</v>
        <stp/>
        <stp>BDH|16267183896172156006</stp>
        <tr r="O167" s="18"/>
      </tp>
      <tp t="e">
        <v>#N/A</v>
        <stp/>
        <stp>BDH|11031080549749574094</stp>
        <tr r="N22" s="20"/>
      </tp>
      <tp t="e">
        <v>#N/A</v>
        <stp/>
        <stp>BDH|11946652799572955011</stp>
        <tr r="G16" s="14"/>
      </tp>
      <tp t="e">
        <v>#N/A</v>
        <stp/>
        <stp>BDH|12312246794023978676</stp>
        <tr r="X10" s="22"/>
      </tp>
      <tp t="e">
        <v>#N/A</v>
        <stp/>
        <stp>BDH|12911915869786409787</stp>
        <tr r="M45" s="12"/>
      </tp>
      <tp t="e">
        <v>#N/A</v>
        <stp/>
        <stp>BDH|13257426789227149451</stp>
        <tr r="Q64" s="18"/>
      </tp>
      <tp t="e">
        <v>#N/A</v>
        <stp/>
        <stp>BDH|10906147224748343770</stp>
        <tr r="AA71" s="24"/>
      </tp>
      <tp t="e">
        <v>#N/A</v>
        <stp/>
        <stp>BDH|13736203369128180333</stp>
        <tr r="V9" s="6"/>
      </tp>
      <tp t="e">
        <v>#N/A</v>
        <stp/>
        <stp>BDH|10439739982480932305</stp>
        <tr r="O19" s="11"/>
      </tp>
      <tp t="e">
        <v>#N/A</v>
        <stp/>
        <stp>BDH|14155886041825062145</stp>
        <tr r="P31" s="34"/>
      </tp>
      <tp t="e">
        <v>#N/A</v>
        <stp/>
        <stp>BDH|15228104289742482236</stp>
        <tr r="AA75" s="12"/>
      </tp>
      <tp t="e">
        <v>#N/A</v>
        <stp/>
        <stp>BDH|13121054984611972658</stp>
        <tr r="P12" s="18"/>
      </tp>
      <tp t="e">
        <v>#N/A</v>
        <stp/>
        <stp>BDH|10549105440539821018</stp>
        <tr r="N12" s="12"/>
      </tp>
      <tp t="e">
        <v>#N/A</v>
        <stp/>
        <stp>BDH|13313902599099441629</stp>
        <tr r="Z35" s="18"/>
      </tp>
      <tp t="e">
        <v>#N/A</v>
        <stp/>
        <stp>BDH|12751108757568545292</stp>
        <tr r="L21" s="17"/>
      </tp>
      <tp t="e">
        <v>#N/A</v>
        <stp/>
        <stp>BDH|12345206688422580620</stp>
        <tr r="N11" s="12"/>
      </tp>
      <tp t="e">
        <v>#N/A</v>
        <stp/>
        <stp>BDH|10555003199046193311</stp>
        <tr r="L18" s="18"/>
      </tp>
      <tp t="e">
        <v>#N/A</v>
        <stp/>
        <stp>BDH|11119590624939154311</stp>
        <tr r="S12" s="12"/>
      </tp>
      <tp t="e">
        <v>#N/A</v>
        <stp/>
        <stp>BDH|15959798139879284471</stp>
        <tr r="R10" s="10"/>
      </tp>
      <tp t="e">
        <v>#N/A</v>
        <stp/>
        <stp>BDH|18124326902431912642</stp>
        <tr r="W91" s="17"/>
      </tp>
      <tp t="e">
        <v>#N/A</v>
        <stp/>
        <stp>BDH|10802323180720736716</stp>
        <tr r="E21" s="10"/>
      </tp>
      <tp t="e">
        <v>#N/A</v>
        <stp/>
        <stp>BDH|10813987939612219470</stp>
        <tr r="R70" s="10"/>
        <tr r="R64" s="11"/>
      </tp>
      <tp t="e">
        <v>#N/A</v>
        <stp/>
        <stp>BDH|18420481672356045124</stp>
        <tr r="K50" s="4"/>
      </tp>
      <tp t="e">
        <v>#N/A</v>
        <stp/>
        <stp>BDH|16397381295605009529</stp>
        <tr r="M26" s="21"/>
      </tp>
      <tp t="e">
        <v>#N/A</v>
        <stp/>
        <stp>BDH|16038932612402539080</stp>
        <tr r="AA158" s="18"/>
      </tp>
      <tp t="e">
        <v>#N/A</v>
        <stp/>
        <stp>BDH|10914807449830592092</stp>
        <tr r="L36" s="24"/>
      </tp>
      <tp t="e">
        <v>#N/A</v>
        <stp/>
        <stp>BDH|13383529239089578013</stp>
        <tr r="W20" s="17"/>
      </tp>
      <tp t="e">
        <v>#N/A</v>
        <stp/>
        <stp>BDH|10351841950213142299</stp>
        <tr r="P123" s="18"/>
      </tp>
      <tp t="e">
        <v>#N/A</v>
        <stp/>
        <stp>BDH|14239296239750504989</stp>
        <tr r="Q72" s="18"/>
      </tp>
      <tp t="e">
        <v>#N/A</v>
        <stp/>
        <stp>BDH|18076586388838833171</stp>
        <tr r="W15" s="25"/>
      </tp>
      <tp t="e">
        <v>#N/A</v>
        <stp/>
        <stp>BDH|14670301805498588390</stp>
        <tr r="H123" s="18"/>
      </tp>
      <tp t="e">
        <v>#N/A</v>
        <stp/>
        <stp>BDH|14720722724914813962</stp>
        <tr r="G15" s="21"/>
      </tp>
      <tp t="e">
        <v>#N/A</v>
        <stp/>
        <stp>BDH|13438897532844459043</stp>
        <tr r="K13" s="13"/>
      </tp>
      <tp t="e">
        <v>#N/A</v>
        <stp/>
        <stp>BDH|10382457725333805945</stp>
        <tr r="S160" s="18"/>
      </tp>
      <tp t="e">
        <v>#N/A</v>
        <stp/>
        <stp>BDH|10583022383494822034</stp>
        <tr r="N43" s="18"/>
      </tp>
      <tp t="e">
        <v>#N/A</v>
        <stp/>
        <stp>BDH|17544714780457953329</stp>
        <tr r="E55" s="18"/>
      </tp>
      <tp t="e">
        <v>#N/A</v>
        <stp/>
        <stp>BDH|17627588500306258833</stp>
        <tr r="F131" s="18"/>
      </tp>
      <tp t="e">
        <v>#N/A</v>
        <stp/>
        <stp>BDH|10772148093005777187</stp>
        <tr r="M26" s="22"/>
      </tp>
      <tp t="e">
        <v>#N/A</v>
        <stp/>
        <stp>BDH|13397236480177967267</stp>
        <tr r="H30" s="29"/>
        <tr r="H8" s="29"/>
      </tp>
      <tp t="e">
        <v>#N/A</v>
        <stp/>
        <stp>BDH|14997169055019795526</stp>
        <tr r="Q40" s="18"/>
      </tp>
      <tp t="e">
        <v>#N/A</v>
        <stp/>
        <stp>BDH|15939643044109187274</stp>
        <tr r="D133" s="18"/>
      </tp>
      <tp t="e">
        <v>#N/A</v>
        <stp/>
        <stp>BDH|12135967686108915779</stp>
        <tr r="Q37" s="24"/>
      </tp>
      <tp t="e">
        <v>#N/A</v>
        <stp/>
        <stp>BDH|16053293133979755229</stp>
        <tr r="J12" s="3"/>
        <tr r="H54" s="10"/>
        <tr r="H48" s="11"/>
        <tr r="H7" s="7"/>
      </tp>
      <tp t="e">
        <v>#N/A</v>
        <stp/>
        <stp>BDH|17361371388979685955</stp>
        <tr r="P62" s="11"/>
      </tp>
      <tp t="e">
        <v>#N/A</v>
        <stp/>
        <stp>BDH|13843796676706159992</stp>
        <tr r="H14" s="25"/>
      </tp>
      <tp t="e">
        <v>#N/A</v>
        <stp/>
        <stp>BDH|16296541489300581751</stp>
        <tr r="D30" s="13"/>
      </tp>
      <tp t="e">
        <v>#N/A</v>
        <stp/>
        <stp>BDH|16947715907119954494</stp>
        <tr r="E19" s="26"/>
      </tp>
      <tp t="e">
        <v>#N/A</v>
        <stp/>
        <stp>BDH|12469754325179206293</stp>
        <tr r="S64" s="18"/>
      </tp>
      <tp t="e">
        <v>#N/A</v>
        <stp/>
        <stp>BDH|12804482459829099663</stp>
        <tr r="L28" s="18"/>
      </tp>
      <tp t="e">
        <v>#N/A</v>
        <stp/>
        <stp>BDH|11882183562368807258</stp>
        <tr r="J45" s="24"/>
      </tp>
      <tp t="e">
        <v>#N/A</v>
        <stp/>
        <stp>BDH|12330402642666820865</stp>
        <tr r="W127" s="18"/>
      </tp>
      <tp t="e">
        <v>#N/A</v>
        <stp/>
        <stp>BDH|11406119041838868030</stp>
        <tr r="M25" s="6"/>
      </tp>
      <tp t="e">
        <v>#N/A</v>
        <stp/>
        <stp>BDH|13135994876524226537</stp>
        <tr r="Q17" s="24"/>
      </tp>
      <tp t="e">
        <v>#N/A</v>
        <stp/>
        <stp>BDH|11519570717329279082</stp>
        <tr r="P41" s="22"/>
      </tp>
      <tp t="e">
        <v>#N/A</v>
        <stp/>
        <stp>BDH|17508352907450111890</stp>
        <tr r="T142" s="18"/>
      </tp>
      <tp t="e">
        <v>#N/A</v>
        <stp/>
        <stp>BDH|11978964046372235245</stp>
        <tr r="S13" s="14"/>
      </tp>
      <tp t="e">
        <v>#N/A</v>
        <stp/>
        <stp>BDH|13156106066618971014</stp>
        <tr r="Y7" s="21"/>
      </tp>
      <tp t="e">
        <v>#N/A</v>
        <stp/>
        <stp>BDH|11938932993498764516</stp>
        <tr r="R22" s="10"/>
      </tp>
      <tp t="e">
        <v>#N/A</v>
        <stp/>
        <stp>BDH|11339541799577120600</stp>
        <tr r="W35" s="25"/>
        <tr r="W7" s="3"/>
        <tr r="U18" s="11"/>
        <tr r="W22" s="13"/>
        <tr r="W7" s="13"/>
      </tp>
      <tp t="e">
        <v>#N/A</v>
        <stp/>
        <stp>BDH|11374522193054877556</stp>
        <tr r="V25" s="7"/>
      </tp>
      <tp t="e">
        <v>#N/A</v>
        <stp/>
        <stp>BDH|11200990961054125659</stp>
        <tr r="J42" s="24"/>
      </tp>
      <tp t="e">
        <v>#N/A</v>
        <stp/>
        <stp>BDH|17819949513763927084</stp>
        <tr r="M81" s="18"/>
      </tp>
      <tp t="e">
        <v>#N/A</v>
        <stp/>
        <stp>BDH|11625775082845828754</stp>
        <tr r="S82" s="18"/>
      </tp>
      <tp t="e">
        <v>#N/A</v>
        <stp/>
        <stp>BDH|15786986421253228126</stp>
        <tr r="V74" s="12"/>
      </tp>
      <tp t="e">
        <v>#N/A</v>
        <stp/>
        <stp>BDH|11092340467201508983</stp>
        <tr r="S11" s="18"/>
      </tp>
      <tp t="e">
        <v>#N/A</v>
        <stp/>
        <stp>BDH|13575692194735183572</stp>
        <tr r="J54" s="13"/>
      </tp>
      <tp t="e">
        <v>#N/A</v>
        <stp/>
        <stp>BDH|11884958845545723519</stp>
        <tr r="U136" s="18"/>
      </tp>
      <tp t="e">
        <v>#N/A</v>
        <stp/>
        <stp>BDH|12783904840296136583</stp>
        <tr r="V23" s="17"/>
        <tr r="V15" s="3"/>
      </tp>
      <tp t="e">
        <v>#N/A</v>
        <stp/>
        <stp>BDH|17546985692978436355</stp>
        <tr r="D41" s="10"/>
        <tr r="D35" s="11"/>
      </tp>
      <tp t="e">
        <v>#N/A</v>
        <stp/>
        <stp>BDH|12764902943466986535</stp>
        <tr r="R8" s="12"/>
      </tp>
      <tp t="e">
        <v>#N/A</v>
        <stp/>
        <stp>BDH|13299936746545861711</stp>
        <tr r="H11" s="3"/>
        <tr r="F49" s="10"/>
        <tr r="F43" s="11"/>
        <tr r="F8" s="7"/>
      </tp>
      <tp t="e">
        <v>#N/A</v>
        <stp/>
        <stp>BDH|15480700228484194836</stp>
        <tr r="O36" s="22"/>
      </tp>
      <tp t="e">
        <v>#N/A</v>
        <stp/>
        <stp>BDH|11783596940765824989</stp>
        <tr r="O34" s="25"/>
      </tp>
      <tp t="e">
        <v>#N/A</v>
        <stp/>
        <stp>BDH|16036284562077665923</stp>
        <tr r="I28" s="24"/>
      </tp>
      <tp t="e">
        <v>#N/A</v>
        <stp/>
        <stp>BDH|17713995350480059707</stp>
        <tr r="F21" s="21"/>
      </tp>
      <tp t="e">
        <v>#N/A</v>
        <stp/>
        <stp>BDH|13435969200825468385</stp>
        <tr r="P164" s="18"/>
      </tp>
      <tp t="e">
        <v>#N/A</v>
        <stp/>
        <stp>BDH|14005423863652740880</stp>
        <tr r="W38" s="24"/>
      </tp>
      <tp t="e">
        <v>#N/A</v>
        <stp/>
        <stp>BDH|13944404151766751813</stp>
        <tr r="S32" s="21"/>
      </tp>
      <tp t="e">
        <v>#N/A</v>
        <stp/>
        <stp>BDH|10584314089334597366</stp>
        <tr r="Q50" s="24"/>
      </tp>
      <tp t="e">
        <v>#N/A</v>
        <stp/>
        <stp>BDH|10576249860149901168</stp>
        <tr r="M63" s="17"/>
      </tp>
      <tp t="e">
        <v>#N/A</v>
        <stp/>
        <stp>BDH|16605690736699201651</stp>
        <tr r="Y76" s="18"/>
      </tp>
      <tp t="e">
        <v>#N/A</v>
        <stp/>
        <stp>BDH|17294755932928359787</stp>
        <tr r="N10" s="12"/>
      </tp>
      <tp t="e">
        <v>#N/A</v>
        <stp/>
        <stp>BDH|13094510518882065971</stp>
        <tr r="U8" s="26"/>
        <tr r="R10" s="9"/>
      </tp>
      <tp t="e">
        <v>#N/A</v>
        <stp/>
        <stp>BDH|15750373562654404886</stp>
        <tr r="F89" s="17"/>
      </tp>
      <tp t="e">
        <v>#N/A</v>
        <stp/>
        <stp>BDH|16261195245439428641</stp>
        <tr r="Q22" s="22"/>
      </tp>
      <tp t="e">
        <v>#N/A</v>
        <stp/>
        <stp>BDH|12663030938719491583</stp>
        <tr r="K37" s="24"/>
      </tp>
      <tp t="e">
        <v>#N/A</v>
        <stp/>
        <stp>BDH|16227187494317891474</stp>
        <tr r="I9" s="13"/>
      </tp>
      <tp t="e">
        <v>#N/A</v>
        <stp/>
        <stp>BDH|17231466321178592417</stp>
        <tr r="H26" s="26"/>
      </tp>
      <tp t="e">
        <v>#N/A</v>
        <stp/>
        <stp>BDH|10562486710819843145</stp>
        <tr r="I128" s="18"/>
      </tp>
      <tp t="e">
        <v>#N/A</v>
        <stp/>
        <stp>BDH|10730979550652367323</stp>
        <tr r="J74" s="18"/>
      </tp>
      <tp t="e">
        <v>#N/A</v>
        <stp/>
        <stp>BDH|15561139888386709784</stp>
        <tr r="F18" s="24"/>
      </tp>
      <tp t="e">
        <v>#N/A</v>
        <stp/>
        <stp>BDH|10479169945380523837</stp>
        <tr r="O40" s="22"/>
      </tp>
      <tp t="e">
        <v>#N/A</v>
        <stp/>
        <stp>BDH|12551769442485288928</stp>
        <tr r="S8" s="8"/>
      </tp>
      <tp t="e">
        <v>#N/A</v>
        <stp/>
        <stp>BDH|15305110794635580526</stp>
        <tr r="N23" s="13"/>
      </tp>
      <tp t="e">
        <v>#N/A</v>
        <stp/>
        <stp>BDH|15155159897354065426</stp>
        <tr r="W17" s="18"/>
      </tp>
      <tp t="e">
        <v>#N/A</v>
        <stp/>
        <stp>BDH|11889002930409039693</stp>
        <tr r="C30" s="21"/>
      </tp>
      <tp t="e">
        <v>#N/A</v>
        <stp/>
        <stp>BDH|16962682701944775967</stp>
        <tr r="C6" s="15"/>
        <tr r="C12" s="2"/>
        <tr r="C11" s="4"/>
        <tr r="C6" s="10"/>
      </tp>
      <tp t="e">
        <v>#N/A</v>
        <stp/>
        <stp>BDH|10684508230778590323</stp>
        <tr r="Y82" s="17"/>
        <tr r="Y19" s="3"/>
      </tp>
      <tp t="e">
        <v>#N/A</v>
        <stp/>
        <stp>BDH|10848152003089795583</stp>
        <tr r="G26" s="7"/>
      </tp>
      <tp t="e">
        <v>#N/A</v>
        <stp/>
        <stp>BDH|10668641882136819594</stp>
        <tr r="AA56" s="13"/>
      </tp>
      <tp t="e">
        <v>#N/A</v>
        <stp/>
        <stp>BDH|15179955807507532677</stp>
        <tr r="AA8" s="27"/>
      </tp>
      <tp t="e">
        <v>#N/A</v>
        <stp/>
        <stp>BDH|14483952847534758008</stp>
        <tr r="V12" s="11"/>
      </tp>
      <tp t="e">
        <v>#N/A</v>
        <stp/>
        <stp>BDH|18287897762812064980</stp>
        <tr r="W54" s="18"/>
      </tp>
      <tp t="e">
        <v>#N/A</v>
        <stp/>
        <stp>BDH|17489952606985638600</stp>
        <tr r="Y15" s="25"/>
      </tp>
      <tp t="e">
        <v>#N/A</v>
        <stp/>
        <stp>BDH|18120687028738626960</stp>
        <tr r="Y25" s="10"/>
      </tp>
      <tp t="e">
        <v>#N/A</v>
        <stp/>
        <stp>BDH|17304203323213091918</stp>
        <tr r="F42" s="22"/>
      </tp>
      <tp t="e">
        <v>#N/A</v>
        <stp/>
        <stp>BDH|15366672815087406844</stp>
        <tr r="T63" s="12"/>
      </tp>
      <tp t="e">
        <v>#N/A</v>
        <stp/>
        <stp>BDH|16052265784504303500</stp>
        <tr r="P22" s="9"/>
      </tp>
      <tp t="e">
        <v>#N/A</v>
        <stp/>
        <stp>BDH|10704133416409039430</stp>
        <tr r="T14" s="29"/>
        <tr r="T23" s="29"/>
        <tr r="T34" s="29"/>
      </tp>
      <tp t="e">
        <v>#N/A</v>
        <stp/>
        <stp>BDH|16165051906368080327</stp>
        <tr r="Z117" s="18"/>
      </tp>
      <tp t="e">
        <v>#N/A</v>
        <stp/>
        <stp>BDH|11854639944689956764</stp>
        <tr r="J50" s="12"/>
      </tp>
      <tp t="e">
        <v>#N/A</v>
        <stp/>
        <stp>BDH|14756121483500180073</stp>
        <tr r="P109" s="18"/>
        <tr r="N9" s="20"/>
      </tp>
      <tp t="e">
        <v>#N/A</v>
        <stp/>
        <stp>BDH|10635548955654407934</stp>
        <tr r="I27" s="6"/>
      </tp>
      <tp t="e">
        <v>#N/A</v>
        <stp/>
        <stp>BDH|13951459482794978675</stp>
        <tr r="V60" s="24"/>
      </tp>
      <tp t="e">
        <v>#N/A</v>
        <stp/>
        <stp>BDH|17707902262562397767</stp>
        <tr r="T11" s="29"/>
      </tp>
      <tp t="e">
        <v>#N/A</v>
        <stp/>
        <stp>BDH|16378193024720985873</stp>
        <tr r="U32" s="6"/>
        <tr r="W6" s="8"/>
      </tp>
      <tp t="e">
        <v>#N/A</v>
        <stp/>
        <stp>BDH|13007136435934718816</stp>
        <tr r="K61" s="12"/>
      </tp>
      <tp t="e">
        <v>#N/A</v>
        <stp/>
        <stp>BDH|10399363235295020802</stp>
        <tr r="H23" s="26"/>
      </tp>
      <tp t="e">
        <v>#N/A</v>
        <stp/>
        <stp>BDH|17699925814253941195</stp>
        <tr r="F16" s="10"/>
      </tp>
      <tp t="e">
        <v>#N/A</v>
        <stp/>
        <stp>BDH|16415994836909325880</stp>
        <tr r="C30" s="12"/>
      </tp>
      <tp t="e">
        <v>#N/A</v>
        <stp/>
        <stp>BDH|17020258527512711850</stp>
        <tr r="M21" s="10"/>
      </tp>
      <tp t="e">
        <v>#N/A</v>
        <stp/>
        <stp>BDH|11854757466418905528</stp>
        <tr r="W57" s="24"/>
      </tp>
      <tp t="e">
        <v>#N/A</v>
        <stp/>
        <stp>BDH|13210926493046484871</stp>
        <tr r="J14" s="6"/>
      </tp>
      <tp t="e">
        <v>#N/A</v>
        <stp/>
        <stp>BDH|13884882179444125582</stp>
        <tr r="L59" s="24"/>
      </tp>
      <tp t="e">
        <v>#N/A</v>
        <stp/>
        <stp>BDH|15455059253609673443</stp>
        <tr r="N38" s="18"/>
      </tp>
      <tp t="e">
        <v>#N/A</v>
        <stp/>
        <stp>BDH|13534878290146742950</stp>
        <tr r="V61" s="24"/>
      </tp>
      <tp t="e">
        <v>#N/A</v>
        <stp/>
        <stp>BDH|16914380900748583043</stp>
        <tr r="N15" s="17"/>
        <tr r="N18" s="28"/>
      </tp>
      <tp t="e">
        <v>#N/A</v>
        <stp/>
        <stp>BDH|12754201871072295841</stp>
        <tr r="E66" s="12"/>
      </tp>
      <tp t="e">
        <v>#N/A</v>
        <stp/>
        <stp>BDH|13733222912358797507</stp>
        <tr r="S52" s="4"/>
        <tr r="U8" s="3"/>
        <tr r="S43" s="10"/>
        <tr r="S37" s="11"/>
        <tr r="U38" s="13"/>
      </tp>
      <tp t="e">
        <v>#N/A</v>
        <stp/>
        <stp>BDH|18162263912901318761</stp>
        <tr r="T51" s="24"/>
      </tp>
      <tp t="e">
        <v>#N/A</v>
        <stp/>
        <stp>BDH|12114127910427190828</stp>
        <tr r="E140" s="18"/>
      </tp>
      <tp t="e">
        <v>#N/A</v>
        <stp/>
        <stp>BDH|13448606204250070804</stp>
        <tr r="S23" s="22"/>
      </tp>
      <tp t="e">
        <v>#N/A</v>
        <stp/>
        <stp>BDH|14762201929578781198</stp>
        <tr r="C60" s="17"/>
      </tp>
      <tp t="e">
        <v>#N/A</v>
        <stp/>
        <stp>BDH|17420859849903170597</stp>
        <tr r="H25" s="22"/>
      </tp>
      <tp t="e">
        <v>#N/A</v>
        <stp/>
        <stp>BDH|15530247454546125942</stp>
        <tr r="E53" s="13"/>
      </tp>
      <tp t="e">
        <v>#N/A</v>
        <stp/>
        <stp>BDH|10428244865220024956</stp>
        <tr r="V30" s="26"/>
      </tp>
      <tp t="e">
        <v>#N/A</v>
        <stp/>
        <stp>BDH|15202539694887125344</stp>
        <tr r="T69" s="17"/>
      </tp>
      <tp t="e">
        <v>#N/A</v>
        <stp/>
        <stp>BDH|15805391811412966894</stp>
        <tr r="C45" s="21"/>
      </tp>
      <tp t="e">
        <v>#N/A</v>
        <stp/>
        <stp>BDH|12475870366421050051</stp>
        <tr r="AA95" s="18"/>
      </tp>
      <tp t="e">
        <v>#N/A</v>
        <stp/>
        <stp>BDH|14670908707791881196</stp>
        <tr r="V9" s="12"/>
      </tp>
      <tp t="e">
        <v>#N/A</v>
        <stp/>
        <stp>BDH|12376733949634059891</stp>
        <tr r="T71" s="18"/>
      </tp>
      <tp t="e">
        <v>#N/A</v>
        <stp/>
        <stp>BDH|11346982131321923731</stp>
        <tr r="AA30" s="29"/>
        <tr r="AA8" s="29"/>
      </tp>
      <tp t="e">
        <v>#N/A</v>
        <stp/>
        <stp>BDH|14064405699681026592</stp>
        <tr r="U16" s="22"/>
      </tp>
      <tp t="e">
        <v>#N/A</v>
        <stp/>
        <stp>BDH|14739000578796692898</stp>
        <tr r="O9" s="28"/>
      </tp>
      <tp t="e">
        <v>#N/A</v>
        <stp/>
        <stp>BDH|15455420602329252566</stp>
        <tr r="C78" s="18"/>
      </tp>
      <tp t="e">
        <v>#N/A</v>
        <stp/>
        <stp>BDH|12108853835967692377</stp>
        <tr r="V36" s="12"/>
      </tp>
      <tp t="e">
        <v>#N/A</v>
        <stp/>
        <stp>BDH|11994326781226382191</stp>
        <tr r="H33" s="17"/>
      </tp>
      <tp t="e">
        <v>#N/A</v>
        <stp/>
        <stp>BDH|14850529985366930257</stp>
        <tr r="Y10" s="12"/>
      </tp>
      <tp t="e">
        <v>#N/A</v>
        <stp/>
        <stp>BDH|17984572238809689531</stp>
        <tr r="AA16" s="14"/>
      </tp>
      <tp t="e">
        <v>#N/A</v>
        <stp/>
        <stp>BDH|11272362756703209938</stp>
        <tr r="J56" s="12"/>
      </tp>
      <tp t="e">
        <v>#N/A</v>
        <stp/>
        <stp>BDH|12736498872469842571</stp>
        <tr r="F15" s="12"/>
      </tp>
      <tp t="e">
        <v>#N/A</v>
        <stp/>
        <stp>BDH|11786487177467357887</stp>
        <tr r="E42" s="21"/>
      </tp>
      <tp t="e">
        <v>#N/A</v>
        <stp/>
        <stp>BDH|10207023668612883934</stp>
        <tr r="H144" s="18"/>
      </tp>
      <tp t="e">
        <v>#N/A</v>
        <stp/>
        <stp>BDH|11491586310191803976</stp>
        <tr r="E85" s="18"/>
      </tp>
      <tp t="e">
        <v>#N/A</v>
        <stp/>
        <stp>BDH|10418410979818800671</stp>
        <tr r="Q10" s="2"/>
        <tr r="P11" s="5"/>
        <tr r="P36" s="6"/>
        <tr r="S31" s="29"/>
        <tr r="S39" s="29"/>
      </tp>
      <tp t="e">
        <v>#N/A</v>
        <stp/>
        <stp>BDH|16724046063959526460</stp>
        <tr r="H78" s="18"/>
      </tp>
      <tp t="e">
        <v>#N/A</v>
        <stp/>
        <stp>BDH|14767150799487146698</stp>
        <tr r="O74" s="12"/>
      </tp>
      <tp t="e">
        <v>#N/A</v>
        <stp/>
        <stp>BDH|10202800027977125075</stp>
        <tr r="C31" s="21"/>
      </tp>
      <tp t="e">
        <v>#N/A</v>
        <stp/>
        <stp>BDH|12382120650869697244</stp>
        <tr r="L68" s="12"/>
      </tp>
      <tp t="e">
        <v>#N/A</v>
        <stp/>
        <stp>BDH|13990388384905137076</stp>
        <tr r="P40" s="21"/>
      </tp>
      <tp t="e">
        <v>#N/A</v>
        <stp/>
        <stp>BDH|18019264463860418121</stp>
        <tr r="U163" s="18"/>
      </tp>
      <tp t="e">
        <v>#N/A</v>
        <stp/>
        <stp>BDH|11285302624509343467</stp>
        <tr r="K20" s="12"/>
      </tp>
      <tp t="e">
        <v>#N/A</v>
        <stp/>
        <stp>BDH|16855197090697330414</stp>
        <tr r="Y49" s="17"/>
      </tp>
      <tp t="e">
        <v>#N/A</v>
        <stp/>
        <stp>BDH|10041523326358628215</stp>
        <tr r="L17" s="18"/>
      </tp>
      <tp t="e">
        <v>#N/A</v>
        <stp/>
        <stp>BDH|16336829281952535963</stp>
        <tr r="S61" s="24"/>
      </tp>
      <tp t="e">
        <v>#N/A</v>
        <stp/>
        <stp>BDH|18238689562795392087</stp>
        <tr r="I37" s="10"/>
        <tr r="I31" s="11"/>
        <tr r="K40" s="13"/>
      </tp>
      <tp t="e">
        <v>#N/A</v>
        <stp/>
        <stp>BDH|16761444077598261053</stp>
        <tr r="C31" s="10"/>
        <tr r="C25" s="11"/>
      </tp>
      <tp t="e">
        <v>#N/A</v>
        <stp/>
        <stp>BDH|17270949097613286902</stp>
        <tr r="F25" s="22"/>
      </tp>
      <tp t="e">
        <v>#N/A</v>
        <stp/>
        <stp>BDH|12358618563688393710</stp>
        <tr r="J25" s="4"/>
        <tr r="J64" s="10"/>
      </tp>
      <tp t="e">
        <v>#N/A</v>
        <stp/>
        <stp>BDH|10938330022648247490</stp>
        <tr r="I41" s="24"/>
      </tp>
      <tp t="e">
        <v>#N/A</v>
        <stp/>
        <stp>BDH|14372698260219185084</stp>
        <tr r="M59" s="24"/>
      </tp>
      <tp t="e">
        <v>#N/A</v>
        <stp/>
        <stp>BDH|11314658439330535998</stp>
        <tr r="W23" s="24"/>
      </tp>
      <tp t="e">
        <v>#N/A</v>
        <stp/>
        <stp>BDH|17647745972379027330</stp>
        <tr r="Y7" s="2"/>
        <tr r="X7" s="5"/>
        <tr r="X7" s="9"/>
        <tr r="AA14" s="3"/>
      </tp>
      <tp t="e">
        <v>#N/A</v>
        <stp/>
        <stp>BDH|10226462230018070277</stp>
        <tr r="M10" s="22"/>
      </tp>
      <tp t="e">
        <v>#N/A</v>
        <stp/>
        <stp>BDH|17730925936413935396</stp>
        <tr r="P103" s="18"/>
      </tp>
      <tp t="e">
        <v>#N/A</v>
        <stp/>
        <stp>BDH|13207645142109432530</stp>
        <tr r="F10" s="13"/>
      </tp>
      <tp t="e">
        <v>#N/A</v>
        <stp/>
        <stp>BDH|13656684505168824005</stp>
        <tr r="W20" s="29"/>
      </tp>
      <tp t="e">
        <v>#N/A</v>
        <stp/>
        <stp>BDH|15504948135915014777</stp>
        <tr r="Q15" s="29"/>
        <tr r="Q35" s="29"/>
      </tp>
      <tp t="e">
        <v>#N/A</v>
        <stp/>
        <stp>BDH|13378241243900196860</stp>
        <tr r="D55" s="12"/>
      </tp>
      <tp t="e">
        <v>#N/A</v>
        <stp/>
        <stp>BDH|13606836151364739700</stp>
        <tr r="K121" s="18"/>
      </tp>
      <tp t="e">
        <v>#N/A</v>
        <stp/>
        <stp>BDH|13295629301531234900</stp>
        <tr r="T113" s="18"/>
        <tr r="R14" s="20"/>
      </tp>
      <tp t="e">
        <v>#N/A</v>
        <stp/>
        <stp>BDH|10310415350808923488</stp>
        <tr r="L21" s="24"/>
      </tp>
      <tp t="e">
        <v>#N/A</v>
        <stp/>
        <stp>BDH|17053287681336256682</stp>
        <tr r="S71" s="10"/>
        <tr r="S65" s="11"/>
      </tp>
      <tp t="e">
        <v>#N/A</v>
        <stp/>
        <stp>BDH|17489270892644296501</stp>
        <tr r="W6" s="19"/>
        <tr r="W37" s="17"/>
        <tr r="W16" s="3"/>
      </tp>
      <tp t="e">
        <v>#N/A</v>
        <stp/>
        <stp>BDH|12742625032922244869</stp>
        <tr r="K36" s="4"/>
      </tp>
      <tp t="e">
        <v>#N/A</v>
        <stp/>
        <stp>BDH|17871771426196351996</stp>
        <tr r="E29" s="21"/>
      </tp>
      <tp t="e">
        <v>#N/A</v>
        <stp/>
        <stp>BDH|11517729382174091764</stp>
        <tr r="C9" s="34"/>
      </tp>
      <tp t="e">
        <v>#N/A</v>
        <stp/>
        <stp>BDH|13484844475694749505</stp>
        <tr r="H13" s="22"/>
      </tp>
      <tp t="e">
        <v>#N/A</v>
        <stp/>
        <stp>BDH|10351071682250598515</stp>
        <tr r="P8" s="24"/>
      </tp>
      <tp t="e">
        <v>#N/A</v>
        <stp/>
        <stp>BDH|12577953677438638939</stp>
        <tr r="J54" s="12"/>
      </tp>
      <tp t="e">
        <v>#N/A</v>
        <stp/>
        <stp>BDH|14393819415940304060</stp>
        <tr r="K14" s="30"/>
      </tp>
      <tp t="e">
        <v>#N/A</v>
        <stp/>
        <stp>BDH|10083117291147249202</stp>
        <tr r="N14" s="10"/>
      </tp>
      <tp t="e">
        <v>#N/A</v>
        <stp/>
        <stp>BDH|17959982630422136228</stp>
        <tr r="R72" s="12"/>
      </tp>
      <tp t="e">
        <v>#N/A</v>
        <stp/>
        <stp>BDH|17892700085455760083</stp>
        <tr r="T60" s="11"/>
        <tr r="V15" s="23"/>
      </tp>
      <tp t="e">
        <v>#N/A</v>
        <stp/>
        <stp>BDH|12621226386047430248</stp>
        <tr r="I82" s="17"/>
        <tr r="I19" s="3"/>
      </tp>
      <tp t="e">
        <v>#N/A</v>
        <stp/>
        <stp>BDH|17021179474709177504</stp>
        <tr r="G89" s="18"/>
      </tp>
      <tp t="e">
        <v>#N/A</v>
        <stp/>
        <stp>BDH|14973181653505149819</stp>
        <tr r="P66" s="17"/>
      </tp>
      <tp t="e">
        <v>#N/A</v>
        <stp/>
        <stp>BDH|12609223304165155839</stp>
        <tr r="W48" s="18"/>
      </tp>
      <tp t="e">
        <v>#N/A</v>
        <stp/>
        <stp>BDH|15401832386178391004</stp>
        <tr r="K118" s="18"/>
      </tp>
      <tp t="e">
        <v>#N/A</v>
        <stp/>
        <stp>BDH|10872894497985336974</stp>
        <tr r="O21" s="18"/>
      </tp>
      <tp t="e">
        <v>#N/A</v>
        <stp/>
        <stp>BDH|18438627653805475336</stp>
        <tr r="AA43" s="21"/>
      </tp>
      <tp t="e">
        <v>#N/A</v>
        <stp/>
        <stp>BDH|17325270315121699856</stp>
        <tr r="G25" s="13"/>
      </tp>
      <tp t="e">
        <v>#N/A</v>
        <stp/>
        <stp>BDH|14134733801079413752</stp>
        <tr r="D121" s="18"/>
      </tp>
      <tp t="e">
        <v>#N/A</v>
        <stp/>
        <stp>BDH|14896638218177323920</stp>
        <tr r="N34" s="25"/>
      </tp>
      <tp t="e">
        <v>#N/A</v>
        <stp/>
        <stp>BDH|17590843033885250426</stp>
        <tr r="M39" s="4"/>
        <tr r="M65" s="10"/>
      </tp>
      <tp t="e">
        <v>#N/A</v>
        <stp/>
        <stp>BDH|15515961235186291468</stp>
        <tr r="M65" s="21"/>
        <tr r="K23" s="7"/>
      </tp>
      <tp t="e">
        <v>#N/A</v>
        <stp/>
        <stp>BDH|11923953561747843472</stp>
        <tr r="W56" s="10"/>
        <tr r="W50" s="11"/>
        <tr r="W18" s="7"/>
        <tr r="Y52" s="13"/>
      </tp>
      <tp t="e">
        <v>#N/A</v>
        <stp/>
        <stp>BDH|18227826793842428659</stp>
        <tr r="E160" s="18"/>
      </tp>
      <tp t="e">
        <v>#N/A</v>
        <stp/>
        <stp>BDH|15007035956375457834</stp>
        <tr r="F61" s="17"/>
      </tp>
      <tp t="e">
        <v>#N/A</v>
        <stp/>
        <stp>BDH|15248750380325335262</stp>
        <tr r="Z20" s="22"/>
      </tp>
      <tp t="e">
        <v>#N/A</v>
        <stp/>
        <stp>BDH|16637152864094508807</stp>
        <tr r="O52" s="10"/>
        <tr r="O46" s="11"/>
        <tr r="O16" s="7"/>
      </tp>
      <tp t="e">
        <v>#N/A</v>
        <stp/>
        <stp>BDH|11469767207133035876</stp>
        <tr r="J67" s="12"/>
      </tp>
      <tp t="e">
        <v>#N/A</v>
        <stp/>
        <stp>BDH|17171478393893454436</stp>
        <tr r="W56" s="12"/>
      </tp>
      <tp t="e">
        <v>#N/A</v>
        <stp/>
        <stp>BDH|17943439640109891301</stp>
        <tr r="P42" s="13"/>
      </tp>
      <tp t="e">
        <v>#N/A</v>
        <stp/>
        <stp>BDH|17342660443959349102</stp>
        <tr r="N27" s="26"/>
        <tr r="K14" s="9"/>
      </tp>
      <tp t="e">
        <v>#N/A</v>
        <stp/>
        <stp>BDH|14391830535511640363</stp>
        <tr r="W32" s="6"/>
        <tr r="Y6" s="8"/>
      </tp>
      <tp t="e">
        <v>#N/A</v>
        <stp/>
        <stp>BDH|10436520198714863538</stp>
        <tr r="T23" s="21"/>
      </tp>
      <tp t="e">
        <v>#N/A</v>
        <stp/>
        <stp>BDH|15039739389056709183</stp>
        <tr r="D48" s="12"/>
      </tp>
      <tp t="e">
        <v>#N/A</v>
        <stp/>
        <stp>BDH|14151808274277564150</stp>
        <tr r="I38" s="24"/>
      </tp>
      <tp t="e">
        <v>#N/A</v>
        <stp/>
        <stp>BDH|10799030367069460227</stp>
        <tr r="T34" s="18"/>
      </tp>
      <tp t="e">
        <v>#N/A</v>
        <stp/>
        <stp>BDH|17046006248427887956</stp>
        <tr r="F24" s="26"/>
      </tp>
      <tp t="e">
        <v>#N/A</v>
        <stp/>
        <stp>BDH|10070109953820397950</stp>
        <tr r="R42" s="4"/>
      </tp>
      <tp t="e">
        <v>#N/A</v>
        <stp/>
        <stp>BDH|12628283095954705097</stp>
        <tr r="Z14" s="21"/>
      </tp>
      <tp t="e">
        <v>#N/A</v>
        <stp/>
        <stp>BDH|15142349732570507877</stp>
        <tr r="H23" s="22"/>
      </tp>
      <tp t="e">
        <v>#N/A</v>
        <stp/>
        <stp>BDH|10375496461589828669</stp>
        <tr r="V127" s="18"/>
      </tp>
      <tp t="e">
        <v>#N/A</v>
        <stp/>
        <stp>BDH|14120841474923065543</stp>
        <tr r="AA39" s="12"/>
      </tp>
      <tp t="e">
        <v>#N/A</v>
        <stp/>
        <stp>BDH|17365329675096462857</stp>
        <tr r="M23" s="13"/>
      </tp>
      <tp t="e">
        <v>#N/A</v>
        <stp/>
        <stp>BDH|16440459296177435161</stp>
        <tr r="T53" s="13"/>
      </tp>
      <tp t="e">
        <v>#N/A</v>
        <stp/>
        <stp>BDH|17337386017410865819</stp>
        <tr r="E34" s="6"/>
        <tr r="G10" s="8"/>
      </tp>
      <tp t="e">
        <v>#N/A</v>
        <stp/>
        <stp>BDH|11931959177026944473</stp>
        <tr r="U47" s="21"/>
      </tp>
      <tp t="e">
        <v>#N/A</v>
        <stp/>
        <stp>BDH|14575307344157251969</stp>
        <tr r="P7" s="11"/>
      </tp>
      <tp t="e">
        <v>#N/A</v>
        <stp/>
        <stp>BDH|12355299040708795181</stp>
        <tr r="F8" s="13"/>
      </tp>
      <tp t="e">
        <v>#N/A</v>
        <stp/>
        <stp>BDH|11570927447428470911</stp>
        <tr r="Z7" s="17"/>
      </tp>
      <tp t="e">
        <v>#N/A</v>
        <stp/>
        <stp>BDH|16641328504358264078</stp>
        <tr r="I19" s="22"/>
      </tp>
      <tp t="e">
        <v>#N/A</v>
        <stp/>
        <stp>BDH|15637008071256284900</stp>
        <tr r="W71" s="24"/>
      </tp>
      <tp t="e">
        <v>#N/A</v>
        <stp/>
        <stp>BDH|12047512918392573992</stp>
        <tr r="S7" s="28"/>
      </tp>
      <tp t="e">
        <v>#N/A</v>
        <stp/>
        <stp>BDH|16357357582434453453</stp>
        <tr r="T46" s="21"/>
      </tp>
      <tp t="e">
        <v>#N/A</v>
        <stp/>
        <stp>BDH|11077558173047119929</stp>
        <tr r="I28" s="18"/>
      </tp>
      <tp t="e">
        <v>#N/A</v>
        <stp/>
        <stp>BDH|15828492978478400383</stp>
        <tr r="C24" s="29"/>
      </tp>
      <tp t="e">
        <v>#N/A</v>
        <stp/>
        <stp>BDH|14701744463548066051</stp>
        <tr r="C78" s="17"/>
      </tp>
      <tp t="e">
        <v>#N/A</v>
        <stp/>
        <stp>BDH|17070010046776306815</stp>
        <tr r="C21" s="24"/>
      </tp>
      <tp t="e">
        <v>#N/A</v>
        <stp/>
        <stp>BDH|10596910284058342468</stp>
        <tr r="Y46" s="18"/>
      </tp>
      <tp t="e">
        <v>#N/A</v>
        <stp/>
        <stp>BDH|11861988880128094552</stp>
        <tr r="Q60" s="12"/>
      </tp>
      <tp t="e">
        <v>#N/A</v>
        <stp/>
        <stp>BDH|13463615613011033834</stp>
        <tr r="M34" s="24"/>
      </tp>
      <tp t="e">
        <v>#N/A</v>
        <stp/>
        <stp>BDH|10749466798302497293</stp>
        <tr r="P113" s="18"/>
        <tr r="N14" s="20"/>
      </tp>
      <tp t="e">
        <v>#N/A</v>
        <stp/>
        <stp>BDH|15871748238609604562</stp>
        <tr r="V42" s="22"/>
      </tp>
      <tp t="e">
        <v>#N/A</v>
        <stp/>
        <stp>BDH|12139717484546536658</stp>
        <tr r="N59" s="21"/>
        <tr r="L56" s="11"/>
      </tp>
      <tp t="e">
        <v>#N/A</v>
        <stp/>
        <stp>BDH|13052704785407983685</stp>
        <tr r="M167" s="18"/>
      </tp>
      <tp t="e">
        <v>#N/A</v>
        <stp/>
        <stp>BDH|11725316682620285725</stp>
        <tr r="X90" s="17"/>
      </tp>
      <tp t="e">
        <v>#N/A</v>
        <stp/>
        <stp>BDH|16012000320818177151</stp>
        <tr r="J35" s="21"/>
      </tp>
      <tp t="e">
        <v>#N/A</v>
        <stp/>
        <stp>BDH|17478918642435673252</stp>
        <tr r="N13" s="9"/>
      </tp>
      <tp t="e">
        <v>#N/A</v>
        <stp/>
        <stp>BDH|12382737339382908941</stp>
        <tr r="S29" s="12"/>
      </tp>
      <tp t="e">
        <v>#N/A</v>
        <stp/>
        <stp>BDH|10669434696434389442</stp>
        <tr r="X47" s="12"/>
      </tp>
      <tp t="e">
        <v>#N/A</v>
        <stp/>
        <stp>BDH|16790650761998406333</stp>
        <tr r="V29" s="5"/>
      </tp>
      <tp t="e">
        <v>#N/A</v>
        <stp/>
        <stp>BDH|14210064656574512833</stp>
        <tr r="G49" s="18"/>
      </tp>
      <tp t="e">
        <v>#N/A</v>
        <stp/>
        <stp>BDH|16848835356797844113</stp>
        <tr r="S10" s="17"/>
      </tp>
      <tp t="e">
        <v>#N/A</v>
        <stp/>
        <stp>BDH|15606625306429020763</stp>
        <tr r="U17" s="10"/>
      </tp>
      <tp t="e">
        <v>#N/A</v>
        <stp/>
        <stp>BDH|17315308701121087860</stp>
        <tr r="Q72" s="10"/>
        <tr r="Q66" s="11"/>
      </tp>
      <tp t="e">
        <v>#N/A</v>
        <stp/>
        <stp>BDH|13116535688302620185</stp>
        <tr r="L22" s="25"/>
        <tr r="L12" s="27"/>
      </tp>
      <tp t="e">
        <v>#N/A</v>
        <stp/>
        <stp>BDH|10052565266146755833</stp>
        <tr r="P36" s="4"/>
      </tp>
      <tp t="e">
        <v>#N/A</v>
        <stp/>
        <stp>BDH|17627773993071238545</stp>
        <tr r="AA64" s="12"/>
      </tp>
      <tp t="e">
        <v>#N/A</v>
        <stp/>
        <stp>BDH|15403074084077738741</stp>
        <tr r="T45" s="24"/>
      </tp>
      <tp t="e">
        <v>#N/A</v>
        <stp/>
        <stp>BDH|15396931953165592126</stp>
        <tr r="AA15" s="13"/>
      </tp>
      <tp t="e">
        <v>#N/A</v>
        <stp/>
        <stp>BDH|14677024485306352763</stp>
        <tr r="G27" s="18"/>
      </tp>
      <tp t="e">
        <v>#N/A</v>
        <stp/>
        <stp>BDH|17781634030499387635</stp>
        <tr r="N9" s="29"/>
      </tp>
      <tp t="e">
        <v>#N/A</v>
        <stp/>
        <stp>BDH|14297805892039288161</stp>
        <tr r="S63" s="24"/>
      </tp>
      <tp t="e">
        <v>#N/A</v>
        <stp/>
        <stp>BDH|13629997830080919421</stp>
        <tr r="V162" s="18"/>
      </tp>
      <tp t="e">
        <v>#N/A</v>
        <stp/>
        <stp>BDH|13499647920873343976</stp>
        <tr r="Z29" s="29"/>
        <tr r="Z7" s="29"/>
      </tp>
      <tp t="e">
        <v>#N/A</v>
        <stp/>
        <stp>BDH|18163423100146632713</stp>
        <tr r="P100" s="18"/>
      </tp>
      <tp t="e">
        <v>#N/A</v>
        <stp/>
        <stp>BDH|15376624698202856550</stp>
        <tr r="Z45" s="18"/>
      </tp>
      <tp t="e">
        <v>#N/A</v>
        <stp/>
        <stp>BDH|10578061622758318764</stp>
        <tr r="U32" s="12"/>
      </tp>
      <tp t="e">
        <v>#N/A</v>
        <stp/>
        <stp>BDH|16386619418504600880</stp>
        <tr r="T151" s="18"/>
      </tp>
      <tp t="e">
        <v>#N/A</v>
        <stp/>
        <stp>BDH|12448905101250516679</stp>
        <tr r="O37" s="10"/>
        <tr r="O31" s="11"/>
        <tr r="Q40" s="13"/>
      </tp>
      <tp t="e">
        <v>#N/A</v>
        <stp/>
        <stp>BDH|17057425763961562934</stp>
        <tr r="N43" s="17"/>
      </tp>
      <tp t="e">
        <v>#N/A</v>
        <stp/>
        <stp>BDH|15316964412279893985</stp>
        <tr r="H76" s="12"/>
      </tp>
      <tp t="e">
        <v>#N/A</v>
        <stp/>
        <stp>BDH|17271179496322065040</stp>
        <tr r="P23" s="2"/>
        <tr r="R18" s="21"/>
        <tr r="R23" s="3"/>
      </tp>
      <tp t="e">
        <v>#N/A</v>
        <stp/>
        <stp>BDH|11575929970487791579</stp>
        <tr r="P47" s="24"/>
      </tp>
      <tp t="e">
        <v>#N/A</v>
        <stp/>
        <stp>BDH|15414858314538001926</stp>
        <tr r="X56" s="13"/>
      </tp>
      <tp t="e">
        <v>#N/A</v>
        <stp/>
        <stp>BDH|16819875942495295280</stp>
        <tr r="AA64" s="24"/>
      </tp>
      <tp t="e">
        <v>#N/A</v>
        <stp/>
        <stp>BDH|17655991842274296386</stp>
        <tr r="P35" s="25"/>
        <tr r="P7" s="3"/>
        <tr r="N18" s="11"/>
        <tr r="P22" s="13"/>
        <tr r="P7" s="13"/>
      </tp>
      <tp t="e">
        <v>#N/A</v>
        <stp/>
        <stp>BDH|15235660552218206339</stp>
        <tr r="G105" s="18"/>
      </tp>
      <tp t="e">
        <v>#N/A</v>
        <stp/>
        <stp>BDH|10502962566286383416</stp>
        <tr r="I7" s="6"/>
      </tp>
      <tp t="e">
        <v>#N/A</v>
        <stp/>
        <stp>BDH|10002388654159874230</stp>
        <tr r="I31" s="24"/>
      </tp>
      <tp t="e">
        <v>#N/A</v>
        <stp/>
        <stp>BDH|18035468536331642312</stp>
        <tr r="V46" s="21"/>
      </tp>
      <tp t="e">
        <v>#N/A</v>
        <stp/>
        <stp>BDH|16108821199843522986</stp>
        <tr r="M12" s="6"/>
      </tp>
      <tp t="e">
        <v>#N/A</v>
        <stp/>
        <stp>BDH|17999936219011747338</stp>
        <tr r="J52" s="24"/>
      </tp>
      <tp t="e">
        <v>#N/A</v>
        <stp/>
        <stp>BDH|11269286816378287798</stp>
        <tr r="Y65" s="21"/>
        <tr r="W23" s="7"/>
      </tp>
      <tp t="e">
        <v>#N/A</v>
        <stp/>
        <stp>BDH|14084860525625754639</stp>
        <tr r="F25" s="34"/>
      </tp>
      <tp t="e">
        <v>#N/A</v>
        <stp/>
        <stp>BDH|11474146871053538933</stp>
        <tr r="L26" s="10"/>
        <tr r="N31" s="13"/>
      </tp>
      <tp t="e">
        <v>#N/A</v>
        <stp/>
        <stp>BDH|15532181477719967742</stp>
        <tr r="E10" s="22"/>
      </tp>
      <tp t="e">
        <v>#N/A</v>
        <stp/>
        <stp>BDH|12053979261431210138</stp>
        <tr r="E14" s="22"/>
      </tp>
      <tp t="e">
        <v>#N/A</v>
        <stp/>
        <stp>BDH|16942744633467135887</stp>
        <tr r="G42" s="34"/>
      </tp>
      <tp t="e">
        <v>#N/A</v>
        <stp/>
        <stp>BDH|13761349045211842899</stp>
        <tr r="E80" s="18"/>
      </tp>
      <tp t="e">
        <v>#N/A</v>
        <stp/>
        <stp>BDH|13568160206608256702</stp>
        <tr r="L73" s="18"/>
      </tp>
      <tp t="e">
        <v>#N/A</v>
        <stp/>
        <stp>BDH|17372007198093934055</stp>
        <tr r="X26" s="25"/>
        <tr r="X16" s="27"/>
      </tp>
      <tp t="e">
        <v>#N/A</v>
        <stp/>
        <stp>BDH|18238220238847946369</stp>
        <tr r="G63" s="10"/>
      </tp>
      <tp t="e">
        <v>#N/A</v>
        <stp/>
        <stp>BDH|15572745193115102346</stp>
        <tr r="D25" s="34"/>
      </tp>
      <tp t="e">
        <v>#N/A</v>
        <stp/>
        <stp>BDH|17060965030016932685</stp>
        <tr r="C69" s="17"/>
      </tp>
      <tp t="e">
        <v>#N/A</v>
        <stp/>
        <stp>BDH|17831094085211185329</stp>
        <tr r="O30" s="34"/>
      </tp>
      <tp t="e">
        <v>#N/A</v>
        <stp/>
        <stp>BDH|11323099181120828453</stp>
        <tr r="N10" s="17"/>
      </tp>
      <tp t="e">
        <v>#N/A</v>
        <stp/>
        <stp>BDH|15940806290950631993</stp>
        <tr r="S6" s="19"/>
        <tr r="S37" s="17"/>
        <tr r="S16" s="3"/>
      </tp>
      <tp t="e">
        <v>#N/A</v>
        <stp/>
        <stp>BDH|12282607807130024936</stp>
        <tr r="L15" s="11"/>
      </tp>
      <tp t="e">
        <v>#N/A</v>
        <stp/>
        <stp>BDH|11392199291397983341</stp>
        <tr r="N59" s="24"/>
      </tp>
      <tp t="e">
        <v>#N/A</v>
        <stp/>
        <stp>BDH|16213115885577289523</stp>
        <tr r="T29" s="4"/>
      </tp>
      <tp t="e">
        <v>#N/A</v>
        <stp/>
        <stp>BDH|16176972325619702929</stp>
        <tr r="N32" s="10"/>
        <tr r="N26" s="11"/>
      </tp>
      <tp t="e">
        <v>#N/A</v>
        <stp/>
        <stp>BDH|13763913566487799611</stp>
        <tr r="P18" s="14"/>
      </tp>
      <tp t="e">
        <v>#N/A</v>
        <stp/>
        <stp>BDH|11146895469350194262</stp>
        <tr r="G23" s="20"/>
      </tp>
      <tp t="e">
        <v>#N/A</v>
        <stp/>
        <stp>BDH|12266362838857332897</stp>
        <tr r="W7" s="24"/>
      </tp>
      <tp t="e">
        <v>#N/A</v>
        <stp/>
        <stp>BDH|17229828002230652225</stp>
        <tr r="F23" s="2"/>
        <tr r="H18" s="21"/>
        <tr r="H23" s="3"/>
      </tp>
      <tp t="e">
        <v>#N/A</v>
        <stp/>
        <stp>BDH|12558302384174485031</stp>
        <tr r="G58" s="18"/>
      </tp>
      <tp t="e">
        <v>#N/A</v>
        <stp/>
        <stp>BDH|10578611596637762538</stp>
        <tr r="K27" s="34"/>
      </tp>
      <tp t="e">
        <v>#N/A</v>
        <stp/>
        <stp>BDH|14892840940026908337</stp>
        <tr r="E70" s="12"/>
      </tp>
      <tp t="e">
        <v>#N/A</v>
        <stp/>
        <stp>BDH|11714443938979916247</stp>
        <tr r="Y42" s="12"/>
      </tp>
      <tp t="e">
        <v>#N/A</v>
        <stp/>
        <stp>BDH|17371370912809772175</stp>
        <tr r="D17" s="22"/>
      </tp>
      <tp t="e">
        <v>#N/A</v>
        <stp/>
        <stp>BDH|17009456732889913482</stp>
        <tr r="U22" s="22"/>
      </tp>
      <tp t="e">
        <v>#N/A</v>
        <stp/>
        <stp>BDH|14690931542681267534</stp>
        <tr r="C87" s="17"/>
        <tr r="C20" s="3"/>
      </tp>
      <tp t="e">
        <v>#N/A</v>
        <stp/>
        <stp>BDH|16533175964154595852</stp>
        <tr r="W65" s="21"/>
        <tr r="U23" s="7"/>
      </tp>
      <tp t="e">
        <v>#N/A</v>
        <stp/>
        <stp>BDH|15118319645279758643</stp>
        <tr r="C11" s="29"/>
      </tp>
      <tp t="e">
        <v>#N/A</v>
        <stp/>
        <stp>BDH|12252973106105165342</stp>
        <tr r="R61" s="18"/>
      </tp>
      <tp t="e">
        <v>#N/A</v>
        <stp/>
        <stp>BDH|18360580767842889427</stp>
        <tr r="U78" s="18"/>
      </tp>
      <tp t="e">
        <v>#N/A</v>
        <stp/>
        <stp>BDH|11695039516069096458</stp>
        <tr r="T46" s="12"/>
      </tp>
      <tp t="e">
        <v>#N/A</v>
        <stp/>
        <stp>BDH|10743709196627129469</stp>
        <tr r="L38" s="6"/>
      </tp>
      <tp t="e">
        <v>#N/A</v>
        <stp/>
        <stp>BDH|17840986092389252364</stp>
        <tr r="M148" s="18"/>
      </tp>
      <tp t="e">
        <v>#N/A</v>
        <stp/>
        <stp>BDH|10109216992611452705</stp>
        <tr r="D58" s="21"/>
        <tr r="D33" s="25"/>
      </tp>
      <tp t="e">
        <v>#N/A</v>
        <stp/>
        <stp>BDH|10665548589146466699</stp>
        <tr r="O29" s="9"/>
      </tp>
      <tp t="e">
        <v>#N/A</v>
        <stp/>
        <stp>BDH|18331757270570159513</stp>
        <tr r="V24" s="12"/>
      </tp>
      <tp t="e">
        <v>#N/A</v>
        <stp/>
        <stp>BDH|17519514496922332479</stp>
        <tr r="G13" s="18"/>
      </tp>
      <tp t="e">
        <v>#N/A</v>
        <stp/>
        <stp>BDH|10527157241269576126</stp>
        <tr r="O168" s="18"/>
      </tp>
      <tp t="e">
        <v>#N/A</v>
        <stp/>
        <stp>BDH|16127305778456716984</stp>
        <tr r="V53" s="13"/>
      </tp>
      <tp t="e">
        <v>#N/A</v>
        <stp/>
        <stp>BDH|15754833705625377543</stp>
        <tr r="T9" s="29"/>
      </tp>
      <tp t="e">
        <v>#N/A</v>
        <stp/>
        <stp>BDH|16923443733525569928</stp>
        <tr r="M9" s="28"/>
      </tp>
      <tp t="e">
        <v>#N/A</v>
        <stp/>
        <stp>BDH|17679466296114629398</stp>
        <tr r="Z43" s="22"/>
      </tp>
      <tp t="e">
        <v>#N/A</v>
        <stp/>
        <stp>BDH|10479668883501013281</stp>
        <tr r="X23" s="24"/>
      </tp>
      <tp t="e">
        <v>#N/A</v>
        <stp/>
        <stp>BDH|13696561789633220026</stp>
        <tr r="R38" s="18"/>
      </tp>
      <tp t="e">
        <v>#N/A</v>
        <stp/>
        <stp>BDH|16643379985001937147</stp>
        <tr r="X22" s="7"/>
      </tp>
      <tp t="e">
        <v>#N/A</v>
        <stp/>
        <stp>BDH|11138376218978653610</stp>
        <tr r="F95" s="17"/>
        <tr r="F30" s="25"/>
      </tp>
      <tp t="e">
        <v>#N/A</v>
        <stp/>
        <stp>BDH|12990401895627570501</stp>
        <tr r="AA40" s="24"/>
      </tp>
      <tp t="e">
        <v>#N/A</v>
        <stp/>
        <stp>BDH|14401385139708837149</stp>
        <tr r="D49" s="17"/>
      </tp>
      <tp t="e">
        <v>#N/A</v>
        <stp/>
        <stp>BDH|13228420152247883837</stp>
        <tr r="M10" s="21"/>
      </tp>
      <tp t="e">
        <v>#N/A</v>
        <stp/>
        <stp>BDH|12265148556288850317</stp>
        <tr r="Q6" s="15"/>
        <tr r="Q12" s="2"/>
        <tr r="Q11" s="4"/>
        <tr r="Q6" s="10"/>
      </tp>
      <tp t="e">
        <v>#N/A</v>
        <stp/>
        <stp>BDH|13401889002387459132</stp>
        <tr r="O22" s="20"/>
      </tp>
      <tp t="e">
        <v>#N/A</v>
        <stp/>
        <stp>BDH|11901316392296417076</stp>
        <tr r="W68" s="12"/>
      </tp>
      <tp t="e">
        <v>#N/A</v>
        <stp/>
        <stp>BDH|14024390334491351870</stp>
        <tr r="D25" s="22"/>
      </tp>
      <tp t="e">
        <v>#N/A</v>
        <stp/>
        <stp>BDH|16598713195963802601</stp>
        <tr r="S17" s="6"/>
      </tp>
      <tp t="e">
        <v>#N/A</v>
        <stp/>
        <stp>BDH|14148743774500829902</stp>
        <tr r="E99" s="18"/>
      </tp>
      <tp t="e">
        <v>#N/A</v>
        <stp/>
        <stp>BDH|10074912022351813725</stp>
        <tr r="K36" s="21"/>
      </tp>
      <tp t="e">
        <v>#N/A</v>
        <stp/>
        <stp>BDH|17016482170698239137</stp>
        <tr r="Z44" s="18"/>
      </tp>
      <tp t="e">
        <v>#N/A</v>
        <stp/>
        <stp>BDH|16451512235135910806</stp>
        <tr r="W10" s="17"/>
      </tp>
      <tp t="e">
        <v>#N/A</v>
        <stp/>
        <stp>BDH|11589589812520250841</stp>
        <tr r="R167" s="18"/>
      </tp>
      <tp t="e">
        <v>#N/A</v>
        <stp/>
        <stp>BDH|16702164468114445841</stp>
        <tr r="Y57" s="24"/>
      </tp>
      <tp t="e">
        <v>#N/A</v>
        <stp/>
        <stp>BDH|11761865258310179112</stp>
        <tr r="G22" s="24"/>
      </tp>
      <tp t="e">
        <v>#N/A</v>
        <stp/>
        <stp>BDH|18134719971551882402</stp>
        <tr r="L66" s="24"/>
      </tp>
      <tp t="e">
        <v>#N/A</v>
        <stp/>
        <stp>BDH|11282264028924750824</stp>
        <tr r="E21" s="4"/>
      </tp>
      <tp t="e">
        <v>#N/A</v>
        <stp/>
        <stp>BDH|17788159362288008588</stp>
        <tr r="S67" s="18"/>
      </tp>
      <tp t="e">
        <v>#N/A</v>
        <stp/>
        <stp>BDH|10308579378078068744</stp>
        <tr r="E90" s="17"/>
      </tp>
      <tp t="e">
        <v>#N/A</v>
        <stp/>
        <stp>BDH|10542193627618594662</stp>
        <tr r="H17" s="29"/>
        <tr r="H37" s="29"/>
      </tp>
      <tp t="e">
        <v>#N/A</v>
        <stp/>
        <stp>BDH|17923660479183720898</stp>
        <tr r="Y12" s="18"/>
      </tp>
      <tp t="e">
        <v>#N/A</v>
        <stp/>
        <stp>BDH|11063245895681199685</stp>
        <tr r="S14" s="13"/>
      </tp>
      <tp t="e">
        <v>#N/A</v>
        <stp/>
        <stp>BDH|14139961815384280586</stp>
        <tr r="AA17" s="29"/>
        <tr r="AA37" s="29"/>
      </tp>
      <tp t="e">
        <v>#N/A</v>
        <stp/>
        <stp>BDH|10200859354327222797</stp>
        <tr r="S41" s="12"/>
      </tp>
      <tp t="e">
        <v>#N/A</v>
        <stp/>
        <stp>BDH|16115388680557159707</stp>
        <tr r="Y35" s="4"/>
      </tp>
      <tp t="e">
        <v>#N/A</v>
        <stp/>
        <stp>BDH|18400091355438838888</stp>
        <tr r="C44" s="24"/>
      </tp>
      <tp t="e">
        <v>#N/A</v>
        <stp/>
        <stp>BDH|17608060625301492997</stp>
        <tr r="E18" s="12"/>
      </tp>
      <tp t="e">
        <v>#N/A</v>
        <stp/>
        <stp>BDH|16212697765562396957</stp>
        <tr r="G47" s="17"/>
      </tp>
      <tp t="e">
        <v>#N/A</v>
        <stp/>
        <stp>BDH|15393071768179340770</stp>
        <tr r="U22" s="10"/>
      </tp>
      <tp t="e">
        <v>#N/A</v>
        <stp/>
        <stp>BDH|11367716479518789441</stp>
        <tr r="H140" s="18"/>
      </tp>
      <tp t="e">
        <v>#N/A</v>
        <stp/>
        <stp>BDH|17801472793761153652</stp>
        <tr r="I9" s="21"/>
      </tp>
      <tp t="e">
        <v>#N/A</v>
        <stp/>
        <stp>BDH|14283884467852669533</stp>
        <tr r="R51" s="10"/>
        <tr r="R45" s="11"/>
        <tr r="R15" s="7"/>
      </tp>
      <tp t="e">
        <v>#N/A</v>
        <stp/>
        <stp>BDH|17810714020536312921</stp>
        <tr r="I24" s="18"/>
      </tp>
      <tp t="e">
        <v>#N/A</v>
        <stp/>
        <stp>BDH|11058361519246204851</stp>
        <tr r="L62" s="11"/>
      </tp>
      <tp t="e">
        <v>#N/A</v>
        <stp/>
        <stp>BDH|11851447685928059819</stp>
        <tr r="G19" s="25"/>
        <tr r="E21" s="11"/>
      </tp>
      <tp t="e">
        <v>#N/A</v>
        <stp/>
        <stp>BDH|14133582058688032193</stp>
        <tr r="G80" s="18"/>
      </tp>
      <tp t="e">
        <v>#N/A</v>
        <stp/>
        <stp>BDH|11637598665929356610</stp>
        <tr r="L23" s="22"/>
      </tp>
      <tp t="e">
        <v>#N/A</v>
        <stp/>
        <stp>BDH|14433982915803264239</stp>
        <tr r="S51" s="13"/>
      </tp>
      <tp t="e">
        <v>#N/A</v>
        <stp/>
        <stp>BDH|11931100406754337942</stp>
        <tr r="Z20" s="17"/>
      </tp>
      <tp t="e">
        <v>#N/A</v>
        <stp/>
        <stp>BDH|18055153863474974671</stp>
        <tr r="T19" s="22"/>
      </tp>
      <tp t="e">
        <v>#N/A</v>
        <stp/>
        <stp>BDH|16755934317755902622</stp>
        <tr r="L53" s="18"/>
      </tp>
      <tp t="e">
        <v>#N/A</v>
        <stp/>
        <stp>BDH|10747715998923740027</stp>
        <tr r="D84" s="18"/>
      </tp>
      <tp t="e">
        <v>#N/A</v>
        <stp/>
        <stp>BDH|16881960776514068131</stp>
        <tr r="D54" s="12"/>
      </tp>
      <tp t="e">
        <v>#N/A</v>
        <stp/>
        <stp>BDH|17732201556929807421</stp>
        <tr r="K165" s="18"/>
      </tp>
      <tp t="e">
        <v>#N/A</v>
        <stp/>
        <stp>BDH|13357051952528687390</stp>
        <tr r="I26" s="10"/>
        <tr r="K31" s="13"/>
      </tp>
      <tp t="e">
        <v>#N/A</v>
        <stp/>
        <stp>BDH|12834484097876523495</stp>
        <tr r="E71" s="24"/>
      </tp>
      <tp t="e">
        <v>#N/A</v>
        <stp/>
        <stp>BDH|11711826374235385693</stp>
        <tr r="R71" s="17"/>
      </tp>
      <tp t="e">
        <v>#N/A</v>
        <stp/>
        <stp>BDH|16031246821588691384</stp>
        <tr r="J135" s="18"/>
      </tp>
      <tp t="e">
        <v>#N/A</v>
        <stp/>
        <stp>BDH|11561426512068665185</stp>
        <tr r="Y24" s="25"/>
        <tr r="Y14" s="27"/>
      </tp>
      <tp t="e">
        <v>#N/A</v>
        <stp/>
        <stp>BDH|11289679590094855767</stp>
        <tr r="M6" s="28"/>
      </tp>
      <tp t="e">
        <v>#N/A</v>
        <stp/>
        <stp>BDH|10056066390422479692</stp>
        <tr r="R12" s="21"/>
      </tp>
      <tp t="e">
        <v>#N/A</v>
        <stp/>
        <stp>BDH|16306852608540551300</stp>
        <tr r="AA26" s="22"/>
      </tp>
      <tp t="e">
        <v>#N/A</v>
        <stp/>
        <stp>BDH|12463036084631804607</stp>
        <tr r="U66" s="17"/>
      </tp>
      <tp t="e">
        <v>#N/A</v>
        <stp/>
        <stp>BDH|15087983553704854088</stp>
        <tr r="K23" s="23"/>
      </tp>
      <tp t="e">
        <v>#N/A</v>
        <stp/>
        <stp>BDH|17119940835532214294</stp>
        <tr r="J16" s="23"/>
      </tp>
      <tp t="e">
        <v>#N/A</v>
        <stp/>
        <stp>BDH|12045962339014256162</stp>
        <tr r="I47" s="21"/>
      </tp>
      <tp t="e">
        <v>#N/A</v>
        <stp/>
        <stp>BDH|14074490451459248110</stp>
        <tr r="K15" s="17"/>
        <tr r="K18" s="28"/>
      </tp>
      <tp t="e">
        <v>#N/A</v>
        <stp/>
        <stp>BDH|17587942368914029126</stp>
        <tr r="G77" s="18"/>
      </tp>
      <tp t="e">
        <v>#N/A</v>
        <stp/>
        <stp>BDH|11537887961531346343</stp>
        <tr r="O33" s="12"/>
      </tp>
      <tp t="e">
        <v>#N/A</v>
        <stp/>
        <stp>BDH|15790220526808817006</stp>
        <tr r="AA25" s="18"/>
      </tp>
      <tp t="e">
        <v>#N/A</v>
        <stp/>
        <stp>BDH|14598115437432890904</stp>
        <tr r="P147" s="18"/>
      </tp>
      <tp t="e">
        <v>#N/A</v>
        <stp/>
        <stp>BDH|16647588595103095401</stp>
        <tr r="R22" s="20"/>
      </tp>
      <tp t="e">
        <v>#N/A</v>
        <stp/>
        <stp>BDH|15268412026468838667</stp>
        <tr r="J134" s="18"/>
      </tp>
      <tp t="e">
        <v>#N/A</v>
        <stp/>
        <stp>BDH|12955075985713943488</stp>
        <tr r="S56" s="17"/>
        <tr r="S17" s="3"/>
      </tp>
      <tp t="e">
        <v>#N/A</v>
        <stp/>
        <stp>BDH|11177921928627920088</stp>
        <tr r="N101" s="18"/>
      </tp>
      <tp t="e">
        <v>#N/A</v>
        <stp/>
        <stp>BDH|17164579454198851201</stp>
        <tr r="F50" s="17"/>
      </tp>
      <tp t="e">
        <v>#N/A</v>
        <stp/>
        <stp>BDH|14821526964433714939</stp>
        <tr r="Y97" s="17"/>
        <tr r="Y7" s="27"/>
      </tp>
      <tp t="e">
        <v>#N/A</v>
        <stp/>
        <stp>BDH|11429168689582843793</stp>
        <tr r="T34" s="24"/>
      </tp>
      <tp t="e">
        <v>#N/A</v>
        <stp/>
        <stp>BDH|16258718028398776666</stp>
        <tr r="I116" s="18"/>
      </tp>
      <tp t="e">
        <v>#N/A</v>
        <stp/>
        <stp>BDH|12189646168079351645</stp>
        <tr r="T11" s="11"/>
      </tp>
      <tp t="e">
        <v>#N/A</v>
        <stp/>
        <stp>BDH|14873475853951726915</stp>
        <tr r="T62" s="24"/>
      </tp>
      <tp t="e">
        <v>#N/A</v>
        <stp/>
        <stp>BDH|12575877060336194796</stp>
        <tr r="D63" s="21"/>
      </tp>
      <tp t="e">
        <v>#N/A</v>
        <stp/>
        <stp>BDH|13443474751959853600</stp>
        <tr r="G137" s="18"/>
      </tp>
      <tp t="e">
        <v>#N/A</v>
        <stp/>
        <stp>BDH|13817862917713362401</stp>
        <tr r="AA35" s="18"/>
      </tp>
      <tp t="e">
        <v>#N/A</v>
        <stp/>
        <stp>BDH|11659971879512679045</stp>
        <tr r="Z69" s="17"/>
      </tp>
      <tp t="e">
        <v>#N/A</v>
        <stp/>
        <stp>BDH|13416709520089793290</stp>
        <tr r="U67" s="18"/>
      </tp>
      <tp t="e">
        <v>#N/A</v>
        <stp/>
        <stp>BDH|10875261285375122206</stp>
        <tr r="O12" s="30"/>
      </tp>
      <tp t="e">
        <v>#N/A</v>
        <stp/>
        <stp>BDH|17864425397406137164</stp>
        <tr r="H34" s="18"/>
      </tp>
      <tp t="e">
        <v>#N/A</v>
        <stp/>
        <stp>BDH|17769821855450246787</stp>
        <tr r="W26" s="13"/>
      </tp>
      <tp t="e">
        <v>#N/A</v>
        <stp/>
        <stp>BDH|11718317797763837535</stp>
        <tr r="C28" s="17"/>
      </tp>
      <tp t="e">
        <v>#N/A</v>
        <stp/>
        <stp>BDH|15566264278869650478</stp>
        <tr r="C109" s="18"/>
      </tp>
      <tp t="e">
        <v>#N/A</v>
        <stp/>
        <stp>BDH|13302431930239802025</stp>
        <tr r="J7" s="30"/>
      </tp>
      <tp t="e">
        <v>#N/A</v>
        <stp/>
        <stp>BDH|16966549208976634893</stp>
        <tr r="E21" s="18"/>
      </tp>
      <tp t="e">
        <v>#N/A</v>
        <stp/>
        <stp>BDH|16120688936997513904</stp>
        <tr r="S11" s="22"/>
      </tp>
      <tp t="e">
        <v>#N/A</v>
        <stp/>
        <stp>BDH|11543953495194902863</stp>
        <tr r="O49" s="17"/>
      </tp>
      <tp t="e">
        <v>#N/A</v>
        <stp/>
        <stp>BDH|18133188511157696246</stp>
        <tr r="S10" s="12"/>
      </tp>
      <tp t="e">
        <v>#N/A</v>
        <stp/>
        <stp>BDH|13242234834667948819</stp>
        <tr r="T107" s="18"/>
        <tr r="R7" s="20"/>
      </tp>
      <tp t="e">
        <v>#N/A</v>
        <stp/>
        <stp>BDH|16852116591783769029</stp>
        <tr r="Q71" s="18"/>
      </tp>
      <tp t="e">
        <v>#N/A</v>
        <stp/>
        <stp>BDH|14664984227205295763</stp>
        <tr r="D7" s="17"/>
      </tp>
      <tp t="e">
        <v>#N/A</v>
        <stp/>
        <stp>BDH|15635623783297342199</stp>
        <tr r="Q62" s="12"/>
      </tp>
      <tp t="e">
        <v>#N/A</v>
        <stp/>
        <stp>BDH|15924031654639788442</stp>
        <tr r="U53" s="18"/>
      </tp>
      <tp t="e">
        <v>#N/A</v>
        <stp/>
        <stp>BDH|11957918013270476427</stp>
        <tr r="N27" s="7"/>
      </tp>
      <tp t="e">
        <v>#N/A</v>
        <stp/>
        <stp>BDH|16010551109806205836</stp>
        <tr r="N8" s="23"/>
      </tp>
      <tp t="e">
        <v>#N/A</v>
        <stp/>
        <stp>BDH|11490874031757751083</stp>
        <tr r="O42" s="17"/>
      </tp>
      <tp t="e">
        <v>#N/A</v>
        <stp/>
        <stp>BDH|14794888761023492474</stp>
        <tr r="R7" s="4"/>
      </tp>
      <tp t="e">
        <v>#N/A</v>
        <stp/>
        <stp>BDH|18311592734995617658</stp>
        <tr r="U23" s="2"/>
        <tr r="W18" s="21"/>
        <tr r="W23" s="3"/>
      </tp>
      <tp t="e">
        <v>#N/A</v>
        <stp/>
        <stp>BDH|17846354268959024689</stp>
        <tr r="X87" s="18"/>
      </tp>
      <tp t="e">
        <v>#N/A</v>
        <stp/>
        <stp>BDH|14781246011329981367</stp>
        <tr r="E26" s="10"/>
        <tr r="G31" s="13"/>
      </tp>
      <tp t="e">
        <v>#N/A</v>
        <stp/>
        <stp>BDH|15795170692573789384</stp>
        <tr r="L8" s="12"/>
      </tp>
      <tp t="e">
        <v>#N/A</v>
        <stp/>
        <stp>BDH|15621020248779922587</stp>
        <tr r="Y34" s="18"/>
      </tp>
      <tp t="e">
        <v>#N/A</v>
        <stp/>
        <stp>BDH|17222857886339448382</stp>
        <tr r="D11" s="24"/>
      </tp>
      <tp t="e">
        <v>#N/A</v>
        <stp/>
        <stp>BDH|11513785191910483255</stp>
        <tr r="T13" s="14"/>
      </tp>
      <tp t="e">
        <v>#N/A</v>
        <stp/>
        <stp>BDH|12487396991761663478</stp>
        <tr r="M124" s="18"/>
      </tp>
      <tp t="e">
        <v>#N/A</v>
        <stp/>
        <stp>BDH|13836852022181759552</stp>
        <tr r="S57" s="18"/>
      </tp>
      <tp t="e">
        <v>#N/A</v>
        <stp/>
        <stp>BDH|14372105038528147374</stp>
        <tr r="R13" s="5"/>
      </tp>
      <tp t="e">
        <v>#N/A</v>
        <stp/>
        <stp>BDH|11592485067278787601</stp>
        <tr r="D35" s="4"/>
      </tp>
      <tp t="e">
        <v>#N/A</v>
        <stp/>
        <stp>BDH|13020217298026472305</stp>
        <tr r="H21" s="12"/>
      </tp>
      <tp t="e">
        <v>#N/A</v>
        <stp/>
        <stp>BDH|11839353123615154825</stp>
        <tr r="X13" s="6"/>
      </tp>
      <tp t="e">
        <v>#N/A</v>
        <stp/>
        <stp>BDH|10600383472030058910</stp>
        <tr r="H165" s="18"/>
      </tp>
      <tp t="e">
        <v>#N/A</v>
        <stp/>
        <stp>BDH|11433448063986940870</stp>
        <tr r="O11" s="22"/>
      </tp>
      <tp t="e">
        <v>#N/A</v>
        <stp/>
        <stp>BDH|11789357013279510798</stp>
        <tr r="Z32" s="12"/>
      </tp>
      <tp t="e">
        <v>#N/A</v>
        <stp/>
        <stp>BDH|13924265834767473823</stp>
        <tr r="Q134" s="18"/>
      </tp>
      <tp t="e">
        <v>#N/A</v>
        <stp/>
        <stp>BDH|15340699572288021146</stp>
        <tr r="Y52" s="10"/>
        <tr r="Y46" s="11"/>
        <tr r="Y16" s="7"/>
      </tp>
      <tp t="e">
        <v>#N/A</v>
        <stp/>
        <stp>BDH|14076008819181008955</stp>
        <tr r="X17" s="20"/>
      </tp>
      <tp t="e">
        <v>#N/A</v>
        <stp/>
        <stp>BDH|14999677053528345224</stp>
        <tr r="N17" s="23"/>
      </tp>
      <tp t="e">
        <v>#N/A</v>
        <stp/>
        <stp>BDH|17656415912757052899</stp>
        <tr r="P37" s="22"/>
      </tp>
      <tp t="e">
        <v>#N/A</v>
        <stp/>
        <stp>BDH|12952438842726541914</stp>
        <tr r="J89" s="18"/>
      </tp>
      <tp t="e">
        <v>#N/A</v>
        <stp/>
        <stp>BDH|13508412438139206029</stp>
        <tr r="U24" s="29"/>
      </tp>
      <tp t="e">
        <v>#N/A</v>
        <stp/>
        <stp>BDH|15391438080015909158</stp>
        <tr r="R7" s="23"/>
      </tp>
      <tp t="e">
        <v>#N/A</v>
        <stp/>
        <stp>BDH|12124410178324306879</stp>
        <tr r="C15" s="9"/>
      </tp>
      <tp t="e">
        <v>#N/A</v>
        <stp/>
        <stp>BDH|15244889163083045556</stp>
        <tr r="M71" s="24"/>
      </tp>
      <tp t="e">
        <v>#N/A</v>
        <stp/>
        <stp>BDH|18279332270932966346</stp>
        <tr r="D12" s="7"/>
      </tp>
      <tp t="e">
        <v>#N/A</v>
        <stp/>
        <stp>BDH|10890209990423632524</stp>
        <tr r="Y44" s="13"/>
      </tp>
      <tp t="e">
        <v>#N/A</v>
        <stp/>
        <stp>BDH|11352212476559818002</stp>
        <tr r="D42" s="12"/>
      </tp>
      <tp t="e">
        <v>#N/A</v>
        <stp/>
        <stp>BDH|12946861173608566855</stp>
        <tr r="H10" s="18"/>
      </tp>
      <tp t="e">
        <v>#N/A</v>
        <stp/>
        <stp>BDH|14185219979224106844</stp>
        <tr r="E13" s="21"/>
      </tp>
      <tp t="e">
        <v>#N/A</v>
        <stp/>
        <stp>BDH|16788962217883928037</stp>
        <tr r="G8" s="8"/>
      </tp>
      <tp t="e">
        <v>#N/A</v>
        <stp/>
        <stp>BDH|11112322289593248444</stp>
        <tr r="H78" s="17"/>
      </tp>
      <tp t="e">
        <v>#N/A</v>
        <stp/>
        <stp>BDH|16560996421602885298</stp>
        <tr r="P124" s="18"/>
      </tp>
      <tp t="e">
        <v>#N/A</v>
        <stp/>
        <stp>BDH|17592286891278510959</stp>
        <tr r="C21" s="30"/>
        <tr r="C24" s="23"/>
      </tp>
      <tp t="e">
        <v>#N/A</v>
        <stp/>
        <stp>BDH|10401650767358269580</stp>
        <tr r="M44" s="12"/>
      </tp>
      <tp t="e">
        <v>#N/A</v>
        <stp/>
        <stp>BDH|15643194477696468804</stp>
        <tr r="E92" s="17"/>
      </tp>
      <tp t="e">
        <v>#N/A</v>
        <stp/>
        <stp>BDH|14333877850415930128</stp>
        <tr r="K13" s="7"/>
      </tp>
      <tp t="e">
        <v>#N/A</v>
        <stp/>
        <stp>BDH|14524138523139947334</stp>
        <tr r="W25" s="22"/>
      </tp>
      <tp t="e">
        <v>#N/A</v>
        <stp/>
        <stp>BDH|14995580787621954501</stp>
        <tr r="C13" s="10"/>
      </tp>
      <tp t="e">
        <v>#N/A</v>
        <stp/>
        <stp>BDH|11767987214155581113</stp>
        <tr r="M52" s="24"/>
      </tp>
      <tp t="e">
        <v>#N/A</v>
        <stp/>
        <stp>BDH|15401719481223803431</stp>
        <tr r="J21" s="24"/>
      </tp>
      <tp t="e">
        <v>#N/A</v>
        <stp/>
        <stp>BDH|17902910486852108901</stp>
        <tr r="E27" s="21"/>
      </tp>
      <tp t="e">
        <v>#N/A</v>
        <stp/>
        <stp>BDH|16468820631698008888</stp>
        <tr r="T160" s="18"/>
      </tp>
      <tp t="e">
        <v>#N/A</v>
        <stp/>
        <stp>BDH|16722473381167982077</stp>
        <tr r="K16" s="25"/>
      </tp>
      <tp t="e">
        <v>#N/A</v>
        <stp/>
        <stp>BDH|13865179237049597528</stp>
        <tr r="O35" s="25"/>
        <tr r="O7" s="3"/>
        <tr r="M18" s="11"/>
        <tr r="O22" s="13"/>
        <tr r="O7" s="13"/>
      </tp>
      <tp t="e">
        <v>#N/A</v>
        <stp/>
        <stp>BDH|13450865824396887217</stp>
        <tr r="N15" s="10"/>
      </tp>
      <tp t="e">
        <v>#N/A</v>
        <stp/>
        <stp>BDH|10437682946009100642</stp>
        <tr r="L14" s="30"/>
      </tp>
      <tp t="e">
        <v>#N/A</v>
        <stp/>
        <stp>BDH|11333224688430532633</stp>
        <tr r="M26" s="25"/>
        <tr r="M16" s="27"/>
      </tp>
      <tp t="e">
        <v>#N/A</v>
        <stp/>
        <stp>BDH|12466673470438873645</stp>
        <tr r="M36" s="24"/>
      </tp>
      <tp t="e">
        <v>#N/A</v>
        <stp/>
        <stp>BDH|12324153987290938671</stp>
        <tr r="M14" s="10"/>
      </tp>
      <tp t="e">
        <v>#N/A</v>
        <stp/>
        <stp>BDH|18332260081057931821</stp>
        <tr r="U26" s="12"/>
      </tp>
      <tp t="e">
        <v>#N/A</v>
        <stp/>
        <stp>BDH|10526586161129327706</stp>
        <tr r="T156" s="18"/>
      </tp>
      <tp t="e">
        <v>#N/A</v>
        <stp/>
        <stp>BDH|16450528315808506792</stp>
        <tr r="S16" s="20"/>
      </tp>
      <tp t="e">
        <v>#N/A</v>
        <stp/>
        <stp>BDH|11234432997123961200</stp>
        <tr r="D144" s="18"/>
      </tp>
      <tp t="e">
        <v>#N/A</v>
        <stp/>
        <stp>BDH|11741826529623621550</stp>
        <tr r="M103" s="18"/>
      </tp>
      <tp t="e">
        <v>#N/A</v>
        <stp/>
        <stp>BDH|10065630584002886108</stp>
        <tr r="C14" s="29"/>
        <tr r="C23" s="29"/>
        <tr r="C34" s="29"/>
      </tp>
      <tp t="e">
        <v>#N/A</v>
        <stp/>
        <stp>BDH|18365026853454555484</stp>
        <tr r="U18" s="12"/>
      </tp>
      <tp t="e">
        <v>#N/A</v>
        <stp/>
        <stp>BDH|10518987071357462476</stp>
        <tr r="L42" s="10"/>
        <tr r="L36" s="11"/>
      </tp>
      <tp t="e">
        <v>#N/A</v>
        <stp/>
        <stp>BDH|17776292990232862394</stp>
        <tr r="Y18" s="23"/>
      </tp>
      <tp t="e">
        <v>#N/A</v>
        <stp/>
        <stp>BDH|17251952260582876701</stp>
        <tr r="F40" s="17"/>
      </tp>
      <tp t="e">
        <v>#N/A</v>
        <stp/>
        <stp>BDH|14576723749008208230</stp>
        <tr r="W36" s="21"/>
      </tp>
      <tp t="e">
        <v>#N/A</v>
        <stp/>
        <stp>BDH|14683140594692134389</stp>
        <tr r="Q8" s="26"/>
        <tr r="N10" s="9"/>
      </tp>
      <tp t="e">
        <v>#N/A</v>
        <stp/>
        <stp>BDH|15769890751295776077</stp>
        <tr r="V8" s="21"/>
      </tp>
      <tp t="e">
        <v>#N/A</v>
        <stp/>
        <stp>BDH|17901683000648984479</stp>
        <tr r="Z75" s="17"/>
      </tp>
      <tp t="e">
        <v>#N/A</v>
        <stp/>
        <stp>BDH|13004439686735921738</stp>
        <tr r="J60" s="11"/>
        <tr r="L15" s="23"/>
      </tp>
      <tp t="e">
        <v>#N/A</v>
        <stp/>
        <stp>BDH|16699869563982454788</stp>
        <tr r="Z62" s="24"/>
      </tp>
      <tp t="e">
        <v>#N/A</v>
        <stp/>
        <stp>BDH|13763145760500498994</stp>
        <tr r="I13" s="12"/>
      </tp>
      <tp t="e">
        <v>#N/A</v>
        <stp/>
        <stp>BDH|13388016392403881469</stp>
        <tr r="C69" s="18"/>
      </tp>
      <tp t="e">
        <v>#N/A</v>
        <stp/>
        <stp>BDH|14420359288146119462</stp>
        <tr r="U14" s="13"/>
      </tp>
      <tp t="e">
        <v>#N/A</v>
        <stp/>
        <stp>BDH|15281983349410537583</stp>
        <tr r="O11" s="11"/>
      </tp>
      <tp t="e">
        <v>#N/A</v>
        <stp/>
        <stp>BDH|16844856704506629518</stp>
        <tr r="P93" s="18"/>
      </tp>
      <tp t="e">
        <v>#N/A</v>
        <stp/>
        <stp>BDH|17340512669241589800</stp>
        <tr r="X17" s="9"/>
      </tp>
      <tp t="e">
        <v>#N/A</v>
        <stp/>
        <stp>BDH|15134287065904183839</stp>
        <tr r="J51" s="17"/>
      </tp>
      <tp t="e">
        <v>#N/A</v>
        <stp/>
        <stp>BDH|13847685298276290746</stp>
        <tr r="J44" s="21"/>
      </tp>
      <tp t="e">
        <v>#N/A</v>
        <stp/>
        <stp>BDH|11524645608688271255</stp>
        <tr r="Z102" s="18"/>
      </tp>
      <tp t="e">
        <v>#N/A</v>
        <stp/>
        <stp>BDH|13233957075593820340</stp>
        <tr r="E34" s="34"/>
      </tp>
      <tp t="e">
        <v>#N/A</v>
        <stp/>
        <stp>BDH|16844182902203557992</stp>
        <tr r="D36" s="24"/>
      </tp>
      <tp t="e">
        <v>#N/A</v>
        <stp/>
        <stp>BDH|15286708108148012743</stp>
        <tr r="R15" s="6"/>
      </tp>
      <tp t="e">
        <v>#N/A</v>
        <stp/>
        <stp>BDH|16580085812943617974</stp>
        <tr r="L12" s="22"/>
      </tp>
      <tp t="e">
        <v>#N/A</v>
        <stp/>
        <stp>BDH|17845693258458448136</stp>
        <tr r="E43" s="13"/>
      </tp>
      <tp t="e">
        <v>#N/A</v>
        <stp/>
        <stp>BDH|16390205596876307685</stp>
        <tr r="N26" s="7"/>
      </tp>
      <tp t="e">
        <v>#N/A</v>
        <stp/>
        <stp>BDH|16632257428388019356</stp>
        <tr r="F18" s="30"/>
      </tp>
      <tp t="e">
        <v>#N/A</v>
        <stp/>
        <stp>BDH|15267927860267674083</stp>
        <tr r="X57" s="11"/>
      </tp>
      <tp t="e">
        <v>#N/A</v>
        <stp/>
        <stp>BDH|14130433118059700537</stp>
        <tr r="M18" s="20"/>
      </tp>
      <tp t="e">
        <v>#N/A</v>
        <stp/>
        <stp>BDH|10208820321014917367</stp>
        <tr r="G7" s="17"/>
      </tp>
      <tp t="e">
        <v>#N/A</v>
        <stp/>
        <stp>BDH|18232440868030551750</stp>
        <tr r="Z12" s="14"/>
      </tp>
      <tp t="e">
        <v>#N/A</v>
        <stp/>
        <stp>BDH|10996008792556004252</stp>
        <tr r="D7" s="14"/>
      </tp>
      <tp t="e">
        <v>#N/A</v>
        <stp/>
        <stp>BDH|10077607488827192474</stp>
        <tr r="V15" s="17"/>
        <tr r="V18" s="28"/>
      </tp>
      <tp t="e">
        <v>#N/A</v>
        <stp/>
        <stp>BDH|10283227406439879608</stp>
        <tr r="Q9" s="17"/>
      </tp>
      <tp t="e">
        <v>#N/A</v>
        <stp/>
        <stp>BDH|11459003552121161895</stp>
        <tr r="C29" s="21"/>
      </tp>
      <tp t="e">
        <v>#N/A</v>
        <stp/>
        <stp>BDH|16829623722419538632</stp>
        <tr r="T41" s="13"/>
      </tp>
      <tp t="e">
        <v>#N/A</v>
        <stp/>
        <stp>BDH|16180133151106497997</stp>
        <tr r="W65" s="12"/>
      </tp>
      <tp t="e">
        <v>#N/A</v>
        <stp/>
        <stp>BDH|18005631876522460909</stp>
        <tr r="P23" s="24"/>
      </tp>
      <tp t="e">
        <v>#N/A</v>
        <stp/>
        <stp>BDH|15353570727817603746</stp>
        <tr r="W148" s="18"/>
      </tp>
      <tp t="e">
        <v>#N/A</v>
        <stp/>
        <stp>BDH|14064251622060156679</stp>
        <tr r="N139" s="18"/>
      </tp>
      <tp t="e">
        <v>#N/A</v>
        <stp/>
        <stp>BDH|18305672891605167058</stp>
        <tr r="C39" s="13"/>
      </tp>
      <tp t="e">
        <v>#N/A</v>
        <stp/>
        <stp>BDH|18093562719819801769</stp>
        <tr r="D142" s="18"/>
      </tp>
      <tp t="e">
        <v>#N/A</v>
        <stp/>
        <stp>BDH|15581093425801087481</stp>
        <tr r="U112" s="18"/>
        <tr r="S13" s="20"/>
      </tp>
      <tp t="e">
        <v>#N/A</v>
        <stp/>
        <stp>BDH|16651791887952120986</stp>
        <tr r="S137" s="18"/>
      </tp>
      <tp t="e">
        <v>#N/A</v>
        <stp/>
        <stp>BDH|16494382985069113693</stp>
        <tr r="D138" s="18"/>
      </tp>
      <tp t="e">
        <v>#N/A</v>
        <stp/>
        <stp>BDH|12380132450922327628</stp>
        <tr r="M82" s="17"/>
        <tr r="M19" s="3"/>
      </tp>
      <tp t="e">
        <v>#N/A</v>
        <stp/>
        <stp>BDH|16899440640215811152</stp>
        <tr r="Z25" s="22"/>
      </tp>
      <tp t="e">
        <v>#N/A</v>
        <stp/>
        <stp>BDH|11059068767005937096</stp>
        <tr r="C93" s="18"/>
      </tp>
      <tp t="e">
        <v>#N/A</v>
        <stp/>
        <stp>BDH|10769234325990376234</stp>
        <tr r="Y22" s="22"/>
      </tp>
      <tp t="e">
        <v>#N/A</v>
        <stp/>
        <stp>BDH|11505661157153381360</stp>
        <tr r="F27" s="25"/>
        <tr r="C14" s="5"/>
        <tr r="F17" s="27"/>
      </tp>
      <tp t="e">
        <v>#N/A</v>
        <stp/>
        <stp>BDH|14274008873695935492</stp>
        <tr r="D14" s="26"/>
      </tp>
      <tp t="e">
        <v>#N/A</v>
        <stp/>
        <stp>BDH|11334977045989632761</stp>
        <tr r="H52" s="10"/>
        <tr r="H46" s="11"/>
        <tr r="H16" s="7"/>
      </tp>
      <tp t="e">
        <v>#N/A</v>
        <stp/>
        <stp>BDH|10164079849413928577</stp>
        <tr r="AA138" s="18"/>
      </tp>
      <tp t="e">
        <v>#N/A</v>
        <stp/>
        <stp>BDH|10279242153426654328</stp>
        <tr r="P54" s="13"/>
      </tp>
      <tp t="e">
        <v>#N/A</v>
        <stp/>
        <stp>BDH|14412151844446740533</stp>
        <tr r="C29" s="12"/>
      </tp>
      <tp t="e">
        <v>#N/A</v>
        <stp/>
        <stp>BDH|14778066067024320441</stp>
        <tr r="I13" s="10"/>
      </tp>
      <tp t="e">
        <v>#N/A</v>
        <stp/>
        <stp>BDH|16326132447051732011</stp>
        <tr r="M150" s="18"/>
      </tp>
      <tp t="e">
        <v>#N/A</v>
        <stp/>
        <stp>BDH|16498124607396052309</stp>
        <tr r="N165" s="18"/>
      </tp>
      <tp t="e">
        <v>#N/A</v>
        <stp/>
        <stp>BDH|13135204148133811405</stp>
        <tr r="T68" s="24"/>
      </tp>
      <tp t="e">
        <v>#N/A</v>
        <stp/>
        <stp>BDH|10460331305502130323</stp>
        <tr r="Z10" s="28"/>
      </tp>
      <tp t="e">
        <v>#N/A</v>
        <stp/>
        <stp>BDH|11383589969339647957</stp>
        <tr r="Y33" s="21"/>
      </tp>
      <tp t="e">
        <v>#N/A</v>
        <stp/>
        <stp>BDH|17289660211241582312</stp>
        <tr r="I26" s="6"/>
      </tp>
      <tp t="e">
        <v>#N/A</v>
        <stp/>
        <stp>BDH|10633603160522730006</stp>
        <tr r="X10" s="12"/>
      </tp>
      <tp t="e">
        <v>#N/A</v>
        <stp/>
        <stp>BDH|17318049411865701107</stp>
        <tr r="C6" s="8"/>
      </tp>
      <tp t="e">
        <v>#N/A</v>
        <stp/>
        <stp>BDH|14772697521120945272</stp>
        <tr r="F76" s="12"/>
      </tp>
      <tp t="e">
        <v>#N/A</v>
        <stp/>
        <stp>BDH|16911530706686954744</stp>
        <tr r="K107" s="18"/>
        <tr r="I7" s="20"/>
      </tp>
      <tp t="e">
        <v>#N/A</v>
        <stp/>
        <stp>BDH|15793439392902465839</stp>
        <tr r="Q7" s="4"/>
      </tp>
      <tp t="e">
        <v>#N/A</v>
        <stp/>
        <stp>BDH|10172015667373411726</stp>
        <tr r="K60" s="12"/>
      </tp>
      <tp t="e">
        <v>#N/A</v>
        <stp/>
        <stp>BDH|10372530376574238454</stp>
        <tr r="N14" s="17"/>
        <tr r="N17" s="28"/>
      </tp>
      <tp t="e">
        <v>#N/A</v>
        <stp/>
        <stp>BDH|13944490210053431752</stp>
        <tr r="R26" s="12"/>
      </tp>
      <tp t="e">
        <v>#N/A</v>
        <stp/>
        <stp>BDH|17736238230431422519</stp>
        <tr r="M36" s="17"/>
      </tp>
      <tp t="e">
        <v>#N/A</v>
        <stp/>
        <stp>BDH|17723553652702777765</stp>
        <tr r="E29" s="29"/>
        <tr r="E7" s="29"/>
      </tp>
      <tp t="e">
        <v>#N/A</v>
        <stp/>
        <stp>BDH|16169583718681995181</stp>
        <tr r="E17" s="12"/>
      </tp>
      <tp t="e">
        <v>#N/A</v>
        <stp/>
        <stp>BDH|14489640200505813585</stp>
        <tr r="C13" s="11"/>
      </tp>
      <tp t="e">
        <v>#N/A</v>
        <stp/>
        <stp>BDH|10921535727370992544</stp>
        <tr r="H51" s="24"/>
      </tp>
      <tp t="e">
        <v>#N/A</v>
        <stp/>
        <stp>BDH|12319297628703780351</stp>
        <tr r="L17" s="5"/>
        <tr r="L24" s="6"/>
      </tp>
      <tp t="e">
        <v>#N/A</v>
        <stp/>
        <stp>BDH|13354548865057421567</stp>
        <tr r="N21" s="27"/>
      </tp>
      <tp t="e">
        <v>#N/A</v>
        <stp/>
        <stp>BDH|11997547278819680836</stp>
        <tr r="U45" s="12"/>
      </tp>
      <tp t="e">
        <v>#N/A</v>
        <stp/>
        <stp>BDH|10918636359422440378</stp>
        <tr r="R13" s="9"/>
      </tp>
      <tp t="e">
        <v>#N/A</v>
        <stp/>
        <stp>BDH|14023349522296468120</stp>
        <tr r="T42" s="4"/>
      </tp>
      <tp t="e">
        <v>#N/A</v>
        <stp/>
        <stp>BDH|16716439015993081217</stp>
        <tr r="F14" s="11"/>
      </tp>
      <tp t="e">
        <v>#N/A</v>
        <stp/>
        <stp>BDH|17657926897801337406</stp>
        <tr r="O62" s="24"/>
      </tp>
      <tp t="e">
        <v>#N/A</v>
        <stp/>
        <stp>BDH|16586055133365337203</stp>
        <tr r="E44" s="13"/>
      </tp>
      <tp t="e">
        <v>#N/A</v>
        <stp/>
        <stp>BDH|16428062583835330926</stp>
        <tr r="P16" s="12"/>
      </tp>
      <tp t="e">
        <v>#N/A</v>
        <stp/>
        <stp>BDH|17786115809590740481</stp>
        <tr r="L12" s="12"/>
      </tp>
      <tp t="e">
        <v>#N/A</v>
        <stp/>
        <stp>BDH|13359045263896269162</stp>
        <tr r="S97" s="17"/>
        <tr r="S7" s="27"/>
      </tp>
      <tp t="e">
        <v>#N/A</v>
        <stp/>
        <stp>BDH|13296367553324302341</stp>
        <tr r="H7" s="14"/>
      </tp>
      <tp t="e">
        <v>#N/A</v>
        <stp/>
        <stp>BDH|17194776713812620139</stp>
        <tr r="C39" s="4"/>
        <tr r="C65" s="10"/>
      </tp>
      <tp t="e">
        <v>#N/A</v>
        <stp/>
        <stp>BDH|11004606362760178335</stp>
        <tr r="N79" s="17"/>
      </tp>
      <tp t="e">
        <v>#N/A</v>
        <stp/>
        <stp>BDH|12146271028580779094</stp>
        <tr r="R21" s="12"/>
      </tp>
      <tp t="e">
        <v>#N/A</v>
        <stp/>
        <stp>BDH|13510176591219759042</stp>
        <tr r="T31" s="25"/>
      </tp>
      <tp t="e">
        <v>#N/A</v>
        <stp/>
        <stp>BDH|10463982563578750586</stp>
        <tr r="H16" s="20"/>
      </tp>
      <tp t="e">
        <v>#N/A</v>
        <stp/>
        <stp>BDH|13144918510700580951</stp>
        <tr r="Q36" s="17"/>
      </tp>
      <tp t="e">
        <v>#N/A</v>
        <stp/>
        <stp>BDH|16533068314997688218</stp>
        <tr r="E56" s="17"/>
        <tr r="E17" s="3"/>
      </tp>
      <tp t="e">
        <v>#N/A</v>
        <stp/>
        <stp>BDH|17347066971494606624</stp>
        <tr r="V25" s="13"/>
      </tp>
      <tp t="e">
        <v>#N/A</v>
        <stp/>
        <stp>BDH|10446406971103052257</stp>
        <tr r="M32" s="6"/>
        <tr r="O6" s="8"/>
      </tp>
      <tp t="e">
        <v>#N/A</v>
        <stp/>
        <stp>BDH|16265151772397450510</stp>
        <tr r="K69" s="18"/>
      </tp>
      <tp t="e">
        <v>#N/A</v>
        <stp/>
        <stp>BDH|15557345460033755164</stp>
        <tr r="C20" s="18"/>
      </tp>
      <tp t="e">
        <v>#N/A</v>
        <stp/>
        <stp>BDH|16821328238227715358</stp>
        <tr r="Q34" s="25"/>
      </tp>
      <tp t="e">
        <v>#N/A</v>
        <stp/>
        <stp>BDH|11197395608916376633</stp>
        <tr r="Q50" s="12"/>
      </tp>
      <tp t="e">
        <v>#N/A</v>
        <stp/>
        <stp>BDH|11550076084279321252</stp>
        <tr r="G26" s="25"/>
        <tr r="G16" s="27"/>
      </tp>
      <tp t="e">
        <v>#N/A</v>
        <stp/>
        <stp>BDH|10351625760445263733</stp>
        <tr r="E7" s="24"/>
      </tp>
      <tp t="e">
        <v>#N/A</v>
        <stp/>
        <stp>BDH|10704365178174010294</stp>
        <tr r="U20" s="23"/>
      </tp>
      <tp t="e">
        <v>#N/A</v>
        <stp/>
        <stp>BDH|15896623864313786491</stp>
        <tr r="O21" s="10"/>
      </tp>
      <tp t="e">
        <v>#N/A</v>
        <stp/>
        <stp>BDH|15154053880276748930</stp>
        <tr r="T74" s="18"/>
      </tp>
      <tp t="e">
        <v>#N/A</v>
        <stp/>
        <stp>BDH|10858554758755165747</stp>
        <tr r="J9" s="26"/>
      </tp>
      <tp t="e">
        <v>#N/A</v>
        <stp/>
        <stp>BDH|12339308221952574372</stp>
        <tr r="F161" s="18"/>
      </tp>
      <tp t="e">
        <v>#N/A</v>
        <stp/>
        <stp>BDH|16224454772627421015</stp>
        <tr r="U14" s="8"/>
      </tp>
      <tp t="e">
        <v>#N/A</v>
        <stp/>
        <stp>BDH|14567311664095036602</stp>
        <tr r="G18" s="29"/>
        <tr r="G38" s="29"/>
      </tp>
      <tp t="e">
        <v>#N/A</v>
        <stp/>
        <stp>BDH|10936654629503749520</stp>
        <tr r="M17" s="24"/>
      </tp>
      <tp t="e">
        <v>#N/A</v>
        <stp/>
        <stp>BDH|14668244242689900992</stp>
        <tr r="Y28" s="21"/>
      </tp>
      <tp t="e">
        <v>#N/A</v>
        <stp/>
        <stp>BDH|17882610063605210089</stp>
        <tr r="P42" s="17"/>
      </tp>
      <tp t="e">
        <v>#N/A</v>
        <stp/>
        <stp>BDH|17375097229520179727</stp>
        <tr r="T16" s="29"/>
        <tr r="T36" s="29"/>
      </tp>
      <tp t="e">
        <v>#N/A</v>
        <stp/>
        <stp>BDH|11790430963203268258</stp>
        <tr r="W39" s="4"/>
        <tr r="W65" s="10"/>
      </tp>
      <tp t="e">
        <v>#N/A</v>
        <stp/>
        <stp>BDH|15225489476937830344</stp>
        <tr r="N54" s="21"/>
      </tp>
      <tp t="e">
        <v>#N/A</v>
        <stp/>
        <stp>BDH|12095659779443802240</stp>
        <tr r="O13" s="6"/>
      </tp>
      <tp t="e">
        <v>#N/A</v>
        <stp/>
        <stp>BDH|11727778357615149453</stp>
        <tr r="V21" s="9"/>
      </tp>
      <tp t="e">
        <v>#N/A</v>
        <stp/>
        <stp>BDH|12514708307807934089</stp>
        <tr r="V7" s="14"/>
      </tp>
      <tp t="e">
        <v>#N/A</v>
        <stp/>
        <stp>BDH|15718648266411350652</stp>
        <tr r="Q22" s="27"/>
      </tp>
      <tp t="e">
        <v>#N/A</v>
        <stp/>
        <stp>BDH|10796932658969993761</stp>
        <tr r="T114" s="18"/>
      </tp>
      <tp t="e">
        <v>#N/A</v>
        <stp/>
        <stp>BDH|12065047576872912582</stp>
        <tr r="F7" s="2"/>
        <tr r="E7" s="5"/>
        <tr r="E7" s="9"/>
        <tr r="H14" s="3"/>
      </tp>
      <tp t="e">
        <v>#N/A</v>
        <stp/>
        <stp>BDH|15399159861546799634</stp>
        <tr r="K37" s="6"/>
      </tp>
      <tp t="e">
        <v>#N/A</v>
        <stp/>
        <stp>BDH|12580104933776335460</stp>
        <tr r="U28" s="5"/>
      </tp>
      <tp t="e">
        <v>#N/A</v>
        <stp/>
        <stp>BDH|13899071419532164243</stp>
        <tr r="D18" s="13"/>
      </tp>
      <tp t="e">
        <v>#N/A</v>
        <stp/>
        <stp>BDH|17827649349064123371</stp>
        <tr r="Q14" s="8"/>
      </tp>
      <tp t="e">
        <v>#N/A</v>
        <stp/>
        <stp>BDH|15513665143712230718</stp>
        <tr r="L22" s="18"/>
      </tp>
      <tp t="e">
        <v>#N/A</v>
        <stp/>
        <stp>BDH|17653133543915534504</stp>
        <tr r="T43" s="22"/>
      </tp>
      <tp t="e">
        <v>#N/A</v>
        <stp/>
        <stp>BDH|18074803923278887881</stp>
        <tr r="V74" s="17"/>
      </tp>
      <tp t="e">
        <v>#N/A</v>
        <stp/>
        <stp>BDH|12028357033259706928</stp>
        <tr r="C21" s="12"/>
      </tp>
      <tp t="e">
        <v>#N/A</v>
        <stp/>
        <stp>BDH|15147189331790215595</stp>
        <tr r="U158" s="18"/>
      </tp>
      <tp t="e">
        <v>#N/A</v>
        <stp/>
        <stp>BDH|13600737363883773325</stp>
        <tr r="Y20" s="30"/>
      </tp>
      <tp t="e">
        <v>#N/A</v>
        <stp/>
        <stp>BDH|17711350016374566329</stp>
        <tr r="Y31" s="26"/>
      </tp>
      <tp t="e">
        <v>#N/A</v>
        <stp/>
        <stp>BDH|17918881841091082834</stp>
        <tr r="M33" s="34"/>
      </tp>
      <tp t="e">
        <v>#N/A</v>
        <stp/>
        <stp>BDH|10150673564132039017</stp>
        <tr r="K19" s="12"/>
      </tp>
      <tp t="e">
        <v>#N/A</v>
        <stp/>
        <stp>BDH|14398411820381714168</stp>
        <tr r="D105" s="18"/>
      </tp>
      <tp t="e">
        <v>#N/A</v>
        <stp/>
        <stp>BDH|17026342177597831684</stp>
        <tr r="F48" s="21"/>
      </tp>
      <tp t="e">
        <v>#N/A</v>
        <stp/>
        <stp>BDH|16846358869420500129</stp>
        <tr r="T45" s="4"/>
        <tr r="T30" s="10"/>
        <tr r="T24" s="11"/>
        <tr r="V30" s="13"/>
      </tp>
      <tp t="e">
        <v>#N/A</v>
        <stp/>
        <stp>BDH|17812690842324761375</stp>
        <tr r="Q13" s="14"/>
      </tp>
      <tp t="e">
        <v>#N/A</v>
        <stp/>
        <stp>BDH|15238581998182529940</stp>
        <tr r="Y20" s="12"/>
      </tp>
      <tp t="e">
        <v>#N/A</v>
        <stp/>
        <stp>BDH|17079403432226416457</stp>
        <tr r="E19" s="24"/>
      </tp>
      <tp t="e">
        <v>#N/A</v>
        <stp/>
        <stp>BDH|16638988349450568919</stp>
        <tr r="Y108" s="18"/>
        <tr r="X8" s="20"/>
      </tp>
      <tp t="e">
        <v>#N/A</v>
        <stp/>
        <stp>BDH|16371051722360022677</stp>
        <tr r="W18" s="23"/>
      </tp>
      <tp t="e">
        <v>#N/A</v>
        <stp/>
        <stp>BDH|10183778303645138072</stp>
        <tr r="N87" s="18"/>
      </tp>
      <tp t="e">
        <v>#N/A</v>
        <stp/>
        <stp>BDH|12344713391918892680</stp>
        <tr r="R14" s="23"/>
      </tp>
      <tp t="e">
        <v>#N/A</v>
        <stp/>
        <stp>BDH|12657040335182552117</stp>
        <tr r="W141" s="18"/>
      </tp>
      <tp t="e">
        <v>#N/A</v>
        <stp/>
        <stp>BDH|18106319916900469810</stp>
        <tr r="S20" s="10"/>
      </tp>
      <tp t="e">
        <v>#N/A</v>
        <stp/>
        <stp>BDH|12257017710244911594</stp>
        <tr r="D59" s="17"/>
      </tp>
      <tp t="e">
        <v>#N/A</v>
        <stp/>
        <stp>BDH|17604909134036696975</stp>
        <tr r="R12" s="10"/>
      </tp>
      <tp t="e">
        <v>#N/A</v>
        <stp/>
        <stp>BDH|16467244941732104031</stp>
        <tr r="T22" s="4"/>
      </tp>
      <tp t="e">
        <v>#N/A</v>
        <stp/>
        <stp>BDH|13726238023250282164</stp>
        <tr r="L43" s="12"/>
      </tp>
      <tp t="e">
        <v>#N/A</v>
        <stp/>
        <stp>BDH|16926073574843044086</stp>
        <tr r="W33" s="22"/>
      </tp>
      <tp t="e">
        <v>#N/A</v>
        <stp/>
        <stp>BDH|13619726449660628299</stp>
        <tr r="AA37" s="22"/>
      </tp>
      <tp t="e">
        <v>#N/A</v>
        <stp/>
        <stp>BDH|12297591258792430255</stp>
        <tr r="C101" s="18"/>
      </tp>
      <tp t="e">
        <v>#N/A</v>
        <stp/>
        <stp>BDH|16038753487869804281</stp>
        <tr r="I67" s="24"/>
      </tp>
      <tp t="e">
        <v>#N/A</v>
        <stp/>
        <stp>BDH|16374609045792388478</stp>
        <tr r="X20" s="23"/>
      </tp>
      <tp t="e">
        <v>#N/A</v>
        <stp/>
        <stp>BDH|11873537843360892222</stp>
        <tr r="K33" s="18"/>
      </tp>
      <tp t="e">
        <v>#N/A</v>
        <stp/>
        <stp>BDH|17449177421815677364</stp>
        <tr r="H67" s="24"/>
      </tp>
      <tp t="e">
        <v>#N/A</v>
        <stp/>
        <stp>BDH|10655777294585290951</stp>
        <tr r="Y18" s="29"/>
        <tr r="Y38" s="29"/>
      </tp>
      <tp t="e">
        <v>#N/A</v>
        <stp/>
        <stp>BDH|12802781601142178528</stp>
        <tr r="Q17" s="6"/>
      </tp>
      <tp t="e">
        <v>#N/A</v>
        <stp/>
        <stp>BDH|14120567609873979055</stp>
        <tr r="Z124" s="18"/>
      </tp>
      <tp t="e">
        <v>#N/A</v>
        <stp/>
        <stp>BDH|17308859793071043572</stp>
        <tr r="O24" s="18"/>
      </tp>
      <tp t="e">
        <v>#N/A</v>
        <stp/>
        <stp>BDH|11006800385960429335</stp>
        <tr r="V10" s="30"/>
      </tp>
      <tp t="e">
        <v>#N/A</v>
        <stp/>
        <stp>BDH|15921648909149518834</stp>
        <tr r="U26" s="6"/>
      </tp>
      <tp t="e">
        <v>#N/A</v>
        <stp/>
        <stp>BDH|17241524733640801398</stp>
        <tr r="F39" s="12"/>
      </tp>
      <tp t="e">
        <v>#N/A</v>
        <stp/>
        <stp>BDH|17663387904646030089</stp>
        <tr r="D38" s="24"/>
      </tp>
      <tp t="e">
        <v>#N/A</v>
        <stp/>
        <stp>BDH|11913686140301516068</stp>
        <tr r="J17" s="13"/>
      </tp>
      <tp t="e">
        <v>#N/A</v>
        <stp/>
        <stp>BDH|13016378547060371613</stp>
        <tr r="H44" s="13"/>
      </tp>
      <tp t="e">
        <v>#N/A</v>
        <stp/>
        <stp>BDH|13967083737931282369</stp>
        <tr r="G51" s="13"/>
      </tp>
      <tp t="e">
        <v>#N/A</v>
        <stp/>
        <stp>BDH|15262543770915408000</stp>
        <tr r="H8" s="12"/>
      </tp>
      <tp t="e">
        <v>#N/A</v>
        <stp/>
        <stp>BDH|16789079330374563378</stp>
        <tr r="N65" s="24"/>
      </tp>
      <tp t="e">
        <v>#N/A</v>
        <stp/>
        <stp>BDH|17833111441393296384</stp>
        <tr r="Q16" s="30"/>
      </tp>
      <tp t="e">
        <v>#N/A</v>
        <stp/>
        <stp>BDH|14008494455981622683</stp>
        <tr r="O20" s="18"/>
      </tp>
      <tp t="e">
        <v>#N/A</v>
        <stp/>
        <stp>BDH|14453698648770773401</stp>
        <tr r="W47" s="12"/>
      </tp>
      <tp t="e">
        <v>#N/A</v>
        <stp/>
        <stp>BDH|14288300702735043028</stp>
        <tr r="H6" s="2"/>
        <tr r="G6" s="5"/>
        <tr r="G6" s="9"/>
        <tr r="I12" s="8"/>
        <tr r="J10" s="29"/>
        <tr r="J19" s="29"/>
        <tr r="J25" s="29"/>
      </tp>
      <tp t="e">
        <v>#N/A</v>
        <stp/>
        <stp>BDH|14570278137502105569</stp>
        <tr r="N75" s="17"/>
      </tp>
      <tp t="e">
        <v>#N/A</v>
        <stp/>
        <stp>BDH|11262306993371561867</stp>
        <tr r="K8" s="4"/>
      </tp>
      <tp t="e">
        <v>#N/A</v>
        <stp/>
        <stp>BDH|13716161324305174766</stp>
        <tr r="O37" s="24"/>
      </tp>
      <tp t="e">
        <v>#N/A</v>
        <stp/>
        <stp>BDH|11845518500530223699</stp>
        <tr r="K21" s="4"/>
      </tp>
      <tp t="e">
        <v>#N/A</v>
        <stp/>
        <stp>BDH|14467027026412476660</stp>
        <tr r="U67" s="17"/>
      </tp>
      <tp t="e">
        <v>#N/A</v>
        <stp/>
        <stp>BDH|14655500554932146419</stp>
        <tr r="AA95" s="17"/>
        <tr r="AA30" s="25"/>
      </tp>
      <tp t="e">
        <v>#N/A</v>
        <stp/>
        <stp>BDH|13357627209336834123</stp>
        <tr r="C75" s="17"/>
      </tp>
      <tp t="e">
        <v>#N/A</v>
        <stp/>
        <stp>BDH|14833241768477217547</stp>
        <tr r="G19" s="10"/>
      </tp>
      <tp t="e">
        <v>#N/A</v>
        <stp/>
        <stp>BDH|12008501775106779407</stp>
        <tr r="G9" s="3"/>
        <tr r="E50" s="10"/>
        <tr r="E44" s="11"/>
        <tr r="E14" s="7"/>
      </tp>
      <tp t="e">
        <v>#N/A</v>
        <stp/>
        <stp>BDH|11227287635945885754</stp>
        <tr r="N61" s="17"/>
      </tp>
      <tp t="e">
        <v>#N/A</v>
        <stp/>
        <stp>BDH|11718110555507540047</stp>
        <tr r="M57" s="18"/>
      </tp>
      <tp t="e">
        <v>#N/A</v>
        <stp/>
        <stp>BDH|12467306827001202037</stp>
        <tr r="P20" s="24"/>
      </tp>
      <tp t="e">
        <v>#N/A</v>
        <stp/>
        <stp>BDH|14772687255112874701</stp>
        <tr r="W39" s="6"/>
      </tp>
      <tp t="e">
        <v>#N/A</v>
        <stp/>
        <stp>BDH|13334549531516116159</stp>
        <tr r="K14" s="2"/>
        <tr r="K11" s="10"/>
      </tp>
      <tp t="e">
        <v>#N/A</v>
        <stp/>
        <stp>BDH|17499822883824560122</stp>
        <tr r="I40" s="29"/>
      </tp>
      <tp t="e">
        <v>#N/A</v>
        <stp/>
        <stp>BDH|16874568488390395973</stp>
        <tr r="C6" s="28"/>
      </tp>
      <tp t="e">
        <v>#N/A</v>
        <stp/>
        <stp>BDH|16324500100150244131</stp>
        <tr r="Z85" s="18"/>
      </tp>
      <tp t="e">
        <v>#N/A</v>
        <stp/>
        <stp>BDH|12166159231896145466</stp>
        <tr r="E27" s="10"/>
        <tr r="G32" s="13"/>
      </tp>
      <tp t="e">
        <v>#N/A</v>
        <stp/>
        <stp>BDH|13279263669063973666</stp>
        <tr r="K18" s="14"/>
      </tp>
      <tp t="e">
        <v>#N/A</v>
        <stp/>
        <stp>BDH|14396109830097106305</stp>
        <tr r="P49" s="4"/>
      </tp>
      <tp t="e">
        <v>#N/A</v>
        <stp/>
        <stp>BDH|13699578693415006801</stp>
        <tr r="G27" s="10"/>
        <tr r="I32" s="13"/>
      </tp>
      <tp t="e">
        <v>#N/A</v>
        <stp/>
        <stp>BDH|12193158921127779403</stp>
        <tr r="X35" s="26"/>
      </tp>
      <tp t="e">
        <v>#N/A</v>
        <stp/>
        <stp>BDH|12565693577609131884</stp>
        <tr r="F41" s="18"/>
      </tp>
      <tp t="e">
        <v>#N/A</v>
        <stp/>
        <stp>BDH|11492200830251250334</stp>
        <tr r="W22" s="24"/>
      </tp>
      <tp t="e">
        <v>#N/A</v>
        <stp/>
        <stp>BDH|14654145183567388877</stp>
        <tr r="L36" s="10"/>
        <tr r="L30" s="11"/>
        <tr r="N39" s="13"/>
      </tp>
      <tp t="e">
        <v>#N/A</v>
        <stp/>
        <stp>BDH|12067166933557191516</stp>
        <tr r="R79" s="12"/>
      </tp>
      <tp t="e">
        <v>#N/A</v>
        <stp/>
        <stp>BDH|17796476614207659771</stp>
        <tr r="U7" s="24"/>
      </tp>
      <tp t="e">
        <v>#N/A</v>
        <stp/>
        <stp>BDH|13278934392315591430</stp>
        <tr r="H23" s="21"/>
      </tp>
      <tp t="e">
        <v>#N/A</v>
        <stp/>
        <stp>BDH|12745068485039075112</stp>
        <tr r="J128" s="18"/>
      </tp>
      <tp t="e">
        <v>#N/A</v>
        <stp/>
        <stp>BDH|17074988643569633181</stp>
        <tr r="T89" s="17"/>
      </tp>
      <tp t="e">
        <v>#N/A</v>
        <stp/>
        <stp>BDH|10810537857815958703</stp>
        <tr r="H8" s="4"/>
      </tp>
      <tp t="e">
        <v>#N/A</v>
        <stp/>
        <stp>BDH|11499745137426557172</stp>
        <tr r="M32" s="21"/>
      </tp>
      <tp t="e">
        <v>#N/A</v>
        <stp/>
        <stp>BDH|15880956837659808477</stp>
        <tr r="G10" s="10"/>
      </tp>
      <tp t="e">
        <v>#N/A</v>
        <stp/>
        <stp>BDH|12734877792940645116</stp>
        <tr r="P10" s="34"/>
      </tp>
      <tp t="e">
        <v>#N/A</v>
        <stp/>
        <stp>BDH|10294706004393534661</stp>
        <tr r="H64" s="18"/>
      </tp>
      <tp t="e">
        <v>#N/A</v>
        <stp/>
        <stp>BDH|18082334210700458823</stp>
        <tr r="T20" s="5"/>
        <tr r="T20" s="9"/>
      </tp>
      <tp t="e">
        <v>#N/A</v>
        <stp/>
        <stp>BDH|14575129460724118535</stp>
        <tr r="T65" s="18"/>
      </tp>
      <tp t="e">
        <v>#N/A</v>
        <stp/>
        <stp>BDH|12590713842766224512</stp>
        <tr r="C9" s="8"/>
      </tp>
      <tp t="e">
        <v>#N/A</v>
        <stp/>
        <stp>BDH|16883503004065973401</stp>
        <tr r="O80" s="17"/>
      </tp>
      <tp t="e">
        <v>#N/A</v>
        <stp/>
        <stp>BDH|12328399118071543323</stp>
        <tr r="K42" s="22"/>
      </tp>
      <tp t="e">
        <v>#N/A</v>
        <stp/>
        <stp>BDH|14725050842411328368</stp>
        <tr r="V13" s="22"/>
      </tp>
      <tp t="e">
        <v>#N/A</v>
        <stp/>
        <stp>BDH|11675340187289413147</stp>
        <tr r="U23" s="20"/>
      </tp>
      <tp t="e">
        <v>#N/A</v>
        <stp/>
        <stp>BDH|14856226680449872573</stp>
        <tr r="N20" s="23"/>
      </tp>
      <tp t="e">
        <v>#N/A</v>
        <stp/>
        <stp>BDH|14234716521173275050</stp>
        <tr r="D30" s="21"/>
      </tp>
      <tp t="e">
        <v>#N/A</v>
        <stp/>
        <stp>BDH|18335760086305724010</stp>
        <tr r="R45" s="18"/>
      </tp>
      <tp t="e">
        <v>#N/A</v>
        <stp/>
        <stp>BDH|15714386729145340303</stp>
        <tr r="AA37" s="24"/>
      </tp>
      <tp t="e">
        <v>#N/A</v>
        <stp/>
        <stp>BDH|11233828097855517773</stp>
        <tr r="F14" s="21"/>
      </tp>
      <tp t="e">
        <v>#N/A</v>
        <stp/>
        <stp>BDH|14846081173104117574</stp>
        <tr r="V40" s="22"/>
      </tp>
      <tp t="e">
        <v>#N/A</v>
        <stp/>
        <stp>BDH|15419154197156523966</stp>
        <tr r="L27" s="26"/>
        <tr r="I14" s="9"/>
      </tp>
      <tp t="e">
        <v>#N/A</v>
        <stp/>
        <stp>BDH|15225874160308564153</stp>
        <tr r="Z24" s="12"/>
      </tp>
      <tp t="e">
        <v>#N/A</v>
        <stp/>
        <stp>BDH|12646622705115709330</stp>
        <tr r="X26" s="17"/>
      </tp>
      <tp t="e">
        <v>#N/A</v>
        <stp/>
        <stp>BDH|10146694530335803254</stp>
        <tr r="R29" s="9"/>
      </tp>
      <tp t="e">
        <v>#N/A</v>
        <stp/>
        <stp>BDH|11326910482364727624</stp>
        <tr r="I49" s="21"/>
      </tp>
      <tp t="e">
        <v>#N/A</v>
        <stp/>
        <stp>BDH|12721744455407266512</stp>
        <tr r="V16" s="18"/>
      </tp>
      <tp t="e">
        <v>#N/A</v>
        <stp/>
        <stp>BDH|10159122852544431204</stp>
        <tr r="M13" s="7"/>
      </tp>
      <tp t="e">
        <v>#N/A</v>
        <stp/>
        <stp>BDH|15994387114253384631</stp>
        <tr r="Z142" s="18"/>
      </tp>
      <tp t="e">
        <v>#N/A</v>
        <stp/>
        <stp>BDH|15225366424750514607</stp>
        <tr r="Q68" s="24"/>
      </tp>
      <tp t="e">
        <v>#N/A</v>
        <stp/>
        <stp>BDH|15093502434619710877</stp>
        <tr r="AA19" s="17"/>
      </tp>
      <tp t="e">
        <v>#N/A</v>
        <stp/>
        <stp>BDH|13542080431835024785</stp>
        <tr r="H96" s="18"/>
      </tp>
      <tp t="e">
        <v>#N/A</v>
        <stp/>
        <stp>BDH|13285517357187800684</stp>
        <tr r="J7" s="2"/>
        <tr r="I7" s="5"/>
        <tr r="I7" s="9"/>
        <tr r="L14" s="3"/>
      </tp>
      <tp t="e">
        <v>#N/A</v>
        <stp/>
        <stp>BDH|15523114872286579779</stp>
        <tr r="S37" s="6"/>
      </tp>
      <tp t="e">
        <v>#N/A</v>
        <stp/>
        <stp>BDH|12555375864486059328</stp>
        <tr r="Y22" s="24"/>
      </tp>
      <tp t="e">
        <v>#N/A</v>
        <stp/>
        <stp>BDH|14079516037936554674</stp>
        <tr r="X43" s="22"/>
      </tp>
      <tp t="e">
        <v>#N/A</v>
        <stp/>
        <stp>BDH|10968459783657939923</stp>
        <tr r="W35" s="26"/>
      </tp>
      <tp t="e">
        <v>#N/A</v>
        <stp/>
        <stp>BDH|11730142614936139523</stp>
        <tr r="X13" s="11"/>
      </tp>
      <tp t="e">
        <v>#N/A</v>
        <stp/>
        <stp>BDH|16921508065572908517</stp>
        <tr r="I13" s="5"/>
      </tp>
      <tp t="e">
        <v>#N/A</v>
        <stp/>
        <stp>BDH|10389677408703841703</stp>
        <tr r="X66" s="10"/>
      </tp>
      <tp t="e">
        <v>#N/A</v>
        <stp/>
        <stp>BDH|18187437961530736806</stp>
        <tr r="G39" s="22"/>
      </tp>
      <tp t="e">
        <v>#N/A</v>
        <stp/>
        <stp>BDH|13830082164940310736</stp>
        <tr r="R138" s="18"/>
      </tp>
      <tp t="e">
        <v>#N/A</v>
        <stp/>
        <stp>BDH|12695148631824175661</stp>
        <tr r="C22" s="27"/>
      </tp>
      <tp t="e">
        <v>#N/A</v>
        <stp/>
        <stp>BDH|12471134721311779259</stp>
        <tr r="Y87" s="17"/>
        <tr r="Y20" s="3"/>
        <tr r="W6" s="7"/>
      </tp>
      <tp t="e">
        <v>#N/A</v>
        <stp/>
        <stp>BDH|11430604450445395534</stp>
        <tr r="L131" s="18"/>
      </tp>
      <tp t="e">
        <v>#N/A</v>
        <stp/>
        <stp>BDH|14280945091585354300</stp>
        <tr r="O145" s="18"/>
      </tp>
      <tp t="e">
        <v>#N/A</v>
        <stp/>
        <stp>BDH|11350905512959439219</stp>
        <tr r="G11" s="22"/>
      </tp>
      <tp t="e">
        <v>#N/A</v>
        <stp/>
        <stp>BDH|10999519112795854361</stp>
        <tr r="N20" s="29"/>
      </tp>
      <tp t="e">
        <v>#N/A</v>
        <stp/>
        <stp>BDH|17679764434040768176</stp>
        <tr r="S61" s="12"/>
      </tp>
      <tp t="e">
        <v>#N/A</v>
        <stp/>
        <stp>BDH|15439482088692553951</stp>
        <tr r="E81" s="17"/>
      </tp>
      <tp t="e">
        <v>#N/A</v>
        <stp/>
        <stp>BDH|12925558987059887470</stp>
        <tr r="S34" s="12"/>
      </tp>
      <tp t="e">
        <v>#N/A</v>
        <stp/>
        <stp>BDH|16384482969140389651</stp>
        <tr r="L70" s="17"/>
      </tp>
      <tp t="e">
        <v>#N/A</v>
        <stp/>
        <stp>BDH|15318328145851423142</stp>
        <tr r="O66" s="17"/>
      </tp>
      <tp t="e">
        <v>#N/A</v>
        <stp/>
        <stp>BDH|10056535023642455702</stp>
        <tr r="T15" s="29"/>
        <tr r="T35" s="29"/>
      </tp>
      <tp t="e">
        <v>#N/A</v>
        <stp/>
        <stp>BDH|13458703047590161264</stp>
        <tr r="X40" s="21"/>
      </tp>
      <tp t="e">
        <v>#N/A</v>
        <stp/>
        <stp>BDH|17895123676283008089</stp>
        <tr r="F22" s="7"/>
      </tp>
      <tp t="e">
        <v>#N/A</v>
        <stp/>
        <stp>BDH|17181403057656692244</stp>
        <tr r="W35" s="17"/>
      </tp>
      <tp t="e">
        <v>#N/A</v>
        <stp/>
        <stp>BDH|15325147476137763622</stp>
        <tr r="V29" s="24"/>
      </tp>
      <tp t="e">
        <v>#N/A</v>
        <stp/>
        <stp>BDH|17602025358499032985</stp>
        <tr r="I21" s="26"/>
      </tp>
      <tp t="e">
        <v>#N/A</v>
        <stp/>
        <stp>BDH|10754391637743800154</stp>
        <tr r="K16" s="24"/>
      </tp>
      <tp t="e">
        <v>#N/A</v>
        <stp/>
        <stp>BDH|17465573641025370155</stp>
        <tr r="D21" s="25"/>
        <tr r="D10" s="27"/>
      </tp>
      <tp t="e">
        <v>#N/A</v>
        <stp/>
        <stp>BDH|14055406990012470902</stp>
        <tr r="F9" s="29"/>
      </tp>
      <tp t="e">
        <v>#N/A</v>
        <stp/>
        <stp>BDH|11021462292619550755</stp>
        <tr r="Q8" s="23"/>
      </tp>
      <tp t="e">
        <v>#N/A</v>
        <stp/>
        <stp>BDH|12872474607350433485</stp>
        <tr r="M66" s="12"/>
      </tp>
      <tp t="e">
        <v>#N/A</v>
        <stp/>
        <stp>BDH|16776456146484886088</stp>
        <tr r="Z40" s="17"/>
      </tp>
      <tp t="e">
        <v>#N/A</v>
        <stp/>
        <stp>BDH|10250491103332534491</stp>
        <tr r="I20" s="30"/>
      </tp>
      <tp t="e">
        <v>#N/A</v>
        <stp/>
        <stp>BDH|13894499419151855541</stp>
        <tr r="Q23" s="25"/>
        <tr r="Q13" s="27"/>
      </tp>
      <tp t="e">
        <v>#N/A</v>
        <stp/>
        <stp>BDH|10085123870576395253</stp>
        <tr r="N49" s="4"/>
      </tp>
      <tp t="e">
        <v>#N/A</v>
        <stp/>
        <stp>BDH|11864592329282451687</stp>
        <tr r="H42" s="34"/>
      </tp>
      <tp t="e">
        <v>#N/A</v>
        <stp/>
        <stp>BDH|12620468062855641702</stp>
        <tr r="D9" s="8"/>
      </tp>
      <tp t="e">
        <v>#N/A</v>
        <stp/>
        <stp>BDH|10574225144514743007</stp>
        <tr r="K57" s="18"/>
      </tp>
      <tp t="e">
        <v>#N/A</v>
        <stp/>
        <stp>BDH|17887044158598554867</stp>
        <tr r="Z25" s="12"/>
      </tp>
      <tp t="e">
        <v>#N/A</v>
        <stp/>
        <stp>BDH|11470506140245102728</stp>
        <tr r="I61" s="24"/>
      </tp>
      <tp t="e">
        <v>#N/A</v>
        <stp/>
        <stp>BDH|18102037485936325437</stp>
        <tr r="J74" s="12"/>
      </tp>
      <tp t="e">
        <v>#N/A</v>
        <stp/>
        <stp>BDH|18184464367358733006</stp>
        <tr r="T30" s="21"/>
      </tp>
      <tp t="e">
        <v>#N/A</v>
        <stp/>
        <stp>BDH|11855142408250474278</stp>
        <tr r="Z30" s="21"/>
      </tp>
      <tp t="e">
        <v>#N/A</v>
        <stp/>
        <stp>BDH|15388235161430196379</stp>
        <tr r="N20" s="2"/>
        <tr r="N18" s="4"/>
        <tr r="N57" s="10"/>
        <tr r="N51" s="11"/>
        <tr r="N19" s="7"/>
        <tr r="P57" s="13"/>
      </tp>
      <tp t="e">
        <v>#N/A</v>
        <stp/>
        <stp>BDH|12358356719411178399</stp>
        <tr r="M118" s="18"/>
      </tp>
      <tp t="e">
        <v>#N/A</v>
        <stp/>
        <stp>BDH|10267343468943919405</stp>
        <tr r="T19" s="12"/>
      </tp>
      <tp t="e">
        <v>#N/A</v>
        <stp/>
        <stp>BDH|12547115108862238392</stp>
        <tr r="L25" s="24"/>
      </tp>
      <tp t="e">
        <v>#N/A</v>
        <stp/>
        <stp>BDH|14208091952881932272</stp>
        <tr r="Y19" s="25"/>
        <tr r="W21" s="11"/>
      </tp>
      <tp t="e">
        <v>#N/A</v>
        <stp/>
        <stp>BDH|11047202412704193440</stp>
        <tr r="N38" s="4"/>
        <tr r="N59" s="11"/>
        <tr r="P13" s="23"/>
      </tp>
      <tp t="e">
        <v>#N/A</v>
        <stp/>
        <stp>BDH|10617298501258053891</stp>
        <tr r="T35" s="10"/>
        <tr r="T47" s="10"/>
        <tr r="T29" s="11"/>
        <tr r="T41" s="11"/>
      </tp>
      <tp t="e">
        <v>#N/A</v>
        <stp/>
        <stp>BDH|11470709145023224343</stp>
        <tr r="V31" s="10"/>
        <tr r="V25" s="11"/>
      </tp>
      <tp t="e">
        <v>#N/A</v>
        <stp/>
        <stp>BDH|14895207913245472086</stp>
        <tr r="Q7" s="14"/>
      </tp>
      <tp t="e">
        <v>#N/A</v>
        <stp/>
        <stp>BDH|10256623578774690795</stp>
        <tr r="H158" s="18"/>
      </tp>
      <tp t="e">
        <v>#N/A</v>
        <stp/>
        <stp>BDH|11658323323824821680</stp>
        <tr r="V8" s="18"/>
      </tp>
      <tp t="e">
        <v>#N/A</v>
        <stp/>
        <stp>BDH|17492532067007159162</stp>
        <tr r="W76" s="17"/>
      </tp>
      <tp t="e">
        <v>#N/A</v>
        <stp/>
        <stp>BDH|13231233659441682790</stp>
        <tr r="T34" s="6"/>
        <tr r="V10" s="8"/>
      </tp>
      <tp t="e">
        <v>#N/A</v>
        <stp/>
        <stp>BDH|11502465495546481854</stp>
        <tr r="H22" s="4"/>
      </tp>
      <tp t="e">
        <v>#N/A</v>
        <stp/>
        <stp>BDH|15763489639630439059</stp>
        <tr r="J21" s="27"/>
      </tp>
      <tp t="e">
        <v>#N/A</v>
        <stp/>
        <stp>BDH|12315196977802959439</stp>
        <tr r="X38" s="10"/>
        <tr r="X32" s="11"/>
      </tp>
      <tp t="e">
        <v>#N/A</v>
        <stp/>
        <stp>BDH|17174337535035526051</stp>
        <tr r="L8" s="6"/>
      </tp>
      <tp t="e">
        <v>#N/A</v>
        <stp/>
        <stp>BDH|11515964377249020436</stp>
        <tr r="H74" s="17"/>
      </tp>
      <tp t="e">
        <v>#N/A</v>
        <stp/>
        <stp>BDH|12206960801011390818</stp>
        <tr r="F46" s="18"/>
      </tp>
      <tp t="e">
        <v>#N/A</v>
        <stp/>
        <stp>BDH|18014880935052390399</stp>
        <tr r="H17" s="6"/>
      </tp>
      <tp t="e">
        <v>#N/A</v>
        <stp/>
        <stp>BDH|10166980082614472786</stp>
        <tr r="L54" s="21"/>
      </tp>
      <tp t="e">
        <v>#N/A</v>
        <stp/>
        <stp>BDH|12145523742052636305</stp>
        <tr r="M8" s="6"/>
      </tp>
      <tp t="e">
        <v>#N/A</v>
        <stp/>
        <stp>BDH|15585674256531098530</stp>
        <tr r="O92" s="17"/>
      </tp>
      <tp t="e">
        <v>#N/A</v>
        <stp/>
        <stp>BDH|10942276527741661383</stp>
        <tr r="I54" s="24"/>
      </tp>
      <tp t="e">
        <v>#N/A</v>
        <stp/>
        <stp>BDH|14147084767794824413</stp>
        <tr r="M8" s="18"/>
      </tp>
      <tp t="e">
        <v>#N/A</v>
        <stp/>
        <stp>BDH|10622119922926225706</stp>
        <tr r="H77" s="17"/>
      </tp>
      <tp t="e">
        <v>#N/A</v>
        <stp/>
        <stp>BDH|10327628937462706568</stp>
        <tr r="U132" s="18"/>
      </tp>
      <tp t="e">
        <v>#N/A</v>
        <stp/>
        <stp>BDH|10652624374001361242</stp>
        <tr r="F50" s="18"/>
      </tp>
      <tp t="e">
        <v>#N/A</v>
        <stp/>
        <stp>BDH|13156363034796245761</stp>
        <tr r="L26" s="13"/>
      </tp>
      <tp t="e">
        <v>#N/A</v>
        <stp/>
        <stp>BDH|17053066659236855600</stp>
        <tr r="C14" s="4"/>
      </tp>
      <tp t="e">
        <v>#N/A</v>
        <stp/>
        <stp>BDH|15710313893779567468</stp>
        <tr r="N14" s="28"/>
      </tp>
      <tp t="e">
        <v>#N/A</v>
        <stp/>
        <stp>BDH|16040558771323561572</stp>
        <tr r="J8" s="22"/>
      </tp>
      <tp t="e">
        <v>#N/A</v>
        <stp/>
        <stp>BDH|10231042831586382727</stp>
        <tr r="M26" s="18"/>
      </tp>
      <tp t="e">
        <v>#N/A</v>
        <stp/>
        <stp>BDH|15277514167825357115</stp>
        <tr r="K53" s="24"/>
      </tp>
      <tp t="e">
        <v>#N/A</v>
        <stp/>
        <stp>BDH|11092090908361261256</stp>
        <tr r="O22" s="22"/>
      </tp>
      <tp t="e">
        <v>#N/A</v>
        <stp/>
        <stp>BDH|13745419356719044964</stp>
        <tr r="W15" s="21"/>
      </tp>
      <tp t="e">
        <v>#N/A</v>
        <stp/>
        <stp>BDH|10144924127808107132</stp>
        <tr r="M65" s="17"/>
      </tp>
      <tp t="e">
        <v>#N/A</v>
        <stp/>
        <stp>BDH|10895038259537793034</stp>
        <tr r="D34" s="22"/>
      </tp>
      <tp t="e">
        <v>#N/A</v>
        <stp/>
        <stp>BDH|14240824856963609860</stp>
        <tr r="R74" s="17"/>
      </tp>
      <tp t="e">
        <v>#N/A</v>
        <stp/>
        <stp>BDH|10419184535452895270</stp>
        <tr r="F68" s="24"/>
      </tp>
      <tp t="e">
        <v>#N/A</v>
        <stp/>
        <stp>BDH|11547340746696035219</stp>
        <tr r="P9" s="3"/>
        <tr r="N50" s="10"/>
        <tr r="N44" s="11"/>
        <tr r="N14" s="7"/>
      </tp>
      <tp t="e">
        <v>#N/A</v>
        <stp/>
        <stp>BDH|10461282277196981145</stp>
        <tr r="H73" s="17"/>
        <tr r="E8" s="5"/>
        <tr r="E8" s="9"/>
      </tp>
      <tp t="e">
        <v>#N/A</v>
        <stp/>
        <stp>BDH|11272248175012605437</stp>
        <tr r="D102" s="18"/>
      </tp>
      <tp t="e">
        <v>#N/A</v>
        <stp/>
        <stp>BDH|13629168618554637583</stp>
        <tr r="W17" s="9"/>
      </tp>
      <tp t="e">
        <v>#N/A</v>
        <stp/>
        <stp>BDH|13535512705264688014</stp>
        <tr r="R72" s="18"/>
      </tp>
      <tp t="e">
        <v>#N/A</v>
        <stp/>
        <stp>BDH|15388560057595209262</stp>
        <tr r="Z52" s="18"/>
      </tp>
      <tp t="e">
        <v>#N/A</v>
        <stp/>
        <stp>BDH|15002700995908000136</stp>
        <tr r="Q75" s="18"/>
      </tp>
      <tp t="e">
        <v>#N/A</v>
        <stp/>
        <stp>BDH|18339547027379225448</stp>
        <tr r="M30" s="17"/>
      </tp>
      <tp t="e">
        <v>#N/A</v>
        <stp/>
        <stp>BDH|16748809993976612348</stp>
        <tr r="Q43" s="13"/>
      </tp>
      <tp t="e">
        <v>#N/A</v>
        <stp/>
        <stp>BDH|14635021371772212319</stp>
        <tr r="J75" s="12"/>
      </tp>
      <tp t="e">
        <v>#N/A</v>
        <stp/>
        <stp>BDH|17372562177182166551</stp>
        <tr r="AA66" s="18"/>
      </tp>
      <tp t="e">
        <v>#N/A</v>
        <stp/>
        <stp>BDH|10286588886526900936</stp>
        <tr r="N20" s="18"/>
      </tp>
      <tp t="e">
        <v>#N/A</v>
        <stp/>
        <stp>BDH|17587508480368792049</stp>
        <tr r="W23" s="25"/>
        <tr r="W13" s="27"/>
      </tp>
      <tp t="e">
        <v>#N/A</v>
        <stp/>
        <stp>BDH|15715821172341620970</stp>
        <tr r="H125" s="18"/>
      </tp>
      <tp t="e">
        <v>#N/A</v>
        <stp/>
        <stp>BDH|13608435979450891228</stp>
        <tr r="X26" s="6"/>
      </tp>
      <tp t="e">
        <v>#N/A</v>
        <stp/>
        <stp>BDH|14171697949184661017</stp>
        <tr r="N11" s="9"/>
      </tp>
      <tp t="e">
        <v>#N/A</v>
        <stp/>
        <stp>BDH|16214684237722814333</stp>
        <tr r="K20" s="27"/>
      </tp>
      <tp t="e">
        <v>#N/A</v>
        <stp/>
        <stp>BDH|14661063566331717170</stp>
        <tr r="Q112" s="18"/>
        <tr r="O13" s="20"/>
      </tp>
      <tp t="e">
        <v>#N/A</v>
        <stp/>
        <stp>BDH|15605164571888435939</stp>
        <tr r="I26" s="7"/>
      </tp>
      <tp t="e">
        <v>#N/A</v>
        <stp/>
        <stp>BDH|17035227100214048344</stp>
        <tr r="T16" s="21"/>
      </tp>
      <tp t="e">
        <v>#N/A</v>
        <stp/>
        <stp>BDH|13692237924162724308</stp>
        <tr r="W66" s="17"/>
      </tp>
      <tp t="e">
        <v>#N/A</v>
        <stp/>
        <stp>BDH|10250667657575259477</stp>
        <tr r="H37" s="10"/>
        <tr r="H31" s="11"/>
        <tr r="J40" s="13"/>
      </tp>
      <tp t="e">
        <v>#N/A</v>
        <stp/>
        <stp>BDH|15807550005290979270</stp>
        <tr r="G24" s="24"/>
      </tp>
      <tp t="e">
        <v>#N/A</v>
        <stp/>
        <stp>BDH|11778364371195411226</stp>
        <tr r="L31" s="10"/>
        <tr r="L25" s="11"/>
      </tp>
      <tp t="e">
        <v>#N/A</v>
        <stp/>
        <stp>BDH|14709911010238654662</stp>
        <tr r="L15" s="5"/>
      </tp>
      <tp t="e">
        <v>#N/A</v>
        <stp/>
        <stp>BDH|17544345114037228017</stp>
        <tr r="R7" s="11"/>
      </tp>
      <tp t="e">
        <v>#N/A</v>
        <stp/>
        <stp>BDH|10107502378315941561</stp>
        <tr r="V20" s="22"/>
      </tp>
      <tp t="e">
        <v>#N/A</v>
        <stp/>
        <stp>BDH|10942505544065216694</stp>
        <tr r="J38" s="24"/>
      </tp>
      <tp t="e">
        <v>#N/A</v>
        <stp/>
        <stp>BDH|12679380467333277628</stp>
        <tr r="P12" s="17"/>
      </tp>
      <tp t="e">
        <v>#N/A</v>
        <stp/>
        <stp>BDH|18055868478636356345</stp>
        <tr r="C66" s="17"/>
      </tp>
      <tp t="e">
        <v>#N/A</v>
        <stp/>
        <stp>BDH|14818046280296765828</stp>
        <tr r="M33" s="12"/>
      </tp>
      <tp t="e">
        <v>#N/A</v>
        <stp/>
        <stp>BDH|15460867367949411082</stp>
        <tr r="G104" s="18"/>
      </tp>
      <tp t="e">
        <v>#N/A</v>
        <stp/>
        <stp>BDH|16003798611123701162</stp>
        <tr r="G27" s="6"/>
      </tp>
      <tp t="e">
        <v>#N/A</v>
        <stp/>
        <stp>BDH|11081643166121242295</stp>
        <tr r="H21" s="27"/>
      </tp>
      <tp t="e">
        <v>#N/A</v>
        <stp/>
        <stp>BDH|18113369828799119274</stp>
        <tr r="V23" s="13"/>
      </tp>
      <tp t="e">
        <v>#N/A</v>
        <stp/>
        <stp>BDH|13826422444347010678</stp>
        <tr r="L91" s="17"/>
      </tp>
      <tp t="e">
        <v>#N/A</v>
        <stp/>
        <stp>BDH|15610399790559373450</stp>
        <tr r="D66" s="10"/>
      </tp>
      <tp t="e">
        <v>#N/A</v>
        <stp/>
        <stp>BDH|12220878598301541014</stp>
        <tr r="O37" s="34"/>
      </tp>
      <tp t="e">
        <v>#N/A</v>
        <stp/>
        <stp>BDH|15592697230511305362</stp>
        <tr r="V58" s="17"/>
      </tp>
      <tp t="e">
        <v>#N/A</v>
        <stp/>
        <stp>BDH|18138992796993264957</stp>
        <tr r="R67" s="10"/>
      </tp>
      <tp t="e">
        <v>#N/A</v>
        <stp/>
        <stp>BDH|17575646121987095699</stp>
        <tr r="X79" s="12"/>
      </tp>
      <tp t="e">
        <v>#N/A</v>
        <stp/>
        <stp>BDH|17562698163650063566</stp>
        <tr r="Y55" s="18"/>
      </tp>
      <tp t="e">
        <v>#N/A</v>
        <stp/>
        <stp>BDH|10921747090478794430</stp>
        <tr r="G52" s="18"/>
      </tp>
      <tp t="e">
        <v>#N/A</v>
        <stp/>
        <stp>BDH|13950763072800022144</stp>
        <tr r="N71" s="12"/>
      </tp>
      <tp t="e">
        <v>#N/A</v>
        <stp/>
        <stp>BDH|18034119994013848141</stp>
        <tr r="C37" s="34"/>
      </tp>
      <tp t="e">
        <v>#N/A</v>
        <stp/>
        <stp>BDH|18141151350028887652</stp>
        <tr r="F42" s="18"/>
      </tp>
      <tp t="e">
        <v>#N/A</v>
        <stp/>
        <stp>BDH|16825041032967655010</stp>
        <tr r="Z22" s="17"/>
      </tp>
      <tp t="e">
        <v>#N/A</v>
        <stp/>
        <stp>BDH|11759092040877773006</stp>
        <tr r="E114" s="18"/>
      </tp>
      <tp t="e">
        <v>#N/A</v>
        <stp/>
        <stp>BDH|12075485935647621028</stp>
        <tr r="Q143" s="18"/>
      </tp>
      <tp t="e">
        <v>#N/A</v>
        <stp/>
        <stp>BDH|11708710204595998122</stp>
        <tr r="J10" s="23"/>
      </tp>
      <tp t="e">
        <v>#N/A</v>
        <stp/>
        <stp>BDH|16785700099689371344</stp>
        <tr r="L23" s="23"/>
      </tp>
      <tp t="e">
        <v>#N/A</v>
        <stp/>
        <stp>BDH|16189313849822296127</stp>
        <tr r="Q35" s="26"/>
      </tp>
      <tp t="e">
        <v>#N/A</v>
        <stp/>
        <stp>BDH|16699335479449439916</stp>
        <tr r="I79" s="18"/>
      </tp>
      <tp t="e">
        <v>#N/A</v>
        <stp/>
        <stp>BDH|10937973620630226957</stp>
        <tr r="X18" s="24"/>
      </tp>
      <tp t="e">
        <v>#N/A</v>
        <stp/>
        <stp>BDH|11553868252799908718</stp>
        <tr r="J59" s="21"/>
        <tr r="H56" s="11"/>
      </tp>
      <tp t="e">
        <v>#N/A</v>
        <stp/>
        <stp>BDH|14554793364654469357</stp>
        <tr r="H12" s="12"/>
      </tp>
      <tp t="e">
        <v>#N/A</v>
        <stp/>
        <stp>BDH|10070487600132104400</stp>
        <tr r="E30" s="29"/>
        <tr r="E8" s="29"/>
      </tp>
      <tp t="e">
        <v>#N/A</v>
        <stp/>
        <stp>BDH|14314074146131234396</stp>
        <tr r="T16" s="14"/>
      </tp>
      <tp t="e">
        <v>#N/A</v>
        <stp/>
        <stp>BDH|12051467184385892938</stp>
        <tr r="P7" s="10"/>
      </tp>
      <tp t="e">
        <v>#N/A</v>
        <stp/>
        <stp>BDH|13580692001865318274</stp>
        <tr r="C34" s="6"/>
        <tr r="E10" s="8"/>
      </tp>
      <tp t="e">
        <v>#N/A</v>
        <stp/>
        <stp>BDH|16095283434666295373</stp>
        <tr r="Y26" s="17"/>
      </tp>
      <tp t="e">
        <v>#N/A</v>
        <stp/>
        <stp>BDH|14482783853830426424</stp>
        <tr r="O54" s="17"/>
      </tp>
      <tp t="e">
        <v>#N/A</v>
        <stp/>
        <stp>BDH|13679158422255886700</stp>
        <tr r="O14" s="29"/>
        <tr r="O23" s="29"/>
        <tr r="O34" s="29"/>
      </tp>
      <tp t="e">
        <v>#N/A</v>
        <stp/>
        <stp>BDH|13787086076373919599</stp>
        <tr r="AA93" s="18"/>
      </tp>
      <tp t="e">
        <v>#N/A</v>
        <stp/>
        <stp>BDH|11175962791003626092</stp>
        <tr r="J13" s="12"/>
      </tp>
      <tp t="e">
        <v>#N/A</v>
        <stp/>
        <stp>BDH|13321160824754198699</stp>
        <tr r="AA18" s="24"/>
      </tp>
      <tp t="e">
        <v>#N/A</v>
        <stp/>
        <stp>BDH|17555037707562937711</stp>
        <tr r="E60" s="24"/>
      </tp>
      <tp t="e">
        <v>#N/A</v>
        <stp/>
        <stp>BDH|13108241126257307697</stp>
        <tr r="O7" s="11"/>
      </tp>
      <tp t="e">
        <v>#N/A</v>
        <stp/>
        <stp>BDH|12580184268253492483</stp>
        <tr r="S8" s="6"/>
      </tp>
      <tp t="e">
        <v>#N/A</v>
        <stp/>
        <stp>BDH|14981808409578816610</stp>
        <tr r="F158" s="18"/>
      </tp>
      <tp t="e">
        <v>#N/A</v>
        <stp/>
        <stp>BDH|10164328142257803208</stp>
        <tr r="K14" s="29"/>
        <tr r="K23" s="29"/>
        <tr r="K34" s="29"/>
      </tp>
      <tp t="e">
        <v>#N/A</v>
        <stp/>
        <stp>BDH|12059392616100646219</stp>
        <tr r="K16" s="29"/>
        <tr r="K36" s="29"/>
      </tp>
      <tp t="e">
        <v>#N/A</v>
        <stp/>
        <stp>BDH|15641631788869468010</stp>
        <tr r="G50" s="17"/>
      </tp>
      <tp t="e">
        <v>#N/A</v>
        <stp/>
        <stp>BDH|14259060444480880202</stp>
        <tr r="M46" s="12"/>
      </tp>
      <tp t="e">
        <v>#N/A</v>
        <stp/>
        <stp>BDH|13353072917747893733</stp>
        <tr r="J73" s="17"/>
        <tr r="G8" s="5"/>
        <tr r="G8" s="9"/>
      </tp>
      <tp t="e">
        <v>#N/A</v>
        <stp/>
        <stp>BDH|14237863900077883942</stp>
        <tr r="X39" s="24"/>
      </tp>
      <tp t="e">
        <v>#N/A</v>
        <stp/>
        <stp>BDH|15533362110816829331</stp>
        <tr r="E16" s="22"/>
      </tp>
      <tp t="e">
        <v>#N/A</v>
        <stp/>
        <stp>BDH|17207687020336575779</stp>
        <tr r="E44" s="24"/>
      </tp>
      <tp t="e">
        <v>#N/A</v>
        <stp/>
        <stp>BDH|16214699345532164471</stp>
        <tr r="D11" s="13"/>
      </tp>
      <tp t="e">
        <v>#N/A</v>
        <stp/>
        <stp>BDH|12584529080834893979</stp>
        <tr r="P17" s="9"/>
      </tp>
      <tp t="e">
        <v>#N/A</v>
        <stp/>
        <stp>BDH|13990952797538423975</stp>
        <tr r="E34" s="24"/>
      </tp>
      <tp t="e">
        <v>#N/A</v>
        <stp/>
        <stp>BDH|14828211287148582432</stp>
        <tr r="F32" s="6"/>
        <tr r="H6" s="8"/>
      </tp>
      <tp t="e">
        <v>#N/A</v>
        <stp/>
        <stp>BDH|12198155439903154148</stp>
        <tr r="D23" s="23"/>
      </tp>
      <tp t="e">
        <v>#N/A</v>
        <stp/>
        <stp>BDH|14982590532451907134</stp>
        <tr r="AA20" s="17"/>
      </tp>
      <tp t="e">
        <v>#N/A</v>
        <stp/>
        <stp>BDH|17085402173273946524</stp>
        <tr r="K79" s="12"/>
      </tp>
      <tp t="e">
        <v>#N/A</v>
        <stp/>
        <stp>BDH|17938735654156397151</stp>
        <tr r="E9" s="34"/>
      </tp>
      <tp t="e">
        <v>#N/A</v>
        <stp/>
        <stp>BDH|10981615574381023243</stp>
        <tr r="Q29" s="4"/>
      </tp>
      <tp t="e">
        <v>#N/A</v>
        <stp/>
        <stp>BDH|10565390005783996286</stp>
        <tr r="J7" s="17"/>
      </tp>
      <tp t="e">
        <v>#N/A</v>
        <stp/>
        <stp>BDH|16925754686659091227</stp>
        <tr r="T38" s="18"/>
      </tp>
      <tp t="e">
        <v>#N/A</v>
        <stp/>
        <stp>BDH|15660518245325841327</stp>
        <tr r="R88" s="18"/>
      </tp>
      <tp t="e">
        <v>#N/A</v>
        <stp/>
        <stp>BDH|13563814206520386992</stp>
        <tr r="N17" s="11"/>
      </tp>
      <tp t="e">
        <v>#N/A</v>
        <stp/>
        <stp>BDH|17506300468606787623</stp>
        <tr r="G7" s="11"/>
      </tp>
      <tp t="e">
        <v>#N/A</v>
        <stp/>
        <stp>BDH|14420197962899050875</stp>
        <tr r="N21" s="18"/>
      </tp>
      <tp t="e">
        <v>#N/A</v>
        <stp/>
        <stp>BDH|16897711530313373321</stp>
        <tr r="J92" s="17"/>
      </tp>
      <tp t="e">
        <v>#N/A</v>
        <stp/>
        <stp>BDH|11269226707163699294</stp>
        <tr r="C44" s="17"/>
      </tp>
      <tp t="e">
        <v>#N/A</v>
        <stp/>
        <stp>BDH|18263304903680032994</stp>
        <tr r="S16" s="10"/>
      </tp>
      <tp t="e">
        <v>#N/A</v>
        <stp/>
        <stp>BDH|13243751849112158072</stp>
        <tr r="G11" s="3"/>
        <tr r="E49" s="10"/>
        <tr r="E43" s="11"/>
        <tr r="E8" s="7"/>
      </tp>
      <tp t="e">
        <v>#N/A</v>
        <stp/>
        <stp>BDH|12679738901771499683</stp>
        <tr r="F96" s="17"/>
      </tp>
      <tp t="e">
        <v>#N/A</v>
        <stp/>
        <stp>BDH|13431780061237738720</stp>
        <tr r="X97" s="17"/>
        <tr r="X7" s="27"/>
      </tp>
      <tp t="e">
        <v>#N/A</v>
        <stp/>
        <stp>BDH|18088581990404692266</stp>
        <tr r="Q69" s="17"/>
      </tp>
      <tp t="e">
        <v>#N/A</v>
        <stp/>
        <stp>BDH|14650049908263480567</stp>
        <tr r="O54" s="12"/>
      </tp>
      <tp t="e">
        <v>#N/A</v>
        <stp/>
        <stp>BDH|17961503503501609140</stp>
        <tr r="O35" s="34"/>
      </tp>
      <tp t="e">
        <v>#N/A</v>
        <stp/>
        <stp>BDH|14092795478681084792</stp>
        <tr r="P63" s="12"/>
      </tp>
      <tp t="e">
        <v>#N/A</v>
        <stp/>
        <stp>BDH|15717560360350051497</stp>
        <tr r="W45" s="18"/>
      </tp>
      <tp t="e">
        <v>#N/A</v>
        <stp/>
        <stp>BDH|13767777577598979963</stp>
        <tr r="X13" s="8"/>
      </tp>
      <tp t="e">
        <v>#N/A</v>
        <stp/>
        <stp>BDH|13421450849279403847</stp>
        <tr r="W43" s="21"/>
      </tp>
      <tp t="e">
        <v>#N/A</v>
        <stp/>
        <stp>BDH|17813820914954571838</stp>
        <tr r="AA12" s="30"/>
      </tp>
      <tp t="e">
        <v>#N/A</v>
        <stp/>
        <stp>BDH|13270147748464505033</stp>
        <tr r="D36" s="34"/>
      </tp>
      <tp t="e">
        <v>#N/A</v>
        <stp/>
        <stp>BDH|11548303709582311274</stp>
        <tr r="F26" s="13"/>
      </tp>
      <tp t="e">
        <v>#N/A</v>
        <stp/>
        <stp>BDH|13777322470022817753</stp>
        <tr r="W11" s="14"/>
      </tp>
      <tp t="e">
        <v>#N/A</v>
        <stp/>
        <stp>BDH|17614927527268835630</stp>
        <tr r="T18" s="9"/>
      </tp>
      <tp t="e">
        <v>#N/A</v>
        <stp/>
        <stp>BDH|12559050809042978284</stp>
        <tr r="Y149" s="18"/>
      </tp>
      <tp t="e">
        <v>#N/A</v>
        <stp/>
        <stp>BDH|13002682288899052689</stp>
        <tr r="Z8" s="24"/>
      </tp>
      <tp t="e">
        <v>#N/A</v>
        <stp/>
        <stp>BDH|14916131850456161434</stp>
        <tr r="L23" s="18"/>
      </tp>
      <tp t="e">
        <v>#N/A</v>
        <stp/>
        <stp>BDH|13511200284122034995</stp>
        <tr r="D35" s="21"/>
      </tp>
      <tp t="e">
        <v>#N/A</v>
        <stp/>
        <stp>BDH|13824364307952005019</stp>
        <tr r="E63" s="12"/>
      </tp>
      <tp t="e">
        <v>#N/A</v>
        <stp/>
        <stp>BDH|13942632279142292298</stp>
        <tr r="W37" s="24"/>
      </tp>
      <tp t="e">
        <v>#N/A</v>
        <stp/>
        <stp>BDH|13234110258396402375</stp>
        <tr r="K135" s="18"/>
      </tp>
      <tp t="e">
        <v>#N/A</v>
        <stp/>
        <stp>BDH|11403568123872109685</stp>
        <tr r="K47" s="24"/>
      </tp>
      <tp t="e">
        <v>#N/A</v>
        <stp/>
        <stp>BDH|13686771536486809378</stp>
        <tr r="T15" s="9"/>
      </tp>
      <tp t="e">
        <v>#N/A</v>
        <stp/>
        <stp>BDH|16162430465362738482</stp>
        <tr r="L11" s="21"/>
      </tp>
      <tp t="e">
        <v>#N/A</v>
        <stp/>
        <stp>BDH|14947162751924134678</stp>
        <tr r="P10" s="17"/>
      </tp>
      <tp t="e">
        <v>#N/A</v>
        <stp/>
        <stp>BDH|15094263688579464412</stp>
        <tr r="Z73" s="24"/>
      </tp>
      <tp t="e">
        <v>#N/A</v>
        <stp/>
        <stp>BDH|17864625198673071999</stp>
        <tr r="C9" s="10"/>
      </tp>
      <tp t="e">
        <v>#N/A</v>
        <stp/>
        <stp>BDH|11256499312556162034</stp>
        <tr r="Q125" s="18"/>
      </tp>
      <tp t="e">
        <v>#N/A</v>
        <stp/>
        <stp>BDH|16291920164168972365</stp>
        <tr r="Y34" s="10"/>
        <tr r="Y28" s="11"/>
      </tp>
      <tp t="e">
        <v>#N/A</v>
        <stp/>
        <stp>BDH|10876205900833200313</stp>
        <tr r="M7" s="6"/>
      </tp>
      <tp t="e">
        <v>#N/A</v>
        <stp/>
        <stp>BDH|15539002047095002698</stp>
        <tr r="C18" s="5"/>
        <tr r="C30" s="6"/>
      </tp>
      <tp t="e">
        <v>#N/A</v>
        <stp/>
        <stp>BDH|12869864956189036438</stp>
        <tr r="G128" s="18"/>
      </tp>
      <tp t="e">
        <v>#N/A</v>
        <stp/>
        <stp>BDH|11313278917268954816</stp>
        <tr r="N60" s="17"/>
      </tp>
      <tp t="e">
        <v>#N/A</v>
        <stp/>
        <stp>BDH|16441951994390990477</stp>
        <tr r="C28" s="26"/>
      </tp>
      <tp t="e">
        <v>#N/A</v>
        <stp/>
        <stp>BDH|17550621004931010284</stp>
        <tr r="H16" s="30"/>
      </tp>
      <tp t="e">
        <v>#N/A</v>
        <stp/>
        <stp>BDH|13676744038094554148</stp>
        <tr r="Y102" s="18"/>
      </tp>
      <tp t="e">
        <v>#N/A</v>
        <stp/>
        <stp>BDH|12800573381809553400</stp>
        <tr r="P32" s="12"/>
      </tp>
      <tp t="e">
        <v>#N/A</v>
        <stp/>
        <stp>BDH|13323244201436942548</stp>
        <tr r="Z28" s="25"/>
        <tr r="Z18" s="27"/>
      </tp>
      <tp t="e">
        <v>#N/A</v>
        <stp/>
        <stp>BDH|14288082722873161728</stp>
        <tr r="R10" s="30"/>
      </tp>
      <tp t="e">
        <v>#N/A</v>
        <stp/>
        <stp>BDH|15082733454986576399</stp>
        <tr r="L83" s="17"/>
      </tp>
      <tp t="e">
        <v>#N/A</v>
        <stp/>
        <stp>BDH|16885101611075370112</stp>
        <tr r="P19" s="25"/>
        <tr r="N21" s="11"/>
      </tp>
      <tp t="e">
        <v>#N/A</v>
        <stp/>
        <stp>BDH|14362733266807507081</stp>
        <tr r="X32" s="17"/>
      </tp>
      <tp t="e">
        <v>#N/A</v>
        <stp/>
        <stp>BDH|17370126466426481481</stp>
        <tr r="E62" s="10"/>
      </tp>
      <tp t="e">
        <v>#N/A</v>
        <stp/>
        <stp>BDH|12874423115827655225</stp>
        <tr r="K9" s="34"/>
      </tp>
      <tp t="e">
        <v>#N/A</v>
        <stp/>
        <stp>BDH|15011933709108668677</stp>
        <tr r="D32" s="18"/>
      </tp>
      <tp t="e">
        <v>#N/A</v>
        <stp/>
        <stp>BDH|11589765669797901588</stp>
        <tr r="S31" s="12"/>
      </tp>
      <tp t="e">
        <v>#N/A</v>
        <stp/>
        <stp>BDH|17348385527071623513</stp>
        <tr r="N25" s="3"/>
      </tp>
      <tp t="e">
        <v>#N/A</v>
        <stp/>
        <stp>BDH|15315883481161123601</stp>
        <tr r="N68" s="12"/>
      </tp>
      <tp t="e">
        <v>#N/A</v>
        <stp/>
        <stp>BDH|15701999247963241904</stp>
        <tr r="S11" s="7"/>
      </tp>
      <tp t="e">
        <v>#N/A</v>
        <stp/>
        <stp>BDH|15891513616267295461</stp>
        <tr r="G35" s="17"/>
      </tp>
      <tp t="e">
        <v>#N/A</v>
        <stp/>
        <stp>BDH|13327339522028980805</stp>
        <tr r="X59" s="24"/>
      </tp>
      <tp t="e">
        <v>#N/A</v>
        <stp/>
        <stp>BDH|17869127550913356228</stp>
        <tr r="O39" s="34"/>
      </tp>
      <tp t="e">
        <v>#N/A</v>
        <stp/>
        <stp>BDH|10049367004836967716</stp>
        <tr r="N41" s="18"/>
      </tp>
      <tp t="e">
        <v>#N/A</v>
        <stp/>
        <stp>BDH|13514836847849307484</stp>
        <tr r="X8" s="12"/>
      </tp>
      <tp t="e">
        <v>#N/A</v>
        <stp/>
        <stp>BDH|18262618608775949986</stp>
        <tr r="Q11" s="29"/>
      </tp>
      <tp t="e">
        <v>#N/A</v>
        <stp/>
        <stp>BDH|13306201468823904682</stp>
        <tr r="K17" s="14"/>
      </tp>
      <tp t="e">
        <v>#N/A</v>
        <stp/>
        <stp>BDH|17642326929947575326</stp>
        <tr r="W9" s="26"/>
      </tp>
      <tp t="e">
        <v>#N/A</v>
        <stp/>
        <stp>BDH|16585386967748031903</stp>
        <tr r="R9" s="6"/>
      </tp>
      <tp t="e">
        <v>#N/A</v>
        <stp/>
        <stp>BDH|12759393930841628124</stp>
        <tr r="O12" s="14"/>
      </tp>
      <tp t="e">
        <v>#N/A</v>
        <stp/>
        <stp>BDH|14615637816871142082</stp>
        <tr r="L12" s="18"/>
      </tp>
      <tp t="e">
        <v>#N/A</v>
        <stp/>
        <stp>BDH|18045988499238272296</stp>
        <tr r="M42" s="4"/>
      </tp>
      <tp t="e">
        <v>#N/A</v>
        <stp/>
        <stp>BDH|11606514748053587102</stp>
        <tr r="M45" s="24"/>
      </tp>
      <tp t="e">
        <v>#N/A</v>
        <stp/>
        <stp>BDH|16423597747834804180</stp>
        <tr r="M16" s="10"/>
      </tp>
      <tp t="e">
        <v>#N/A</v>
        <stp/>
        <stp>BDH|17702750265436580281</stp>
        <tr r="Y13" s="14"/>
      </tp>
      <tp t="e">
        <v>#N/A</v>
        <stp/>
        <stp>BDH|17879045848076674788</stp>
        <tr r="G20" s="2"/>
        <tr r="G18" s="4"/>
        <tr r="G57" s="10"/>
        <tr r="G51" s="11"/>
        <tr r="G19" s="7"/>
        <tr r="I57" s="13"/>
      </tp>
      <tp t="e">
        <v>#N/A</v>
        <stp/>
        <stp>BDH|10352472137885879014</stp>
        <tr r="T55" s="17"/>
      </tp>
      <tp t="e">
        <v>#N/A</v>
        <stp/>
        <stp>BDH|17264096705215249065</stp>
        <tr r="M82" s="18"/>
      </tp>
      <tp t="e">
        <v>#N/A</v>
        <stp/>
        <stp>BDH|17979266933372192678</stp>
        <tr r="S62" s="18"/>
      </tp>
      <tp t="e">
        <v>#N/A</v>
        <stp/>
        <stp>BDH|10501756216884897045</stp>
        <tr r="X149" s="18"/>
      </tp>
      <tp t="e">
        <v>#N/A</v>
        <stp/>
        <stp>BDH|12295019248587253332</stp>
        <tr r="W33" s="21"/>
      </tp>
      <tp t="e">
        <v>#N/A</v>
        <stp/>
        <stp>BDH|15012116805650643687</stp>
        <tr r="J25" s="21"/>
      </tp>
      <tp t="e">
        <v>#N/A</v>
        <stp/>
        <stp>BDH|16519209025374219088</stp>
        <tr r="L35" s="25"/>
        <tr r="L7" s="3"/>
        <tr r="J18" s="11"/>
        <tr r="L22" s="13"/>
        <tr r="L7" s="13"/>
      </tp>
      <tp t="e">
        <v>#N/A</v>
        <stp/>
        <stp>BDH|11442892522359654032</stp>
        <tr r="C41" s="21"/>
      </tp>
      <tp t="e">
        <v>#N/A</v>
        <stp/>
        <stp>BDH|14069047008676568033</stp>
        <tr r="J19" s="24"/>
      </tp>
      <tp t="e">
        <v>#N/A</v>
        <stp/>
        <stp>BDH|12541085644076157225</stp>
        <tr r="S50" s="18"/>
      </tp>
      <tp t="e">
        <v>#N/A</v>
        <stp/>
        <stp>BDH|11614017918936161449</stp>
        <tr r="M23" s="12"/>
      </tp>
      <tp t="e">
        <v>#N/A</v>
        <stp/>
        <stp>BDH|11055688007493598600</stp>
        <tr r="M41" s="10"/>
        <tr r="M35" s="11"/>
      </tp>
      <tp t="e">
        <v>#N/A</v>
        <stp/>
        <stp>BDH|13063575407547355393</stp>
        <tr r="M44" s="18"/>
      </tp>
      <tp t="e">
        <v>#N/A</v>
        <stp/>
        <stp>BDH|14647292272743328044</stp>
        <tr r="I31" s="25"/>
      </tp>
      <tp t="e">
        <v>#N/A</v>
        <stp/>
        <stp>BDH|14803113032996753268</stp>
        <tr r="R76" s="12"/>
      </tp>
      <tp t="e">
        <v>#N/A</v>
        <stp/>
        <stp>BDH|12277365643587432093</stp>
        <tr r="M47" s="24"/>
      </tp>
      <tp t="e">
        <v>#N/A</v>
        <stp/>
        <stp>BDH|10224305071880980601</stp>
        <tr r="T22" s="30"/>
        <tr r="T25" s="23"/>
      </tp>
      <tp t="e">
        <v>#N/A</v>
        <stp/>
        <stp>BDH|18177196118689813323</stp>
        <tr r="Y22" s="25"/>
        <tr r="Y12" s="27"/>
      </tp>
      <tp t="e">
        <v>#N/A</v>
        <stp/>
        <stp>BDH|10039357096251853916</stp>
        <tr r="AA9" s="12"/>
      </tp>
      <tp t="e">
        <v>#N/A</v>
        <stp/>
        <stp>BDH|15172099421970678555</stp>
        <tr r="C15" s="12"/>
      </tp>
      <tp t="e">
        <v>#N/A</v>
        <stp/>
        <stp>BDH|15849653153757635326</stp>
        <tr r="L64" s="12"/>
      </tp>
      <tp t="e">
        <v>#N/A</v>
        <stp/>
        <stp>BDH|11891102143321998784</stp>
        <tr r="F35" s="10"/>
        <tr r="F47" s="10"/>
        <tr r="F29" s="11"/>
        <tr r="F41" s="11"/>
      </tp>
      <tp t="e">
        <v>#N/A</v>
        <stp/>
        <stp>BDH|15647629740056816369</stp>
        <tr r="O16" s="25"/>
      </tp>
      <tp t="e">
        <v>#N/A</v>
        <stp/>
        <stp>BDH|11807276304690793112</stp>
        <tr r="F28" s="26"/>
      </tp>
      <tp t="e">
        <v>#N/A</v>
        <stp/>
        <stp>BDH|14972402732948032966</stp>
        <tr r="H35" s="12"/>
      </tp>
      <tp t="e">
        <v>#N/A</v>
        <stp/>
        <stp>BDH|10772325749234289130</stp>
        <tr r="F15" s="10"/>
      </tp>
      <tp t="e">
        <v>#N/A</v>
        <stp/>
        <stp>BDH|15070462269133481664</stp>
        <tr r="F22" s="10"/>
      </tp>
      <tp t="e">
        <v>#N/A</v>
        <stp/>
        <stp>BDH|18032168296614565685</stp>
        <tr r="T34" s="22"/>
      </tp>
      <tp t="e">
        <v>#N/A</v>
        <stp/>
        <stp>BDH|12651391887182636938</stp>
        <tr r="V47" s="21"/>
      </tp>
      <tp t="e">
        <v>#N/A</v>
        <stp/>
        <stp>BDH|13852051703515295416</stp>
        <tr r="P36" s="34"/>
      </tp>
      <tp t="e">
        <v>#N/A</v>
        <stp/>
        <stp>BDH|12364608075005327481</stp>
        <tr r="U6" s="28"/>
      </tp>
      <tp t="e">
        <v>#N/A</v>
        <stp/>
        <stp>BDH|11785094944300143767</stp>
        <tr r="J10" s="30"/>
      </tp>
      <tp t="e">
        <v>#N/A</v>
        <stp/>
        <stp>BDH|13173085950931451502</stp>
        <tr r="F45" s="24"/>
      </tp>
      <tp t="e">
        <v>#N/A</v>
        <stp/>
        <stp>BDH|15281216206897122298</stp>
        <tr r="J26" s="29"/>
      </tp>
      <tp t="e">
        <v>#N/A</v>
        <stp/>
        <stp>BDH|13214331128361408100</stp>
        <tr r="O10" s="13"/>
      </tp>
      <tp t="e">
        <v>#N/A</v>
        <stp/>
        <stp>BDH|13715591600344484078</stp>
        <tr r="C14" s="6"/>
      </tp>
      <tp t="e">
        <v>#N/A</v>
        <stp/>
        <stp>BDH|13871870786527357674</stp>
        <tr r="K18" s="10"/>
        <tr r="M16" s="13"/>
        <tr r="M27" s="13"/>
      </tp>
      <tp t="e">
        <v>#N/A</v>
        <stp/>
        <stp>BDH|15101691489481861841</stp>
        <tr r="N30" s="21"/>
      </tp>
      <tp t="e">
        <v>#N/A</v>
        <stp/>
        <stp>BDH|16845296665234109482</stp>
        <tr r="C22" s="9"/>
      </tp>
      <tp t="e">
        <v>#N/A</v>
        <stp/>
        <stp>BDH|16362304016620100696</stp>
        <tr r="F8" s="21"/>
      </tp>
      <tp t="e">
        <v>#N/A</v>
        <stp/>
        <stp>BDH|11731936059329627665</stp>
        <tr r="X135" s="18"/>
      </tp>
      <tp t="e">
        <v>#N/A</v>
        <stp/>
        <stp>BDH|14373647366154824242</stp>
        <tr r="S77" s="12"/>
      </tp>
      <tp t="e">
        <v>#N/A</v>
        <stp/>
        <stp>BDH|17314537030353812055</stp>
        <tr r="S91" s="18"/>
      </tp>
      <tp t="e">
        <v>#N/A</v>
        <stp/>
        <stp>BDH|10320105158427369155</stp>
        <tr r="O33" s="10"/>
        <tr r="O27" s="11"/>
      </tp>
      <tp t="e">
        <v>#N/A</v>
        <stp/>
        <stp>BDH|14947536851965329359</stp>
        <tr r="D25" s="24"/>
      </tp>
      <tp t="e">
        <v>#N/A</v>
        <stp/>
        <stp>BDH|10224772867776974567</stp>
        <tr r="T17" s="10"/>
      </tp>
      <tp t="e">
        <v>#N/A</v>
        <stp/>
        <stp>BDH|18015096888603863140</stp>
        <tr r="D31" s="26"/>
      </tp>
      <tp t="e">
        <v>#N/A</v>
        <stp/>
        <stp>BDH|11179191270676602336</stp>
        <tr r="M95" s="18"/>
      </tp>
      <tp t="e">
        <v>#N/A</v>
        <stp/>
        <stp>BDH|16013841985681411581</stp>
        <tr r="K73" s="24"/>
      </tp>
      <tp t="e">
        <v>#N/A</v>
        <stp/>
        <stp>BDH|14824069301693510579</stp>
        <tr r="M102" s="18"/>
      </tp>
      <tp t="e">
        <v>#N/A</v>
        <stp/>
        <stp>BDH|17096493464053489447</stp>
        <tr r="C16" s="23"/>
      </tp>
      <tp t="e">
        <v>#N/A</v>
        <stp/>
        <stp>BDH|16930322791788737600</stp>
        <tr r="K26" s="21"/>
      </tp>
      <tp t="e">
        <v>#N/A</v>
        <stp/>
        <stp>BDH|12188222904377940538</stp>
        <tr r="G53" s="18"/>
      </tp>
      <tp t="e">
        <v>#N/A</v>
        <stp/>
        <stp>BDH|13577302148335773374</stp>
        <tr r="E16" s="23"/>
      </tp>
      <tp t="e">
        <v>#N/A</v>
        <stp/>
        <stp>BDH|13777691435830083463</stp>
        <tr r="K62" s="10"/>
      </tp>
      <tp t="e">
        <v>#N/A</v>
        <stp/>
        <stp>BDH|14731164542803837069</stp>
        <tr r="G30" s="17"/>
      </tp>
      <tp t="e">
        <v>#N/A</v>
        <stp/>
        <stp>BDH|14067188847317381411</stp>
        <tr r="V16" s="30"/>
      </tp>
      <tp t="e">
        <v>#N/A</v>
        <stp/>
        <stp>BDH|15420694823654331718</stp>
        <tr r="S33" s="26"/>
      </tp>
      <tp t="e">
        <v>#N/A</v>
        <stp/>
        <stp>BDH|16786294851732696159</stp>
        <tr r="T78" s="12"/>
      </tp>
      <tp t="e">
        <v>#N/A</v>
        <stp/>
        <stp>BDH|17768898091621777545</stp>
        <tr r="R18" s="23"/>
      </tp>
      <tp t="e">
        <v>#N/A</v>
        <stp/>
        <stp>BDH|10022669369531043330</stp>
        <tr r="V26" s="21"/>
      </tp>
      <tp t="e">
        <v>#N/A</v>
        <stp/>
        <stp>BDH|12182163618095713543</stp>
        <tr r="X30" s="17"/>
      </tp>
      <tp t="e">
        <v>#N/A</v>
        <stp/>
        <stp>BDH|18151349419550268827</stp>
        <tr r="Y19" s="11"/>
      </tp>
      <tp t="e">
        <v>#N/A</v>
        <stp/>
        <stp>BDH|12722569020475829253</stp>
        <tr r="P39" s="34"/>
      </tp>
      <tp t="e">
        <v>#N/A</v>
        <stp/>
        <stp>BDH|13925772947427131549</stp>
        <tr r="E60" s="17"/>
      </tp>
      <tp t="e">
        <v>#N/A</v>
        <stp/>
        <stp>BDH|14404687570580752779</stp>
        <tr r="F12" s="17"/>
      </tp>
      <tp t="e">
        <v>#N/A</v>
        <stp/>
        <stp>BDH|12002285076873164635</stp>
        <tr r="I34" s="17"/>
      </tp>
      <tp t="e">
        <v>#N/A</v>
        <stp/>
        <stp>BDH|10956671131567498075</stp>
        <tr r="H80" s="18"/>
      </tp>
      <tp t="e">
        <v>#N/A</v>
        <stp/>
        <stp>BDH|15357264876976803475</stp>
        <tr r="Z107" s="18"/>
        <tr r="Y7" s="20"/>
      </tp>
      <tp t="e">
        <v>#N/A</v>
        <stp/>
        <stp>BDH|16307094247012881290</stp>
        <tr r="D67" s="10"/>
      </tp>
      <tp t="e">
        <v>#N/A</v>
        <stp/>
        <stp>BDH|14192869339718091522</stp>
        <tr r="V36" s="24"/>
      </tp>
      <tp t="e">
        <v>#N/A</v>
        <stp/>
        <stp>BDH|16887842847749487137</stp>
        <tr r="X66" s="12"/>
      </tp>
      <tp t="e">
        <v>#N/A</v>
        <stp/>
        <stp>BDH|13502024135203818165</stp>
        <tr r="Q45" s="13"/>
      </tp>
      <tp t="e">
        <v>#N/A</v>
        <stp/>
        <stp>BDH|15669217256349589988</stp>
        <tr r="S8" s="10"/>
      </tp>
      <tp t="e">
        <v>#N/A</v>
        <stp/>
        <stp>BDH|14384448168116544267</stp>
        <tr r="J69" s="12"/>
      </tp>
      <tp t="e">
        <v>#N/A</v>
        <stp/>
        <stp>BDH|14485182098188981612</stp>
        <tr r="Q14" s="13"/>
      </tp>
      <tp t="e">
        <v>#N/A</v>
        <stp/>
        <stp>BDH|10523518863069994823</stp>
        <tr r="L22" s="22"/>
      </tp>
      <tp t="e">
        <v>#N/A</v>
        <stp/>
        <stp>BDH|12167528358878029874</stp>
        <tr r="P137" s="18"/>
      </tp>
      <tp t="e">
        <v>#N/A</v>
        <stp/>
        <stp>BDH|13913616022175651003</stp>
        <tr r="X54" s="17"/>
      </tp>
      <tp t="e">
        <v>#N/A</v>
        <stp/>
        <stp>BDH|10980035432829577817</stp>
        <tr r="V23" s="21"/>
      </tp>
      <tp t="e">
        <v>#N/A</v>
        <stp/>
        <stp>BDH|16313098358035659488</stp>
        <tr r="Q69" s="18"/>
      </tp>
      <tp t="e">
        <v>#N/A</v>
        <stp/>
        <stp>BDH|14662801528188943489</stp>
        <tr r="Z20" s="12"/>
      </tp>
      <tp t="e">
        <v>#N/A</v>
        <stp/>
        <stp>BDH|13266595107380091432</stp>
        <tr r="G44" s="24"/>
      </tp>
      <tp t="e">
        <v>#N/A</v>
        <stp/>
        <stp>BDH|12221524377475905719</stp>
        <tr r="T33" s="18"/>
      </tp>
      <tp t="e">
        <v>#N/A</v>
        <stp/>
        <stp>BDH|11750482507273663419</stp>
        <tr r="Q10" s="11"/>
      </tp>
      <tp t="e">
        <v>#N/A</v>
        <stp/>
        <stp>BDH|16504417709902532274</stp>
        <tr r="X25" s="24"/>
      </tp>
      <tp t="e">
        <v>#N/A</v>
        <stp/>
        <stp>BDH|16198096550056718706</stp>
        <tr r="F8" s="4"/>
      </tp>
      <tp t="e">
        <v>#N/A</v>
        <stp/>
        <stp>BDH|14474154465103295295</stp>
        <tr r="S20" s="17"/>
      </tp>
      <tp t="e">
        <v>#N/A</v>
        <stp/>
        <stp>BDH|17650593255855261076</stp>
        <tr r="K14" s="23"/>
      </tp>
      <tp t="e">
        <v>#N/A</v>
        <stp/>
        <stp>BDH|16505487316937519612</stp>
        <tr r="Y53" s="13"/>
      </tp>
      <tp t="e">
        <v>#N/A</v>
        <stp/>
        <stp>BDH|13418086113432864289</stp>
        <tr r="J47" s="17"/>
      </tp>
      <tp t="e">
        <v>#N/A</v>
        <stp/>
        <stp>BDH|17134147601953841735</stp>
        <tr r="N138" s="18"/>
      </tp>
      <tp t="e">
        <v>#N/A</v>
        <stp/>
        <stp>BDH|17197215815646282081</stp>
        <tr r="Q18" s="29"/>
        <tr r="Q38" s="29"/>
      </tp>
      <tp t="e">
        <v>#N/A</v>
        <stp/>
        <stp>BDH|12085258364813929778</stp>
        <tr r="H43" s="17"/>
      </tp>
      <tp t="e">
        <v>#N/A</v>
        <stp/>
        <stp>BDH|18165980346381077600</stp>
        <tr r="Q16" s="10"/>
      </tp>
      <tp t="e">
        <v>#N/A</v>
        <stp/>
        <stp>BDH|10683633013972062796</stp>
        <tr r="S27" s="18"/>
      </tp>
      <tp t="e">
        <v>#N/A</v>
        <stp/>
        <stp>BDH|16556232971253919216</stp>
        <tr r="L55" s="13"/>
      </tp>
      <tp t="e">
        <v>#N/A</v>
        <stp/>
        <stp>BDH|16710961989337358244</stp>
        <tr r="F65" s="17"/>
      </tp>
      <tp t="e">
        <v>#N/A</v>
        <stp/>
        <stp>BDH|17599291374345583523</stp>
        <tr r="L10" s="6"/>
      </tp>
      <tp t="e">
        <v>#N/A</v>
        <stp/>
        <stp>BDH|10648343179211343771</stp>
        <tr r="Q99" s="17"/>
      </tp>
      <tp t="e">
        <v>#N/A</v>
        <stp/>
        <stp>BDH|10282440833305330098</stp>
        <tr r="Z140" s="18"/>
      </tp>
      <tp t="e">
        <v>#N/A</v>
        <stp/>
        <stp>BDH|10698274179090728708</stp>
        <tr r="J99" s="18"/>
      </tp>
      <tp t="e">
        <v>#N/A</v>
        <stp/>
        <stp>BDH|16113596547381707472</stp>
        <tr r="H32" s="17"/>
      </tp>
      <tp t="e">
        <v>#N/A</v>
        <stp/>
        <stp>BDH|16856070510863094602</stp>
        <tr r="C9" s="21"/>
      </tp>
      <tp t="e">
        <v>#N/A</v>
        <stp/>
        <stp>BDH|10347356749651818480</stp>
        <tr r="T52" s="4"/>
        <tr r="V8" s="3"/>
        <tr r="T43" s="10"/>
        <tr r="T37" s="11"/>
        <tr r="V38" s="13"/>
      </tp>
      <tp t="e">
        <v>#N/A</v>
        <stp/>
        <stp>BDH|12553498914986624313</stp>
        <tr r="W62" s="17"/>
      </tp>
      <tp t="e">
        <v>#N/A</v>
        <stp/>
        <stp>BDH|10625897580096349434</stp>
        <tr r="C60" s="21"/>
      </tp>
      <tp t="e">
        <v>#N/A</v>
        <stp/>
        <stp>BDH|11445377861880533693</stp>
        <tr r="N71" s="24"/>
      </tp>
      <tp t="e">
        <v>#N/A</v>
        <stp/>
        <stp>BDH|10020637905153989716</stp>
        <tr r="U29" s="17"/>
      </tp>
      <tp t="e">
        <v>#N/A</v>
        <stp/>
        <stp>BDH|14294796554157150302</stp>
        <tr r="Q15" s="22"/>
      </tp>
      <tp t="e">
        <v>#N/A</v>
        <stp/>
        <stp>BDH|15173788912098763920</stp>
        <tr r="Z76" s="18"/>
      </tp>
      <tp t="e">
        <v>#N/A</v>
        <stp/>
        <stp>BDH|13183903829313401920</stp>
        <tr r="X12" s="18"/>
      </tp>
      <tp t="e">
        <v>#N/A</v>
        <stp/>
        <stp>BDH|12190662611525121293</stp>
        <tr r="D45" s="18"/>
      </tp>
      <tp t="e">
        <v>#N/A</v>
        <stp/>
        <stp>BDH|17250334215021876629</stp>
        <tr r="D43" s="22"/>
      </tp>
      <tp t="e">
        <v>#N/A</v>
        <stp/>
        <stp>BDH|11182630027064865331</stp>
        <tr r="G13" s="6"/>
      </tp>
      <tp t="e">
        <v>#N/A</v>
        <stp/>
        <stp>BDH|11757484270838178802</stp>
        <tr r="G93" s="18"/>
      </tp>
      <tp t="e">
        <v>#N/A</v>
        <stp/>
        <stp>BDH|10514458913002808555</stp>
        <tr r="Y8" s="24"/>
      </tp>
      <tp t="e">
        <v>#N/A</v>
        <stp/>
        <stp>BDH|10572260229670642229</stp>
        <tr r="U17" s="13"/>
      </tp>
      <tp t="e">
        <v>#N/A</v>
        <stp/>
        <stp>BDH|10624742646062253389</stp>
        <tr r="F8" s="14"/>
      </tp>
      <tp t="e">
        <v>#N/A</v>
        <stp/>
        <stp>BDH|16170553951312388683</stp>
        <tr r="U16" s="14"/>
      </tp>
      <tp t="e">
        <v>#N/A</v>
        <stp/>
        <stp>BDH|16341779338228153836</stp>
        <tr r="U114" s="18"/>
      </tp>
      <tp t="e">
        <v>#N/A</v>
        <stp/>
        <stp>BDH|14401343357889068991</stp>
        <tr r="X37" s="18"/>
      </tp>
      <tp t="e">
        <v>#N/A</v>
        <stp/>
        <stp>BDH|13418677655022041081</stp>
        <tr r="X9" s="12"/>
      </tp>
      <tp t="e">
        <v>#N/A</v>
        <stp/>
        <stp>BDH|16131565293281353993</stp>
        <tr r="U57" s="24"/>
      </tp>
      <tp t="e">
        <v>#N/A</v>
        <stp/>
        <stp>BDH|11535816563564921900</stp>
        <tr r="E11" s="13"/>
      </tp>
      <tp t="e">
        <v>#N/A</v>
        <stp/>
        <stp>BDH|16878332165094930594</stp>
        <tr r="E17" s="13"/>
      </tp>
      <tp t="e">
        <v>#N/A</v>
        <stp/>
        <stp>BDH|10131965282972869138</stp>
        <tr r="W9" s="29"/>
      </tp>
      <tp t="e">
        <v>#N/A</v>
        <stp/>
        <stp>BDH|11036067539567555745</stp>
        <tr r="N14" s="6"/>
      </tp>
      <tp t="e">
        <v>#N/A</v>
        <stp/>
        <stp>BDH|16773003357398945973</stp>
        <tr r="Q57" s="12"/>
      </tp>
      <tp t="e">
        <v>#N/A</v>
        <stp/>
        <stp>BDH|12756285537260671105</stp>
        <tr r="C6" s="19"/>
        <tr r="C37" s="17"/>
        <tr r="C16" s="3"/>
      </tp>
      <tp t="e">
        <v>#N/A</v>
        <stp/>
        <stp>BDH|11765785951728259921</stp>
        <tr r="F54" s="12"/>
      </tp>
      <tp t="e">
        <v>#N/A</v>
        <stp/>
        <stp>BDH|14953932296870267609</stp>
        <tr r="Y12" s="14"/>
      </tp>
      <tp t="e">
        <v>#N/A</v>
        <stp/>
        <stp>BDH|10679415201693160592</stp>
        <tr r="AA100" s="18"/>
      </tp>
      <tp t="e">
        <v>#N/A</v>
        <stp/>
        <stp>BDH|10799589204941465618</stp>
        <tr r="Q15" s="9"/>
      </tp>
      <tp t="e">
        <v>#N/A</v>
        <stp/>
        <stp>BDH|17835428412935522537</stp>
        <tr r="W102" s="18"/>
      </tp>
      <tp t="e">
        <v>#N/A</v>
        <stp/>
        <stp>BDH|16183003559915259441</stp>
        <tr r="T22" s="12"/>
      </tp>
      <tp t="e">
        <v>#N/A</v>
        <stp/>
        <stp>BDH|14098128658175068740</stp>
        <tr r="AA25" s="3"/>
      </tp>
      <tp t="e">
        <v>#N/A</v>
        <stp/>
        <stp>BDH|13988988738683157865</stp>
        <tr r="W42" s="12"/>
      </tp>
      <tp t="e">
        <v>#N/A</v>
        <stp/>
        <stp>BDH|12557480275490524336</stp>
        <tr r="D32" s="21"/>
      </tp>
      <tp t="e">
        <v>#N/A</v>
        <stp/>
        <stp>BDH|12860162421647844493</stp>
        <tr r="T7" s="21"/>
      </tp>
      <tp t="e">
        <v>#N/A</v>
        <stp/>
        <stp>BDH|14840564665442054754</stp>
        <tr r="H57" s="17"/>
        <tr r="H10" s="25"/>
      </tp>
      <tp t="e">
        <v>#N/A</v>
        <stp/>
        <stp>BDH|14334635338806695502</stp>
        <tr r="O18" s="29"/>
        <tr r="O38" s="29"/>
      </tp>
      <tp t="e">
        <v>#N/A</v>
        <stp/>
        <stp>BDH|10194275995741874858</stp>
        <tr r="N29" s="12"/>
      </tp>
      <tp t="e">
        <v>#N/A</v>
        <stp/>
        <stp>BDH|17122366326596734379</stp>
        <tr r="U31" s="26"/>
      </tp>
      <tp t="e">
        <v>#N/A</v>
        <stp/>
        <stp>BDH|13603102606255084413</stp>
        <tr r="E89" s="17"/>
      </tp>
      <tp t="e">
        <v>#N/A</v>
        <stp/>
        <stp>BDH|17798040364347229543</stp>
        <tr r="Y32" s="21"/>
      </tp>
      <tp t="e">
        <v>#N/A</v>
        <stp/>
        <stp>BDH|17191672527178698869</stp>
        <tr r="P23" s="26"/>
      </tp>
      <tp t="e">
        <v>#N/A</v>
        <stp/>
        <stp>BDH|14273723490281188804</stp>
        <tr r="U26" s="26"/>
      </tp>
      <tp t="e">
        <v>#N/A</v>
        <stp/>
        <stp>BDH|16487163226326400012</stp>
        <tr r="T63" s="21"/>
      </tp>
      <tp t="e">
        <v>#N/A</v>
        <stp/>
        <stp>BDH|14942492688363174888</stp>
        <tr r="C27" s="5"/>
        <tr r="C27" s="9"/>
      </tp>
      <tp t="e">
        <v>#N/A</v>
        <stp/>
        <stp>BDH|12301205547732084550</stp>
        <tr r="AA65" s="21"/>
        <tr r="Y23" s="7"/>
      </tp>
      <tp t="e">
        <v>#N/A</v>
        <stp/>
        <stp>BDH|11443779241488550965</stp>
        <tr r="G14" s="17"/>
        <tr r="G17" s="28"/>
      </tp>
      <tp t="e">
        <v>#N/A</v>
        <stp/>
        <stp>BDH|12489907757038649542</stp>
        <tr r="Y15" s="11"/>
      </tp>
      <tp t="e">
        <v>#N/A</v>
        <stp/>
        <stp>BDH|13481411429653847554</stp>
        <tr r="X51" s="13"/>
      </tp>
      <tp t="e">
        <v>#N/A</v>
        <stp/>
        <stp>BDH|14995572210080677392</stp>
        <tr r="P20" s="10"/>
      </tp>
      <tp t="e">
        <v>#N/A</v>
        <stp/>
        <stp>BDH|10010376676973891489</stp>
        <tr r="O42" s="10"/>
        <tr r="O36" s="11"/>
      </tp>
      <tp t="e">
        <v>#N/A</v>
        <stp/>
        <stp>BDH|17595771737462088249</stp>
        <tr r="L51" s="18"/>
      </tp>
      <tp t="e">
        <v>#N/A</v>
        <stp/>
        <stp>BDH|17971483126836183478</stp>
        <tr r="N89" s="17"/>
      </tp>
      <tp t="e">
        <v>#N/A</v>
        <stp/>
        <stp>BDH|17799681715194274792</stp>
        <tr r="E26" s="21"/>
      </tp>
      <tp t="e">
        <v>#N/A</v>
        <stp/>
        <stp>BDH|16857527525001899368</stp>
        <tr r="U58" s="24"/>
      </tp>
      <tp t="e">
        <v>#N/A</v>
        <stp/>
        <stp>BDH|10903422705953885470</stp>
        <tr r="R23" s="25"/>
        <tr r="R13" s="27"/>
      </tp>
      <tp t="e">
        <v>#N/A</v>
        <stp/>
        <stp>BDH|12043920002040475850</stp>
        <tr r="P9" s="11"/>
      </tp>
      <tp t="e">
        <v>#N/A</v>
        <stp/>
        <stp>BDH|13056059671831606636</stp>
        <tr r="H30" s="26"/>
      </tp>
      <tp t="e">
        <v>#N/A</v>
        <stp/>
        <stp>BDH|13702605107213732566</stp>
        <tr r="Z25" s="21"/>
      </tp>
      <tp t="e">
        <v>#N/A</v>
        <stp/>
        <stp>BDH|12631871792241610143</stp>
        <tr r="G44" s="17"/>
      </tp>
      <tp t="e">
        <v>#N/A</v>
        <stp/>
        <stp>BDH|14495768428074864635</stp>
        <tr r="I22" s="7"/>
      </tp>
      <tp t="e">
        <v>#N/A</v>
        <stp/>
        <stp>BDH|10690191308750571239</stp>
        <tr r="P35" s="34"/>
      </tp>
      <tp t="e">
        <v>#N/A</v>
        <stp/>
        <stp>BDH|18396459297695766370</stp>
        <tr r="J71" s="24"/>
      </tp>
      <tp t="e">
        <v>#N/A</v>
        <stp/>
        <stp>BDH|13023405541048756872</stp>
        <tr r="P7" s="28"/>
      </tp>
      <tp t="e">
        <v>#N/A</v>
        <stp/>
        <stp>BDH|11511206301627537702</stp>
        <tr r="L49" s="4"/>
      </tp>
      <tp t="e">
        <v>#N/A</v>
        <stp/>
        <stp>BDH|11314574864534010516</stp>
        <tr r="G17" s="11"/>
      </tp>
      <tp t="e">
        <v>#N/A</v>
        <stp/>
        <stp>BDH|15813564844764237396</stp>
        <tr r="R15" s="11"/>
      </tp>
      <tp t="e">
        <v>#N/A</v>
        <stp/>
        <stp>BDH|10517266512522035206</stp>
        <tr r="O16" s="11"/>
      </tp>
      <tp t="e">
        <v>#N/A</v>
        <stp/>
        <stp>BDH|15330269009421897550</stp>
        <tr r="M142" s="18"/>
      </tp>
      <tp t="e">
        <v>#N/A</v>
        <stp/>
        <stp>BDH|13025375426220102112</stp>
        <tr r="D21" s="26"/>
      </tp>
      <tp t="e">
        <v>#N/A</v>
        <stp/>
        <stp>BDH|17768114897395364931</stp>
        <tr r="W38" s="18"/>
      </tp>
      <tp t="e">
        <v>#N/A</v>
        <stp/>
        <stp>BDH|11547797443580877167</stp>
        <tr r="U46" s="12"/>
      </tp>
      <tp t="e">
        <v>#N/A</v>
        <stp/>
        <stp>BDH|14314034320284476156</stp>
        <tr r="C18" s="17"/>
      </tp>
      <tp t="e">
        <v>#N/A</v>
        <stp/>
        <stp>BDH|13624014507179479955</stp>
        <tr r="S39" s="12"/>
      </tp>
      <tp t="e">
        <v>#N/A</v>
        <stp/>
        <stp>BDH|12425439875612309008</stp>
        <tr r="E23" s="2"/>
        <tr r="G18" s="21"/>
        <tr r="G23" s="3"/>
      </tp>
      <tp t="e">
        <v>#N/A</v>
        <stp/>
        <stp>BDH|12444630257563834197</stp>
        <tr r="G148" s="18"/>
      </tp>
      <tp t="e">
        <v>#N/A</v>
        <stp/>
        <stp>BDH|12694535976890440365</stp>
        <tr r="K54" s="24"/>
      </tp>
      <tp t="e">
        <v>#N/A</v>
        <stp/>
        <stp>BDH|11327524467273166267</stp>
        <tr r="R13" s="21"/>
      </tp>
      <tp t="e">
        <v>#N/A</v>
        <stp/>
        <stp>BDH|17210295274990816168</stp>
        <tr r="U37" s="10"/>
        <tr r="U31" s="11"/>
        <tr r="W40" s="13"/>
      </tp>
      <tp t="e">
        <v>#N/A</v>
        <stp/>
        <stp>BDH|14523779877791311679</stp>
        <tr r="E120" s="18"/>
      </tp>
      <tp t="e">
        <v>#N/A</v>
        <stp/>
        <stp>BDH|13490142850181229523</stp>
        <tr r="T65" s="21"/>
        <tr r="R23" s="7"/>
      </tp>
      <tp t="e">
        <v>#N/A</v>
        <stp/>
        <stp>BDH|15648789171442719483</stp>
        <tr r="S49" s="4"/>
      </tp>
      <tp t="e">
        <v>#N/A</v>
        <stp/>
        <stp>BDH|11126797173626284490</stp>
        <tr r="Z6" s="19"/>
        <tr r="Z37" s="17"/>
        <tr r="Z16" s="3"/>
      </tp>
      <tp t="e">
        <v>#N/A</v>
        <stp/>
        <stp>BDH|13339144214597293710</stp>
        <tr r="D7" s="11"/>
      </tp>
      <tp t="e">
        <v>#N/A</v>
        <stp/>
        <stp>BDH|15666335002017708209</stp>
        <tr r="AA14" s="14"/>
      </tp>
      <tp t="e">
        <v>#N/A</v>
        <stp/>
        <stp>BDH|12075417776065337749</stp>
        <tr r="W12" s="14"/>
      </tp>
      <tp t="e">
        <v>#N/A</v>
        <stp/>
        <stp>BDH|14987766519147639605</stp>
        <tr r="H10" s="11"/>
      </tp>
      <tp t="e">
        <v>#N/A</v>
        <stp/>
        <stp>BDH|14712139624101605560</stp>
        <tr r="P21" s="20"/>
      </tp>
      <tp t="e">
        <v>#N/A</v>
        <stp/>
        <stp>BDH|16361909994374656116</stp>
        <tr r="P54" s="24"/>
      </tp>
      <tp t="e">
        <v>#N/A</v>
        <stp/>
        <stp>BDH|16029769325743669354</stp>
        <tr r="Z21" s="17"/>
      </tp>
      <tp t="e">
        <v>#N/A</v>
        <stp/>
        <stp>BDH|12847365387673015998</stp>
        <tr r="E64" s="24"/>
      </tp>
      <tp t="e">
        <v>#N/A</v>
        <stp/>
        <stp>BDH|15790046365710635006</stp>
        <tr r="H35" s="21"/>
      </tp>
      <tp t="e">
        <v>#N/A</v>
        <stp/>
        <stp>BDH|12713513136375995295</stp>
        <tr r="F52" s="21"/>
      </tp>
      <tp t="e">
        <v>#N/A</v>
        <stp/>
        <stp>BDH|18306863477310251408</stp>
        <tr r="J14" s="18"/>
      </tp>
      <tp t="e">
        <v>#N/A</v>
        <stp/>
        <stp>BDH|17929260353805417687</stp>
        <tr r="M49" s="21"/>
      </tp>
      <tp t="e">
        <v>#N/A</v>
        <stp/>
        <stp>BDH|14870884978128830002</stp>
        <tr r="K22" s="10"/>
      </tp>
      <tp t="e">
        <v>#N/A</v>
        <stp/>
        <stp>BDH|14065400355380349662</stp>
        <tr r="Z35" s="26"/>
      </tp>
      <tp t="e">
        <v>#N/A</v>
        <stp/>
        <stp>BDH|16939513545191473595</stp>
        <tr r="W41" s="13"/>
      </tp>
      <tp t="e">
        <v>#N/A</v>
        <stp/>
        <stp>BDH|12968812355698402490</stp>
        <tr r="O152" s="18"/>
      </tp>
      <tp t="e">
        <v>#N/A</v>
        <stp/>
        <stp>BDH|12222743716081633663</stp>
        <tr r="I28" s="5"/>
      </tp>
      <tp t="e">
        <v>#N/A</v>
        <stp/>
        <stp>BDH|13457588631760921649</stp>
        <tr r="F8" s="34"/>
      </tp>
      <tp t="e">
        <v>#N/A</v>
        <stp/>
        <stp>BDH|12695696137815925114</stp>
        <tr r="AA80" s="17"/>
      </tp>
      <tp t="e">
        <v>#N/A</v>
        <stp/>
        <stp>BDH|10038788135261916648</stp>
        <tr r="L14" s="26"/>
      </tp>
      <tp t="e">
        <v>#N/A</v>
        <stp/>
        <stp>BDH|18436425203078738725</stp>
        <tr r="F66" s="10"/>
      </tp>
      <tp t="e">
        <v>#N/A</v>
        <stp/>
        <stp>BDH|13583577477816400417</stp>
        <tr r="V24" s="18"/>
      </tp>
      <tp t="e">
        <v>#N/A</v>
        <stp/>
        <stp>BDH|15055635104554000475</stp>
        <tr r="X40" s="22"/>
      </tp>
      <tp t="e">
        <v>#N/A</v>
        <stp/>
        <stp>BDH|10561809369289591493</stp>
        <tr r="O70" s="12"/>
      </tp>
      <tp t="e">
        <v>#N/A</v>
        <stp/>
        <stp>BDH|12320465068756815556</stp>
        <tr r="F52" s="4"/>
        <tr r="H8" s="3"/>
        <tr r="F43" s="10"/>
        <tr r="F37" s="11"/>
        <tr r="H38" s="13"/>
      </tp>
      <tp t="e">
        <v>#N/A</v>
        <stp/>
        <stp>BDH|14070930546323324961</stp>
        <tr r="E18" s="20"/>
      </tp>
      <tp t="e">
        <v>#N/A</v>
        <stp/>
        <stp>BDH|15968511759134369226</stp>
        <tr r="N13" s="17"/>
        <tr r="N16" s="28"/>
      </tp>
      <tp t="e">
        <v>#N/A</v>
        <stp/>
        <stp>BDH|15671831177119643045</stp>
        <tr r="G111" s="18"/>
        <tr r="E12" s="20"/>
      </tp>
      <tp t="e">
        <v>#N/A</v>
        <stp/>
        <stp>BDH|10830118379374680165</stp>
        <tr r="X13" s="14"/>
      </tp>
      <tp t="e">
        <v>#N/A</v>
        <stp/>
        <stp>BDH|14163630140881286402</stp>
        <tr r="H48" s="21"/>
      </tp>
      <tp t="e">
        <v>#N/A</v>
        <stp/>
        <stp>BDH|11597175973663697777</stp>
        <tr r="P10" s="23"/>
      </tp>
      <tp t="e">
        <v>#N/A</v>
        <stp/>
        <stp>BDH|16150641499143808941</stp>
        <tr r="T14" s="2"/>
        <tr r="T11" s="10"/>
      </tp>
      <tp t="e">
        <v>#N/A</v>
        <stp/>
        <stp>BDH|13947008518441752069</stp>
        <tr r="T9" s="3"/>
        <tr r="R50" s="10"/>
        <tr r="R44" s="11"/>
        <tr r="R14" s="7"/>
      </tp>
      <tp t="e">
        <v>#N/A</v>
        <stp/>
        <stp>BDH|18290978713847197474</stp>
        <tr r="K38" s="18"/>
      </tp>
      <tp t="e">
        <v>#N/A</v>
        <stp/>
        <stp>BDH|17172040710326525302</stp>
        <tr r="E74" s="18"/>
      </tp>
      <tp t="e">
        <v>#N/A</v>
        <stp/>
        <stp>BDH|10229929066505342961</stp>
        <tr r="U41" s="17"/>
      </tp>
      <tp t="e">
        <v>#N/A</v>
        <stp/>
        <stp>BDH|15918630961235195391</stp>
        <tr r="Q22" s="30"/>
        <tr r="Q25" s="23"/>
      </tp>
      <tp t="e">
        <v>#N/A</v>
        <stp/>
        <stp>BDH|16396606836776116673</stp>
        <tr r="C56" s="17"/>
        <tr r="C17" s="3"/>
      </tp>
      <tp t="e">
        <v>#N/A</v>
        <stp/>
        <stp>BDH|14278177406060584652</stp>
        <tr r="W73" s="10"/>
        <tr r="W67" s="11"/>
      </tp>
      <tp t="e">
        <v>#N/A</v>
        <stp/>
        <stp>BDH|16678225940590788305</stp>
        <tr r="V55" s="13"/>
      </tp>
      <tp t="e">
        <v>#N/A</v>
        <stp/>
        <stp>BDH|13617892035848908302</stp>
        <tr r="P17" s="10"/>
      </tp>
      <tp t="e">
        <v>#N/A</v>
        <stp/>
        <stp>BDH|11627567861284390517</stp>
        <tr r="F73" s="17"/>
        <tr r="C8" s="5"/>
        <tr r="C8" s="9"/>
      </tp>
      <tp t="e">
        <v>#N/A</v>
        <stp/>
        <stp>BDH|15173363969235875659</stp>
        <tr r="N66" s="18"/>
      </tp>
      <tp t="e">
        <v>#N/A</v>
        <stp/>
        <stp>BDH|12689828000958519120</stp>
        <tr r="I95" s="18"/>
      </tp>
      <tp t="e">
        <v>#N/A</v>
        <stp/>
        <stp>BDH|13999427244276508694</stp>
        <tr r="L48" s="12"/>
      </tp>
      <tp t="e">
        <v>#N/A</v>
        <stp/>
        <stp>BDH|12078731354984431704</stp>
        <tr r="U32" s="17"/>
      </tp>
      <tp t="e">
        <v>#N/A</v>
        <stp/>
        <stp>BDH|16843301859832044126</stp>
        <tr r="Q33" s="21"/>
      </tp>
      <tp t="e">
        <v>#N/A</v>
        <stp/>
        <stp>BDH|13943299470610355501</stp>
        <tr r="S90" s="18"/>
      </tp>
      <tp t="e">
        <v>#N/A</v>
        <stp/>
        <stp>BDH|14217559001071332365</stp>
        <tr r="F49" s="18"/>
      </tp>
      <tp t="e">
        <v>#N/A</v>
        <stp/>
        <stp>BDH|17485866832288247716</stp>
        <tr r="T18" s="22"/>
      </tp>
      <tp t="e">
        <v>#N/A</v>
        <stp/>
        <stp>BDH|16391654414445738767</stp>
        <tr r="L15" s="17"/>
        <tr r="L18" s="28"/>
      </tp>
      <tp t="e">
        <v>#N/A</v>
        <stp/>
        <stp>BDH|11078198096943585992</stp>
        <tr r="G16" s="24"/>
      </tp>
      <tp t="e">
        <v>#N/A</v>
        <stp/>
        <stp>BDH|17135841872843160850</stp>
        <tr r="D6" s="2"/>
        <tr r="C6" s="5"/>
        <tr r="C6" s="9"/>
        <tr r="E12" s="8"/>
        <tr r="F10" s="29"/>
        <tr r="F19" s="29"/>
        <tr r="F25" s="29"/>
      </tp>
      <tp t="e">
        <v>#N/A</v>
        <stp/>
        <stp>BDH|12059741651816609500</stp>
        <tr r="G65" s="24"/>
      </tp>
      <tp t="e">
        <v>#N/A</v>
        <stp/>
        <stp>BDH|17446277334583445601</stp>
        <tr r="W25" s="24"/>
      </tp>
      <tp t="e">
        <v>#N/A</v>
        <stp/>
        <stp>BDH|14258683853717204382</stp>
        <tr r="D28" s="18"/>
      </tp>
      <tp t="e">
        <v>#N/A</v>
        <stp/>
        <stp>BDH|14703342304632236664</stp>
        <tr r="Q28" s="24"/>
      </tp>
      <tp t="e">
        <v>#N/A</v>
        <stp/>
        <stp>BDH|15724763695411113967</stp>
        <tr r="S168" s="18"/>
      </tp>
      <tp t="e">
        <v>#N/A</v>
        <stp/>
        <stp>BDH|16618325965489047926</stp>
        <tr r="H26" s="25"/>
        <tr r="H16" s="27"/>
      </tp>
      <tp t="e">
        <v>#N/A</v>
        <stp/>
        <stp>BDH|15465533346420031720</stp>
        <tr r="L26" s="25"/>
        <tr r="L16" s="27"/>
      </tp>
      <tp t="e">
        <v>#N/A</v>
        <stp/>
        <stp>BDH|15236167165598534973</stp>
        <tr r="J98" s="18"/>
      </tp>
      <tp t="e">
        <v>#N/A</v>
        <stp/>
        <stp>BDH|18409535088414516290</stp>
        <tr r="M12" s="22"/>
      </tp>
      <tp t="e">
        <v>#N/A</v>
        <stp/>
        <stp>BDH|14237531737783161243</stp>
        <tr r="J38" s="18"/>
      </tp>
      <tp t="e">
        <v>#N/A</v>
        <stp/>
        <stp>BDH|14579128546973113137</stp>
        <tr r="F64" s="24"/>
      </tp>
      <tp t="e">
        <v>#N/A</v>
        <stp/>
        <stp>BDH|11211506630273444751</stp>
        <tr r="N25" s="4"/>
        <tr r="N64" s="10"/>
      </tp>
      <tp t="e">
        <v>#N/A</v>
        <stp/>
        <stp>BDH|16694210542825305651</stp>
        <tr r="Q70" s="12"/>
      </tp>
      <tp t="e">
        <v>#N/A</v>
        <stp/>
        <stp>BDH|16154642855303212512</stp>
        <tr r="E42" s="13"/>
      </tp>
      <tp t="e">
        <v>#N/A</v>
        <stp/>
        <stp>BDH|16593718618397836476</stp>
        <tr r="R15" s="17"/>
        <tr r="R18" s="28"/>
      </tp>
      <tp t="e">
        <v>#N/A</v>
        <stp/>
        <stp>BDH|16556367459884159788</stp>
        <tr r="F8" s="8"/>
      </tp>
      <tp t="e">
        <v>#N/A</v>
        <stp/>
        <stp>BDH|13648732447176908581</stp>
        <tr r="K38" s="34"/>
      </tp>
      <tp t="e">
        <v>#N/A</v>
        <stp/>
        <stp>BDH|15469673112462072323</stp>
        <tr r="L34" s="25"/>
      </tp>
      <tp t="e">
        <v>#N/A</v>
        <stp/>
        <stp>BDH|14418832125885579849</stp>
        <tr r="Q42" s="17"/>
      </tp>
      <tp t="e">
        <v>#N/A</v>
        <stp/>
        <stp>BDH|16746439970895493339</stp>
        <tr r="J92" s="18"/>
      </tp>
      <tp t="e">
        <v>#N/A</v>
        <stp/>
        <stp>BDH|10835223869921358639</stp>
        <tr r="G14" s="18"/>
      </tp>
      <tp t="e">
        <v>#N/A</v>
        <stp/>
        <stp>BDH|17347330065434774512</stp>
        <tr r="C21" s="2"/>
      </tp>
      <tp t="e">
        <v>#N/A</v>
        <stp/>
        <stp>BDH|13036070079046951143</stp>
        <tr r="F73" s="24"/>
      </tp>
      <tp t="e">
        <v>#N/A</v>
        <stp/>
        <stp>BDH|16853702163300817401</stp>
        <tr r="Y15" s="4"/>
      </tp>
      <tp t="e">
        <v>#N/A</v>
        <stp/>
        <stp>BDH|12380507648484921402</stp>
        <tr r="Y38" s="24"/>
      </tp>
      <tp t="e">
        <v>#N/A</v>
        <stp/>
        <stp>BDH|14741874453398382220</stp>
        <tr r="X26" s="26"/>
      </tp>
      <tp t="e">
        <v>#N/A</v>
        <stp/>
        <stp>BDH|15005315856731400119</stp>
        <tr r="S59" s="18"/>
      </tp>
      <tp t="e">
        <v>#N/A</v>
        <stp/>
        <stp>BDH|15021325675227292577</stp>
        <tr r="K19" s="11"/>
      </tp>
      <tp t="e">
        <v>#N/A</v>
        <stp/>
        <stp>BDH|13585210087412972880</stp>
        <tr r="P11" s="29"/>
      </tp>
      <tp t="e">
        <v>#N/A</v>
        <stp/>
        <stp>BDH|10367439610260008627</stp>
        <tr r="R7" s="10"/>
      </tp>
      <tp t="e">
        <v>#N/A</v>
        <stp/>
        <stp>BDH|14235261755805783548</stp>
        <tr r="R6" s="19"/>
        <tr r="R37" s="17"/>
        <tr r="R16" s="3"/>
      </tp>
      <tp t="e">
        <v>#N/A</v>
        <stp/>
        <stp>BDH|14394924172471449855</stp>
        <tr r="C119" s="18"/>
      </tp>
      <tp t="e">
        <v>#N/A</v>
        <stp/>
        <stp>BDH|14992268746504941528</stp>
        <tr r="S25" s="22"/>
      </tp>
      <tp t="e">
        <v>#N/A</v>
        <stp/>
        <stp>BDH|16509381656596181584</stp>
        <tr r="C23" s="10"/>
      </tp>
      <tp t="e">
        <v>#N/A</v>
        <stp/>
        <stp>BDH|16143720425110484005</stp>
        <tr r="L59" s="21"/>
        <tr r="J56" s="11"/>
      </tp>
      <tp t="e">
        <v>#N/A</v>
        <stp/>
        <stp>BDH|12975803583834014582</stp>
        <tr r="E55" s="13"/>
      </tp>
      <tp t="e">
        <v>#N/A</v>
        <stp/>
        <stp>BDH|12098842192685207562</stp>
        <tr r="Y160" s="18"/>
      </tp>
      <tp t="e">
        <v>#N/A</v>
        <stp/>
        <stp>BDH|14553558206664305674</stp>
        <tr r="O15" s="21"/>
      </tp>
      <tp t="e">
        <v>#N/A</v>
        <stp/>
        <stp>BDH|15063476344201888794</stp>
        <tr r="W121" s="18"/>
      </tp>
      <tp t="e">
        <v>#N/A</v>
        <stp/>
        <stp>BDH|12496548170156163538</stp>
        <tr r="H56" s="12"/>
      </tp>
      <tp t="e">
        <v>#N/A</v>
        <stp/>
        <stp>BDH|13250876754554403978</stp>
        <tr r="U65" s="17"/>
      </tp>
      <tp t="e">
        <v>#N/A</v>
        <stp/>
        <stp>BDH|15385009752791686252</stp>
        <tr r="D8" s="6"/>
      </tp>
      <tp t="e">
        <v>#N/A</v>
        <stp/>
        <stp>BDH|15179134914962761430</stp>
        <tr r="I16" s="30"/>
      </tp>
      <tp t="e">
        <v>#N/A</v>
        <stp/>
        <stp>BDH|13370631357420363368</stp>
        <tr r="F7" s="24"/>
      </tp>
      <tp t="e">
        <v>#N/A</v>
        <stp/>
        <stp>BDH|13886839364306870856</stp>
        <tr r="K19" s="6"/>
      </tp>
      <tp t="e">
        <v>#N/A</v>
        <stp/>
        <stp>BDH|17354016261135303721</stp>
        <tr r="Q27" s="26"/>
        <tr r="N14" s="9"/>
      </tp>
      <tp t="e">
        <v>#N/A</v>
        <stp/>
        <stp>BDH|13875214724575654590</stp>
        <tr r="Q10" s="28"/>
      </tp>
      <tp t="e">
        <v>#N/A</v>
        <stp/>
        <stp>BDH|10897385177917667030</stp>
        <tr r="L34" s="12"/>
      </tp>
      <tp t="e">
        <v>#N/A</v>
        <stp/>
        <stp>BDH|11592206655843536676</stp>
        <tr r="T35" s="4"/>
      </tp>
      <tp t="e">
        <v>#N/A</v>
        <stp/>
        <stp>BDH|14430965607757545927</stp>
        <tr r="O31" s="18"/>
      </tp>
      <tp t="e">
        <v>#N/A</v>
        <stp/>
        <stp>BDH|12604466166676196558</stp>
        <tr r="G100" s="18"/>
      </tp>
      <tp t="e">
        <v>#N/A</v>
        <stp/>
        <stp>BDH|12400303325572077230</stp>
        <tr r="T55" s="24"/>
      </tp>
      <tp t="e">
        <v>#N/A</v>
        <stp/>
        <stp>BDH|15436167673799545967</stp>
        <tr r="R113" s="18"/>
        <tr r="P14" s="20"/>
      </tp>
      <tp t="e">
        <v>#N/A</v>
        <stp/>
        <stp>BDH|17204341575084298438</stp>
        <tr r="I23" s="12"/>
      </tp>
      <tp t="e">
        <v>#N/A</v>
        <stp/>
        <stp>BDH|11944206392489062097</stp>
        <tr r="S21" s="17"/>
      </tp>
      <tp t="e">
        <v>#N/A</v>
        <stp/>
        <stp>BDH|13177653928282778697</stp>
        <tr r="C35" s="34"/>
      </tp>
      <tp t="e">
        <v>#N/A</v>
        <stp/>
        <stp>BDH|11101341389038678180</stp>
        <tr r="V66" s="12"/>
      </tp>
      <tp t="e">
        <v>#N/A</v>
        <stp/>
        <stp>BDH|14021492237507946757</stp>
        <tr r="T13" s="17"/>
        <tr r="T16" s="28"/>
      </tp>
      <tp t="e">
        <v>#N/A</v>
        <stp/>
        <stp>BDH|12583565503177536379</stp>
        <tr r="E67" s="12"/>
      </tp>
      <tp t="e">
        <v>#N/A</v>
        <stp/>
        <stp>BDH|12226982994721822040</stp>
        <tr r="W48" s="17"/>
      </tp>
      <tp t="e">
        <v>#N/A</v>
        <stp/>
        <stp>BDH|17794032866105196716</stp>
        <tr r="N30" s="34"/>
      </tp>
      <tp t="e">
        <v>#N/A</v>
        <stp/>
        <stp>BDH|12853595817331119457</stp>
        <tr r="K19" s="22"/>
      </tp>
      <tp t="e">
        <v>#N/A</v>
        <stp/>
        <stp>BDH|11728302815259378931</stp>
        <tr r="I24" s="12"/>
      </tp>
      <tp t="e">
        <v>#N/A</v>
        <stp/>
        <stp>BDH|12033712564670273054</stp>
        <tr r="N25" s="22"/>
      </tp>
      <tp t="e">
        <v>#N/A</v>
        <stp/>
        <stp>BDH|10268345734275727608</stp>
        <tr r="Z37" s="12"/>
      </tp>
      <tp t="e">
        <v>#N/A</v>
        <stp/>
        <stp>BDH|16609622569222926719</stp>
        <tr r="P27" s="7"/>
      </tp>
      <tp t="e">
        <v>#N/A</v>
        <stp/>
        <stp>BDH|11100533131325025169</stp>
        <tr r="N82" s="18"/>
      </tp>
      <tp t="e">
        <v>#N/A</v>
        <stp/>
        <stp>BDH|15760783216254941459</stp>
        <tr r="F38" s="4"/>
        <tr r="F59" s="11"/>
        <tr r="H13" s="23"/>
      </tp>
      <tp t="e">
        <v>#N/A</v>
        <stp/>
        <stp>BDH|16768280279159475979</stp>
        <tr r="I99" s="17"/>
      </tp>
      <tp t="e">
        <v>#N/A</v>
        <stp/>
        <stp>BDH|16979988514099210427</stp>
        <tr r="C27" s="25"/>
        <tr r="C17" s="27"/>
      </tp>
      <tp t="e">
        <v>#N/A</v>
        <stp/>
        <stp>BDH|17383184057366853613</stp>
        <tr r="T21" s="3"/>
      </tp>
      <tp t="e">
        <v>#N/A</v>
        <stp/>
        <stp>BDH|13169341751487839198</stp>
        <tr r="V129" s="18"/>
      </tp>
      <tp t="e">
        <v>#N/A</v>
        <stp/>
        <stp>BDH|14616778796118535173</stp>
        <tr r="C110" s="18"/>
      </tp>
      <tp t="e">
        <v>#N/A</v>
        <stp/>
        <stp>BDH|12593679277326625669</stp>
        <tr r="N69" s="18"/>
      </tp>
      <tp t="e">
        <v>#N/A</v>
        <stp/>
        <stp>BDH|18053976830339266809</stp>
        <tr r="Q33" s="10"/>
        <tr r="Q27" s="11"/>
      </tp>
      <tp t="e">
        <v>#N/A</v>
        <stp/>
        <stp>BDH|16067650335242087253</stp>
        <tr r="M79" s="12"/>
      </tp>
      <tp t="e">
        <v>#N/A</v>
        <stp/>
        <stp>BDH|12294682928292057773</stp>
        <tr r="O21" s="26"/>
      </tp>
      <tp t="e">
        <v>#N/A</v>
        <stp/>
        <stp>BDH|10395563763595313500</stp>
        <tr r="J12" s="13"/>
      </tp>
      <tp t="e">
        <v>#N/A</v>
        <stp/>
        <stp>BDH|17243276512726681143</stp>
        <tr r="AA17" s="22"/>
      </tp>
      <tp t="e">
        <v>#N/A</v>
        <stp/>
        <stp>BDH|12268073825626281575</stp>
        <tr r="T39" s="22"/>
      </tp>
      <tp t="e">
        <v>#N/A</v>
        <stp/>
        <stp>BDH|17999557447161859464</stp>
        <tr r="K42" s="4"/>
      </tp>
      <tp t="e">
        <v>#N/A</v>
        <stp/>
        <stp>BDH|16761448083571112847</stp>
        <tr r="AA36" s="22"/>
      </tp>
      <tp t="e">
        <v>#N/A</v>
        <stp/>
        <stp>BDH|14241645162717433058</stp>
        <tr r="U33" s="26"/>
      </tp>
      <tp t="e">
        <v>#N/A</v>
        <stp/>
        <stp>BDH|13252227407830261200</stp>
        <tr r="X49" s="21"/>
      </tp>
      <tp t="e">
        <v>#N/A</v>
        <stp/>
        <stp>BDH|12486564677336745578</stp>
        <tr r="H28" s="24"/>
      </tp>
      <tp t="e">
        <v>#N/A</v>
        <stp/>
        <stp>BDH|11320709017795247139</stp>
        <tr r="F53" s="17"/>
      </tp>
      <tp t="e">
        <v>#N/A</v>
        <stp/>
        <stp>BDH|10014560046682646032</stp>
        <tr r="X16" s="29"/>
        <tr r="X36" s="29"/>
      </tp>
      <tp t="e">
        <v>#N/A</v>
        <stp/>
        <stp>BDH|16708520734382346176</stp>
        <tr r="H73" s="10"/>
        <tr r="H67" s="11"/>
      </tp>
      <tp t="e">
        <v>#N/A</v>
        <stp/>
        <stp>BDH|11412455489519904740</stp>
        <tr r="Y43" s="17"/>
      </tp>
      <tp t="e">
        <v>#N/A</v>
        <stp/>
        <stp>BDH|12750729682459408768</stp>
        <tr r="O24" s="29"/>
      </tp>
      <tp t="e">
        <v>#N/A</v>
        <stp/>
        <stp>BDH|16323756147452141454</stp>
        <tr r="C66" s="21"/>
      </tp>
      <tp t="e">
        <v>#N/A</v>
        <stp/>
        <stp>BDH|16821411378206034042</stp>
        <tr r="X22" s="30"/>
        <tr r="X25" s="23"/>
      </tp>
      <tp t="e">
        <v>#N/A</v>
        <stp/>
        <stp>BDH|16109570655197017260</stp>
        <tr r="S16" s="11"/>
      </tp>
      <tp t="e">
        <v>#N/A</v>
        <stp/>
        <stp>BDH|16175694533967626788</stp>
        <tr r="E19" s="6"/>
      </tp>
      <tp t="e">
        <v>#N/A</v>
        <stp/>
        <stp>BDH|17451591528741943297</stp>
        <tr r="U21" s="21"/>
      </tp>
      <tp t="e">
        <v>#N/A</v>
        <stp/>
        <stp>BDH|13658650774227090629</stp>
        <tr r="D109" s="18"/>
      </tp>
      <tp t="e">
        <v>#N/A</v>
        <stp/>
        <stp>BDH|16159077419501861526</stp>
        <tr r="P17" s="21"/>
      </tp>
      <tp t="e">
        <v>#N/A</v>
        <stp/>
        <stp>BDH|16035500386299470171</stp>
        <tr r="H35" s="18"/>
      </tp>
      <tp t="e">
        <v>#N/A</v>
        <stp/>
        <stp>BDH|16030672842763254424</stp>
        <tr r="U60" s="21"/>
      </tp>
      <tp t="e">
        <v>#N/A</v>
        <stp/>
        <stp>BDH|15245845096727060057</stp>
        <tr r="X46" s="18"/>
      </tp>
      <tp t="e">
        <v>#N/A</v>
        <stp/>
        <stp>BDH|17496813961282576848</stp>
        <tr r="O9" s="12"/>
      </tp>
      <tp t="e">
        <v>#N/A</v>
        <stp/>
        <stp>BDH|10253056834339108977</stp>
        <tr r="H10" s="2"/>
        <tr r="G11" s="5"/>
        <tr r="G36" s="6"/>
        <tr r="J31" s="29"/>
        <tr r="J39" s="29"/>
      </tp>
      <tp t="e">
        <v>#N/A</v>
        <stp/>
        <stp>BDH|14373096592898898656</stp>
        <tr r="E17" s="4"/>
        <tr r="G10" s="3"/>
        <tr r="E55" s="10"/>
        <tr r="E49" s="11"/>
        <tr r="E17" s="7"/>
        <tr r="G49" s="13"/>
      </tp>
      <tp t="e">
        <v>#N/A</v>
        <stp/>
        <stp>BDH|15868962603216110992</stp>
        <tr r="M12" s="12"/>
      </tp>
      <tp t="e">
        <v>#N/A</v>
        <stp/>
        <stp>BDH|14525628871300498674</stp>
        <tr r="X27" s="21"/>
      </tp>
      <tp t="e">
        <v>#N/A</v>
        <stp/>
        <stp>BDH|14763147441205510726</stp>
        <tr r="U15" s="18"/>
      </tp>
      <tp t="e">
        <v>#N/A</v>
        <stp/>
        <stp>BDH|16178433183119418000</stp>
        <tr r="P75" s="12"/>
      </tp>
      <tp t="e">
        <v>#N/A</v>
        <stp/>
        <stp>BDH|10236599035081887429</stp>
        <tr r="X19" s="25"/>
        <tr r="V21" s="11"/>
      </tp>
      <tp t="e">
        <v>#N/A</v>
        <stp/>
        <stp>BDH|18156209613970292847</stp>
        <tr r="K23" s="20"/>
      </tp>
      <tp t="e">
        <v>#N/A</v>
        <stp/>
        <stp>BDH|11003933083101105259</stp>
        <tr r="I26" s="18"/>
      </tp>
      <tp t="e">
        <v>#N/A</v>
        <stp/>
        <stp>BDH|16081076464955256659</stp>
        <tr r="C24" s="2"/>
      </tp>
      <tp t="e">
        <v>#N/A</v>
        <stp/>
        <stp>BDH|17066951573703724958</stp>
        <tr r="J31" s="22"/>
      </tp>
      <tp t="e">
        <v>#N/A</v>
        <stp/>
        <stp>BDH|16466009241143940280</stp>
        <tr r="M50" s="18"/>
      </tp>
      <tp t="e">
        <v>#N/A</v>
        <stp/>
        <stp>BDH|11062794118835757126</stp>
        <tr r="C59" s="21"/>
      </tp>
      <tp t="e">
        <v>#N/A</v>
        <stp/>
        <stp>BDH|10313448677276252667</stp>
        <tr r="C93" s="17"/>
      </tp>
      <tp t="e">
        <v>#N/A</v>
        <stp/>
        <stp>BDH|17402676401416029468</stp>
        <tr r="H10" s="12"/>
      </tp>
      <tp t="e">
        <v>#N/A</v>
        <stp/>
        <stp>BDH|15335908224398439573</stp>
        <tr r="D13" s="8"/>
      </tp>
      <tp t="e">
        <v>#N/A</v>
        <stp/>
        <stp>BDH|10259775387794772818</stp>
        <tr r="T10" s="28"/>
      </tp>
      <tp t="e">
        <v>#N/A</v>
        <stp/>
        <stp>BDH|12356759878272987339</stp>
        <tr r="Q31" s="17"/>
      </tp>
      <tp t="e">
        <v>#N/A</v>
        <stp/>
        <stp>BDH|14619115347964275665</stp>
        <tr r="AA103" s="18"/>
      </tp>
      <tp t="e">
        <v>#N/A</v>
        <stp/>
        <stp>BDH|18410360447619300528</stp>
        <tr r="V52" s="4"/>
        <tr r="X8" s="3"/>
        <tr r="V43" s="10"/>
        <tr r="V37" s="11"/>
        <tr r="X38" s="13"/>
      </tp>
      <tp t="e">
        <v>#N/A</v>
        <stp/>
        <stp>BDH|11795326850395500143</stp>
        <tr r="T149" s="18"/>
      </tp>
      <tp t="e">
        <v>#N/A</v>
        <stp/>
        <stp>BDH|11410490416255982264</stp>
        <tr r="P66" s="10"/>
      </tp>
      <tp t="e">
        <v>#N/A</v>
        <stp/>
        <stp>BDH|13071859047755626904</stp>
        <tr r="G16" s="11"/>
      </tp>
      <tp t="e">
        <v>#N/A</v>
        <stp/>
        <stp>BDH|13783268711864630724</stp>
        <tr r="D30" s="34"/>
      </tp>
      <tp t="e">
        <v>#N/A</v>
        <stp/>
        <stp>BDH|12081285419537532505</stp>
        <tr r="H80" s="17"/>
      </tp>
      <tp t="e">
        <v>#N/A</v>
        <stp/>
        <stp>BDH|12300806877928912693</stp>
        <tr r="X18" s="14"/>
      </tp>
      <tp t="e">
        <v>#N/A</v>
        <stp/>
        <stp>BDH|14398655858773352793</stp>
        <tr r="X62" s="17"/>
      </tp>
      <tp t="e">
        <v>#N/A</v>
        <stp/>
        <stp>BDH|11315919041699122660</stp>
        <tr r="W18" s="22"/>
      </tp>
      <tp t="e">
        <v>#N/A</v>
        <stp/>
        <stp>BDH|17514224442016567440</stp>
        <tr r="S46" s="4"/>
        <tr r="S24" s="10"/>
        <tr r="U35" s="13"/>
      </tp>
      <tp t="e">
        <v>#N/A</v>
        <stp/>
        <stp>BDH|11032252659067052287</stp>
        <tr r="K58" s="17"/>
      </tp>
      <tp t="e">
        <v>#N/A</v>
        <stp/>
        <stp>BDH|10714230156210113470</stp>
        <tr r="F76" s="17"/>
      </tp>
      <tp t="e">
        <v>#N/A</v>
        <stp/>
        <stp>BDH|17658358829244653188</stp>
        <tr r="C79" s="18"/>
      </tp>
      <tp t="e">
        <v>#N/A</v>
        <stp/>
        <stp>BDH|12102577669841943329</stp>
        <tr r="F74" s="17"/>
      </tp>
      <tp t="e">
        <v>#N/A</v>
        <stp/>
        <stp>BDH|14449354102371101562</stp>
        <tr r="R66" s="10"/>
      </tp>
      <tp t="e">
        <v>#N/A</v>
        <stp/>
        <stp>BDH|10849838206882823917</stp>
        <tr r="P81" s="17"/>
        <tr r="M9" s="5"/>
        <tr r="M9" s="9"/>
      </tp>
      <tp t="e">
        <v>#N/A</v>
        <stp/>
        <stp>BDH|11545109148957001095</stp>
        <tr r="S7" s="17"/>
      </tp>
      <tp t="e">
        <v>#N/A</v>
        <stp/>
        <stp>BDH|10952853722800267988</stp>
        <tr r="X36" s="4"/>
      </tp>
      <tp t="e">
        <v>#N/A</v>
        <stp/>
        <stp>BDH|16727676721250739122</stp>
        <tr r="K64" s="24"/>
      </tp>
      <tp t="e">
        <v>#N/A</v>
        <stp/>
        <stp>BDH|10914988346388197624</stp>
        <tr r="D9" s="6"/>
      </tp>
      <tp t="e">
        <v>#N/A</v>
        <stp/>
        <stp>BDH|13436004485289142146</stp>
        <tr r="C16" s="2"/>
        <tr r="C32" s="4"/>
        <tr r="C61" s="10"/>
        <tr r="E19" s="13"/>
      </tp>
      <tp t="e">
        <v>#N/A</v>
        <stp/>
        <stp>BDH|14792783757170596595</stp>
        <tr r="U48" s="21"/>
      </tp>
      <tp t="e">
        <v>#N/A</v>
        <stp/>
        <stp>BDH|18424546004637814984</stp>
        <tr r="R8" s="8"/>
      </tp>
      <tp t="e">
        <v>#N/A</v>
        <stp/>
        <stp>BDH|14874751215334408583</stp>
        <tr r="V30" s="12"/>
      </tp>
      <tp t="e">
        <v>#N/A</v>
        <stp/>
        <stp>BDH|17531078161872550023</stp>
        <tr r="Y73" s="12"/>
      </tp>
      <tp t="e">
        <v>#N/A</v>
        <stp/>
        <stp>BDH|14856721408216115672</stp>
        <tr r="T20" s="23"/>
      </tp>
      <tp t="e">
        <v>#N/A</v>
        <stp/>
        <stp>BDH|13369794529252359740</stp>
        <tr r="I86" s="18"/>
      </tp>
      <tp t="e">
        <v>#N/A</v>
        <stp/>
        <stp>BDH|10253755604846659219</stp>
        <tr r="D8" s="4"/>
      </tp>
      <tp t="e">
        <v>#N/A</v>
        <stp/>
        <stp>BDH|12219003434272230007</stp>
        <tr r="O25" s="17"/>
      </tp>
      <tp t="e">
        <v>#N/A</v>
        <stp/>
        <stp>BDH|11139174147344028352</stp>
        <tr r="E17" s="18"/>
      </tp>
      <tp t="e">
        <v>#N/A</v>
        <stp/>
        <stp>BDH|10527659964507577462</stp>
        <tr r="N40" s="34"/>
      </tp>
      <tp t="e">
        <v>#N/A</v>
        <stp/>
        <stp>BDH|16084609633558582817</stp>
        <tr r="N31" s="25"/>
      </tp>
      <tp t="e">
        <v>#N/A</v>
        <stp/>
        <stp>BDH|16790463137367434551</stp>
        <tr r="U29" s="10"/>
        <tr r="W34" s="13"/>
      </tp>
      <tp t="e">
        <v>#N/A</v>
        <stp/>
        <stp>BDH|10319161201523761149</stp>
        <tr r="Y21" s="25"/>
        <tr r="Y10" s="27"/>
      </tp>
      <tp t="e">
        <v>#N/A</v>
        <stp/>
        <stp>BDH|16054050970506185432</stp>
        <tr r="H12" s="21"/>
      </tp>
      <tp t="e">
        <v>#N/A</v>
        <stp/>
        <stp>BDH|16057807759099792192</stp>
        <tr r="R71" s="24"/>
      </tp>
      <tp t="e">
        <v>#N/A</v>
        <stp/>
        <stp>BDH|16498801965118414321</stp>
        <tr r="Q23" s="23"/>
      </tp>
      <tp t="e">
        <v>#N/A</v>
        <stp/>
        <stp>BDH|10040502576211554048</stp>
        <tr r="C28" s="4"/>
      </tp>
      <tp t="e">
        <v>#N/A</v>
        <stp/>
        <stp>BDH|15697213433834322309</stp>
        <tr r="U12" s="10"/>
      </tp>
      <tp t="e">
        <v>#N/A</v>
        <stp/>
        <stp>BDH|10406757082988403406</stp>
        <tr r="P23" s="21"/>
      </tp>
      <tp t="e">
        <v>#N/A</v>
        <stp/>
        <stp>BDH|15422327210542198601</stp>
        <tr r="L9" s="23"/>
      </tp>
      <tp t="e">
        <v>#N/A</v>
        <stp/>
        <stp>BDH|13189702207755007215</stp>
        <tr r="D25" s="13"/>
      </tp>
      <tp t="e">
        <v>#N/A</v>
        <stp/>
        <stp>BDH|13803629218614709327</stp>
        <tr r="F41" s="34"/>
      </tp>
      <tp t="e">
        <v>#N/A</v>
        <stp/>
        <stp>BDH|10896125007823286184</stp>
        <tr r="V27" s="17"/>
      </tp>
      <tp t="e">
        <v>#N/A</v>
        <stp/>
        <stp>BDH|10504411059163968139</stp>
        <tr r="X165" s="18"/>
      </tp>
      <tp t="e">
        <v>#N/A</v>
        <stp/>
        <stp>BDH|11554623906732189676</stp>
        <tr r="AA71" s="12"/>
      </tp>
      <tp t="e">
        <v>#N/A</v>
        <stp/>
        <stp>BDH|18211895845214080390</stp>
        <tr r="E105" s="18"/>
      </tp>
      <tp t="e">
        <v>#N/A</v>
        <stp/>
        <stp>BDH|14962428267131826433</stp>
        <tr r="J17" s="5"/>
        <tr r="J24" s="6"/>
      </tp>
      <tp t="e">
        <v>#N/A</v>
        <stp/>
        <stp>BDH|12045774512002494567</stp>
        <tr r="I12" s="21"/>
      </tp>
      <tp t="e">
        <v>#N/A</v>
        <stp/>
        <stp>BDH|16580896250769900127</stp>
        <tr r="M33" s="22"/>
      </tp>
      <tp t="e">
        <v>#N/A</v>
        <stp/>
        <stp>BDH|13721963497913919384</stp>
        <tr r="T11" s="14"/>
      </tp>
      <tp t="e">
        <v>#N/A</v>
        <stp/>
        <stp>BDH|14081344933303215422</stp>
        <tr r="E62" s="24"/>
      </tp>
      <tp t="e">
        <v>#N/A</v>
        <stp/>
        <stp>BDH|12936761414616819149</stp>
        <tr r="F59" s="21"/>
        <tr r="D56" s="11"/>
      </tp>
      <tp t="e">
        <v>#N/A</v>
        <stp/>
        <stp>BDH|15246097566377991735</stp>
        <tr r="V76" s="18"/>
      </tp>
      <tp t="e">
        <v>#N/A</v>
        <stp/>
        <stp>BDH|17183437832381514221</stp>
        <tr r="K11" s="14"/>
      </tp>
      <tp t="e">
        <v>#N/A</v>
        <stp/>
        <stp>BDH|10470821598832867014</stp>
        <tr r="M57" s="11"/>
      </tp>
      <tp t="e">
        <v>#N/A</v>
        <stp/>
        <stp>BDH|11497995907258869354</stp>
        <tr r="F13" s="14"/>
      </tp>
      <tp t="e">
        <v>#N/A</v>
        <stp/>
        <stp>BDH|14338642492471057923</stp>
        <tr r="E26" s="24"/>
      </tp>
      <tp t="e">
        <v>#N/A</v>
        <stp/>
        <stp>BDH|12561740664119768953</stp>
        <tr r="S53" s="18"/>
      </tp>
      <tp t="e">
        <v>#N/A</v>
        <stp/>
        <stp>BDH|17059114609660761583</stp>
        <tr r="C7" s="34"/>
      </tp>
      <tp t="e">
        <v>#N/A</v>
        <stp/>
        <stp>BDH|17369149406941070461</stp>
        <tr r="I20" s="10"/>
      </tp>
      <tp t="e">
        <v>#N/A</v>
        <stp/>
        <stp>BDH|17764100014685048144</stp>
        <tr r="V27" s="21"/>
      </tp>
      <tp t="e">
        <v>#N/A</v>
        <stp/>
        <stp>BDH|15502567774765140114</stp>
        <tr r="Y78" s="12"/>
      </tp>
      <tp t="e">
        <v>#N/A</v>
        <stp/>
        <stp>BDH|12278222351062135471</stp>
        <tr r="J107" s="18"/>
        <tr r="H7" s="20"/>
      </tp>
      <tp t="e">
        <v>#N/A</v>
        <stp/>
        <stp>BDH|16591381030314998135</stp>
        <tr r="Y32" s="18"/>
      </tp>
      <tp t="e">
        <v>#N/A</v>
        <stp/>
        <stp>BDH|11250974098347900535</stp>
        <tr r="V111" s="18"/>
        <tr r="T12" s="20"/>
      </tp>
      <tp t="e">
        <v>#N/A</v>
        <stp/>
        <stp>BDH|11742764302011166451</stp>
        <tr r="D22" s="24"/>
      </tp>
      <tp t="e">
        <v>#N/A</v>
        <stp/>
        <stp>BDH|13299469299659338492</stp>
        <tr r="V72" s="18"/>
      </tp>
      <tp t="e">
        <v>#N/A</v>
        <stp/>
        <stp>BDH|13990042901523987320</stp>
        <tr r="C23" s="2"/>
        <tr r="E18" s="21"/>
        <tr r="E23" s="3"/>
      </tp>
      <tp t="e">
        <v>#N/A</v>
        <stp/>
        <stp>BDH|12245046041657418243</stp>
        <tr r="G68" s="12"/>
      </tp>
      <tp t="e">
        <v>#N/A</v>
        <stp/>
        <stp>BDH|13665179375987126122</stp>
        <tr r="D22" s="10"/>
      </tp>
      <tp t="e">
        <v>#N/A</v>
        <stp/>
        <stp>BDH|17459124411344803084</stp>
        <tr r="C17" s="12"/>
      </tp>
      <tp t="e">
        <v>#N/A</v>
        <stp/>
        <stp>BDH|14670414295728741226</stp>
        <tr r="X9" s="13"/>
      </tp>
      <tp t="e">
        <v>#N/A</v>
        <stp/>
        <stp>BDH|14231198456827837426</stp>
        <tr r="N144" s="18"/>
      </tp>
      <tp t="e">
        <v>#N/A</v>
        <stp/>
        <stp>BDH|15064836570971176858</stp>
        <tr r="G21" s="12"/>
      </tp>
      <tp t="e">
        <v>#N/A</v>
        <stp/>
        <stp>BDH|13892950668049397614</stp>
        <tr r="F12" s="21"/>
      </tp>
      <tp t="e">
        <v>#N/A</v>
        <stp/>
        <stp>BDH|17492229380387868991</stp>
        <tr r="S50" s="21"/>
      </tp>
      <tp t="e">
        <v>#N/A</v>
        <stp/>
        <stp>BDH|15293196776564262488</stp>
        <tr r="P95" s="17"/>
        <tr r="P30" s="25"/>
      </tp>
      <tp t="e">
        <v>#N/A</v>
        <stp/>
        <stp>BDH|10584028172635564174</stp>
        <tr r="Y21" s="24"/>
      </tp>
      <tp t="e">
        <v>#N/A</v>
        <stp/>
        <stp>BDH|10542425920993126601</stp>
        <tr r="F42" s="24"/>
      </tp>
      <tp t="e">
        <v>#N/A</v>
        <stp/>
        <stp>BDH|14484201594534562831</stp>
        <tr r="K42" s="17"/>
      </tp>
      <tp t="e">
        <v>#N/A</v>
        <stp/>
        <stp>BDH|15909359371972234099</stp>
        <tr r="Z74" s="18"/>
      </tp>
      <tp t="e">
        <v>#N/A</v>
        <stp/>
        <stp>BDH|17748402948653831719</stp>
        <tr r="R8" s="27"/>
      </tp>
      <tp t="e">
        <v>#N/A</v>
        <stp/>
        <stp>BDH|17789477621437139562</stp>
        <tr r="N43" s="22"/>
      </tp>
      <tp t="e">
        <v>#N/A</v>
        <stp/>
        <stp>BDH|14513868045138024300</stp>
        <tr r="Q52" s="24"/>
      </tp>
      <tp t="e">
        <v>#N/A</v>
        <stp/>
        <stp>BDH|13429389788333454864</stp>
        <tr r="P15" s="22"/>
      </tp>
      <tp t="e">
        <v>#N/A</v>
        <stp/>
        <stp>BDH|14931162958555689675</stp>
        <tr r="V26" s="22"/>
      </tp>
      <tp t="e">
        <v>#N/A</v>
        <stp/>
        <stp>BDH|17098512227777441440</stp>
        <tr r="R99" s="18"/>
      </tp>
      <tp t="e">
        <v>#N/A</v>
        <stp/>
        <stp>BDH|12298587963062649092</stp>
        <tr r="Q67" s="17"/>
      </tp>
      <tp t="e">
        <v>#N/A</v>
        <stp/>
        <stp>BDH|13116753754204508638</stp>
        <tr r="Q37" s="12"/>
      </tp>
      <tp t="e">
        <v>#N/A</v>
        <stp/>
        <stp>BDH|11392060914130780308</stp>
        <tr r="C39" s="34"/>
      </tp>
      <tp t="e">
        <v>#N/A</v>
        <stp/>
        <stp>BDH|17554228935742051747</stp>
        <tr r="Y94" s="17"/>
      </tp>
      <tp t="e">
        <v>#N/A</v>
        <stp/>
        <stp>BDH|17263984751788846059</stp>
        <tr r="U7" s="6"/>
      </tp>
      <tp t="e">
        <v>#N/A</v>
        <stp/>
        <stp>BDH|10585378035803995089</stp>
        <tr r="AA41" s="24"/>
      </tp>
      <tp t="e">
        <v>#N/A</v>
        <stp/>
        <stp>BDH|16446413427210053348</stp>
        <tr r="R19" s="12"/>
      </tp>
      <tp t="e">
        <v>#N/A</v>
        <stp/>
        <stp>BDH|10675706509093894717</stp>
        <tr r="D28" s="10"/>
        <tr r="F33" s="13"/>
      </tp>
      <tp t="e">
        <v>#N/A</v>
        <stp/>
        <stp>BDH|13298126740564777113</stp>
        <tr r="Q6" s="2"/>
        <tr r="P6" s="5"/>
        <tr r="P6" s="9"/>
        <tr r="R12" s="8"/>
        <tr r="S10" s="29"/>
        <tr r="S19" s="29"/>
        <tr r="S25" s="29"/>
      </tp>
      <tp t="e">
        <v>#N/A</v>
        <stp/>
        <stp>BDH|14334199040085925756</stp>
        <tr r="V15" s="22"/>
      </tp>
      <tp t="e">
        <v>#N/A</v>
        <stp/>
        <stp>BDH|16285432792901397964</stp>
        <tr r="C13" s="13"/>
      </tp>
      <tp t="e">
        <v>#N/A</v>
        <stp/>
        <stp>BDH|15513306702770994587</stp>
        <tr r="X21" s="10"/>
      </tp>
      <tp t="e">
        <v>#N/A</v>
        <stp/>
        <stp>BDH|15650588273710810435</stp>
        <tr r="D73" s="18"/>
      </tp>
      <tp t="e">
        <v>#N/A</v>
        <stp/>
        <stp>BDH|16448323861946457655</stp>
        <tr r="F30" s="34"/>
      </tp>
      <tp t="e">
        <v>#N/A</v>
        <stp/>
        <stp>BDH|17938481500316288654</stp>
        <tr r="P153" s="18"/>
      </tp>
      <tp t="e">
        <v>#N/A</v>
        <stp/>
        <stp>BDH|15804785922620392376</stp>
        <tr r="Y79" s="12"/>
      </tp>
      <tp t="e">
        <v>#N/A</v>
        <stp/>
        <stp>BDH|12792318102223379118</stp>
        <tr r="I19" s="14"/>
      </tp>
      <tp t="e">
        <v>#N/A</v>
        <stp/>
        <stp>BDH|13921798650324111674</stp>
        <tr r="T20" s="18"/>
      </tp>
      <tp t="e">
        <v>#N/A</v>
        <stp/>
        <stp>BDH|10066773782695521962</stp>
        <tr r="S46" s="18"/>
      </tp>
      <tp t="e">
        <v>#N/A</v>
        <stp/>
        <stp>BDH|15868394517244863085</stp>
        <tr r="G28" s="26"/>
      </tp>
      <tp t="e">
        <v>#N/A</v>
        <stp/>
        <stp>BDH|10942153609001145320</stp>
        <tr r="N34" s="24"/>
      </tp>
      <tp t="e">
        <v>#N/A</v>
        <stp/>
        <stp>BDH|14438673232116275454</stp>
        <tr r="E37" s="21"/>
        <tr r="E24" s="3"/>
      </tp>
      <tp t="e">
        <v>#N/A</v>
        <stp/>
        <stp>BDH|10527903741839623749</stp>
        <tr r="G125" s="18"/>
      </tp>
      <tp t="e">
        <v>#N/A</v>
        <stp/>
        <stp>BDH|12453100012710160116</stp>
        <tr r="T17" s="24"/>
      </tp>
      <tp t="e">
        <v>#N/A</v>
        <stp/>
        <stp>BDH|16063507558973823668</stp>
        <tr r="C86" s="18"/>
      </tp>
      <tp t="e">
        <v>#N/A</v>
        <stp/>
        <stp>BDH|10505003474796147261</stp>
        <tr r="R17" s="17"/>
        <tr r="R20" s="28"/>
      </tp>
      <tp t="e">
        <v>#N/A</v>
        <stp/>
        <stp>BDH|13332685379134223564</stp>
        <tr r="R46" s="18"/>
      </tp>
      <tp t="e">
        <v>#N/A</v>
        <stp/>
        <stp>BDH|17936760225362583399</stp>
        <tr r="R63" s="18"/>
      </tp>
      <tp t="e">
        <v>#N/A</v>
        <stp/>
        <stp>BDH|10917312569344005271</stp>
        <tr r="M9" s="23"/>
      </tp>
      <tp t="e">
        <v>#N/A</v>
        <stp/>
        <stp>BDH|11376814190083312072</stp>
        <tr r="M68" s="24"/>
      </tp>
      <tp t="e">
        <v>#N/A</v>
        <stp/>
        <stp>BDH|11421270766375698358</stp>
        <tr r="J29" s="5"/>
      </tp>
      <tp t="e">
        <v>#N/A</v>
        <stp/>
        <stp>BDH|13362609202454430238</stp>
        <tr r="Q15" s="13"/>
      </tp>
      <tp t="e">
        <v>#N/A</v>
        <stp/>
        <stp>BDH|17687937087815333074</stp>
        <tr r="H11" s="21"/>
      </tp>
      <tp t="e">
        <v>#N/A</v>
        <stp/>
        <stp>BDH|15473460730746093749</stp>
        <tr r="N25" s="13"/>
      </tp>
      <tp t="e">
        <v>#N/A</v>
        <stp/>
        <stp>BDH|11676170848905803279</stp>
        <tr r="W11" s="29"/>
      </tp>
      <tp t="e">
        <v>#N/A</v>
        <stp/>
        <stp>BDH|10247457266099000874</stp>
        <tr r="Z31" s="22"/>
      </tp>
      <tp t="e">
        <v>#N/A</v>
        <stp/>
        <stp>BDH|13369280725166136693</stp>
        <tr r="U24" s="22"/>
      </tp>
      <tp t="e">
        <v>#N/A</v>
        <stp/>
        <stp>BDH|15459414809132207087</stp>
        <tr r="V14" s="2"/>
        <tr r="V11" s="10"/>
      </tp>
      <tp t="e">
        <v>#N/A</v>
        <stp/>
        <stp>BDH|12071153613313412241</stp>
        <tr r="C43" s="13"/>
      </tp>
      <tp t="e">
        <v>#N/A</v>
        <stp/>
        <stp>BDH|17089204713827336061</stp>
        <tr r="G52" s="10"/>
        <tr r="G46" s="11"/>
        <tr r="G16" s="7"/>
      </tp>
      <tp t="e">
        <v>#N/A</v>
        <stp/>
        <stp>BDH|15376520735564726456</stp>
        <tr r="C10" s="10"/>
      </tp>
      <tp t="e">
        <v>#N/A</v>
        <stp/>
        <stp>BDH|15500360118097548382</stp>
        <tr r="O31" s="21"/>
      </tp>
      <tp t="e">
        <v>#N/A</v>
        <stp/>
        <stp>BDH|13145127922556324541</stp>
        <tr r="H49" s="4"/>
      </tp>
      <tp t="e">
        <v>#N/A</v>
        <stp/>
        <stp>BDH|11336647594649656432</stp>
        <tr r="P57" s="11"/>
      </tp>
      <tp t="e">
        <v>#N/A</v>
        <stp/>
        <stp>BDH|15391462141125772358</stp>
        <tr r="J116" s="18"/>
      </tp>
      <tp t="e">
        <v>#N/A</v>
        <stp/>
        <stp>BDH|15006172648724283746</stp>
        <tr r="N40" s="29"/>
      </tp>
      <tp t="e">
        <v>#N/A</v>
        <stp/>
        <stp>BDH|16544539617994075589</stp>
        <tr r="T16" s="26"/>
      </tp>
      <tp t="e">
        <v>#N/A</v>
        <stp/>
        <stp>BDH|16175007003382204799</stp>
        <tr r="S61" s="18"/>
      </tp>
      <tp t="e">
        <v>#N/A</v>
        <stp/>
        <stp>BDH|12245157086751875909</stp>
        <tr r="P50" s="21"/>
      </tp>
      <tp t="e">
        <v>#N/A</v>
        <stp/>
        <stp>BDH|16332488302813394230</stp>
        <tr r="L7" s="17"/>
      </tp>
      <tp t="e">
        <v>#N/A</v>
        <stp/>
        <stp>BDH|16330906478322785954</stp>
        <tr r="J149" s="18"/>
      </tp>
      <tp t="e">
        <v>#N/A</v>
        <stp/>
        <stp>BDH|15408339548377668606</stp>
        <tr r="H13" s="14"/>
      </tp>
      <tp t="e">
        <v>#N/A</v>
        <stp/>
        <stp>BDH|17013995918148886405</stp>
        <tr r="E49" s="4"/>
      </tp>
      <tp t="e">
        <v>#N/A</v>
        <stp/>
        <stp>BDH|13908829485097354744</stp>
        <tr r="V58" s="24"/>
      </tp>
      <tp t="e">
        <v>#N/A</v>
        <stp/>
        <stp>BDH|17048714435769578988</stp>
        <tr r="W28" s="22"/>
      </tp>
      <tp t="e">
        <v>#N/A</v>
        <stp/>
        <stp>BDH|17037637441984862234</stp>
        <tr r="I47" s="24"/>
      </tp>
      <tp t="e">
        <v>#N/A</v>
        <stp/>
        <stp>BDH|12916570121584429229</stp>
        <tr r="Y12" s="7"/>
      </tp>
      <tp t="e">
        <v>#N/A</v>
        <stp/>
        <stp>BDH|13299621933126955332</stp>
        <tr r="L26" s="7"/>
      </tp>
      <tp t="e">
        <v>#N/A</v>
        <stp/>
        <stp>BDH|13218549415692313691</stp>
        <tr r="S9" s="12"/>
      </tp>
      <tp t="e">
        <v>#N/A</v>
        <stp/>
        <stp>BDH|11532528248625011662</stp>
        <tr r="E7" s="23"/>
      </tp>
      <tp t="e">
        <v>#N/A</v>
        <stp/>
        <stp>BDH|14164142664018191893</stp>
        <tr r="W20" s="12"/>
      </tp>
      <tp t="e">
        <v>#N/A</v>
        <stp/>
        <stp>BDH|17224980408398239591</stp>
        <tr r="Q21" s="26"/>
      </tp>
      <tp t="e">
        <v>#N/A</v>
        <stp/>
        <stp>BDH|14607522028011598109</stp>
        <tr r="Y119" s="18"/>
      </tp>
      <tp t="e">
        <v>#N/A</v>
        <stp/>
        <stp>BDH|11869544562094414531</stp>
        <tr r="O51" s="17"/>
      </tp>
      <tp t="e">
        <v>#N/A</v>
        <stp/>
        <stp>BDH|18141370278529231650</stp>
        <tr r="I129" s="18"/>
      </tp>
      <tp t="e">
        <v>#N/A</v>
        <stp/>
        <stp>BDH|13606708549516281547</stp>
        <tr r="R63" s="24"/>
      </tp>
      <tp t="e">
        <v>#N/A</v>
        <stp/>
        <stp>BDH|13699708523697578291</stp>
        <tr r="G25" s="7"/>
      </tp>
      <tp t="e">
        <v>#N/A</v>
        <stp/>
        <stp>BDH|18278385087439735934</stp>
        <tr r="S31" s="25"/>
      </tp>
      <tp t="e">
        <v>#N/A</v>
        <stp/>
        <stp>BDH|12791782148945706792</stp>
        <tr r="X51" s="24"/>
      </tp>
      <tp t="e">
        <v>#N/A</v>
        <stp/>
        <stp>BDH|13876794354615479787</stp>
        <tr r="T14" s="25"/>
      </tp>
      <tp t="e">
        <v>#N/A</v>
        <stp/>
        <stp>BDH|15291229771186136597</stp>
        <tr r="Y72" s="12"/>
      </tp>
      <tp t="e">
        <v>#N/A</v>
        <stp/>
        <stp>BDH|18438275575459758782</stp>
        <tr r="X23" s="11"/>
      </tp>
      <tp t="e">
        <v>#N/A</v>
        <stp/>
        <stp>BDH|13714369025312544394</stp>
        <tr r="U66" s="10"/>
      </tp>
      <tp t="e">
        <v>#N/A</v>
        <stp/>
        <stp>BDH|17128938957560478892</stp>
        <tr r="S12" s="3"/>
        <tr r="Q54" s="10"/>
        <tr r="Q48" s="11"/>
        <tr r="Q7" s="7"/>
      </tp>
      <tp t="e">
        <v>#N/A</v>
        <stp/>
        <stp>BDH|14356716354834823163</stp>
        <tr r="V19" s="20"/>
      </tp>
      <tp t="e">
        <v>#N/A</v>
        <stp/>
        <stp>BDH|16907679265112580769</stp>
        <tr r="N62" s="11"/>
      </tp>
      <tp t="e">
        <v>#N/A</v>
        <stp/>
        <stp>BDH|15704534952270615688</stp>
        <tr r="D28" s="4"/>
      </tp>
      <tp t="e">
        <v>#N/A</v>
        <stp/>
        <stp>BDH|17994604363330301411</stp>
        <tr r="K26" s="25"/>
        <tr r="K16" s="27"/>
      </tp>
      <tp t="e">
        <v>#N/A</v>
        <stp/>
        <stp>BDH|11014791645980344173</stp>
        <tr r="V36" s="17"/>
      </tp>
      <tp t="e">
        <v>#N/A</v>
        <stp/>
        <stp>BDH|17778180168603791086</stp>
        <tr r="F9" s="2"/>
        <tr r="H8" s="25"/>
        <tr r="E10" s="5"/>
      </tp>
      <tp t="e">
        <v>#N/A</v>
        <stp/>
        <stp>BDH|15863188173699801936</stp>
        <tr r="V75" s="12"/>
      </tp>
      <tp t="e">
        <v>#N/A</v>
        <stp/>
        <stp>BDH|18304891734966346652</stp>
        <tr r="Z108" s="18"/>
        <tr r="Y8" s="20"/>
      </tp>
      <tp t="e">
        <v>#N/A</v>
        <stp/>
        <stp>BDH|14356060945041982210</stp>
        <tr r="G52" s="21"/>
      </tp>
      <tp t="e">
        <v>#N/A</v>
        <stp/>
        <stp>BDH|16000400746990610584</stp>
        <tr r="E17" s="14"/>
      </tp>
      <tp t="e">
        <v>#N/A</v>
        <stp/>
        <stp>BDH|10089393550100268530</stp>
        <tr r="U26" s="18"/>
      </tp>
      <tp t="e">
        <v>#N/A</v>
        <stp/>
        <stp>BDH|16683415619134610401</stp>
        <tr r="E34" s="10"/>
        <tr r="E28" s="11"/>
      </tp>
      <tp t="e">
        <v>#N/A</v>
        <stp/>
        <stp>BDH|13050185989688837116</stp>
        <tr r="M8" s="28"/>
      </tp>
      <tp t="e">
        <v>#N/A</v>
        <stp/>
        <stp>BDH|17854319761420820189</stp>
        <tr r="R25" s="7"/>
      </tp>
      <tp t="e">
        <v>#N/A</v>
        <stp/>
        <stp>BDH|15599083786409752749</stp>
        <tr r="M42" s="12"/>
      </tp>
      <tp t="e">
        <v>#N/A</v>
        <stp/>
        <stp>BDH|12177094860712446542</stp>
        <tr r="S28" s="9"/>
      </tp>
      <tp t="e">
        <v>#N/A</v>
        <stp/>
        <stp>BDH|11030761919690020474</stp>
        <tr r="Z60" s="21"/>
      </tp>
      <tp t="e">
        <v>#N/A</v>
        <stp/>
        <stp>BDH|12438238646017992003</stp>
        <tr r="L19" s="11"/>
      </tp>
      <tp t="e">
        <v>#N/A</v>
        <stp/>
        <stp>BDH|14453843678789858185</stp>
        <tr r="M37" s="12"/>
      </tp>
      <tp t="e">
        <v>#N/A</v>
        <stp/>
        <stp>BDH|16152190463733404173</stp>
        <tr r="L38" s="34"/>
      </tp>
      <tp t="e">
        <v>#N/A</v>
        <stp/>
        <stp>BDH|18277942255746202195</stp>
        <tr r="Y74" s="17"/>
      </tp>
      <tp t="e">
        <v>#N/A</v>
        <stp/>
        <stp>BDH|11863941196116689448</stp>
        <tr r="F103" s="18"/>
      </tp>
      <tp t="e">
        <v>#N/A</v>
        <stp/>
        <stp>BDH|13446895881289061943</stp>
        <tr r="P48" s="21"/>
      </tp>
      <tp t="e">
        <v>#N/A</v>
        <stp/>
        <stp>BDH|15369819116949946657</stp>
        <tr r="Q72" s="17"/>
        <tr r="Q18" s="3"/>
      </tp>
      <tp t="e">
        <v>#N/A</v>
        <stp/>
        <stp>BDH|18421459592862317486</stp>
        <tr r="T66" s="18"/>
      </tp>
      <tp t="e">
        <v>#N/A</v>
        <stp/>
        <stp>BDH|10743789452479593804</stp>
        <tr r="J51" s="10"/>
        <tr r="J45" s="11"/>
        <tr r="J15" s="7"/>
      </tp>
      <tp t="e">
        <v>#N/A</v>
        <stp/>
        <stp>BDH|18347843251526965070</stp>
        <tr r="M59" s="12"/>
      </tp>
      <tp t="e">
        <v>#N/A</v>
        <stp/>
        <stp>BDH|17097797706026104555</stp>
        <tr r="S19" s="17"/>
      </tp>
      <tp t="e">
        <v>#N/A</v>
        <stp/>
        <stp>BDH|16149285429197385283</stp>
        <tr r="M72" s="12"/>
      </tp>
      <tp t="e">
        <v>#N/A</v>
        <stp/>
        <stp>BDH|11985443255585248610</stp>
        <tr r="S23" s="2"/>
        <tr r="U18" s="21"/>
        <tr r="U23" s="3"/>
      </tp>
      <tp t="e">
        <v>#N/A</v>
        <stp/>
        <stp>BDH|12574955657008993552</stp>
        <tr r="O121" s="18"/>
      </tp>
      <tp t="e">
        <v>#N/A</v>
        <stp/>
        <stp>BDH|11898227064162448413</stp>
        <tr r="K78" s="17"/>
      </tp>
      <tp t="e">
        <v>#N/A</v>
        <stp/>
        <stp>BDH|16495114829445161360</stp>
        <tr r="Y34" s="22"/>
      </tp>
      <tp t="e">
        <v>#N/A</v>
        <stp/>
        <stp>BDH|11535693334660085731</stp>
        <tr r="K11" s="17"/>
      </tp>
      <tp t="e">
        <v>#N/A</v>
        <stp/>
        <stp>BDH|13780123017297855712</stp>
        <tr r="N106" s="18"/>
        <tr r="L6" s="20"/>
      </tp>
      <tp t="e">
        <v>#N/A</v>
        <stp/>
        <stp>BDH|14213429596223809957</stp>
        <tr r="Q17" s="20"/>
      </tp>
      <tp t="e">
        <v>#N/A</v>
        <stp/>
        <stp>BDH|12702241455990963643</stp>
        <tr r="H8" s="14"/>
      </tp>
      <tp t="e">
        <v>#N/A</v>
        <stp/>
        <stp>BDH|16069297084356682907</stp>
        <tr r="D44" s="24"/>
      </tp>
      <tp t="e">
        <v>#N/A</v>
        <stp/>
        <stp>BDH|10360683432192719458</stp>
        <tr r="L125" s="18"/>
      </tp>
      <tp t="e">
        <v>#N/A</v>
        <stp/>
        <stp>BDH|15280180600573019410</stp>
        <tr r="I23" s="18"/>
      </tp>
      <tp t="e">
        <v>#N/A</v>
        <stp/>
        <stp>BDH|16664426133133991154</stp>
        <tr r="O70" s="17"/>
      </tp>
      <tp t="e">
        <v>#N/A</v>
        <stp/>
        <stp>BDH|12998817282281570047</stp>
        <tr r="G20" s="18"/>
      </tp>
      <tp t="e">
        <v>#N/A</v>
        <stp/>
        <stp>BDH|17197334318910038614</stp>
        <tr r="T136" s="18"/>
      </tp>
      <tp t="e">
        <v>#N/A</v>
        <stp/>
        <stp>BDH|16286486423901170233</stp>
        <tr r="N17" s="18"/>
      </tp>
      <tp t="e">
        <v>#N/A</v>
        <stp/>
        <stp>BDH|18444888635052688245</stp>
        <tr r="F9" s="21"/>
      </tp>
      <tp t="e">
        <v>#N/A</v>
        <stp/>
        <stp>BDH|14083728068367900182</stp>
        <tr r="T43" s="17"/>
      </tp>
      <tp t="e">
        <v>#N/A</v>
        <stp/>
        <stp>BDH|15407282355107312613</stp>
        <tr r="H20" s="2"/>
        <tr r="H18" s="4"/>
        <tr r="H57" s="10"/>
        <tr r="H51" s="11"/>
        <tr r="H19" s="7"/>
        <tr r="J57" s="13"/>
      </tp>
      <tp t="e">
        <v>#N/A</v>
        <stp/>
        <stp>BDH|15989113804880229750</stp>
        <tr r="L82" s="17"/>
        <tr r="L19" s="3"/>
      </tp>
      <tp t="e">
        <v>#N/A</v>
        <stp/>
        <stp>BDH|10978236772592445471</stp>
        <tr r="X9" s="29"/>
      </tp>
      <tp t="e">
        <v>#N/A</v>
        <stp/>
        <stp>BDH|13515291345024348214</stp>
        <tr r="S17" s="21"/>
      </tp>
      <tp t="e">
        <v>#N/A</v>
        <stp/>
        <stp>BDH|15031928775371898941</stp>
        <tr r="M111" s="18"/>
        <tr r="K12" s="20"/>
      </tp>
      <tp t="e">
        <v>#N/A</v>
        <stp/>
        <stp>BDH|10322506119221429652</stp>
        <tr r="D45" s="21"/>
      </tp>
      <tp t="e">
        <v>#N/A</v>
        <stp/>
        <stp>BDH|13280531623894167381</stp>
        <tr r="K39" s="34"/>
      </tp>
      <tp t="e">
        <v>#N/A</v>
        <stp/>
        <stp>BDH|13055946661017602885</stp>
        <tr r="O17" s="24"/>
      </tp>
      <tp t="e">
        <v>#N/A</v>
        <stp/>
        <stp>BDH|16982857921969135670</stp>
        <tr r="I12" s="18"/>
      </tp>
      <tp t="e">
        <v>#N/A</v>
        <stp/>
        <stp>BDH|17079003057853894240</stp>
        <tr r="W10" s="12"/>
      </tp>
      <tp t="e">
        <v>#N/A</v>
        <stp/>
        <stp>BDH|12224415553126868634</stp>
        <tr r="E42" s="24"/>
      </tp>
      <tp t="e">
        <v>#N/A</v>
        <stp/>
        <stp>BDH|10123323326320646282</stp>
        <tr r="F109" s="18"/>
        <tr r="D9" s="20"/>
      </tp>
      <tp t="e">
        <v>#N/A</v>
        <stp/>
        <stp>BDH|12027192584480098869</stp>
        <tr r="U93" s="18"/>
      </tp>
      <tp t="e">
        <v>#N/A</v>
        <stp/>
        <stp>BDH|14569769009668652867</stp>
        <tr r="C17" s="18"/>
      </tp>
      <tp t="e">
        <v>#N/A</v>
        <stp/>
        <stp>BDH|12750661915003962579</stp>
        <tr r="U78" s="12"/>
      </tp>
      <tp t="e">
        <v>#N/A</v>
        <stp/>
        <stp>BDH|10510304797800950913</stp>
        <tr r="G7" s="21"/>
      </tp>
      <tp t="e">
        <v>#N/A</v>
        <stp/>
        <stp>BDH|15497787031530391248</stp>
        <tr r="D38" s="34"/>
      </tp>
      <tp t="e">
        <v>#N/A</v>
        <stp/>
        <stp>BDH|12724256342300351798</stp>
        <tr r="X72" s="18"/>
      </tp>
      <tp t="e">
        <v>#N/A</v>
        <stp/>
        <stp>BDH|14771806709949052647</stp>
        <tr r="C78" s="12"/>
      </tp>
      <tp t="e">
        <v>#N/A</v>
        <stp/>
        <stp>BDH|13888060685529546141</stp>
        <tr r="J27" s="34"/>
      </tp>
      <tp t="e">
        <v>#N/A</v>
        <stp/>
        <stp>BDH|10910839054008708637</stp>
        <tr r="M9" s="11"/>
      </tp>
      <tp t="e">
        <v>#N/A</v>
        <stp/>
        <stp>BDH|15543739775760956600</stp>
        <tr r="V92" s="18"/>
      </tp>
      <tp t="e">
        <v>#N/A</v>
        <stp/>
        <stp>BDH|13236169796470988818</stp>
        <tr r="Y8" s="2"/>
      </tp>
      <tp t="e">
        <v>#N/A</v>
        <stp/>
        <stp>BDH|11869749789249963465</stp>
        <tr r="V83" s="18"/>
      </tp>
      <tp t="e">
        <v>#N/A</v>
        <stp/>
        <stp>BDH|13566112700262734398</stp>
        <tr r="P21" s="26"/>
      </tp>
      <tp t="e">
        <v>#N/A</v>
        <stp/>
        <stp>BDH|16996375906664106236</stp>
        <tr r="H14" s="30"/>
      </tp>
      <tp t="e">
        <v>#N/A</v>
        <stp/>
        <stp>BDH|17752710712342639089</stp>
        <tr r="G7" s="2"/>
        <tr r="F7" s="5"/>
        <tr r="F7" s="9"/>
        <tr r="I14" s="3"/>
      </tp>
      <tp t="e">
        <v>#N/A</v>
        <stp/>
        <stp>BDH|12529874994472839242</stp>
        <tr r="P35" s="12"/>
      </tp>
      <tp t="e">
        <v>#N/A</v>
        <stp/>
        <stp>BDH|17978793303695806611</stp>
        <tr r="AA45" s="17"/>
        <tr r="AA9" s="25"/>
      </tp>
      <tp t="e">
        <v>#N/A</v>
        <stp/>
        <stp>BDH|15274149660950837147</stp>
        <tr r="F62" s="17"/>
      </tp>
      <tp t="e">
        <v>#N/A</v>
        <stp/>
        <stp>BDH|16955744021746607604</stp>
        <tr r="M15" s="6"/>
      </tp>
      <tp t="e">
        <v>#N/A</v>
        <stp/>
        <stp>BDH|11892228594320494909</stp>
        <tr r="F28" s="21"/>
      </tp>
      <tp t="e">
        <v>#N/A</v>
        <stp/>
        <stp>BDH|10956033651166176002</stp>
        <tr r="Z37" s="21"/>
        <tr r="Z24" s="3"/>
      </tp>
      <tp t="e">
        <v>#N/A</v>
        <stp/>
        <stp>BDH|15202420215772927167</stp>
        <tr r="Z26" s="17"/>
      </tp>
      <tp t="e">
        <v>#N/A</v>
        <stp/>
        <stp>BDH|17449075421973929518</stp>
        <tr r="C30" s="29"/>
        <tr r="C8" s="29"/>
      </tp>
      <tp t="e">
        <v>#N/A</v>
        <stp/>
        <stp>BDH|11874982797181810354</stp>
        <tr r="N83" s="18"/>
      </tp>
      <tp t="e">
        <v>#N/A</v>
        <stp/>
        <stp>BDH|15197190134742462629</stp>
        <tr r="L32" s="22"/>
      </tp>
      <tp t="e">
        <v>#N/A</v>
        <stp/>
        <stp>BDH|13375375383088504382</stp>
        <tr r="AA46" s="18"/>
      </tp>
      <tp t="e">
        <v>#N/A</v>
        <stp/>
        <stp>BDH|12525228575627157399</stp>
        <tr r="D9" s="13"/>
      </tp>
      <tp t="e">
        <v>#N/A</v>
        <stp/>
        <stp>BDH|14846364600167783339</stp>
        <tr r="C79" s="12"/>
      </tp>
      <tp t="e">
        <v>#N/A</v>
        <stp/>
        <stp>BDH|13150156312555876541</stp>
        <tr r="P60" s="12"/>
      </tp>
      <tp t="e">
        <v>#N/A</v>
        <stp/>
        <stp>BDH|14369302763672979032</stp>
        <tr r="Q166" s="18"/>
      </tp>
      <tp t="e">
        <v>#N/A</v>
        <stp/>
        <stp>BDH|13721681353791003262</stp>
        <tr r="AA12" s="17"/>
      </tp>
      <tp t="e">
        <v>#N/A</v>
        <stp/>
        <stp>BDH|13956822990566823796</stp>
        <tr r="D15" s="9"/>
      </tp>
      <tp t="e">
        <v>#N/A</v>
        <stp/>
        <stp>BDH|13216364355933399580</stp>
        <tr r="S26" s="25"/>
        <tr r="S16" s="27"/>
      </tp>
      <tp t="e">
        <v>#N/A</v>
        <stp/>
        <stp>BDH|13046673933590912576</stp>
        <tr r="I71" s="18"/>
      </tp>
      <tp t="e">
        <v>#N/A</v>
        <stp/>
        <stp>BDH|16512790334362650342</stp>
        <tr r="R19" s="11"/>
      </tp>
      <tp t="e">
        <v>#N/A</v>
        <stp/>
        <stp>BDH|12053481109775935025</stp>
        <tr r="R47" s="17"/>
      </tp>
      <tp t="e">
        <v>#N/A</v>
        <stp/>
        <stp>BDH|10231098533942003227</stp>
        <tr r="G37" s="12"/>
      </tp>
      <tp t="e">
        <v>#N/A</v>
        <stp/>
        <stp>BDH|13280270826334168488</stp>
        <tr r="M110" s="18"/>
        <tr r="K11" s="20"/>
      </tp>
      <tp t="e">
        <v>#N/A</v>
        <stp/>
        <stp>BDH|17830040743028466810</stp>
        <tr r="Q10" s="18"/>
      </tp>
      <tp t="e">
        <v>#N/A</v>
        <stp/>
        <stp>BDH|16834908498001370498</stp>
        <tr r="Z110" s="18"/>
        <tr r="Y11" s="20"/>
      </tp>
      <tp t="e">
        <v>#N/A</v>
        <stp/>
        <stp>BDH|13551570737714635295</stp>
        <tr r="E10" s="4"/>
        <tr r="D6" s="16"/>
        <tr r="G6" s="3"/>
        <tr r="E6" s="11"/>
      </tp>
      <tp t="e">
        <v>#N/A</v>
        <stp/>
        <stp>BDH|12346062860912800504</stp>
        <tr r="C17" s="11"/>
      </tp>
      <tp t="e">
        <v>#N/A</v>
        <stp/>
        <stp>BDH|13455034217357584681</stp>
        <tr r="L12" s="6"/>
      </tp>
      <tp t="e">
        <v>#N/A</v>
        <stp/>
        <stp>BDH|14598395154491036051</stp>
        <tr r="K56" s="12"/>
      </tp>
      <tp t="e">
        <v>#N/A</v>
        <stp/>
        <stp>BDH|11076653094669913459</stp>
        <tr r="N23" s="25"/>
        <tr r="N13" s="27"/>
      </tp>
      <tp t="e">
        <v>#N/A</v>
        <stp/>
        <stp>BDH|10759473349260743339</stp>
        <tr r="P42" s="24"/>
      </tp>
      <tp t="e">
        <v>#N/A</v>
        <stp/>
        <stp>BDH|11442481336050057579</stp>
        <tr r="H113" s="18"/>
        <tr r="F14" s="20"/>
      </tp>
      <tp t="e">
        <v>#N/A</v>
        <stp/>
        <stp>BDH|17873335006577795076</stp>
        <tr r="D17" s="9"/>
      </tp>
      <tp t="e">
        <v>#N/A</v>
        <stp/>
        <stp>BDH|13069125267811047680</stp>
        <tr r="C41" s="24"/>
      </tp>
      <tp t="e">
        <v>#N/A</v>
        <stp/>
        <stp>BDH|11605034679491076419</stp>
        <tr r="V49" s="18"/>
      </tp>
      <tp t="e">
        <v>#N/A</v>
        <stp/>
        <stp>BDH|12582848093193862379</stp>
        <tr r="O15" s="12"/>
      </tp>
      <tp t="e">
        <v>#N/A</v>
        <stp/>
        <stp>BDH|14390503158101603605</stp>
        <tr r="W83" s="18"/>
      </tp>
      <tp t="e">
        <v>#N/A</v>
        <stp/>
        <stp>BDH|17143491474627847099</stp>
        <tr r="O70" s="10"/>
        <tr r="O64" s="11"/>
      </tp>
      <tp t="e">
        <v>#N/A</v>
        <stp/>
        <stp>BDH|10923468795579369744</stp>
        <tr r="N41" s="13"/>
      </tp>
      <tp t="e">
        <v>#N/A</v>
        <stp/>
        <stp>BDH|14098062858061047332</stp>
        <tr r="H24" s="26"/>
      </tp>
      <tp t="e">
        <v>#N/A</v>
        <stp/>
        <stp>BDH|11937557136932197669</stp>
        <tr r="S9" s="10"/>
      </tp>
      <tp t="e">
        <v>#N/A</v>
        <stp/>
        <stp>BDH|17788528472881969732</stp>
        <tr r="O26" s="17"/>
      </tp>
      <tp t="e">
        <v>#N/A</v>
        <stp/>
        <stp>BDH|10205121607384295687</stp>
        <tr r="X71" s="12"/>
      </tp>
      <tp t="e">
        <v>#N/A</v>
        <stp/>
        <stp>BDH|11709929339891977985</stp>
        <tr r="P15" s="26"/>
      </tp>
      <tp t="e">
        <v>#N/A</v>
        <stp/>
        <stp>BDH|14934324185284513866</stp>
        <tr r="L33" s="17"/>
      </tp>
      <tp t="e">
        <v>#N/A</v>
        <stp/>
        <stp>BDH|10879794790724804946</stp>
        <tr r="M7" s="2"/>
        <tr r="L7" s="5"/>
        <tr r="L7" s="9"/>
        <tr r="O14" s="3"/>
      </tp>
      <tp t="e">
        <v>#N/A</v>
        <stp/>
        <stp>BDH|12136916288125339566</stp>
        <tr r="Z158" s="18"/>
      </tp>
      <tp t="e">
        <v>#N/A</v>
        <stp/>
        <stp>BDH|12621408625120623788</stp>
        <tr r="Q45" s="24"/>
      </tp>
      <tp t="e">
        <v>#N/A</v>
        <stp/>
        <stp>BDH|13048463412436161385</stp>
        <tr r="I23" s="26"/>
      </tp>
      <tp t="e">
        <v>#N/A</v>
        <stp/>
        <stp>BDH|16521743337470925127</stp>
        <tr r="R48" s="17"/>
      </tp>
      <tp t="e">
        <v>#N/A</v>
        <stp/>
        <stp>BDH|14574566603783938145</stp>
        <tr r="R27" s="5"/>
        <tr r="R27" s="9"/>
      </tp>
      <tp t="e">
        <v>#N/A</v>
        <stp/>
        <stp>BDH|16949342742607137534</stp>
        <tr r="Q78" s="12"/>
      </tp>
      <tp t="e">
        <v>#N/A</v>
        <stp/>
        <stp>BDH|14672084235650545436</stp>
        <tr r="AA151" s="18"/>
      </tp>
      <tp t="e">
        <v>#N/A</v>
        <stp/>
        <stp>BDH|10939430987419574656</stp>
        <tr r="U44" s="12"/>
      </tp>
      <tp t="e">
        <v>#N/A</v>
        <stp/>
        <stp>BDH|14809585950010988748</stp>
        <tr r="M9" s="21"/>
      </tp>
      <tp t="e">
        <v>#N/A</v>
        <stp/>
        <stp>BDH|16739724821580039094</stp>
        <tr r="L8" s="17"/>
      </tp>
      <tp t="e">
        <v>#N/A</v>
        <stp/>
        <stp>BDH|16685898610134643840</stp>
        <tr r="Y64" s="18"/>
      </tp>
      <tp t="e">
        <v>#N/A</v>
        <stp/>
        <stp>BDH|11889414352156512538</stp>
        <tr r="I16" s="23"/>
      </tp>
      <tp t="e">
        <v>#N/A</v>
        <stp/>
        <stp>BDH|15024410040287532197</stp>
        <tr r="H13" s="13"/>
      </tp>
      <tp t="e">
        <v>#N/A</v>
        <stp/>
        <stp>BDH|11521520719747767147</stp>
        <tr r="Y32" s="12"/>
      </tp>
      <tp t="e">
        <v>#N/A</v>
        <stp/>
        <stp>BDH|11938518260366789724</stp>
        <tr r="K33" s="26"/>
      </tp>
      <tp t="e">
        <v>#N/A</v>
        <stp/>
        <stp>BDH|14218359438302573567</stp>
        <tr r="J48" s="21"/>
      </tp>
      <tp t="e">
        <v>#N/A</v>
        <stp/>
        <stp>BDH|12816502741891612131</stp>
        <tr r="O137" s="18"/>
      </tp>
      <tp t="e">
        <v>#N/A</v>
        <stp/>
        <stp>BDH|13683983906309300073</stp>
        <tr r="I57" s="11"/>
      </tp>
      <tp t="e">
        <v>#N/A</v>
        <stp/>
        <stp>BDH|10755968622170811877</stp>
        <tr r="U41" s="18"/>
      </tp>
      <tp t="e">
        <v>#N/A</v>
        <stp/>
        <stp>BDH|13580957178547604920</stp>
        <tr r="P15" s="21"/>
      </tp>
      <tp t="e">
        <v>#N/A</v>
        <stp/>
        <stp>BDH|14688157226701073596</stp>
        <tr r="L39" s="4"/>
        <tr r="L65" s="10"/>
      </tp>
      <tp t="e">
        <v>#N/A</v>
        <stp/>
        <stp>BDH|17781815584491635583</stp>
        <tr r="T20" s="24"/>
      </tp>
      <tp t="e">
        <v>#N/A</v>
        <stp/>
        <stp>BDH|16328923729908019640</stp>
        <tr r="AA32" s="12"/>
      </tp>
      <tp t="e">
        <v>#N/A</v>
        <stp/>
        <stp>BDH|14302496722463183253</stp>
        <tr r="F14" s="18"/>
      </tp>
      <tp t="e">
        <v>#N/A</v>
        <stp/>
        <stp>BDH|17209025440495919558</stp>
        <tr r="Y9" s="3"/>
        <tr r="W50" s="10"/>
        <tr r="W44" s="11"/>
        <tr r="W14" s="7"/>
      </tp>
      <tp t="e">
        <v>#N/A</v>
        <stp/>
        <stp>BDH|16038299640151745227</stp>
        <tr r="I17" s="20"/>
      </tp>
      <tp t="e">
        <v>#N/A</v>
        <stp/>
        <stp>BDH|13894728072091186151</stp>
        <tr r="S10" s="30"/>
      </tp>
      <tp t="e">
        <v>#N/A</v>
        <stp/>
        <stp>BDH|17623269488387739933</stp>
        <tr r="S38" s="22"/>
      </tp>
      <tp t="e">
        <v>#N/A</v>
        <stp/>
        <stp>BDH|17499889333286393904</stp>
        <tr r="D57" s="18"/>
      </tp>
      <tp t="e">
        <v>#N/A</v>
        <stp/>
        <stp>BDH|15758004608996350003</stp>
        <tr r="V16" s="23"/>
      </tp>
      <tp t="e">
        <v>#N/A</v>
        <stp/>
        <stp>BDH|14163424286003080894</stp>
        <tr r="P9" s="26"/>
      </tp>
      <tp t="e">
        <v>#N/A</v>
        <stp/>
        <stp>BDH|11733430438926956391</stp>
        <tr r="T29" s="9"/>
      </tp>
      <tp t="e">
        <v>#N/A</v>
        <stp/>
        <stp>BDH|11794680043224845481</stp>
        <tr r="O9" s="11"/>
      </tp>
      <tp t="e">
        <v>#N/A</v>
        <stp/>
        <stp>BDH|17266447879961352600</stp>
        <tr r="W18" s="5"/>
        <tr r="W30" s="6"/>
      </tp>
      <tp t="e">
        <v>#N/A</v>
        <stp/>
        <stp>BDH|17146890696060015528</stp>
        <tr r="V146" s="18"/>
      </tp>
      <tp t="e">
        <v>#N/A</v>
        <stp/>
        <stp>BDH|14954031156150985291</stp>
        <tr r="Y18" s="13"/>
      </tp>
      <tp t="e">
        <v>#N/A</v>
        <stp/>
        <stp>BDH|10316429079762511212</stp>
        <tr r="H8" s="17"/>
      </tp>
      <tp t="e">
        <v>#N/A</v>
        <stp/>
        <stp>BDH|13153091082561569934</stp>
        <tr r="O13" s="18"/>
      </tp>
      <tp t="e">
        <v>#N/A</v>
        <stp/>
        <stp>BDH|15354331299704568806</stp>
        <tr r="N83" s="17"/>
      </tp>
      <tp t="e">
        <v>#N/A</v>
        <stp/>
        <stp>BDH|14918554898042155993</stp>
        <tr r="Y20" s="17"/>
      </tp>
      <tp t="e">
        <v>#N/A</v>
        <stp/>
        <stp>BDH|13482786379642937208</stp>
        <tr r="W18" s="24"/>
      </tp>
      <tp t="e">
        <v>#N/A</v>
        <stp/>
        <stp>BDH|17969316481038756727</stp>
        <tr r="V16" s="10"/>
      </tp>
      <tp t="e">
        <v>#N/A</v>
        <stp/>
        <stp>BDH|15822465737566048757</stp>
        <tr r="AA15" s="25"/>
      </tp>
      <tp t="e">
        <v>#N/A</v>
        <stp/>
        <stp>BDH|12099648468302930391</stp>
        <tr r="R59" s="18"/>
      </tp>
      <tp t="e">
        <v>#N/A</v>
        <stp/>
        <stp>BDH|14639795205566410622</stp>
        <tr r="T45" s="18"/>
      </tp>
      <tp t="e">
        <v>#N/A</v>
        <stp/>
        <stp>BDH|16374183837047977093</stp>
        <tr r="H23" s="17"/>
        <tr r="H15" s="3"/>
      </tp>
      <tp t="e">
        <v>#N/A</v>
        <stp/>
        <stp>BDH|13258191306333150202</stp>
        <tr r="Q21" s="24"/>
      </tp>
      <tp t="e">
        <v>#N/A</v>
        <stp/>
        <stp>BDH|11739778334126889002</stp>
        <tr r="N9" s="13"/>
      </tp>
      <tp t="e">
        <v>#N/A</v>
        <stp/>
        <stp>BDH|15047797992460404830</stp>
        <tr r="Y48" s="21"/>
      </tp>
      <tp t="e">
        <v>#N/A</v>
        <stp/>
        <stp>BDH|17135351918741712773</stp>
        <tr r="Z94" s="17"/>
      </tp>
      <tp t="e">
        <v>#N/A</v>
        <stp/>
        <stp>BDH|10273253269170763754</stp>
        <tr r="H69" s="10"/>
        <tr r="H63" s="11"/>
        <tr r="H20" s="7"/>
      </tp>
      <tp t="e">
        <v>#N/A</v>
        <stp/>
        <stp>BDH|10557313429104102600</stp>
        <tr r="Y41" s="22"/>
      </tp>
      <tp t="e">
        <v>#N/A</v>
        <stp/>
        <stp>BDH|14935821090756530021</stp>
        <tr r="Q39" s="4"/>
        <tr r="Q65" s="10"/>
      </tp>
      <tp t="e">
        <v>#N/A</v>
        <stp/>
        <stp>BDH|11478991961218018503</stp>
        <tr r="M69" s="17"/>
      </tp>
      <tp t="e">
        <v>#N/A</v>
        <stp/>
        <stp>BDH|16930520406294036417</stp>
        <tr r="K20" s="17"/>
      </tp>
      <tp t="e">
        <v>#N/A</v>
        <stp/>
        <stp>BDH|16085832733846944853</stp>
        <tr r="R24" s="29"/>
      </tp>
      <tp t="e">
        <v>#N/A</v>
        <stp/>
        <stp>BDH|18043850699119596359</stp>
        <tr r="H24" s="29"/>
      </tp>
      <tp t="e">
        <v>#N/A</v>
        <stp/>
        <stp>BDH|18041465672490822803</stp>
        <tr r="L29" s="9"/>
      </tp>
      <tp t="e">
        <v>#N/A</v>
        <stp/>
        <stp>BDH|12452273789452538935</stp>
        <tr r="J7" s="8"/>
      </tp>
      <tp t="e">
        <v>#N/A</v>
        <stp/>
        <stp>BDH|11078302000179515891</stp>
        <tr r="O71" s="12"/>
      </tp>
      <tp t="e">
        <v>#N/A</v>
        <stp/>
        <stp>BDH|17929767994448214254</stp>
        <tr r="C152" s="18"/>
      </tp>
      <tp t="e">
        <v>#N/A</v>
        <stp/>
        <stp>BDH|17909445242624315039</stp>
        <tr r="R16" s="17"/>
        <tr r="R19" s="28"/>
      </tp>
      <tp t="e">
        <v>#N/A</v>
        <stp/>
        <stp>BDH|14103523693378922369</stp>
        <tr r="K21" s="27"/>
      </tp>
      <tp t="e">
        <v>#N/A</v>
        <stp/>
        <stp>BDH|11235282784451479958</stp>
        <tr r="U15" s="24"/>
      </tp>
      <tp t="e">
        <v>#N/A</v>
        <stp/>
        <stp>BDH|13183638156955337680</stp>
        <tr r="N33" s="6"/>
        <tr r="P9" s="8"/>
      </tp>
      <tp t="e">
        <v>#N/A</v>
        <stp/>
        <stp>BDH|12920754601943459563</stp>
        <tr r="E10" s="18"/>
      </tp>
      <tp t="e">
        <v>#N/A</v>
        <stp/>
        <stp>BDH|14508394293115391835</stp>
        <tr r="Q33" s="12"/>
      </tp>
      <tp t="e">
        <v>#N/A</v>
        <stp/>
        <stp>BDH|15276766879515282304</stp>
        <tr r="Q56" s="17"/>
        <tr r="Q17" s="3"/>
      </tp>
      <tp t="e">
        <v>#N/A</v>
        <stp/>
        <stp>BDH|10728098907564060761</stp>
        <tr r="AA16" s="29"/>
        <tr r="AA36" s="29"/>
      </tp>
      <tp t="e">
        <v>#N/A</v>
        <stp/>
        <stp>BDH|11930019237081836086</stp>
        <tr r="F9" s="23"/>
      </tp>
      <tp t="e">
        <v>#N/A</v>
        <stp/>
        <stp>BDH|10586319060993901527</stp>
        <tr r="I44" s="17"/>
      </tp>
      <tp t="e">
        <v>#N/A</v>
        <stp/>
        <stp>BDH|13414575009877318262</stp>
        <tr r="P134" s="18"/>
      </tp>
      <tp t="e">
        <v>#N/A</v>
        <stp/>
        <stp>BDH|18214416228025102858</stp>
        <tr r="Y106" s="18"/>
        <tr r="X6" s="20"/>
      </tp>
      <tp t="e">
        <v>#N/A</v>
        <stp/>
        <stp>BDH|14035243258828742842</stp>
        <tr r="S67" s="10"/>
      </tp>
      <tp t="e">
        <v>#N/A</v>
        <stp/>
        <stp>BDH|16076108753512430387</stp>
        <tr r="H43" s="22"/>
      </tp>
      <tp t="e">
        <v>#N/A</v>
        <stp/>
        <stp>BDH|15063722227216212589</stp>
        <tr r="V28" s="18"/>
      </tp>
      <tp t="e">
        <v>#N/A</v>
        <stp/>
        <stp>BDH|11333095605506991497</stp>
        <tr r="V91" s="18"/>
      </tp>
      <tp t="e">
        <v>#N/A</v>
        <stp/>
        <stp>BDH|12930433966386567568</stp>
        <tr r="AA69" s="18"/>
      </tp>
      <tp t="e">
        <v>#N/A</v>
        <stp/>
        <stp>BDH|17626095744392208269</stp>
        <tr r="Q9" s="29"/>
      </tp>
      <tp t="e">
        <v>#N/A</v>
        <stp/>
        <stp>BDH|16011638345856098194</stp>
        <tr r="J52" s="21"/>
      </tp>
      <tp t="e">
        <v>#N/A</v>
        <stp/>
        <stp>BDH|16329438711778981876</stp>
        <tr r="X132" s="18"/>
      </tp>
      <tp t="e">
        <v>#N/A</v>
        <stp/>
        <stp>BDH|14874974476890219949</stp>
        <tr r="F23" s="26"/>
      </tp>
      <tp t="e">
        <v>#N/A</v>
        <stp/>
        <stp>BDH|13340495051201715030</stp>
        <tr r="M21" s="2"/>
      </tp>
      <tp t="e">
        <v>#N/A</v>
        <stp/>
        <stp>BDH|17472234375717441692</stp>
        <tr r="N9" s="6"/>
      </tp>
      <tp t="e">
        <v>#N/A</v>
        <stp/>
        <stp>BDH|10013596116665651265</stp>
        <tr r="O25" s="2"/>
        <tr r="Q62" s="21"/>
      </tp>
      <tp t="e">
        <v>#N/A</v>
        <stp/>
        <stp>BDH|12331531573784902755</stp>
        <tr r="T24" s="29"/>
      </tp>
      <tp t="e">
        <v>#N/A</v>
        <stp/>
        <stp>BDH|11102348712208195893</stp>
        <tr r="O26" s="12"/>
      </tp>
      <tp t="e">
        <v>#N/A</v>
        <stp/>
        <stp>BDH|11073146741982894526</stp>
        <tr r="W62" s="11"/>
      </tp>
      <tp t="e">
        <v>#N/A</v>
        <stp/>
        <stp>BDH|14286931131309749488</stp>
        <tr r="E25" s="10"/>
      </tp>
      <tp t="e">
        <v>#N/A</v>
        <stp/>
        <stp>BDH|15067431652440600785</stp>
        <tr r="U28" s="26"/>
      </tp>
      <tp t="e">
        <v>#N/A</v>
        <stp/>
        <stp>BDH|16357243928086838380</stp>
        <tr r="U160" s="18"/>
      </tp>
      <tp t="e">
        <v>#N/A</v>
        <stp/>
        <stp>BDH|17507954463048849345</stp>
        <tr r="Y26" s="26"/>
      </tp>
      <tp t="e">
        <v>#N/A</v>
        <stp/>
        <stp>BDH|14155697804761426073</stp>
        <tr r="K16" s="12"/>
      </tp>
      <tp t="e">
        <v>#N/A</v>
        <stp/>
        <stp>BDH|14895936686137798153</stp>
        <tr r="U10" s="26"/>
      </tp>
      <tp t="e">
        <v>#N/A</v>
        <stp/>
        <stp>BDH|15438812914176860962</stp>
        <tr r="Y63" s="21"/>
      </tp>
      <tp t="e">
        <v>#N/A</v>
        <stp/>
        <stp>BDH|17918472480808385038</stp>
        <tr r="E33" s="26"/>
      </tp>
      <tp t="e">
        <v>#N/A</v>
        <stp/>
        <stp>BDH|10287889857096422878</stp>
        <tr r="Q63" s="24"/>
      </tp>
      <tp t="e">
        <v>#N/A</v>
        <stp/>
        <stp>BDH|10457476142523797084</stp>
        <tr r="O14" s="4"/>
      </tp>
      <tp t="e">
        <v>#N/A</v>
        <stp/>
        <stp>BDH|14054248888475559877</stp>
        <tr r="F65" s="12"/>
      </tp>
      <tp t="e">
        <v>#N/A</v>
        <stp/>
        <stp>BDH|13895318258195927368</stp>
        <tr r="L89" s="18"/>
      </tp>
      <tp t="e">
        <v>#N/A</v>
        <stp/>
        <stp>BDH|17082485771653394448</stp>
        <tr r="J164" s="18"/>
      </tp>
      <tp t="e">
        <v>#N/A</v>
        <stp/>
        <stp>BDH|11950300290058697015</stp>
        <tr r="W64" s="24"/>
      </tp>
      <tp t="e">
        <v>#N/A</v>
        <stp/>
        <stp>BDH|10683593571522856382</stp>
        <tr r="L22" s="30"/>
        <tr r="L25" s="23"/>
      </tp>
      <tp t="e">
        <v>#N/A</v>
        <stp/>
        <stp>BDH|15509284070421509269</stp>
        <tr r="I18" s="13"/>
      </tp>
      <tp t="e">
        <v>#N/A</v>
        <stp/>
        <stp>BDH|14882835600398440712</stp>
        <tr r="J68" s="24"/>
      </tp>
      <tp t="e">
        <v>#N/A</v>
        <stp/>
        <stp>BDH|11929336633640132269</stp>
        <tr r="X53" s="18"/>
      </tp>
      <tp t="e">
        <v>#N/A</v>
        <stp/>
        <stp>BDH|12660219018535344726</stp>
        <tr r="K24" s="21"/>
      </tp>
      <tp t="e">
        <v>#N/A</v>
        <stp/>
        <stp>BDH|14215187722615714119</stp>
        <tr r="O147" s="18"/>
      </tp>
      <tp t="e">
        <v>#N/A</v>
        <stp/>
        <stp>BDH|16865363076771794013</stp>
        <tr r="N46" s="18"/>
      </tp>
      <tp t="e">
        <v>#N/A</v>
        <stp/>
        <stp>BDH|14685322456203583298</stp>
        <tr r="I70" s="12"/>
      </tp>
      <tp t="e">
        <v>#N/A</v>
        <stp/>
        <stp>BDH|17166872851718896115</stp>
        <tr r="Z22" s="20"/>
      </tp>
      <tp t="e">
        <v>#N/A</v>
        <stp/>
        <stp>BDH|12622709512127978033</stp>
        <tr r="C71" s="18"/>
      </tp>
      <tp t="e">
        <v>#N/A</v>
        <stp/>
        <stp>BDH|14054332272333738089</stp>
        <tr r="Q82" s="18"/>
      </tp>
      <tp t="e">
        <v>#N/A</v>
        <stp/>
        <stp>BDH|12156953155208823578</stp>
        <tr r="V31" s="17"/>
      </tp>
      <tp t="e">
        <v>#N/A</v>
        <stp/>
        <stp>BDH|11970041571047616249</stp>
        <tr r="K17" s="13"/>
      </tp>
      <tp t="e">
        <v>#N/A</v>
        <stp/>
        <stp>BDH|11731378619811446139</stp>
        <tr r="N134" s="18"/>
      </tp>
      <tp t="e">
        <v>#N/A</v>
        <stp/>
        <stp>BDH|10817479756704171665</stp>
        <tr r="J20" s="27"/>
      </tp>
      <tp t="e">
        <v>#N/A</v>
        <stp/>
        <stp>BDH|16193808858081780904</stp>
        <tr r="N29" s="29"/>
        <tr r="N7" s="29"/>
      </tp>
      <tp t="e">
        <v>#N/A</v>
        <stp/>
        <stp>BDH|17186021640715475595</stp>
        <tr r="K119" s="18"/>
      </tp>
      <tp t="e">
        <v>#N/A</v>
        <stp/>
        <stp>BDH|18272971163422940614</stp>
        <tr r="D31" s="34"/>
      </tp>
      <tp t="e">
        <v>#N/A</v>
        <stp/>
        <stp>BDH|14020785010119563832</stp>
        <tr r="Y17" s="18"/>
      </tp>
      <tp t="e">
        <v>#N/A</v>
        <stp/>
        <stp>BDH|11454731955818859849</stp>
        <tr r="T17" s="5"/>
        <tr r="T24" s="6"/>
      </tp>
      <tp t="e">
        <v>#N/A</v>
        <stp/>
        <stp>BDH|11836461654285735634</stp>
        <tr r="W11" s="11"/>
      </tp>
      <tp t="e">
        <v>#N/A</v>
        <stp/>
        <stp>BDH|17686025470611245288</stp>
        <tr r="X47" s="17"/>
      </tp>
      <tp t="e">
        <v>#N/A</v>
        <stp/>
        <stp>BDH|10143744650874866538</stp>
        <tr r="U17" s="29"/>
        <tr r="U37" s="29"/>
      </tp>
      <tp t="e">
        <v>#N/A</v>
        <stp/>
        <stp>BDH|13501997167007103841</stp>
        <tr r="Z31" s="25"/>
      </tp>
      <tp t="e">
        <v>#N/A</v>
        <stp/>
        <stp>BDH|14716885969478021186</stp>
        <tr r="G82" s="18"/>
      </tp>
      <tp t="e">
        <v>#N/A</v>
        <stp/>
        <stp>BDH|13694245248036606028</stp>
        <tr r="AA83" s="17"/>
      </tp>
      <tp t="e">
        <v>#N/A</v>
        <stp/>
        <stp>BDH|16397586183740681804</stp>
        <tr r="T48" s="17"/>
      </tp>
      <tp t="e">
        <v>#N/A</v>
        <stp/>
        <stp>BDH|16870691164843541511</stp>
        <tr r="L66" s="10"/>
      </tp>
      <tp t="e">
        <v>#N/A</v>
        <stp/>
        <stp>BDH|15280117587438457415</stp>
        <tr r="L18" s="6"/>
      </tp>
      <tp t="e">
        <v>#N/A</v>
        <stp/>
        <stp>BDH|14636396515543889532</stp>
        <tr r="N21" s="24"/>
      </tp>
      <tp t="e">
        <v>#N/A</v>
        <stp/>
        <stp>BDH|10089345845464172316</stp>
        <tr r="C21" s="20"/>
      </tp>
      <tp t="e">
        <v>#N/A</v>
        <stp/>
        <stp>BDH|17324027732102544678</stp>
        <tr r="Y36" s="24"/>
      </tp>
      <tp t="e">
        <v>#N/A</v>
        <stp/>
        <stp>BDH|10868491457388245958</stp>
        <tr r="K63" s="21"/>
      </tp>
      <tp t="e">
        <v>#N/A</v>
        <stp/>
        <stp>BDH|14601763723906006722</stp>
        <tr r="C68" s="18"/>
      </tp>
      <tp t="e">
        <v>#N/A</v>
        <stp/>
        <stp>BDH|10028268083748112253</stp>
        <tr r="S66" s="17"/>
      </tp>
      <tp t="e">
        <v>#N/A</v>
        <stp/>
        <stp>BDH|11971607879595929588</stp>
        <tr r="Z17" s="22"/>
      </tp>
      <tp t="e">
        <v>#N/A</v>
        <stp/>
        <stp>BDH|16106169412964776238</stp>
        <tr r="Z71" s="24"/>
      </tp>
      <tp t="e">
        <v>#N/A</v>
        <stp/>
        <stp>BDH|17805327221481995734</stp>
        <tr r="W43" s="17"/>
      </tp>
      <tp t="e">
        <v>#N/A</v>
        <stp/>
        <stp>BDH|13644087541563710499</stp>
        <tr r="S31" s="26"/>
      </tp>
      <tp t="e">
        <v>#N/A</v>
        <stp/>
        <stp>BDH|10881568501821907476</stp>
        <tr r="V83" s="17"/>
      </tp>
      <tp t="e">
        <v>#N/A</v>
        <stp/>
        <stp>BDH|10283115076330231660</stp>
        <tr r="F21" s="24"/>
      </tp>
      <tp t="e">
        <v>#N/A</v>
        <stp/>
        <stp>BDH|18345849963090007650</stp>
        <tr r="F25" s="24"/>
      </tp>
      <tp t="e">
        <v>#N/A</v>
        <stp/>
        <stp>BDH|14362237963835612544</stp>
        <tr r="Z33" s="26"/>
      </tp>
      <tp t="e">
        <v>#N/A</v>
        <stp/>
        <stp>BDH|17964705600593969313</stp>
        <tr r="N131" s="18"/>
      </tp>
      <tp t="e">
        <v>#N/A</v>
        <stp/>
        <stp>BDH|17265299850062853228</stp>
        <tr r="Z129" s="18"/>
      </tp>
      <tp t="e">
        <v>#N/A</v>
        <stp/>
        <stp>BDH|10081882869896442844</stp>
        <tr r="W7" s="21"/>
      </tp>
      <tp t="e">
        <v>#N/A</v>
        <stp/>
        <stp>BDH|16781512296553380926</stp>
        <tr r="R17" s="22"/>
      </tp>
      <tp t="e">
        <v>#N/A</v>
        <stp/>
        <stp>BDH|12195868475948086531</stp>
        <tr r="K24" s="22"/>
      </tp>
      <tp t="e">
        <v>#N/A</v>
        <stp/>
        <stp>BDH|12404571231781753543</stp>
        <tr r="L35" s="17"/>
      </tp>
      <tp t="e">
        <v>#N/A</v>
        <stp/>
        <stp>BDH|16282778502093204240</stp>
        <tr r="L21" s="26"/>
      </tp>
      <tp t="e">
        <v>#N/A</v>
        <stp/>
        <stp>BDH|18071665037325017800</stp>
        <tr r="L120" s="18"/>
      </tp>
      <tp t="e">
        <v>#N/A</v>
        <stp/>
        <stp>BDH|17301571103033755114</stp>
        <tr r="U18" s="30"/>
      </tp>
      <tp t="e">
        <v>#N/A</v>
        <stp/>
        <stp>BDH|11020340354430201736</stp>
        <tr r="C12" s="17"/>
      </tp>
      <tp t="e">
        <v>#N/A</v>
        <stp/>
        <stp>BDH|15077332924755719113</stp>
        <tr r="M12" s="14"/>
      </tp>
      <tp t="e">
        <v>#N/A</v>
        <stp/>
        <stp>BDH|13140440876908782852</stp>
        <tr r="M22" s="30"/>
        <tr r="M25" s="23"/>
      </tp>
      <tp t="e">
        <v>#N/A</v>
        <stp/>
        <stp>BDH|14042047655741833080</stp>
        <tr r="W6" s="20"/>
      </tp>
      <tp t="e">
        <v>#N/A</v>
        <stp/>
        <stp>BDH|16079415826537481728</stp>
        <tr r="F7" s="30"/>
      </tp>
      <tp t="e">
        <v>#N/A</v>
        <stp/>
        <stp>BDH|11520931550714169967</stp>
        <tr r="N11" s="29"/>
      </tp>
      <tp t="e">
        <v>#N/A</v>
        <stp/>
        <stp>BDH|12930730352758869817</stp>
        <tr r="P38" s="24"/>
      </tp>
      <tp t="e">
        <v>#N/A</v>
        <stp/>
        <stp>BDH|17517363525921464738</stp>
        <tr r="N26" s="10"/>
        <tr r="P31" s="13"/>
      </tp>
      <tp t="e">
        <v>#N/A</v>
        <stp/>
        <stp>BDH|11049239273757972389</stp>
        <tr r="M92" s="17"/>
      </tp>
      <tp t="e">
        <v>#N/A</v>
        <stp/>
        <stp>BDH|16335930693393706554</stp>
        <tr r="U73" s="17"/>
        <tr r="R8" s="5"/>
        <tr r="R8" s="9"/>
      </tp>
      <tp t="e">
        <v>#N/A</v>
        <stp/>
        <stp>BDH|16526514238399553984</stp>
        <tr r="L85" s="18"/>
      </tp>
      <tp t="e">
        <v>#N/A</v>
        <stp/>
        <stp>BDH|11921333549283034524</stp>
        <tr r="W10" s="30"/>
      </tp>
      <tp t="e">
        <v>#N/A</v>
        <stp/>
        <stp>BDH|14307534485060220962</stp>
        <tr r="W23" s="11"/>
      </tp>
      <tp t="e">
        <v>#N/A</v>
        <stp/>
        <stp>BDH|17390510107404115658</stp>
        <tr r="G11" s="12"/>
      </tp>
      <tp t="e">
        <v>#N/A</v>
        <stp/>
        <stp>BDH|10631883711351975870</stp>
        <tr r="T23" s="23"/>
      </tp>
      <tp t="e">
        <v>#N/A</v>
        <stp/>
        <stp>BDH|18357927144417175255</stp>
        <tr r="R21" s="30"/>
        <tr r="R24" s="23"/>
      </tp>
      <tp t="e">
        <v>#N/A</v>
        <stp/>
        <stp>BDH|13709702052900230173</stp>
        <tr r="R37" s="21"/>
        <tr r="R24" s="3"/>
      </tp>
      <tp t="e">
        <v>#N/A</v>
        <stp/>
        <stp>BDH|10378645043331326379</stp>
        <tr r="I51" s="24"/>
      </tp>
      <tp t="e">
        <v>#N/A</v>
        <stp/>
        <stp>BDH|10902304324055988446</stp>
        <tr r="H27" s="17"/>
      </tp>
      <tp t="e">
        <v>#N/A</v>
        <stp/>
        <stp>BDH|14539419837172299118</stp>
        <tr r="E17" s="29"/>
        <tr r="E37" s="29"/>
      </tp>
      <tp t="e">
        <v>#N/A</v>
        <stp/>
        <stp>BDH|11789501821682232446</stp>
        <tr r="H40" s="18"/>
      </tp>
      <tp t="e">
        <v>#N/A</v>
        <stp/>
        <stp>BDH|12625555859335865728</stp>
        <tr r="U61" s="11"/>
        <tr r="W19" s="23"/>
      </tp>
      <tp t="e">
        <v>#N/A</v>
        <stp/>
        <stp>BDH|10679753864028682915</stp>
        <tr r="X22" s="27"/>
      </tp>
      <tp t="e">
        <v>#N/A</v>
        <stp/>
        <stp>BDH|10883644219035652230</stp>
        <tr r="T22" s="11"/>
      </tp>
      <tp t="e">
        <v>#N/A</v>
        <stp/>
        <stp>BDH|11386455196545741975</stp>
        <tr r="F73" s="12"/>
      </tp>
      <tp t="e">
        <v>#N/A</v>
        <stp/>
        <stp>BDH|13553939948698719693</stp>
        <tr r="T68" s="10"/>
      </tp>
      <tp t="e">
        <v>#N/A</v>
        <stp/>
        <stp>BDH|11865189707047705707</stp>
        <tr r="P39" s="22"/>
      </tp>
      <tp t="e">
        <v>#N/A</v>
        <stp/>
        <stp>BDH|11031263294209531379</stp>
        <tr r="T9" s="22"/>
      </tp>
      <tp t="e">
        <v>#N/A</v>
        <stp/>
        <stp>BDH|13401838882572652137</stp>
        <tr r="X68" s="18"/>
      </tp>
      <tp t="e">
        <v>#N/A</v>
        <stp/>
        <stp>BDH|14469017831936267161</stp>
        <tr r="C72" s="10"/>
        <tr r="C66" s="11"/>
      </tp>
      <tp t="e">
        <v>#N/A</v>
        <stp/>
        <stp>BDH|14349873396995002021</stp>
        <tr r="C44" s="21"/>
      </tp>
      <tp t="e">
        <v>#N/A</v>
        <stp/>
        <stp>BDH|17901877123314984941</stp>
        <tr r="S127" s="18"/>
      </tp>
      <tp t="e">
        <v>#N/A</v>
        <stp/>
        <stp>BDH|11993932043689869516</stp>
        <tr r="D7" s="6"/>
      </tp>
      <tp t="e">
        <v>#N/A</v>
        <stp/>
        <stp>BDH|14561327234517209318</stp>
        <tr r="N12" s="6"/>
      </tp>
      <tp t="e">
        <v>#N/A</v>
        <stp/>
        <stp>BDH|11902720078562504369</stp>
        <tr r="E32" s="18"/>
      </tp>
      <tp t="e">
        <v>#N/A</v>
        <stp/>
        <stp>BDH|14635609470711442425</stp>
        <tr r="I21" s="20"/>
      </tp>
      <tp t="e">
        <v>#N/A</v>
        <stp/>
        <stp>BDH|11653621637405400173</stp>
        <tr r="F21" s="12"/>
      </tp>
      <tp t="e">
        <v>#N/A</v>
        <stp/>
        <stp>BDH|11343606559137366596</stp>
        <tr r="S22" s="11"/>
      </tp>
      <tp t="e">
        <v>#N/A</v>
        <stp/>
        <stp>BDH|14352715428512814327</stp>
        <tr r="Y51" s="10"/>
        <tr r="Y45" s="11"/>
        <tr r="Y15" s="7"/>
      </tp>
      <tp t="e">
        <v>#N/A</v>
        <stp/>
        <stp>BDH|15861841911668520481</stp>
        <tr r="D68" s="10"/>
      </tp>
      <tp t="e">
        <v>#N/A</v>
        <stp/>
        <stp>BDH|16158949421934167951</stp>
        <tr r="G37" s="6"/>
      </tp>
      <tp t="e">
        <v>#N/A</v>
        <stp/>
        <stp>BDH|17295566697739236219</stp>
        <tr r="T52" s="10"/>
        <tr r="T46" s="11"/>
        <tr r="T16" s="7"/>
      </tp>
      <tp t="e">
        <v>#N/A</v>
        <stp/>
        <stp>BDH|16257460376746313312</stp>
        <tr r="O19" s="17"/>
      </tp>
      <tp t="e">
        <v>#N/A</v>
        <stp/>
        <stp>BDH|15571020610437234350</stp>
        <tr r="L9" s="6"/>
      </tp>
      <tp t="e">
        <v>#N/A</v>
        <stp/>
        <stp>BDH|12946264413020563190</stp>
        <tr r="O132" s="18"/>
      </tp>
      <tp t="e">
        <v>#N/A</v>
        <stp/>
        <stp>BDH|13142100537329228840</stp>
        <tr r="H35" s="25"/>
        <tr r="H7" s="3"/>
        <tr r="F18" s="11"/>
        <tr r="H22" s="13"/>
        <tr r="H7" s="13"/>
      </tp>
      <tp t="e">
        <v>#N/A</v>
        <stp/>
        <stp>BDH|16281005887128494610</stp>
        <tr r="M22" s="9"/>
      </tp>
      <tp t="e">
        <v>#N/A</v>
        <stp/>
        <stp>BDH|15339456573142191448</stp>
        <tr r="K74" s="17"/>
      </tp>
      <tp t="e">
        <v>#N/A</v>
        <stp/>
        <stp>BDH|11668454314297576322</stp>
        <tr r="Q29" s="12"/>
      </tp>
      <tp t="e">
        <v>#N/A</v>
        <stp/>
        <stp>BDH|13541042571515562150</stp>
        <tr r="J45" s="17"/>
        <tr r="J9" s="25"/>
      </tp>
      <tp t="e">
        <v>#N/A</v>
        <stp/>
        <stp>BDH|16110324145144522533</stp>
        <tr r="S64" s="21"/>
      </tp>
      <tp t="e">
        <v>#N/A</v>
        <stp/>
        <stp>BDH|16874790761530506757</stp>
        <tr r="T12" s="30"/>
      </tp>
      <tp t="e">
        <v>#N/A</v>
        <stp/>
        <stp>BDH|18063866814184073523</stp>
        <tr r="P61" s="17"/>
      </tp>
      <tp t="e">
        <v>#N/A</v>
        <stp/>
        <stp>BDH|16345151475098392808</stp>
        <tr r="J19" s="6"/>
      </tp>
      <tp t="e">
        <v>#N/A</v>
        <stp/>
        <stp>BDH|16562314847379449871</stp>
        <tr r="O43" s="24"/>
      </tp>
      <tp t="e">
        <v>#N/A</v>
        <stp/>
        <stp>BDH|14081808998392866701</stp>
        <tr r="N12" s="22"/>
      </tp>
      <tp t="e">
        <v>#N/A</v>
        <stp/>
        <stp>BDH|11024266319720898241</stp>
        <tr r="Q23" s="20"/>
      </tp>
      <tp t="e">
        <v>#N/A</v>
        <stp/>
        <stp>BDH|11771621727656494352</stp>
        <tr r="X146" s="18"/>
      </tp>
      <tp t="e">
        <v>#N/A</v>
        <stp/>
        <stp>BDH|16827435368870143410</stp>
        <tr r="E62" s="18"/>
      </tp>
      <tp t="e">
        <v>#N/A</v>
        <stp/>
        <stp>BDH|13018793610075392091</stp>
        <tr r="R10" s="24"/>
      </tp>
      <tp t="e">
        <v>#N/A</v>
        <stp/>
        <stp>BDH|13074597513904842317</stp>
        <tr r="Q13" s="9"/>
      </tp>
      <tp t="e">
        <v>#N/A</v>
        <stp/>
        <stp>BDH|12783403104787058103</stp>
        <tr r="T59" s="18"/>
      </tp>
      <tp t="e">
        <v>#N/A</v>
        <stp/>
        <stp>BDH|12934136549852034507</stp>
        <tr r="W14" s="10"/>
      </tp>
      <tp t="e">
        <v>#N/A</v>
        <stp/>
        <stp>BDH|15567184691874736981</stp>
        <tr r="L51" s="12"/>
      </tp>
      <tp t="e">
        <v>#N/A</v>
        <stp/>
        <stp>BDH|13486213761135161264</stp>
        <tr r="Z91" s="18"/>
      </tp>
      <tp t="e">
        <v>#N/A</v>
        <stp/>
        <stp>BDH|15388505594218260166</stp>
        <tr r="Z14" s="14"/>
      </tp>
      <tp t="e">
        <v>#N/A</v>
        <stp/>
        <stp>BDH|10459908578017968964</stp>
        <tr r="R13" s="29"/>
        <tr r="R22" s="29"/>
        <tr r="R33" s="29"/>
      </tp>
      <tp t="e">
        <v>#N/A</v>
        <stp/>
        <stp>BDH|16034177181639482615</stp>
        <tr r="E36" s="22"/>
      </tp>
      <tp t="e">
        <v>#N/A</v>
        <stp/>
        <stp>BDH|15192811993443549757</stp>
        <tr r="S131" s="18"/>
      </tp>
      <tp t="e">
        <v>#N/A</v>
        <stp/>
        <stp>BDH|11036442649509991872</stp>
        <tr r="I7" s="8"/>
      </tp>
      <tp t="e">
        <v>#N/A</v>
        <stp/>
        <stp>BDH|10345491931934017383</stp>
        <tr r="R11" s="22"/>
      </tp>
      <tp t="e">
        <v>#N/A</v>
        <stp/>
        <stp>BDH|17213230248787911639</stp>
        <tr r="Z19" s="14"/>
      </tp>
      <tp t="e">
        <v>#N/A</v>
        <stp/>
        <stp>BDH|14175634122873668350</stp>
        <tr r="C9" s="24"/>
      </tp>
      <tp t="e">
        <v>#N/A</v>
        <stp/>
        <stp>BDH|14435841732187691877</stp>
        <tr r="Y31" s="24"/>
      </tp>
      <tp t="e">
        <v>#N/A</v>
        <stp/>
        <stp>BDH|13466135724745613568</stp>
        <tr r="Z34" s="25"/>
      </tp>
      <tp t="e">
        <v>#N/A</v>
        <stp/>
        <stp>BDH|13885084137535366572</stp>
        <tr r="M31" s="10"/>
        <tr r="M25" s="11"/>
      </tp>
      <tp t="e">
        <v>#N/A</v>
        <stp/>
        <stp>BDH|12048138226339512832</stp>
        <tr r="R17" s="20"/>
      </tp>
      <tp t="e">
        <v>#N/A</v>
        <stp/>
        <stp>BDH|12032542511871226747</stp>
        <tr r="P28" s="5"/>
      </tp>
      <tp t="e">
        <v>#N/A</v>
        <stp/>
        <stp>BDH|14088001312336517348</stp>
        <tr r="V25" s="22"/>
      </tp>
      <tp t="e">
        <v>#N/A</v>
        <stp/>
        <stp>BDH|16438818169848962066</stp>
        <tr r="Q30" s="22"/>
      </tp>
      <tp t="e">
        <v>#N/A</v>
        <stp/>
        <stp>BDH|12891701444948779985</stp>
        <tr r="V41" s="13"/>
      </tp>
      <tp t="e">
        <v>#N/A</v>
        <stp/>
        <stp>BDH|11255390372223830627</stp>
        <tr r="S51" s="24"/>
      </tp>
      <tp t="e">
        <v>#N/A</v>
        <stp/>
        <stp>BDH|12364835101128654244</stp>
        <tr r="Q35" s="21"/>
      </tp>
      <tp t="e">
        <v>#N/A</v>
        <stp/>
        <stp>BDH|12672056201627641570</stp>
        <tr r="K23" s="10"/>
      </tp>
      <tp t="e">
        <v>#N/A</v>
        <stp/>
        <stp>BDH|12090850594200217309</stp>
        <tr r="Y60" s="17"/>
      </tp>
      <tp t="e">
        <v>#N/A</v>
        <stp/>
        <stp>BDH|15314154387515008922</stp>
        <tr r="X28" s="9"/>
      </tp>
      <tp t="e">
        <v>#N/A</v>
        <stp/>
        <stp>BDH|16893193753337281533</stp>
        <tr r="G9" s="18"/>
      </tp>
      <tp t="e">
        <v>#N/A</v>
        <stp/>
        <stp>BDH|14557953580571040436</stp>
        <tr r="K9" s="17"/>
      </tp>
      <tp t="e">
        <v>#N/A</v>
        <stp/>
        <stp>BDH|14815411357271977444</stp>
        <tr r="F60" s="17"/>
      </tp>
      <tp t="e">
        <v>#N/A</v>
        <stp/>
        <stp>BDH|17519574844544609230</stp>
        <tr r="Q17" s="5"/>
        <tr r="Q24" s="6"/>
      </tp>
      <tp t="e">
        <v>#N/A</v>
        <stp/>
        <stp>BDH|10362256664082792669</stp>
        <tr r="E24" s="4"/>
        <tr r="E58" s="11"/>
      </tp>
      <tp t="e">
        <v>#N/A</v>
        <stp/>
        <stp>BDH|12081434266880420026</stp>
        <tr r="L12" s="14"/>
      </tp>
      <tp t="e">
        <v>#N/A</v>
        <stp/>
        <stp>BDH|13331469907563397421</stp>
        <tr r="Y80" s="18"/>
      </tp>
      <tp t="e">
        <v>#N/A</v>
        <stp/>
        <stp>BDH|15539797815002934130</stp>
        <tr r="O86" s="18"/>
      </tp>
      <tp t="e">
        <v>#N/A</v>
        <stp/>
        <stp>BDH|14057418195288599121</stp>
        <tr r="S34" s="10"/>
        <tr r="S28" s="11"/>
      </tp>
      <tp t="e">
        <v>#N/A</v>
        <stp/>
        <stp>BDH|17126049761805467432</stp>
        <tr r="R18" s="18"/>
      </tp>
      <tp t="e">
        <v>#N/A</v>
        <stp/>
        <stp>BDH|18405705723149417402</stp>
        <tr r="T84" s="18"/>
      </tp>
      <tp t="e">
        <v>#N/A</v>
        <stp/>
        <stp>BDH|11459198715626242799</stp>
        <tr r="Z65" s="17"/>
      </tp>
      <tp t="e">
        <v>#N/A</v>
        <stp/>
        <stp>BDH|15405537836185261606</stp>
        <tr r="Y35" s="26"/>
      </tp>
      <tp t="e">
        <v>#N/A</v>
        <stp/>
        <stp>BDH|12275152837647561760</stp>
        <tr r="G48" s="18"/>
      </tp>
      <tp t="e">
        <v>#N/A</v>
        <stp/>
        <stp>BDH|16514163005057276070</stp>
        <tr r="J56" s="17"/>
        <tr r="J17" s="3"/>
      </tp>
      <tp t="e">
        <v>#N/A</v>
        <stp/>
        <stp>BDH|15391724886538396275</stp>
        <tr r="D30" s="17"/>
      </tp>
      <tp t="e">
        <v>#N/A</v>
        <stp/>
        <stp>BDH|14131203051236734545</stp>
        <tr r="L104" s="18"/>
      </tp>
      <tp t="e">
        <v>#N/A</v>
        <stp/>
        <stp>BDH|15646171471294242708</stp>
        <tr r="N159" s="18"/>
      </tp>
      <tp t="e">
        <v>#N/A</v>
        <stp/>
        <stp>BDH|17172177021110687433</stp>
        <tr r="Z67" s="18"/>
      </tp>
      <tp t="e">
        <v>#N/A</v>
        <stp/>
        <stp>BDH|12727069452171935683</stp>
        <tr r="S21" s="18"/>
      </tp>
      <tp t="e">
        <v>#N/A</v>
        <stp/>
        <stp>BDH|16656805104529599755</stp>
        <tr r="I29" s="21"/>
      </tp>
      <tp t="e">
        <v>#N/A</v>
        <stp/>
        <stp>BDH|13682892709259398279</stp>
        <tr r="E12" s="14"/>
      </tp>
      <tp t="e">
        <v>#N/A</v>
        <stp/>
        <stp>BDH|15552567354455083056</stp>
        <tr r="R15" s="5"/>
      </tp>
      <tp t="e">
        <v>#N/A</v>
        <stp/>
        <stp>BDH|12664160652233657569</stp>
        <tr r="L47" s="21"/>
      </tp>
      <tp t="e">
        <v>#N/A</v>
        <stp/>
        <stp>BDH|14519619281592641811</stp>
        <tr r="L14" s="2"/>
        <tr r="L11" s="10"/>
      </tp>
      <tp t="e">
        <v>#N/A</v>
        <stp/>
        <stp>BDH|15053173451860559114</stp>
        <tr r="T13" s="2"/>
      </tp>
      <tp t="e">
        <v>#N/A</v>
        <stp/>
        <stp>BDH|13583246822040916381</stp>
        <tr r="C35" s="12"/>
      </tp>
      <tp t="e">
        <v>#N/A</v>
        <stp/>
        <stp>BDH|11985461733973977579</stp>
        <tr r="N44" s="21"/>
      </tp>
      <tp t="e">
        <v>#N/A</v>
        <stp/>
        <stp>BDH|12195646812322131742</stp>
        <tr r="L74" s="18"/>
      </tp>
      <tp t="e">
        <v>#N/A</v>
        <stp/>
        <stp>BDH|10543720717940559675</stp>
        <tr r="F23" s="24"/>
      </tp>
      <tp t="e">
        <v>#N/A</v>
        <stp/>
        <stp>BDH|15112251295739199723</stp>
        <tr r="W9" s="18"/>
      </tp>
      <tp t="e">
        <v>#N/A</v>
        <stp/>
        <stp>BDH|11898525678795752673</stp>
        <tr r="Z33" s="12"/>
      </tp>
      <tp t="e">
        <v>#N/A</v>
        <stp/>
        <stp>BDH|14039809584687604300</stp>
        <tr r="K106" s="18"/>
        <tr r="I6" s="20"/>
      </tp>
      <tp t="e">
        <v>#N/A</v>
        <stp/>
        <stp>BDH|12864551501311708697</stp>
        <tr r="J19" s="25"/>
        <tr r="H21" s="11"/>
      </tp>
      <tp t="e">
        <v>#N/A</v>
        <stp/>
        <stp>BDH|14803618934413761289</stp>
        <tr r="C8" s="21"/>
      </tp>
      <tp t="e">
        <v>#N/A</v>
        <stp/>
        <stp>BDH|17507551193408722364</stp>
        <tr r="H62" s="12"/>
      </tp>
      <tp t="e">
        <v>#N/A</v>
        <stp/>
        <stp>BDH|14336784051054858200</stp>
        <tr r="O27" s="21"/>
      </tp>
      <tp t="e">
        <v>#N/A</v>
        <stp/>
        <stp>BDH|10523308906007700468</stp>
        <tr r="P23" s="23"/>
      </tp>
      <tp t="e">
        <v>#N/A</v>
        <stp/>
        <stp>BDH|12695693769504393674</stp>
        <tr r="Y89" s="18"/>
      </tp>
      <tp t="e">
        <v>#N/A</v>
        <stp/>
        <stp>BDH|14816389135995464136</stp>
        <tr r="E54" s="17"/>
      </tp>
      <tp t="e">
        <v>#N/A</v>
        <stp/>
        <stp>BDH|18024143434502618845</stp>
        <tr r="R11" s="17"/>
      </tp>
      <tp t="e">
        <v>#N/A</v>
        <stp/>
        <stp>BDH|12194310432131907398</stp>
        <tr r="Z26" s="18"/>
      </tp>
      <tp t="e">
        <v>#N/A</v>
        <stp/>
        <stp>BDH|13680652547049233849</stp>
        <tr r="Q24" s="24"/>
      </tp>
      <tp t="e">
        <v>#N/A</v>
        <stp/>
        <stp>BDH|14181837383796494276</stp>
        <tr r="J14" s="28"/>
      </tp>
      <tp t="e">
        <v>#N/A</v>
        <stp/>
        <stp>BDH|14985767296872875837</stp>
        <tr r="W52" s="18"/>
      </tp>
      <tp t="e">
        <v>#N/A</v>
        <stp/>
        <stp>BDH|14286612496178182364</stp>
        <tr r="G22" s="18"/>
      </tp>
      <tp t="e">
        <v>#N/A</v>
        <stp/>
        <stp>BDH|10908936484071458084</stp>
        <tr r="U21" s="12"/>
      </tp>
      <tp t="e">
        <v>#N/A</v>
        <stp/>
        <stp>BDH|14526599328257194476</stp>
        <tr r="C9" s="28"/>
      </tp>
      <tp t="e">
        <v>#N/A</v>
        <stp/>
        <stp>BDH|10533803486206000614</stp>
        <tr r="V69" s="18"/>
      </tp>
      <tp t="e">
        <v>#N/A</v>
        <stp/>
        <stp>BDH|17796501439225888447</stp>
        <tr r="I39" s="10"/>
        <tr r="I33" s="11"/>
      </tp>
      <tp t="e">
        <v>#N/A</v>
        <stp/>
        <stp>BDH|17024714136103023050</stp>
        <tr r="Z21" s="12"/>
      </tp>
      <tp t="e">
        <v>#N/A</v>
        <stp/>
        <stp>BDH|15111570165467296139</stp>
        <tr r="L43" s="4"/>
      </tp>
      <tp t="e">
        <v>#N/A</v>
        <stp/>
        <stp>BDH|15395079839126950060</stp>
        <tr r="W64" s="21"/>
      </tp>
      <tp t="e">
        <v>#N/A</v>
        <stp/>
        <stp>BDH|17168048956552662079</stp>
        <tr r="G32" s="10"/>
        <tr r="G26" s="11"/>
      </tp>
      <tp t="e">
        <v>#N/A</v>
        <stp/>
        <stp>BDH|11253779765596544606</stp>
        <tr r="I24" s="2"/>
      </tp>
      <tp t="e">
        <v>#N/A</v>
        <stp/>
        <stp>BDH|14514628567732656630</stp>
        <tr r="N23" s="17"/>
        <tr r="N15" s="3"/>
      </tp>
      <tp t="e">
        <v>#N/A</v>
        <stp/>
        <stp>BDH|12119060726506079648</stp>
        <tr r="G13" s="22"/>
      </tp>
      <tp t="e">
        <v>#N/A</v>
        <stp/>
        <stp>BDH|13514628521411256613</stp>
        <tr r="F31" s="21"/>
      </tp>
      <tp t="e">
        <v>#N/A</v>
        <stp/>
        <stp>BDH|17549079950076706406</stp>
        <tr r="L8" s="26"/>
        <tr r="I10" s="9"/>
      </tp>
      <tp t="e">
        <v>#N/A</v>
        <stp/>
        <stp>BDH|14414656241854769220</stp>
        <tr r="O73" s="24"/>
      </tp>
      <tp t="e">
        <v>#N/A</v>
        <stp/>
        <stp>BDH|13330946013808947380</stp>
        <tr r="L66" s="21"/>
      </tp>
      <tp t="e">
        <v>#N/A</v>
        <stp/>
        <stp>BDH|18097133226789124217</stp>
        <tr r="X11" s="13"/>
      </tp>
      <tp t="e">
        <v>#N/A</v>
        <stp/>
        <stp>BDH|13987554658965743669</stp>
        <tr r="P40" s="22"/>
      </tp>
      <tp t="e">
        <v>#N/A</v>
        <stp/>
        <stp>BDH|10893953280749972815</stp>
        <tr r="P27" s="26"/>
        <tr r="M14" s="9"/>
      </tp>
      <tp t="e">
        <v>#N/A</v>
        <stp/>
        <stp>BDH|10594156426345318603</stp>
        <tr r="F61" s="12"/>
      </tp>
      <tp t="e">
        <v>#N/A</v>
        <stp/>
        <stp>BDH|13760445265973079233</stp>
        <tr r="U12" s="21"/>
      </tp>
      <tp t="e">
        <v>#N/A</v>
        <stp/>
        <stp>BDH|10911240120803058382</stp>
        <tr r="L17" s="13"/>
      </tp>
      <tp t="e">
        <v>#N/A</v>
        <stp/>
        <stp>BDH|18247942403917194618</stp>
        <tr r="M9" s="17"/>
      </tp>
      <tp t="e">
        <v>#N/A</v>
        <stp/>
        <stp>BDH|10044820916350699973</stp>
        <tr r="O130" s="18"/>
      </tp>
      <tp t="e">
        <v>#N/A</v>
        <stp/>
        <stp>BDH|10017850681573914388</stp>
        <tr r="Q40" s="22"/>
      </tp>
      <tp t="e">
        <v>#N/A</v>
        <stp/>
        <stp>BDH|15892130718145520036</stp>
        <tr r="W97" s="18"/>
      </tp>
      <tp t="e">
        <v>#N/A</v>
        <stp/>
        <stp>BDH|13034535356443373039</stp>
        <tr r="W52" s="24"/>
      </tp>
      <tp t="e">
        <v>#N/A</v>
        <stp/>
        <stp>BDH|14208676029850852018</stp>
        <tr r="U71" s="18"/>
      </tp>
      <tp t="e">
        <v>#N/A</v>
        <stp/>
        <stp>BDH|17104634261904278349</stp>
        <tr r="F124" s="18"/>
      </tp>
      <tp t="e">
        <v>#N/A</v>
        <stp/>
        <stp>BDH|15049480052850686497</stp>
        <tr r="AA135" s="18"/>
      </tp>
      <tp t="e">
        <v>#N/A</v>
        <stp/>
        <stp>BDH|13565235466270512703</stp>
        <tr r="T66" s="21"/>
      </tp>
      <tp t="e">
        <v>#N/A</v>
        <stp/>
        <stp>BDH|14916592456916703248</stp>
        <tr r="N8" s="34"/>
      </tp>
      <tp t="e">
        <v>#N/A</v>
        <stp/>
        <stp>BDH|12612086426212870253</stp>
        <tr r="H71" s="10"/>
        <tr r="H65" s="11"/>
      </tp>
      <tp t="e">
        <v>#N/A</v>
        <stp/>
        <stp>BDH|10172474464262359042</stp>
        <tr r="H31" s="12"/>
      </tp>
      <tp t="e">
        <v>#N/A</v>
        <stp/>
        <stp>BDH|16124544532771621145</stp>
        <tr r="F17" s="6"/>
      </tp>
      <tp t="e">
        <v>#N/A</v>
        <stp/>
        <stp>BDH|15640413033872585041</stp>
        <tr r="G17" s="12"/>
      </tp>
      <tp t="e">
        <v>#N/A</v>
        <stp/>
        <stp>BDH|10309137302572714306</stp>
        <tr r="Z10" s="17"/>
      </tp>
      <tp t="e">
        <v>#N/A</v>
        <stp/>
        <stp>BDH|17060328414146728348</stp>
        <tr r="T38" s="6"/>
      </tp>
      <tp t="e">
        <v>#N/A</v>
        <stp/>
        <stp>BDH|10265553051793767341</stp>
        <tr r="F12" s="13"/>
      </tp>
      <tp t="e">
        <v>#N/A</v>
        <stp/>
        <stp>BDH|10854883280178612833</stp>
        <tr r="L116" s="18"/>
      </tp>
      <tp t="e">
        <v>#N/A</v>
        <stp/>
        <stp>BDH|10318773173386753651</stp>
        <tr r="L105" s="18"/>
      </tp>
      <tp t="e">
        <v>#N/A</v>
        <stp/>
        <stp>BDH|16571727261217640053</stp>
        <tr r="Z103" s="18"/>
      </tp>
      <tp t="e">
        <v>#N/A</v>
        <stp/>
        <stp>BDH|14103037966804434658</stp>
        <tr r="J30" s="26"/>
      </tp>
      <tp t="e">
        <v>#N/A</v>
        <stp/>
        <stp>BDH|17054116974801963099</stp>
        <tr r="T25" s="21"/>
      </tp>
      <tp t="e">
        <v>#N/A</v>
        <stp/>
        <stp>BDH|13163685944513063284</stp>
        <tr r="U84" s="18"/>
      </tp>
      <tp t="e">
        <v>#N/A</v>
        <stp/>
        <stp>BDH|11329273037517167769</stp>
        <tr r="D44" s="12"/>
      </tp>
      <tp t="e">
        <v>#N/A</v>
        <stp/>
        <stp>BDH|17113272534941529733</stp>
        <tr r="P43" s="13"/>
      </tp>
      <tp t="e">
        <v>#N/A</v>
        <stp/>
        <stp>BDH|17233316486179597546</stp>
        <tr r="G16" s="12"/>
      </tp>
      <tp t="e">
        <v>#N/A</v>
        <stp/>
        <stp>BDH|15833972407909514592</stp>
        <tr r="E14" s="23"/>
      </tp>
      <tp t="e">
        <v>#N/A</v>
        <stp/>
        <stp>BDH|15970150500866930217</stp>
        <tr r="U26" s="10"/>
        <tr r="W31" s="13"/>
      </tp>
      <tp t="e">
        <v>#N/A</v>
        <stp/>
        <stp>BDH|13888960178494174931</stp>
        <tr r="I67" s="10"/>
      </tp>
      <tp t="e">
        <v>#N/A</v>
        <stp/>
        <stp>BDH|14340401165833662541</stp>
        <tr r="T16" s="25"/>
      </tp>
      <tp t="e">
        <v>#N/A</v>
        <stp/>
        <stp>BDH|10141232613221059258</stp>
        <tr r="T42" s="10"/>
        <tr r="T36" s="11"/>
      </tp>
      <tp t="e">
        <v>#N/A</v>
        <stp/>
        <stp>BDH|11273446640344335518</stp>
        <tr r="J49" s="18"/>
      </tp>
      <tp t="e">
        <v>#N/A</v>
        <stp/>
        <stp>BDH|14434044627254584264</stp>
        <tr r="Q31" s="24"/>
      </tp>
      <tp t="e">
        <v>#N/A</v>
        <stp/>
        <stp>BDH|13501691502891833422</stp>
        <tr r="H121" s="18"/>
      </tp>
      <tp t="e">
        <v>#N/A</v>
        <stp/>
        <stp>BDH|16736148831387788318</stp>
        <tr r="S69" s="17"/>
      </tp>
      <tp t="e">
        <v>#N/A</v>
        <stp/>
        <stp>BDH|12756798509431347405</stp>
        <tr r="U81" s="17"/>
        <tr r="R9" s="5"/>
        <tr r="R9" s="9"/>
      </tp>
      <tp t="e">
        <v>#N/A</v>
        <stp/>
        <stp>BDH|13737650405735747048</stp>
        <tr r="P14" s="8"/>
      </tp>
      <tp t="e">
        <v>#N/A</v>
        <stp/>
        <stp>BDH|13890525332287841244</stp>
        <tr r="E167" s="18"/>
      </tp>
      <tp t="e">
        <v>#N/A</v>
        <stp/>
        <stp>BDH|16378044079358850928</stp>
        <tr r="R35" s="4"/>
      </tp>
      <tp t="e">
        <v>#N/A</v>
        <stp/>
        <stp>BDH|12179351505504083556</stp>
        <tr r="K25" s="22"/>
      </tp>
      <tp t="e">
        <v>#N/A</v>
        <stp/>
        <stp>BDH|10174219251970586702</stp>
        <tr r="C40" s="29"/>
      </tp>
      <tp t="e">
        <v>#N/A</v>
        <stp/>
        <stp>BDH|11258786337881960400</stp>
        <tr r="M24" s="26"/>
      </tp>
      <tp t="e">
        <v>#N/A</v>
        <stp/>
        <stp>BDH|10873801134739158298</stp>
        <tr r="M28" s="10"/>
        <tr r="O33" s="13"/>
      </tp>
      <tp t="e">
        <v>#N/A</v>
        <stp/>
        <stp>BDH|15023139337696221123</stp>
        <tr r="W22" s="7"/>
      </tp>
      <tp t="e">
        <v>#N/A</v>
        <stp/>
        <stp>BDH|14327379354701591319</stp>
        <tr r="M78" s="12"/>
      </tp>
      <tp t="e">
        <v>#N/A</v>
        <stp/>
        <stp>BDH|15126570922397443549</stp>
        <tr r="J158" s="18"/>
      </tp>
      <tp t="e">
        <v>#N/A</v>
        <stp/>
        <stp>BDH|10914109382489799089</stp>
        <tr r="X30" s="12"/>
      </tp>
      <tp t="e">
        <v>#N/A</v>
        <stp/>
        <stp>BDH|17662608110287178737</stp>
        <tr r="J31" s="12"/>
      </tp>
      <tp t="e">
        <v>#N/A</v>
        <stp/>
        <stp>BDH|16013644855364672133</stp>
        <tr r="O68" s="24"/>
      </tp>
      <tp t="e">
        <v>#N/A</v>
        <stp/>
        <stp>BDH|10555771341451775205</stp>
        <tr r="U22" s="5"/>
      </tp>
      <tp t="e">
        <v>#N/A</v>
        <stp/>
        <stp>BDH|13320635655049747962</stp>
        <tr r="G42" s="13"/>
      </tp>
      <tp t="e">
        <v>#N/A</v>
        <stp/>
        <stp>BDH|14252369401491285630</stp>
        <tr r="P17" s="14"/>
      </tp>
      <tp t="e">
        <v>#N/A</v>
        <stp/>
        <stp>BDH|10733583729214225300</stp>
        <tr r="F26" s="29"/>
      </tp>
      <tp t="e">
        <v>#N/A</v>
        <stp/>
        <stp>BDH|13279762705142646637</stp>
        <tr r="W59" s="17"/>
      </tp>
      <tp t="e">
        <v>#N/A</v>
        <stp/>
        <stp>BDH|14310023957750772155</stp>
        <tr r="M25" s="24"/>
      </tp>
      <tp t="e">
        <v>#N/A</v>
        <stp/>
        <stp>BDH|12033716695245484948</stp>
        <tr r="H20" s="10"/>
      </tp>
      <tp t="e">
        <v>#N/A</v>
        <stp/>
        <stp>BDH|10277989567166809919</stp>
        <tr r="N88" s="18"/>
      </tp>
      <tp t="e">
        <v>#N/A</v>
        <stp/>
        <stp>BDH|16673529587812191969</stp>
        <tr r="Y60" s="12"/>
      </tp>
      <tp t="e">
        <v>#N/A</v>
        <stp/>
        <stp>BDH|10328112019631788188</stp>
        <tr r="W11" s="13"/>
      </tp>
      <tp t="e">
        <v>#N/A</v>
        <stp/>
        <stp>BDH|11384939532562199978</stp>
        <tr r="T16" s="2"/>
        <tr r="T32" s="4"/>
        <tr r="T61" s="10"/>
        <tr r="V19" s="13"/>
      </tp>
      <tp t="e">
        <v>#N/A</v>
        <stp/>
        <stp>BDH|16567397948331978090</stp>
        <tr r="E39" s="12"/>
      </tp>
      <tp t="e">
        <v>#N/A</v>
        <stp/>
        <stp>BDH|15673143545489506964</stp>
        <tr r="N14" s="29"/>
        <tr r="N23" s="29"/>
        <tr r="N34" s="29"/>
      </tp>
      <tp t="e">
        <v>#N/A</v>
        <stp/>
        <stp>BDH|16741224862560417270</stp>
        <tr r="J24" s="29"/>
      </tp>
      <tp t="e">
        <v>#N/A</v>
        <stp/>
        <stp>BDH|17563426875440729412</stp>
        <tr r="M29" s="10"/>
        <tr r="O34" s="13"/>
      </tp>
      <tp t="e">
        <v>#N/A</v>
        <stp/>
        <stp>BDH|10006605772768727914</stp>
        <tr r="E65" s="21"/>
        <tr r="C23" s="7"/>
      </tp>
      <tp t="e">
        <v>#N/A</v>
        <stp/>
        <stp>BDH|14746492129064411673</stp>
        <tr r="M26" s="26"/>
      </tp>
      <tp t="e">
        <v>#N/A</v>
        <stp/>
        <stp>BDH|16606357712463508738</stp>
        <tr r="P8" s="11"/>
      </tp>
      <tp t="e">
        <v>#N/A</v>
        <stp/>
        <stp>BDH|16795401476233266647</stp>
        <tr r="L37" s="12"/>
      </tp>
      <tp t="e">
        <v>#N/A</v>
        <stp/>
        <stp>BDH|15992783336601850082</stp>
        <tr r="U64" s="12"/>
      </tp>
      <tp t="e">
        <v>#N/A</v>
        <stp/>
        <stp>BDH|13398550372236555767</stp>
        <tr r="G14" s="22"/>
      </tp>
      <tp t="e">
        <v>#N/A</v>
        <stp/>
        <stp>BDH|12819787653216489605</stp>
        <tr r="F75" s="18"/>
      </tp>
      <tp t="e">
        <v>#N/A</v>
        <stp/>
        <stp>BDH|18063673276760024969</stp>
        <tr r="Z18" s="18"/>
      </tp>
      <tp t="e">
        <v>#N/A</v>
        <stp/>
        <stp>BDH|16957099755542606140</stp>
        <tr r="D56" s="18"/>
      </tp>
      <tp t="e">
        <v>#N/A</v>
        <stp/>
        <stp>BDH|16205083984569961708</stp>
        <tr r="K34" s="34"/>
      </tp>
      <tp t="e">
        <v>#N/A</v>
        <stp/>
        <stp>BDH|10422292858501650648</stp>
        <tr r="H68" s="17"/>
      </tp>
      <tp t="e">
        <v>#N/A</v>
        <stp/>
        <stp>BDH|10356849701299957184</stp>
        <tr r="Y24" s="12"/>
      </tp>
      <tp t="e">
        <v>#N/A</v>
        <stp/>
        <stp>BDH|12482555552630646220</stp>
        <tr r="F66" s="21"/>
      </tp>
      <tp t="e">
        <v>#N/A</v>
        <stp/>
        <stp>BDH|12875988785191697249</stp>
        <tr r="Q39" s="10"/>
        <tr r="Q33" s="11"/>
      </tp>
      <tp t="e">
        <v>#N/A</v>
        <stp/>
        <stp>BDH|11684385221798874803</stp>
        <tr r="G11" s="13"/>
      </tp>
      <tp t="e">
        <v>#N/A</v>
        <stp/>
        <stp>BDH|14046247365392450228</stp>
        <tr r="F78" s="12"/>
      </tp>
      <tp t="e">
        <v>#N/A</v>
        <stp/>
        <stp>BDH|17059559765550002474</stp>
        <tr r="J7" s="6"/>
      </tp>
      <tp t="e">
        <v>#N/A</v>
        <stp/>
        <stp>BDH|10719462374601043222</stp>
        <tr r="U50" s="4"/>
      </tp>
      <tp t="e">
        <v>#N/A</v>
        <stp/>
        <stp>BDH|15209265952017278531</stp>
        <tr r="J33" s="10"/>
        <tr r="J27" s="11"/>
      </tp>
      <tp t="e">
        <v>#N/A</v>
        <stp/>
        <stp>BDH|13282546947506086461</stp>
        <tr r="V10" s="2"/>
        <tr r="U11" s="5"/>
        <tr r="U36" s="6"/>
        <tr r="X31" s="29"/>
        <tr r="X39" s="29"/>
      </tp>
      <tp t="e">
        <v>#N/A</v>
        <stp/>
        <stp>BDH|14154506863013163447</stp>
        <tr r="R38" s="10"/>
        <tr r="R32" s="11"/>
      </tp>
      <tp t="e">
        <v>#N/A</v>
        <stp/>
        <stp>BDH|12818697708377911376</stp>
        <tr r="F26" s="17"/>
      </tp>
      <tp t="e">
        <v>#N/A</v>
        <stp/>
        <stp>BDH|16416344566453331020</stp>
        <tr r="R31" s="21"/>
      </tp>
      <tp t="e">
        <v>#N/A</v>
        <stp/>
        <stp>BDH|16102949834814420822</stp>
        <tr r="C127" s="18"/>
      </tp>
      <tp t="e">
        <v>#N/A</v>
        <stp/>
        <stp>BDH|10639157030105044741</stp>
        <tr r="J30" s="18"/>
      </tp>
      <tp t="e">
        <v>#N/A</v>
        <stp/>
        <stp>BDH|12842946487304816740</stp>
        <tr r="E57" s="24"/>
      </tp>
      <tp t="e">
        <v>#N/A</v>
        <stp/>
        <stp>BDH|10135345745266177163</stp>
        <tr r="J31" s="21"/>
      </tp>
      <tp t="e">
        <v>#N/A</v>
        <stp/>
        <stp>BDH|17997660628654110719</stp>
        <tr r="Y11" s="22"/>
      </tp>
      <tp t="e">
        <v>#N/A</v>
        <stp/>
        <stp>BDH|16621768056804876092</stp>
        <tr r="Y45" s="24"/>
      </tp>
      <tp t="e">
        <v>#N/A</v>
        <stp/>
        <stp>BDH|14594820282777117338</stp>
        <tr r="N21" s="10"/>
      </tp>
      <tp t="e">
        <v>#N/A</v>
        <stp/>
        <stp>BDH|11399350038450891112</stp>
        <tr r="X163" s="18"/>
      </tp>
      <tp t="e">
        <v>#N/A</v>
        <stp/>
        <stp>BDH|16581128713701278716</stp>
        <tr r="K146" s="18"/>
      </tp>
      <tp t="e">
        <v>#N/A</v>
        <stp/>
        <stp>BDH|12507756210752359642</stp>
        <tr r="I158" s="18"/>
      </tp>
      <tp t="e">
        <v>#N/A</v>
        <stp/>
        <stp>BDH|17008402414365612756</stp>
        <tr r="U11" s="22"/>
      </tp>
      <tp t="e">
        <v>#N/A</v>
        <stp/>
        <stp>BDH|12473083052317195088</stp>
        <tr r="L63" s="24"/>
      </tp>
      <tp t="e">
        <v>#N/A</v>
        <stp/>
        <stp>BDH|12317981344368951710</stp>
        <tr r="O11" s="21"/>
      </tp>
      <tp t="e">
        <v>#N/A</v>
        <stp/>
        <stp>BDH|15933563307299775980</stp>
        <tr r="I22" s="22"/>
      </tp>
      <tp t="e">
        <v>#N/A</v>
        <stp/>
        <stp>BDH|10141800866277750976</stp>
        <tr r="M39" s="10"/>
        <tr r="M33" s="11"/>
      </tp>
      <tp t="e">
        <v>#N/A</v>
        <stp/>
        <stp>BDH|12824579049844858793</stp>
        <tr r="F16" s="24"/>
      </tp>
      <tp t="e">
        <v>#N/A</v>
        <stp/>
        <stp>BDH|10327525112790539416</stp>
        <tr r="K79" s="17"/>
      </tp>
      <tp t="e">
        <v>#N/A</v>
        <stp/>
        <stp>BDH|10623573459531997168</stp>
        <tr r="X16" s="18"/>
      </tp>
      <tp t="e">
        <v>#N/A</v>
        <stp/>
        <stp>BDH|11514374833148444924</stp>
        <tr r="N13" s="13"/>
      </tp>
      <tp t="e">
        <v>#N/A</v>
        <stp/>
        <stp>BDH|13209043596773424932</stp>
        <tr r="D29" s="12"/>
      </tp>
      <tp t="e">
        <v>#N/A</v>
        <stp/>
        <stp>BDH|15655615184789623221</stp>
        <tr r="I157" s="18"/>
      </tp>
      <tp t="e">
        <v>#N/A</v>
        <stp/>
        <stp>BDH|13562128613820168324</stp>
        <tr r="U15" s="13"/>
      </tp>
      <tp t="e">
        <v>#N/A</v>
        <stp/>
        <stp>BDH|14137576843135786047</stp>
        <tr r="L11" s="11"/>
      </tp>
      <tp t="e">
        <v>#N/A</v>
        <stp/>
        <stp>BDH|10974087435662583175</stp>
        <tr r="K64" s="17"/>
      </tp>
      <tp t="e">
        <v>#N/A</v>
        <stp/>
        <stp>BDH|10433048922256409402</stp>
        <tr r="E55" s="12"/>
      </tp>
      <tp t="e">
        <v>#N/A</v>
        <stp/>
        <stp>BDH|11192621272408036874</stp>
        <tr r="W15" s="9"/>
      </tp>
      <tp t="e">
        <v>#N/A</v>
        <stp/>
        <stp>BDH|15263983740540891842</stp>
        <tr r="Q93" s="18"/>
      </tp>
      <tp t="e">
        <v>#N/A</v>
        <stp/>
        <stp>BDH|17281081227882387783</stp>
        <tr r="D16" s="18"/>
      </tp>
      <tp t="e">
        <v>#N/A</v>
        <stp/>
        <stp>BDH|11042695948836526521</stp>
        <tr r="G164" s="18"/>
      </tp>
      <tp t="e">
        <v>#N/A</v>
        <stp/>
        <stp>BDH|17530245922745304268</stp>
        <tr r="I40" s="21"/>
      </tp>
      <tp t="e">
        <v>#N/A</v>
        <stp/>
        <stp>BDH|10008543459056931629</stp>
        <tr r="I52" s="18"/>
      </tp>
      <tp t="e">
        <v>#N/A</v>
        <stp/>
        <stp>BDH|14558230150353764079</stp>
        <tr r="W46" s="17"/>
      </tp>
      <tp t="e">
        <v>#N/A</v>
        <stp/>
        <stp>BDH|16194414695402787949</stp>
        <tr r="X27" s="22"/>
      </tp>
      <tp t="e">
        <v>#N/A</v>
        <stp/>
        <stp>BDH|11789633692058644660</stp>
        <tr r="AA30" s="21"/>
      </tp>
      <tp t="e">
        <v>#N/A</v>
        <stp/>
        <stp>BDH|10808980862328799735</stp>
        <tr r="H135" s="18"/>
      </tp>
      <tp t="e">
        <v>#N/A</v>
        <stp/>
        <stp>BDH|11053226909544894750</stp>
        <tr r="P18" s="12"/>
      </tp>
      <tp t="e">
        <v>#N/A</v>
        <stp/>
        <stp>BDH|16936122314815020394</stp>
        <tr r="R98" s="18"/>
      </tp>
      <tp t="e">
        <v>#N/A</v>
        <stp/>
        <stp>BDH|17782740872545044277</stp>
        <tr r="I23" s="17"/>
        <tr r="I15" s="3"/>
      </tp>
      <tp t="e">
        <v>#N/A</v>
        <stp/>
        <stp>BDH|14791377057684074612</stp>
        <tr r="E35" s="12"/>
      </tp>
      <tp t="e">
        <v>#N/A</v>
        <stp/>
        <stp>BDH|14733623330626437779</stp>
        <tr r="L95" s="18"/>
      </tp>
      <tp t="e">
        <v>#N/A</v>
        <stp/>
        <stp>BDH|16347438021139763907</stp>
        <tr r="R6" s="15"/>
        <tr r="R12" s="2"/>
        <tr r="R11" s="4"/>
        <tr r="R6" s="10"/>
      </tp>
      <tp t="e">
        <v>#N/A</v>
        <stp/>
        <stp>BDH|18261843627316051470</stp>
        <tr r="V53" s="24"/>
      </tp>
      <tp t="e">
        <v>#N/A</v>
        <stp/>
        <stp>BDH|13003257624953088074</stp>
        <tr r="D10" s="3"/>
        <tr r="D49" s="13"/>
      </tp>
      <tp t="e">
        <v>#N/A</v>
        <stp/>
        <stp>BDH|17925190008161748795</stp>
        <tr r="H47" s="24"/>
      </tp>
      <tp t="e">
        <v>#N/A</v>
        <stp/>
        <stp>BDH|13298535252956730527</stp>
        <tr r="U9" s="13"/>
      </tp>
      <tp t="e">
        <v>#N/A</v>
        <stp/>
        <stp>BDH|16314080152983607099</stp>
        <tr r="J8" s="27"/>
      </tp>
      <tp t="e">
        <v>#N/A</v>
        <stp/>
        <stp>BDH|13964296923160689338</stp>
        <tr r="G147" s="18"/>
      </tp>
      <tp t="e">
        <v>#N/A</v>
        <stp/>
        <stp>BDH|12769247861674719236</stp>
        <tr r="I6" s="15"/>
        <tr r="I12" s="2"/>
        <tr r="I11" s="4"/>
        <tr r="I6" s="10"/>
      </tp>
      <tp t="e">
        <v>#N/A</v>
        <stp/>
        <stp>BDH|10670267967840084417</stp>
        <tr r="R10" s="18"/>
      </tp>
      <tp t="e">
        <v>#N/A</v>
        <stp/>
        <stp>BDH|15108497427040151385</stp>
        <tr r="L24" s="4"/>
        <tr r="L58" s="11"/>
      </tp>
      <tp t="e">
        <v>#N/A</v>
        <stp/>
        <stp>BDH|17543064917350077623</stp>
        <tr r="S65" s="12"/>
      </tp>
      <tp t="e">
        <v>#N/A</v>
        <stp/>
        <stp>BDH|11155652045600774301</stp>
        <tr r="D119" s="18"/>
      </tp>
      <tp t="e">
        <v>#N/A</v>
        <stp/>
        <stp>BDH|13760067897423768974</stp>
        <tr r="L17" s="9"/>
      </tp>
      <tp t="e">
        <v>#N/A</v>
        <stp/>
        <stp>BDH|10149734525516664375</stp>
        <tr r="W145" s="18"/>
      </tp>
      <tp t="e">
        <v>#N/A</v>
        <stp/>
        <stp>BDH|15711753626002650241</stp>
        <tr r="W24" s="17"/>
      </tp>
      <tp t="e">
        <v>#N/A</v>
        <stp/>
        <stp>BDH|17659486160742812700</stp>
        <tr r="K8" s="26"/>
        <tr r="H10" s="9"/>
      </tp>
      <tp t="e">
        <v>#N/A</v>
        <stp/>
        <stp>BDH|15289447333901572364</stp>
        <tr r="N43" s="12"/>
      </tp>
      <tp t="e">
        <v>#N/A</v>
        <stp/>
        <stp>BDH|11270901897489641853</stp>
        <tr r="P43" s="18"/>
      </tp>
      <tp t="e">
        <v>#N/A</v>
        <stp/>
        <stp>BDH|16551712351627440370</stp>
        <tr r="AA81" s="17"/>
        <tr r="X9" s="5"/>
        <tr r="X9" s="9"/>
      </tp>
      <tp t="e">
        <v>#N/A</v>
        <stp/>
        <stp>BDH|11687626659926370485</stp>
        <tr r="Q14" s="4"/>
      </tp>
      <tp t="e">
        <v>#N/A</v>
        <stp/>
        <stp>BDH|15249101665124991689</stp>
        <tr r="C11" s="22"/>
      </tp>
      <tp t="e">
        <v>#N/A</v>
        <stp/>
        <stp>BDH|10238218056870006737</stp>
        <tr r="L8" s="2"/>
      </tp>
      <tp t="e">
        <v>#N/A</v>
        <stp/>
        <stp>BDH|17283182239111679438</stp>
        <tr r="J32" s="17"/>
      </tp>
      <tp t="e">
        <v>#N/A</v>
        <stp/>
        <stp>BDH|13774760149992724298</stp>
        <tr r="D39" s="6"/>
      </tp>
      <tp t="e">
        <v>#N/A</v>
        <stp/>
        <stp>BDH|10340145026421285259</stp>
        <tr r="F20" s="12"/>
      </tp>
      <tp t="e">
        <v>#N/A</v>
        <stp/>
        <stp>BDH|11470705427965873126</stp>
        <tr r="I28" s="21"/>
      </tp>
      <tp t="e">
        <v>#N/A</v>
        <stp/>
        <stp>BDH|12297692047730216077</stp>
        <tr r="L30" s="22"/>
      </tp>
      <tp t="e">
        <v>#N/A</v>
        <stp/>
        <stp>BDH|16664731999469424118</stp>
        <tr r="Y76" s="17"/>
      </tp>
      <tp t="e">
        <v>#N/A</v>
        <stp/>
        <stp>BDH|12122419547386611480</stp>
        <tr r="Z41" s="17"/>
      </tp>
      <tp t="e">
        <v>#N/A</v>
        <stp/>
        <stp>BDH|10899043351465037045</stp>
        <tr r="R25" s="21"/>
      </tp>
      <tp t="e">
        <v>#N/A</v>
        <stp/>
        <stp>BDH|12047008687322731893</stp>
        <tr r="Q21" s="21"/>
      </tp>
      <tp t="e">
        <v>#N/A</v>
        <stp/>
        <stp>BDH|14182236809267665144</stp>
        <tr r="N10" s="18"/>
      </tp>
      <tp t="e">
        <v>#N/A</v>
        <stp/>
        <stp>BDH|14816200070206369728</stp>
        <tr r="P28" s="10"/>
        <tr r="R33" s="13"/>
      </tp>
      <tp t="e">
        <v>#N/A</v>
        <stp/>
        <stp>BDH|12882407963042339210</stp>
        <tr r="Y26" s="21"/>
      </tp>
      <tp t="e">
        <v>#N/A</v>
        <stp/>
        <stp>BDH|13103559134647940208</stp>
        <tr r="C29" s="4"/>
      </tp>
      <tp t="e">
        <v>#N/A</v>
        <stp/>
        <stp>BDH|11797794350340754309</stp>
        <tr r="S29" s="29"/>
        <tr r="S7" s="29"/>
      </tp>
      <tp t="e">
        <v>#N/A</v>
        <stp/>
        <stp>BDH|12048404949912582053</stp>
        <tr r="H12" s="13"/>
      </tp>
      <tp t="e">
        <v>#N/A</v>
        <stp/>
        <stp>BDH|15913565755671602453</stp>
        <tr r="N54" s="18"/>
      </tp>
      <tp t="e">
        <v>#N/A</v>
        <stp/>
        <stp>BDH|16858392914712411680</stp>
        <tr r="I13" s="24"/>
      </tp>
      <tp t="e">
        <v>#N/A</v>
        <stp/>
        <stp>BDH|16977412972687425270</stp>
        <tr r="M15" s="26"/>
      </tp>
      <tp t="e">
        <v>#N/A</v>
        <stp/>
        <stp>BDH|16574299317936556372</stp>
        <tr r="Q61" s="12"/>
      </tp>
      <tp t="e">
        <v>#N/A</v>
        <stp/>
        <stp>BDH|16666027977960396196</stp>
        <tr r="H137" s="18"/>
      </tp>
      <tp t="e">
        <v>#N/A</v>
        <stp/>
        <stp>BDH|16124972651498622281</stp>
        <tr r="D32" s="34"/>
      </tp>
      <tp t="e">
        <v>#N/A</v>
        <stp/>
        <stp>BDH|14457172201271827430</stp>
        <tr r="AA157" s="18"/>
      </tp>
      <tp t="e">
        <v>#N/A</v>
        <stp/>
        <stp>BDH|16851217561476375427</stp>
        <tr r="M24" s="18"/>
      </tp>
      <tp t="e">
        <v>#N/A</v>
        <stp/>
        <stp>BDH|16574895835215318834</stp>
        <tr r="J25" s="2"/>
        <tr r="L62" s="21"/>
      </tp>
      <tp t="e">
        <v>#N/A</v>
        <stp/>
        <stp>BDH|15822083285544530992</stp>
        <tr r="K30" s="29"/>
        <tr r="K8" s="29"/>
      </tp>
      <tp t="e">
        <v>#N/A</v>
        <stp/>
        <stp>BDH|10016255964696861201</stp>
        <tr r="C37" s="18"/>
      </tp>
      <tp t="e">
        <v>#N/A</v>
        <stp/>
        <stp>BDH|15148800543651865830</stp>
        <tr r="C24" s="13"/>
      </tp>
      <tp t="e">
        <v>#N/A</v>
        <stp/>
        <stp>BDH|15939677771672517637</stp>
        <tr r="L22" s="5"/>
      </tp>
      <tp t="e">
        <v>#N/A</v>
        <stp/>
        <stp>BDH|12075686937317469020</stp>
        <tr r="K52" s="24"/>
      </tp>
      <tp t="e">
        <v>#N/A</v>
        <stp/>
        <stp>BDH|11824078091729097170</stp>
        <tr r="J30" s="24"/>
      </tp>
      <tp t="e">
        <v>#N/A</v>
        <stp/>
        <stp>BDH|12477562018277133120</stp>
        <tr r="T61" s="12"/>
      </tp>
      <tp t="e">
        <v>#N/A</v>
        <stp/>
        <stp>BDH|15387654035985381586</stp>
        <tr r="W163" s="18"/>
      </tp>
      <tp t="e">
        <v>#N/A</v>
        <stp/>
        <stp>BDH|14709785451261650709</stp>
        <tr r="S163" s="18"/>
      </tp>
      <tp t="e">
        <v>#N/A</v>
        <stp/>
        <stp>BDH|10127433429866652057</stp>
        <tr r="O11" s="24"/>
      </tp>
      <tp t="e">
        <v>#N/A</v>
        <stp/>
        <stp>BDH|14101796194172051848</stp>
        <tr r="Z72" s="12"/>
      </tp>
      <tp t="e">
        <v>#N/A</v>
        <stp/>
        <stp>BDH|15926864351391352959</stp>
        <tr r="V17" s="4"/>
        <tr r="X10" s="3"/>
        <tr r="V55" s="10"/>
        <tr r="V49" s="11"/>
        <tr r="V17" s="7"/>
        <tr r="X49" s="13"/>
      </tp>
      <tp t="e">
        <v>#N/A</v>
        <stp/>
        <stp>BDH|14246388137237724323</stp>
        <tr r="P32" s="22"/>
      </tp>
      <tp t="e">
        <v>#N/A</v>
        <stp/>
        <stp>BDH|10312590860462390111</stp>
        <tr r="G19" s="20"/>
      </tp>
      <tp t="e">
        <v>#N/A</v>
        <stp/>
        <stp>BDH|11266427373046347488</stp>
        <tr r="Y151" s="18"/>
      </tp>
      <tp t="e">
        <v>#N/A</v>
        <stp/>
        <stp>BDH|16219093457551157251</stp>
        <tr r="Z25" s="13"/>
      </tp>
      <tp t="e">
        <v>#N/A</v>
        <stp/>
        <stp>BDH|10498067516538900958</stp>
        <tr r="C34" s="24"/>
      </tp>
      <tp t="e">
        <v>#N/A</v>
        <stp/>
        <stp>BDH|18087535698090493477</stp>
        <tr r="N29" s="9"/>
      </tp>
      <tp t="e">
        <v>#N/A</v>
        <stp/>
        <stp>BDH|16470224743184458494</stp>
        <tr r="K52" s="17"/>
      </tp>
      <tp t="e">
        <v>#N/A</v>
        <stp/>
        <stp>BDH|17574700073732630580</stp>
        <tr r="E37" s="12"/>
      </tp>
      <tp t="e">
        <v>#N/A</v>
        <stp/>
        <stp>BDH|12779484564299024930</stp>
        <tr r="U56" s="13"/>
      </tp>
      <tp t="e">
        <v>#N/A</v>
        <stp/>
        <stp>BDH|13373091837438707820</stp>
        <tr r="R28" s="18"/>
      </tp>
      <tp t="e">
        <v>#N/A</v>
        <stp/>
        <stp>BDH|14712535496618357095</stp>
        <tr r="S19" s="6"/>
      </tp>
      <tp t="e">
        <v>#N/A</v>
        <stp/>
        <stp>BDH|11203881187673655232</stp>
        <tr r="I44" s="12"/>
      </tp>
      <tp t="e">
        <v>#N/A</v>
        <stp/>
        <stp>BDH|15287974621559873748</stp>
        <tr r="V54" s="12"/>
      </tp>
      <tp t="e">
        <v>#N/A</v>
        <stp/>
        <stp>BDH|16624040427486477294</stp>
        <tr r="D14" s="28"/>
      </tp>
      <tp t="e">
        <v>#N/A</v>
        <stp/>
        <stp>BDH|12061341425696872513</stp>
        <tr r="G24" s="13"/>
      </tp>
      <tp t="e">
        <v>#N/A</v>
        <stp/>
        <stp>BDH|15244494333604849686</stp>
        <tr r="X52" s="18"/>
      </tp>
      <tp t="e">
        <v>#N/A</v>
        <stp/>
        <stp>BDH|16037476949775151373</stp>
        <tr r="K12" s="14"/>
      </tp>
      <tp t="e">
        <v>#N/A</v>
        <stp/>
        <stp>BDH|17869434047667105050</stp>
        <tr r="M156" s="18"/>
      </tp>
      <tp t="e">
        <v>#N/A</v>
        <stp/>
        <stp>BDH|11737111015990154195</stp>
        <tr r="N103" s="18"/>
      </tp>
      <tp t="e">
        <v>#N/A</v>
        <stp/>
        <stp>BDH|12944161681768480310</stp>
        <tr r="O14" s="22"/>
      </tp>
      <tp t="e">
        <v>#N/A</v>
        <stp/>
        <stp>BDH|14691350463863994222</stp>
        <tr r="M8" s="11"/>
      </tp>
      <tp t="e">
        <v>#N/A</v>
        <stp/>
        <stp>BDH|14484463764756456093</stp>
        <tr r="H58" s="24"/>
      </tp>
      <tp t="e">
        <v>#N/A</v>
        <stp/>
        <stp>BDH|11931449559032625292</stp>
        <tr r="P22" s="17"/>
      </tp>
      <tp t="e">
        <v>#N/A</v>
        <stp/>
        <stp>BDH|15090156488745603907</stp>
        <tr r="F15" s="26"/>
      </tp>
      <tp t="e">
        <v>#N/A</v>
        <stp/>
        <stp>BDH|16195157166951995003</stp>
        <tr r="R28" s="10"/>
        <tr r="T33" s="13"/>
      </tp>
      <tp t="e">
        <v>#N/A</v>
        <stp/>
        <stp>BDH|10088577266204311790</stp>
        <tr r="R40" s="22"/>
      </tp>
      <tp t="e">
        <v>#N/A</v>
        <stp/>
        <stp>BDH|11193623645793918040</stp>
        <tr r="R63" s="17"/>
      </tp>
      <tp t="e">
        <v>#N/A</v>
        <stp/>
        <stp>BDH|13297167469607444320</stp>
        <tr r="O11" s="13"/>
      </tp>
      <tp t="e">
        <v>#N/A</v>
        <stp/>
        <stp>BDH|14078788407720793332</stp>
        <tr r="C27" s="21"/>
      </tp>
      <tp t="e">
        <v>#N/A</v>
        <stp/>
        <stp>BDH|17469566400656966403</stp>
        <tr r="U9" s="3"/>
        <tr r="S50" s="10"/>
        <tr r="S44" s="11"/>
        <tr r="S14" s="7"/>
      </tp>
      <tp t="e">
        <v>#N/A</v>
        <stp/>
        <stp>BDH|13510903732169848044</stp>
        <tr r="E33" s="18"/>
      </tp>
      <tp t="e">
        <v>#N/A</v>
        <stp/>
        <stp>BDH|15175730829033848380</stp>
        <tr r="J14" s="8"/>
      </tp>
      <tp t="e">
        <v>#N/A</v>
        <stp/>
        <stp>BDH|13650485963061421020</stp>
        <tr r="H22" s="21"/>
      </tp>
      <tp t="e">
        <v>#N/A</v>
        <stp/>
        <stp>BDH|13090388977037630020</stp>
        <tr r="S44" s="13"/>
      </tp>
      <tp t="e">
        <v>#N/A</v>
        <stp/>
        <stp>BDH|13479781953710299168</stp>
        <tr r="M10" s="4"/>
        <tr r="L6" s="16"/>
        <tr r="O6" s="3"/>
        <tr r="M6" s="11"/>
      </tp>
      <tp t="e">
        <v>#N/A</v>
        <stp/>
        <stp>BDH|17858512380178079221</stp>
        <tr r="G59" s="17"/>
      </tp>
      <tp t="e">
        <v>#N/A</v>
        <stp/>
        <stp>BDH|15401542759627050226</stp>
        <tr r="W63" s="18"/>
      </tp>
      <tp t="e">
        <v>#N/A</v>
        <stp/>
        <stp>BDH|14501986496130020402</stp>
        <tr r="N11" s="7"/>
      </tp>
      <tp t="e">
        <v>#N/A</v>
        <stp/>
        <stp>BDH|14196016159917209600</stp>
        <tr r="Y109" s="18"/>
        <tr r="X9" s="20"/>
      </tp>
      <tp t="e">
        <v>#N/A</v>
        <stp/>
        <stp>BDH|15775076252404151486</stp>
        <tr r="S165" s="18"/>
      </tp>
      <tp t="e">
        <v>#N/A</v>
        <stp/>
        <stp>BDH|10374881781735321525</stp>
        <tr r="C65" s="18"/>
      </tp>
      <tp t="e">
        <v>#N/A</v>
        <stp/>
        <stp>BDH|13902763453134454531</stp>
        <tr r="Q31" s="18"/>
      </tp>
      <tp t="e">
        <v>#N/A</v>
        <stp/>
        <stp>BDH|15907011177322756031</stp>
        <tr r="R11" s="24"/>
      </tp>
      <tp t="e">
        <v>#N/A</v>
        <stp/>
        <stp>BDH|17334315198454038914</stp>
        <tr r="K127" s="18"/>
      </tp>
      <tp t="e">
        <v>#N/A</v>
        <stp/>
        <stp>BDH|13148122862530867420</stp>
        <tr r="P50" s="4"/>
      </tp>
      <tp t="e">
        <v>#N/A</v>
        <stp/>
        <stp>BDH|10862276434873086205</stp>
        <tr r="I83" s="18"/>
      </tp>
      <tp t="e">
        <v>#N/A</v>
        <stp/>
        <stp>BDH|12037509628863051632</stp>
        <tr r="Y51" s="12"/>
      </tp>
      <tp t="e">
        <v>#N/A</v>
        <stp/>
        <stp>BDH|10159600658570531377</stp>
        <tr r="T44" s="21"/>
      </tp>
      <tp t="e">
        <v>#N/A</v>
        <stp/>
        <stp>BDH|12853423253763731056</stp>
        <tr r="Y13" s="7"/>
      </tp>
      <tp t="e">
        <v>#N/A</v>
        <stp/>
        <stp>BDH|14431721327206933737</stp>
        <tr r="O12" s="12"/>
      </tp>
      <tp t="e">
        <v>#N/A</v>
        <stp/>
        <stp>BDH|13298584112120034724</stp>
        <tr r="Q37" s="6"/>
      </tp>
      <tp t="e">
        <v>#N/A</v>
        <stp/>
        <stp>BDH|17689823881260729780</stp>
        <tr r="W77" s="18"/>
      </tp>
      <tp t="e">
        <v>#N/A</v>
        <stp/>
        <stp>BDH|10491217533888485985</stp>
        <tr r="Q44" s="18"/>
      </tp>
      <tp t="e">
        <v>#N/A</v>
        <stp/>
        <stp>BDH|16966299453114131586</stp>
        <tr r="F116" s="18"/>
      </tp>
      <tp t="e">
        <v>#N/A</v>
        <stp/>
        <stp>BDH|13537729917965925038</stp>
        <tr r="I22" s="4"/>
      </tp>
      <tp t="e">
        <v>#N/A</v>
        <stp/>
        <stp>BDH|13697521642497558590</stp>
        <tr r="Y72" s="24"/>
      </tp>
      <tp t="e">
        <v>#N/A</v>
        <stp/>
        <stp>BDH|12655898128239944142</stp>
        <tr r="N133" s="18"/>
      </tp>
      <tp t="e">
        <v>#N/A</v>
        <stp/>
        <stp>BDH|15847221941077183405</stp>
        <tr r="E8" s="6"/>
      </tp>
      <tp t="e">
        <v>#N/A</v>
        <stp/>
        <stp>BDH|16546699119304953563</stp>
        <tr r="R18" s="14"/>
      </tp>
      <tp t="e">
        <v>#N/A</v>
        <stp/>
        <stp>BDH|10164031679051591641</stp>
        <tr r="R14" s="28"/>
      </tp>
      <tp t="e">
        <v>#N/A</v>
        <stp/>
        <stp>BDH|11385167800060937062</stp>
        <tr r="F17" s="17"/>
        <tr r="F20" s="28"/>
      </tp>
      <tp t="e">
        <v>#N/A</v>
        <stp/>
        <stp>BDH|14324329637186543290</stp>
        <tr r="U16" s="17"/>
        <tr r="U19" s="28"/>
      </tp>
      <tp t="e">
        <v>#N/A</v>
        <stp/>
        <stp>BDH|17886332615082542710</stp>
        <tr r="H36" s="4"/>
      </tp>
      <tp t="e">
        <v>#N/A</v>
        <stp/>
        <stp>BDH|16707688655111925495</stp>
        <tr r="Y25" s="12"/>
      </tp>
      <tp t="e">
        <v>#N/A</v>
        <stp/>
        <stp>BDH|10028036148697899396</stp>
        <tr r="H29" s="4"/>
      </tp>
      <tp t="e">
        <v>#N/A</v>
        <stp/>
        <stp>BDH|13092580820481142534</stp>
        <tr r="AA29" s="29"/>
        <tr r="AA7" s="29"/>
      </tp>
      <tp t="e">
        <v>#N/A</v>
        <stp/>
        <stp>BDH|11020310529888460860</stp>
        <tr r="V138" s="18"/>
      </tp>
      <tp t="e">
        <v>#N/A</v>
        <stp/>
        <stp>BDH|17595879009059898695</stp>
        <tr r="AA22" s="17"/>
      </tp>
      <tp t="e">
        <v>#N/A</v>
        <stp/>
        <stp>BDH|12053488112380401742</stp>
        <tr r="U63" s="12"/>
      </tp>
      <tp t="e">
        <v>#N/A</v>
        <stp/>
        <stp>BDH|16580832399771598607</stp>
        <tr r="D36" s="21"/>
      </tp>
      <tp t="e">
        <v>#N/A</v>
        <stp/>
        <stp>BDH|13652654178452318027</stp>
        <tr r="M38" s="4"/>
        <tr r="M59" s="11"/>
        <tr r="O13" s="23"/>
      </tp>
      <tp t="e">
        <v>#N/A</v>
        <stp/>
        <stp>BDH|13335469477482947218</stp>
        <tr r="O7" s="23"/>
      </tp>
      <tp t="e">
        <v>#N/A</v>
        <stp/>
        <stp>BDH|14913759370534788017</stp>
        <tr r="P21" s="24"/>
      </tp>
      <tp t="e">
        <v>#N/A</v>
        <stp/>
        <stp>BDH|14879902956368363072</stp>
        <tr r="I8" s="6"/>
      </tp>
      <tp t="e">
        <v>#N/A</v>
        <stp/>
        <stp>BDH|11622325159274552322</stp>
        <tr r="U69" s="12"/>
      </tp>
      <tp t="e">
        <v>#N/A</v>
        <stp/>
        <stp>BDH|16928518022361182010</stp>
        <tr r="P27" s="21"/>
      </tp>
      <tp t="e">
        <v>#N/A</v>
        <stp/>
        <stp>BDH|12927025833720468166</stp>
        <tr r="X74" s="12"/>
      </tp>
      <tp t="e">
        <v>#N/A</v>
        <stp/>
        <stp>BDH|11455457268027124420</stp>
        <tr r="C38" s="10"/>
        <tr r="C32" s="11"/>
      </tp>
      <tp t="e">
        <v>#N/A</v>
        <stp/>
        <stp>BDH|13933002746632474510</stp>
        <tr r="O122" s="18"/>
      </tp>
      <tp t="e">
        <v>#N/A</v>
        <stp/>
        <stp>BDH|13207233806768826951</stp>
        <tr r="C21" s="4"/>
      </tp>
      <tp t="e">
        <v>#N/A</v>
        <stp/>
        <stp>BDH|11081952523919811345</stp>
        <tr r="H69" s="18"/>
      </tp>
      <tp t="e">
        <v>#N/A</v>
        <stp/>
        <stp>BDH|10902167862720159762</stp>
        <tr r="K26" s="24"/>
      </tp>
      <tp t="e">
        <v>#N/A</v>
        <stp/>
        <stp>BDH|12382486996117085871</stp>
        <tr r="E21" s="9"/>
      </tp>
      <tp t="e">
        <v>#N/A</v>
        <stp/>
        <stp>BDH|12913621620124208234</stp>
        <tr r="I30" s="34"/>
      </tp>
      <tp t="e">
        <v>#N/A</v>
        <stp/>
        <stp>BDH|17620093693056308854</stp>
        <tr r="V97" s="17"/>
        <tr r="V7" s="27"/>
      </tp>
      <tp t="e">
        <v>#N/A</v>
        <stp/>
        <stp>BDH|18011676291910480783</stp>
        <tr r="N42" s="18"/>
      </tp>
      <tp t="e">
        <v>#N/A</v>
        <stp/>
        <stp>BDH|17578156963889910973</stp>
        <tr r="N31" s="21"/>
      </tp>
      <tp t="e">
        <v>#N/A</v>
        <stp/>
        <stp>BDH|15224710534876320793</stp>
        <tr r="L32" s="17"/>
      </tp>
      <tp t="e">
        <v>#N/A</v>
        <stp/>
        <stp>BDH|11869645224127015259</stp>
        <tr r="D53" s="24"/>
      </tp>
      <tp t="e">
        <v>#N/A</v>
        <stp/>
        <stp>BDH|13524556860938470890</stp>
        <tr r="C8" s="17"/>
      </tp>
      <tp t="e">
        <v>#N/A</v>
        <stp/>
        <stp>BDH|10798087051667627250</stp>
        <tr r="O29" s="10"/>
        <tr r="Q34" s="13"/>
      </tp>
      <tp t="e">
        <v>#N/A</v>
        <stp/>
        <stp>BDH|14495442581329844146</stp>
        <tr r="E53" s="17"/>
      </tp>
      <tp t="e">
        <v>#N/A</v>
        <stp/>
        <stp>BDH|10070640010594995302</stp>
        <tr r="R150" s="18"/>
      </tp>
      <tp t="e">
        <v>#N/A</v>
        <stp/>
        <stp>BDH|11782557444086348682</stp>
        <tr r="D61" s="24"/>
      </tp>
      <tp t="e">
        <v>#N/A</v>
        <stp/>
        <stp>BDH|14962309593607712900</stp>
        <tr r="V11" s="24"/>
      </tp>
      <tp t="e">
        <v>#N/A</v>
        <stp/>
        <stp>BDH|17752320089165044918</stp>
        <tr r="E35" s="34"/>
      </tp>
      <tp t="e">
        <v>#N/A</v>
        <stp/>
        <stp>BDH|11334622128991171450</stp>
        <tr r="R18" s="29"/>
        <tr r="R38" s="29"/>
      </tp>
      <tp t="e">
        <v>#N/A</v>
        <stp/>
        <stp>BDH|10898970384060520135</stp>
        <tr r="K69" s="12"/>
      </tp>
      <tp t="e">
        <v>#N/A</v>
        <stp/>
        <stp>BDH|16102239250035667491</stp>
        <tr r="M21" s="21"/>
      </tp>
      <tp t="e">
        <v>#N/A</v>
        <stp/>
        <stp>BDH|16205472365171895554</stp>
        <tr r="J46" s="12"/>
      </tp>
      <tp t="e">
        <v>#N/A</v>
        <stp/>
        <stp>BDH|16789687681901692952</stp>
        <tr r="I27" s="34"/>
      </tp>
      <tp t="e">
        <v>#N/A</v>
        <stp/>
        <stp>BDH|14783720526042766393</stp>
        <tr r="V16" s="29"/>
        <tr r="V36" s="29"/>
      </tp>
      <tp t="e">
        <v>#N/A</v>
        <stp/>
        <stp>BDH|14469796717084788604</stp>
        <tr r="L146" s="18"/>
      </tp>
      <tp t="e">
        <v>#N/A</v>
        <stp/>
        <stp>BDH|16481280955013767232</stp>
        <tr r="Y54" s="21"/>
      </tp>
      <tp t="e">
        <v>#N/A</v>
        <stp/>
        <stp>BDH|18195288645286481858</stp>
        <tr r="Y64" s="24"/>
      </tp>
      <tp t="e">
        <v>#N/A</v>
        <stp/>
        <stp>BDH|10397029393201977866</stp>
        <tr r="K27" s="26"/>
        <tr r="H14" s="9"/>
      </tp>
      <tp t="e">
        <v>#N/A</v>
        <stp/>
        <stp>BDH|12552055362460944463</stp>
        <tr r="V50" s="12"/>
      </tp>
      <tp t="e">
        <v>#N/A</v>
        <stp/>
        <stp>BDH|16138140438387639362</stp>
        <tr r="D24" s="17"/>
      </tp>
      <tp t="e">
        <v>#N/A</v>
        <stp/>
        <stp>BDH|11149787731080163544</stp>
        <tr r="F8" s="24"/>
      </tp>
      <tp t="e">
        <v>#N/A</v>
        <stp/>
        <stp>BDH|12348587053262223073</stp>
        <tr r="T10" s="22"/>
      </tp>
      <tp t="e">
        <v>#N/A</v>
        <stp/>
        <stp>BDH|10904274673755278023</stp>
        <tr r="L150" s="18"/>
      </tp>
      <tp t="e">
        <v>#N/A</v>
        <stp/>
        <stp>BDH|16710035709164279225</stp>
        <tr r="I114" s="18"/>
      </tp>
      <tp t="e">
        <v>#N/A</v>
        <stp/>
        <stp>BDH|16026061737142947751</stp>
        <tr r="Y112" s="18"/>
        <tr r="X13" s="20"/>
      </tp>
      <tp t="e">
        <v>#N/A</v>
        <stp/>
        <stp>BDH|14781986627998757724</stp>
        <tr r="G20" s="10"/>
      </tp>
      <tp t="e">
        <v>#N/A</v>
        <stp/>
        <stp>BDH|10478127404434877576</stp>
        <tr r="H155" s="18"/>
      </tp>
      <tp t="e">
        <v>#N/A</v>
        <stp/>
        <stp>BDH|14466722076336805252</stp>
        <tr r="E22" s="7"/>
      </tp>
      <tp t="e">
        <v>#N/A</v>
        <stp/>
        <stp>BDH|14574961089740063572</stp>
        <tr r="V63" s="10"/>
      </tp>
      <tp t="e">
        <v>#N/A</v>
        <stp/>
        <stp>BDH|10933260786873181956</stp>
        <tr r="H98" s="18"/>
      </tp>
      <tp t="e">
        <v>#N/A</v>
        <stp/>
        <stp>BDH|11984713534196716370</stp>
        <tr r="Y16" s="18"/>
      </tp>
      <tp t="e">
        <v>#N/A</v>
        <stp/>
        <stp>BDH|14325607044890835634</stp>
        <tr r="E112" s="18"/>
        <tr r="C13" s="20"/>
      </tp>
      <tp t="e">
        <v>#N/A</v>
        <stp/>
        <stp>BDH|11431501327256818078</stp>
        <tr r="I12" s="10"/>
      </tp>
      <tp t="e">
        <v>#N/A</v>
        <stp/>
        <stp>BDH|16165693680559785131</stp>
        <tr r="E39" s="34"/>
      </tp>
      <tp t="e">
        <v>#N/A</v>
        <stp/>
        <stp>BDH|10864922355919542561</stp>
        <tr r="C36" s="12"/>
      </tp>
      <tp t="e">
        <v>#N/A</v>
        <stp/>
        <stp>BDH|16269526729988767927</stp>
        <tr r="O13" s="7"/>
      </tp>
      <tp t="e">
        <v>#N/A</v>
        <stp/>
        <stp>BDH|12744263115310857109</stp>
        <tr r="Q25" s="24"/>
      </tp>
      <tp t="e">
        <v>#N/A</v>
        <stp/>
        <stp>BDH|11839259220632366325</stp>
        <tr r="K77" s="18"/>
      </tp>
      <tp t="e">
        <v>#N/A</v>
        <stp/>
        <stp>BDH|14248314224883979620</stp>
        <tr r="G26" s="24"/>
      </tp>
      <tp t="e">
        <v>#N/A</v>
        <stp/>
        <stp>BDH|17959783537951945235</stp>
        <tr r="K34" s="24"/>
      </tp>
      <tp t="e">
        <v>#N/A</v>
        <stp/>
        <stp>BDH|10699835266368633692</stp>
        <tr r="L21" s="20"/>
      </tp>
      <tp t="e">
        <v>#N/A</v>
        <stp/>
        <stp>BDH|14010308664733972215</stp>
        <tr r="P18" s="13"/>
      </tp>
      <tp t="e">
        <v>#N/A</v>
        <stp/>
        <stp>BDH|14541325140955816635</stp>
        <tr r="F75" s="17"/>
      </tp>
      <tp t="e">
        <v>#N/A</v>
        <stp/>
        <stp>BDH|10112774067396559780</stp>
        <tr r="J77" s="17"/>
      </tp>
      <tp t="e">
        <v>#N/A</v>
        <stp/>
        <stp>BDH|12100252999551904885</stp>
        <tr r="L12" s="17"/>
      </tp>
      <tp t="e">
        <v>#N/A</v>
        <stp/>
        <stp>BDH|10153017707838217899</stp>
        <tr r="G68" s="18"/>
      </tp>
      <tp t="e">
        <v>#N/A</v>
        <stp/>
        <stp>BDH|13042333742123558782</stp>
        <tr r="G71" s="24"/>
      </tp>
      <tp t="e">
        <v>#N/A</v>
        <stp/>
        <stp>BDH|13486891250379333728</stp>
        <tr r="J36" s="22"/>
      </tp>
      <tp t="e">
        <v>#N/A</v>
        <stp/>
        <stp>BDH|13290735512594789186</stp>
        <tr r="L40" s="34"/>
      </tp>
      <tp t="e">
        <v>#N/A</v>
        <stp/>
        <stp>BDH|14941526614007776742</stp>
        <tr r="C57" s="13"/>
      </tp>
      <tp t="e">
        <v>#N/A</v>
        <stp/>
        <stp>BDH|16977772722027126411</stp>
        <tr r="X59" s="18"/>
      </tp>
      <tp t="e">
        <v>#N/A</v>
        <stp/>
        <stp>BDH|17585432534393954379</stp>
        <tr r="O32" s="12"/>
      </tp>
      <tp t="e">
        <v>#N/A</v>
        <stp/>
        <stp>BDH|15366395697129370620</stp>
        <tr r="X23" s="2"/>
        <tr r="Z18" s="21"/>
        <tr r="Z23" s="3"/>
      </tp>
      <tp t="e">
        <v>#N/A</v>
        <stp/>
        <stp>BDH|17937070903562117503</stp>
        <tr r="M15" s="17"/>
        <tr r="M18" s="28"/>
      </tp>
      <tp t="e">
        <v>#N/A</v>
        <stp/>
        <stp>BDH|12390625449999227963</stp>
        <tr r="W14" s="13"/>
      </tp>
      <tp t="e">
        <v>#N/A</v>
        <stp/>
        <stp>BDH|18267596677279577351</stp>
        <tr r="P11" s="22"/>
      </tp>
      <tp t="e">
        <v>#N/A</v>
        <stp/>
        <stp>BDH|16728854719377591817</stp>
        <tr r="M6" s="19"/>
        <tr r="M37" s="17"/>
        <tr r="M16" s="3"/>
      </tp>
      <tp t="e">
        <v>#N/A</v>
        <stp/>
        <stp>BDH|11748502649252871298</stp>
        <tr r="F13" s="10"/>
      </tp>
      <tp t="e">
        <v>#N/A</v>
        <stp/>
        <stp>BDH|16858669504711064157</stp>
        <tr r="D70" s="17"/>
      </tp>
      <tp t="e">
        <v>#N/A</v>
        <stp/>
        <stp>BDH|10612705179105478548</stp>
        <tr r="N35" s="10"/>
        <tr r="N47" s="10"/>
        <tr r="N29" s="11"/>
        <tr r="N41" s="11"/>
      </tp>
      <tp t="e">
        <v>#N/A</v>
        <stp/>
        <stp>BDH|15172900708934720816</stp>
        <tr r="H29" s="12"/>
      </tp>
      <tp t="e">
        <v>#N/A</v>
        <stp/>
        <stp>BDH|13766071608881601216</stp>
        <tr r="AA46" s="12"/>
      </tp>
      <tp t="e">
        <v>#N/A</v>
        <stp/>
        <stp>BDH|10162826098750274169</stp>
        <tr r="AA27" s="18"/>
      </tp>
      <tp t="e">
        <v>#N/A</v>
        <stp/>
        <stp>BDH|12112510663093909259</stp>
        <tr r="E65" s="12"/>
      </tp>
      <tp t="e">
        <v>#N/A</v>
        <stp/>
        <stp>BDH|12179188147460248737</stp>
        <tr r="R31" s="26"/>
      </tp>
      <tp t="e">
        <v>#N/A</v>
        <stp/>
        <stp>BDH|11221645240351023299</stp>
        <tr r="K13" s="9"/>
      </tp>
      <tp t="e">
        <v>#N/A</v>
        <stp/>
        <stp>BDH|16320465479157291210</stp>
        <tr r="N97" s="18"/>
      </tp>
      <tp t="e">
        <v>#N/A</v>
        <stp/>
        <stp>BDH|12944553385838777717</stp>
        <tr r="J9" s="11"/>
      </tp>
      <tp t="e">
        <v>#N/A</v>
        <stp/>
        <stp>BDH|17812739057991373408</stp>
        <tr r="Q57" s="24"/>
      </tp>
      <tp t="e">
        <v>#N/A</v>
        <stp/>
        <stp>BDH|14548400358913553675</stp>
        <tr r="V8" s="4"/>
      </tp>
      <tp t="e">
        <v>#N/A</v>
        <stp/>
        <stp>BDH|12878085370273886675</stp>
        <tr r="C57" s="18"/>
      </tp>
      <tp t="e">
        <v>#N/A</v>
        <stp/>
        <stp>BDH|15182398026280980487</stp>
        <tr r="Y15" s="24"/>
      </tp>
      <tp t="e">
        <v>#N/A</v>
        <stp/>
        <stp>BDH|10789983277768557625</stp>
        <tr r="K18" s="22"/>
      </tp>
      <tp t="e">
        <v>#N/A</v>
        <stp/>
        <stp>BDH|10788190366914453337</stp>
        <tr r="AA72" s="24"/>
      </tp>
      <tp t="e">
        <v>#N/A</v>
        <stp/>
        <stp>BDH|17501615657142507697</stp>
        <tr r="M18" s="5"/>
        <tr r="M30" s="6"/>
      </tp>
      <tp t="e">
        <v>#N/A</v>
        <stp/>
        <stp>BDH|17960776351754021106</stp>
        <tr r="W146" s="18"/>
      </tp>
      <tp t="e">
        <v>#N/A</v>
        <stp/>
        <stp>BDH|13384917801059448388</stp>
        <tr r="L45" s="24"/>
      </tp>
      <tp t="e">
        <v>#N/A</v>
        <stp/>
        <stp>BDH|15333180816260744557</stp>
        <tr r="O27" s="22"/>
      </tp>
      <tp t="e">
        <v>#N/A</v>
        <stp/>
        <stp>BDH|14277098141957549700</stp>
        <tr r="V14" s="25"/>
      </tp>
      <tp t="e">
        <v>#N/A</v>
        <stp/>
        <stp>BDH|14384106039000541608</stp>
        <tr r="AA65" s="18"/>
      </tp>
      <tp t="e">
        <v>#N/A</v>
        <stp/>
        <stp>BDH|12803505367054442543</stp>
        <tr r="E27" s="7"/>
      </tp>
      <tp t="e">
        <v>#N/A</v>
        <stp/>
        <stp>BDH|15826636699028555283</stp>
        <tr r="C20" s="29"/>
      </tp>
      <tp t="e">
        <v>#N/A</v>
        <stp/>
        <stp>BDH|10996007156976208326</stp>
        <tr r="C33" s="26"/>
      </tp>
      <tp t="e">
        <v>#N/A</v>
        <stp/>
        <stp>BDH|10492488354499313845</stp>
        <tr r="O60" s="12"/>
      </tp>
      <tp t="e">
        <v>#N/A</v>
        <stp/>
        <stp>BDH|14926421165262744464</stp>
        <tr r="H40" s="21"/>
      </tp>
      <tp t="e">
        <v>#N/A</v>
        <stp/>
        <stp>BDH|14589306268617107638</stp>
        <tr r="C24" s="18"/>
      </tp>
      <tp t="e">
        <v>#N/A</v>
        <stp/>
        <stp>BDH|16402959249998251355</stp>
        <tr r="J145" s="18"/>
      </tp>
      <tp t="e">
        <v>#N/A</v>
        <stp/>
        <stp>BDH|14066849102025891916</stp>
        <tr r="U73" s="18"/>
      </tp>
      <tp t="e">
        <v>#N/A</v>
        <stp/>
        <stp>BDH|17551050173475463587</stp>
        <tr r="O158" s="18"/>
      </tp>
      <tp t="e">
        <v>#N/A</v>
        <stp/>
        <stp>BDH|13796310075246822149</stp>
        <tr r="V124" s="18"/>
      </tp>
      <tp t="e">
        <v>#N/A</v>
        <stp/>
        <stp>BDH|11138591548930856079</stp>
        <tr r="F18" s="29"/>
        <tr r="F38" s="29"/>
      </tp>
      <tp t="e">
        <v>#N/A</v>
        <stp/>
        <stp>BDH|15666124369954598675</stp>
        <tr r="AA42" s="22"/>
      </tp>
      <tp t="e">
        <v>#N/A</v>
        <stp/>
        <stp>BDH|15216278030995935134</stp>
        <tr r="Q78" s="18"/>
      </tp>
      <tp t="e">
        <v>#N/A</v>
        <stp/>
        <stp>BDH|15480210704937972071</stp>
        <tr r="X12" s="30"/>
      </tp>
      <tp t="e">
        <v>#N/A</v>
        <stp/>
        <stp>BDH|14019455278287313010</stp>
        <tr r="D25" s="2"/>
        <tr r="F62" s="21"/>
      </tp>
      <tp t="e">
        <v>#N/A</v>
        <stp/>
        <stp>BDH|16999820295913109407</stp>
        <tr r="V11" s="21"/>
      </tp>
      <tp t="e">
        <v>#N/A</v>
        <stp/>
        <stp>BDH|16105490269020812467</stp>
        <tr r="Q64" s="12"/>
      </tp>
      <tp t="e">
        <v>#N/A</v>
        <stp/>
        <stp>BDH|11500499875232789015</stp>
        <tr r="E67" s="24"/>
      </tp>
      <tp t="e">
        <v>#N/A</v>
        <stp/>
        <stp>BDH|15950522366056320010</stp>
        <tr r="G9" s="2"/>
        <tr r="I8" s="25"/>
        <tr r="F10" s="5"/>
      </tp>
      <tp t="e">
        <v>#N/A</v>
        <stp/>
        <stp>BDH|16308592725446918792</stp>
        <tr r="R21" s="24"/>
      </tp>
      <tp t="e">
        <v>#N/A</v>
        <stp/>
        <stp>BDH|17655549891868561396</stp>
        <tr r="U43" s="22"/>
      </tp>
      <tp t="e">
        <v>#N/A</v>
        <stp/>
        <stp>BDH|13920116922099424912</stp>
        <tr r="Q22" s="5"/>
      </tp>
      <tp t="e">
        <v>#N/A</v>
        <stp/>
        <stp>BDH|15068433332684898671</stp>
        <tr r="D25" s="6"/>
      </tp>
      <tp t="e">
        <v>#N/A</v>
        <stp/>
        <stp>BDH|18039485194890635546</stp>
        <tr r="T14" s="17"/>
        <tr r="T17" s="28"/>
      </tp>
      <tp t="e">
        <v>#N/A</v>
        <stp/>
        <stp>BDH|14738122945546770799</stp>
        <tr r="F70" s="18"/>
      </tp>
      <tp t="e">
        <v>#N/A</v>
        <stp/>
        <stp>BDH|13917783445487288784</stp>
        <tr r="Z151" s="18"/>
      </tp>
      <tp t="e">
        <v>#N/A</v>
        <stp/>
        <stp>BDH|12309287415327555658</stp>
        <tr r="U35" s="12"/>
      </tp>
      <tp t="e">
        <v>#N/A</v>
        <stp/>
        <stp>BDH|14691749129187095650</stp>
        <tr r="S23" s="24"/>
      </tp>
      <tp t="e">
        <v>#N/A</v>
        <stp/>
        <stp>BDH|14982236141350623237</stp>
        <tr r="I81" s="17"/>
        <tr r="F9" s="5"/>
        <tr r="F9" s="9"/>
      </tp>
      <tp t="e">
        <v>#N/A</v>
        <stp/>
        <stp>BDH|11070505946495067588</stp>
        <tr r="J140" s="18"/>
      </tp>
      <tp t="e">
        <v>#N/A</v>
        <stp/>
        <stp>BDH|12164355359965070135</stp>
        <tr r="K92" s="18"/>
      </tp>
      <tp t="e">
        <v>#N/A</v>
        <stp/>
        <stp>BDH|11633759722310936462</stp>
        <tr r="Q16" s="29"/>
        <tr r="Q36" s="29"/>
      </tp>
      <tp t="e">
        <v>#N/A</v>
        <stp/>
        <stp>BDH|10598150241867693297</stp>
        <tr r="Q154" s="18"/>
      </tp>
      <tp t="e">
        <v>#N/A</v>
        <stp/>
        <stp>BDH|15212805066193390892</stp>
        <tr r="U30" s="18"/>
      </tp>
      <tp t="e">
        <v>#N/A</v>
        <stp/>
        <stp>BDH|10333110284891109896</stp>
        <tr r="J74" s="17"/>
      </tp>
      <tp t="e">
        <v>#N/A</v>
        <stp/>
        <stp>BDH|17213936799703594434</stp>
        <tr r="D7" s="34"/>
      </tp>
      <tp t="e">
        <v>#N/A</v>
        <stp/>
        <stp>BDH|11902014397851349924</stp>
        <tr r="P29" s="29"/>
        <tr r="P7" s="29"/>
      </tp>
      <tp t="e">
        <v>#N/A</v>
        <stp/>
        <stp>BDH|15278391421456677229</stp>
        <tr r="L14" s="11"/>
      </tp>
      <tp t="e">
        <v>#N/A</v>
        <stp/>
        <stp>BDH|16591906162490137989</stp>
        <tr r="X11" s="3"/>
        <tr r="V49" s="10"/>
        <tr r="V43" s="11"/>
        <tr r="V8" s="7"/>
      </tp>
      <tp t="e">
        <v>#N/A</v>
        <stp/>
        <stp>BDH|16330111062545942473</stp>
        <tr r="X44" s="13"/>
      </tp>
      <tp t="e">
        <v>#N/A</v>
        <stp/>
        <stp>BDH|18137234307318971224</stp>
        <tr r="Y69" s="17"/>
      </tp>
      <tp t="e">
        <v>#N/A</v>
        <stp/>
        <stp>BDH|14765177870812891065</stp>
        <tr r="W9" s="6"/>
      </tp>
      <tp t="e">
        <v>#N/A</v>
        <stp/>
        <stp>BDH|10217297015110321330</stp>
        <tr r="W53" s="13"/>
      </tp>
      <tp t="e">
        <v>#N/A</v>
        <stp/>
        <stp>BDH|13085041171966938227</stp>
        <tr r="K35" s="4"/>
      </tp>
      <tp t="e">
        <v>#N/A</v>
        <stp/>
        <stp>BDH|15262797246747570165</stp>
        <tr r="I78" s="17"/>
      </tp>
      <tp t="e">
        <v>#N/A</v>
        <stp/>
        <stp>BDH|16599489302190272232</stp>
        <tr r="X21" s="30"/>
        <tr r="X24" s="23"/>
      </tp>
      <tp t="e">
        <v>#N/A</v>
        <stp/>
        <stp>BDH|18389296620490960927</stp>
        <tr r="E16" s="14"/>
      </tp>
      <tp t="e">
        <v>#N/A</v>
        <stp/>
        <stp>BDH|11006699312402336595</stp>
        <tr r="X63" s="12"/>
      </tp>
      <tp t="e">
        <v>#N/A</v>
        <stp/>
        <stp>BDH|14793458683458353139</stp>
        <tr r="D19" s="17"/>
      </tp>
      <tp t="e">
        <v>#N/A</v>
        <stp/>
        <stp>BDH|13927312421960869307</stp>
        <tr r="V6" s="2"/>
        <tr r="U6" s="5"/>
        <tr r="U6" s="9"/>
        <tr r="W12" s="8"/>
        <tr r="X10" s="29"/>
        <tr r="X19" s="29"/>
        <tr r="X25" s="29"/>
      </tp>
      <tp t="e">
        <v>#N/A</v>
        <stp/>
        <stp>BDH|12342984395194892770</stp>
        <tr r="C31" s="18"/>
      </tp>
      <tp t="e">
        <v>#N/A</v>
        <stp/>
        <stp>BDH|16478602195828661063</stp>
        <tr r="J23" s="13"/>
      </tp>
      <tp t="e">
        <v>#N/A</v>
        <stp/>
        <stp>BDH|11223086247381869549</stp>
        <tr r="U6" s="27"/>
      </tp>
      <tp t="e">
        <v>#N/A</v>
        <stp/>
        <stp>BDH|10951123231294294792</stp>
        <tr r="I50" s="24"/>
      </tp>
      <tp t="e">
        <v>#N/A</v>
        <stp/>
        <stp>BDH|17312444845134322209</stp>
        <tr r="C10" s="4"/>
        <tr r="E6" s="3"/>
        <tr r="C6" s="11"/>
      </tp>
      <tp t="e">
        <v>#N/A</v>
        <stp/>
        <stp>BDH|14241956556851625867</stp>
        <tr r="G61" s="11"/>
        <tr r="I19" s="23"/>
      </tp>
      <tp t="e">
        <v>#N/A</v>
        <stp/>
        <stp>BDH|14343682582022994910</stp>
        <tr r="E11" s="7"/>
      </tp>
      <tp t="e">
        <v>#N/A</v>
        <stp/>
        <stp>BDH|16408591775125088096</stp>
        <tr r="M25" s="7"/>
      </tp>
      <tp t="e">
        <v>#N/A</v>
        <stp/>
        <stp>BDH|12747280332996801440</stp>
        <tr r="X79" s="18"/>
      </tp>
      <tp t="e">
        <v>#N/A</v>
        <stp/>
        <stp>BDH|12406756810826769375</stp>
        <tr r="T93" s="17"/>
      </tp>
      <tp t="e">
        <v>#N/A</v>
        <stp/>
        <stp>BDH|13313431731880379532</stp>
        <tr r="I73" s="18"/>
      </tp>
      <tp t="e">
        <v>#N/A</v>
        <stp/>
        <stp>BDH|17694157745272551124</stp>
        <tr r="L35" s="34"/>
      </tp>
      <tp t="e">
        <v>#N/A</v>
        <stp/>
        <stp>BDH|16638629634295266733</stp>
        <tr r="O27" s="10"/>
        <tr r="Q32" s="13"/>
      </tp>
      <tp t="e">
        <v>#N/A</v>
        <stp/>
        <stp>BDH|15433807090875552005</stp>
        <tr r="P31" s="17"/>
      </tp>
      <tp t="e">
        <v>#N/A</v>
        <stp/>
        <stp>BDH|16659843693291475740</stp>
        <tr r="H54" s="13"/>
      </tp>
      <tp t="e">
        <v>#N/A</v>
        <stp/>
        <stp>BDH|12715689191935914962</stp>
        <tr r="X39" s="22"/>
      </tp>
      <tp t="e">
        <v>#N/A</v>
        <stp/>
        <stp>BDH|15507242842713177133</stp>
        <tr r="G15" s="11"/>
      </tp>
      <tp t="e">
        <v>#N/A</v>
        <stp/>
        <stp>BDH|14307533243614252000</stp>
        <tr r="R45" s="17"/>
        <tr r="R9" s="25"/>
      </tp>
      <tp t="e">
        <v>#N/A</v>
        <stp/>
        <stp>BDH|13844357652315602180</stp>
        <tr r="F62" s="11"/>
      </tp>
      <tp t="e">
        <v>#N/A</v>
        <stp/>
        <stp>BDH|11192145930912332071</stp>
        <tr r="N34" s="21"/>
      </tp>
      <tp t="e">
        <v>#N/A</v>
        <stp/>
        <stp>BDH|14412137864163548174</stp>
        <tr r="R41" s="24"/>
      </tp>
      <tp t="e">
        <v>#N/A</v>
        <stp/>
        <stp>BDH|11831531376417805541</stp>
        <tr r="AA12" s="20"/>
      </tp>
      <tp t="e">
        <v>#N/A</v>
        <stp/>
        <stp>BDH|15046093179607356423</stp>
        <tr r="P43" s="4"/>
      </tp>
      <tp t="e">
        <v>#N/A</v>
        <stp/>
        <stp>BDH|17691787123451496285</stp>
        <tr r="X44" s="12"/>
      </tp>
      <tp t="e">
        <v>#N/A</v>
        <stp/>
        <stp>BDH|12049476657957760568</stp>
        <tr r="Z46" s="17"/>
      </tp>
      <tp t="e">
        <v>#N/A</v>
        <stp/>
        <stp>BDH|13725441616415778235</stp>
        <tr r="N66" s="10"/>
      </tp>
      <tp t="e">
        <v>#N/A</v>
        <stp/>
        <stp>BDH|11206262290659501201</stp>
        <tr r="P25" s="18"/>
      </tp>
      <tp t="e">
        <v>#N/A</v>
        <stp/>
        <stp>BDH|15124351983609381659</stp>
        <tr r="K8" s="10"/>
      </tp>
      <tp t="e">
        <v>#N/A</v>
        <stp/>
        <stp>BDH|13301952155037378911</stp>
        <tr r="Y42" s="18"/>
      </tp>
      <tp t="e">
        <v>#N/A</v>
        <stp/>
        <stp>BDH|10625494829580003777</stp>
        <tr r="U10" s="13"/>
      </tp>
      <tp t="e">
        <v>#N/A</v>
        <stp/>
        <stp>BDH|11857166110306604694</stp>
        <tr r="V7" s="17"/>
      </tp>
      <tp t="e">
        <v>#N/A</v>
        <stp/>
        <stp>BDH|11848691248894979601</stp>
        <tr r="L41" s="17"/>
      </tp>
      <tp t="e">
        <v>#N/A</v>
        <stp/>
        <stp>BDH|13714966212949157320</stp>
        <tr r="Y40" s="29"/>
      </tp>
      <tp t="e">
        <v>#N/A</v>
        <stp/>
        <stp>BDH|15888320751286996428</stp>
        <tr r="O7" s="24"/>
      </tp>
      <tp t="e">
        <v>#N/A</v>
        <stp/>
        <stp>BDH|11344865896393680250</stp>
        <tr r="V81" s="17"/>
        <tr r="S9" s="5"/>
        <tr r="S9" s="9"/>
      </tp>
      <tp t="e">
        <v>#N/A</v>
        <stp/>
        <stp>BDH|15682807336019314634</stp>
        <tr r="T32" s="21"/>
      </tp>
      <tp t="e">
        <v>#N/A</v>
        <stp/>
        <stp>BDH|16117726900243594364</stp>
        <tr r="H61" s="11"/>
        <tr r="J19" s="23"/>
      </tp>
      <tp t="e">
        <v>#N/A</v>
        <stp/>
        <stp>BDH|16080736043002119617</stp>
        <tr r="E30" s="12"/>
      </tp>
      <tp t="e">
        <v>#N/A</v>
        <stp/>
        <stp>BDH|11755503645020563178</stp>
        <tr r="H68" s="18"/>
      </tp>
      <tp t="e">
        <v>#N/A</v>
        <stp/>
        <stp>BDH|14690964735587436814</stp>
        <tr r="K20" s="30"/>
      </tp>
      <tp t="e">
        <v>#N/A</v>
        <stp/>
        <stp>BDH|16605373644631339169</stp>
        <tr r="N16" s="14"/>
      </tp>
      <tp t="e">
        <v>#N/A</v>
        <stp/>
        <stp>BDH|13984244774022111582</stp>
        <tr r="M88" s="17"/>
      </tp>
      <tp t="e">
        <v>#N/A</v>
        <stp/>
        <stp>BDH|11199603920994660078</stp>
        <tr r="AA6" s="27"/>
      </tp>
      <tp t="e">
        <v>#N/A</v>
        <stp/>
        <stp>BDH|14816362348683103179</stp>
        <tr r="O13" s="9"/>
      </tp>
      <tp t="e">
        <v>#N/A</v>
        <stp/>
        <stp>BDH|14396046835170531671</stp>
        <tr r="J8" s="26"/>
        <tr r="G10" s="9"/>
      </tp>
      <tp t="e">
        <v>#N/A</v>
        <stp/>
        <stp>BDH|15666809375749460272</stp>
        <tr r="C22" s="21"/>
      </tp>
      <tp t="e">
        <v>#N/A</v>
        <stp/>
        <stp>BDH|15481387027656331389</stp>
        <tr r="G10" s="6"/>
      </tp>
      <tp t="e">
        <v>#N/A</v>
        <stp/>
        <stp>BDH|14443533330571164267</stp>
        <tr r="M15" s="10"/>
      </tp>
      <tp t="e">
        <v>#N/A</v>
        <stp/>
        <stp>BDH|11316922784718462911</stp>
        <tr r="H34" s="26"/>
      </tp>
      <tp t="e">
        <v>#N/A</v>
        <stp/>
        <stp>BDH|18425751500698335624</stp>
        <tr r="P9" s="28"/>
      </tp>
      <tp t="e">
        <v>#N/A</v>
        <stp/>
        <stp>BDH|11939658499759796627</stp>
        <tr r="X159" s="18"/>
      </tp>
      <tp t="e">
        <v>#N/A</v>
        <stp/>
        <stp>BDH|17460504724332555356</stp>
        <tr r="U17" s="6"/>
      </tp>
      <tp t="e">
        <v>#N/A</v>
        <stp/>
        <stp>BDH|17818784539485954706</stp>
        <tr r="J59" s="18"/>
      </tp>
      <tp t="e">
        <v>#N/A</v>
        <stp/>
        <stp>BDH|16091413557573240549</stp>
        <tr r="K6" s="19"/>
        <tr r="K37" s="17"/>
        <tr r="K16" s="3"/>
      </tp>
      <tp t="e">
        <v>#N/A</v>
        <stp/>
        <stp>BDH|12438526332743251666</stp>
        <tr r="K49" s="12"/>
      </tp>
      <tp t="e">
        <v>#N/A</v>
        <stp/>
        <stp>BDH|14978128101712890620</stp>
        <tr r="N10" s="6"/>
      </tp>
      <tp t="e">
        <v>#N/A</v>
        <stp/>
        <stp>BDH|16539395341187509786</stp>
        <tr r="M37" s="6"/>
      </tp>
      <tp t="e">
        <v>#N/A</v>
        <stp/>
        <stp>BDH|15259895611148931533</stp>
        <tr r="X61" s="24"/>
      </tp>
      <tp t="e">
        <v>#N/A</v>
        <stp/>
        <stp>BDH|16977592277556157364</stp>
        <tr r="D9" s="12"/>
      </tp>
      <tp t="e">
        <v>#N/A</v>
        <stp/>
        <stp>BDH|17153167255106717453</stp>
        <tr r="D24" s="24"/>
      </tp>
      <tp t="e">
        <v>#N/A</v>
        <stp/>
        <stp>BDH|15467000259882573389</stp>
        <tr r="O25" s="24"/>
      </tp>
      <tp t="e">
        <v>#N/A</v>
        <stp/>
        <stp>BDH|14174052857440780049</stp>
        <tr r="E75" s="18"/>
      </tp>
      <tp t="e">
        <v>#N/A</v>
        <stp/>
        <stp>BDH|14202238842213233019</stp>
        <tr r="R25" s="4"/>
        <tr r="R64" s="10"/>
      </tp>
      <tp t="e">
        <v>#N/A</v>
        <stp/>
        <stp>BDH|11101953894579119910</stp>
        <tr r="O18" s="6"/>
      </tp>
      <tp t="e">
        <v>#N/A</v>
        <stp/>
        <stp>BDH|16962508606874815670</stp>
        <tr r="T42" s="21"/>
      </tp>
      <tp t="e">
        <v>#N/A</v>
        <stp/>
        <stp>BDH|14771912254568327115</stp>
        <tr r="K77" s="17"/>
      </tp>
      <tp t="e">
        <v>#N/A</v>
        <stp/>
        <stp>BDH|12003644625665938287</stp>
        <tr r="N51" s="17"/>
      </tp>
      <tp t="e">
        <v>#N/A</v>
        <stp/>
        <stp>BDH|15499347931763563749</stp>
        <tr r="R14" s="21"/>
      </tp>
      <tp t="e">
        <v>#N/A</v>
        <stp/>
        <stp>BDH|17339287099594356912</stp>
        <tr r="T98" s="18"/>
      </tp>
      <tp t="e">
        <v>#N/A</v>
        <stp/>
        <stp>BDH|12139300167161601707</stp>
        <tr r="W68" s="24"/>
      </tp>
      <tp t="e">
        <v>#N/A</v>
        <stp/>
        <stp>BDH|17749771596359046166</stp>
        <tr r="S79" s="12"/>
      </tp>
      <tp t="e">
        <v>#N/A</v>
        <stp/>
        <stp>BDH|13598522632814487020</stp>
        <tr r="AA80" s="18"/>
      </tp>
      <tp t="e">
        <v>#N/A</v>
        <stp/>
        <stp>BDH|15386077317204956192</stp>
        <tr r="E67" s="18"/>
      </tp>
      <tp t="e">
        <v>#N/A</v>
        <stp/>
        <stp>BDH|15442052338122280585</stp>
        <tr r="F20" s="27"/>
      </tp>
      <tp t="e">
        <v>#N/A</v>
        <stp/>
        <stp>BDH|14617956941640391820</stp>
        <tr r="Q26" s="7"/>
      </tp>
      <tp t="e">
        <v>#N/A</v>
        <stp/>
        <stp>BDH|15640000414522116708</stp>
        <tr r="S6" s="28"/>
      </tp>
      <tp t="e">
        <v>#N/A</v>
        <stp/>
        <stp>BDH|18319087680025900419</stp>
        <tr r="Q18" s="2"/>
        <tr r="Q53" s="4"/>
        <tr r="Q45" s="10"/>
        <tr r="Q39" s="11"/>
        <tr r="S46" s="13"/>
      </tp>
      <tp t="e">
        <v>#N/A</v>
        <stp/>
        <stp>BDH|15440281321724983075</stp>
        <tr r="P89" s="18"/>
      </tp>
      <tp t="e">
        <v>#N/A</v>
        <stp/>
        <stp>BDH|11555053543320788473</stp>
        <tr r="W93" s="17"/>
      </tp>
      <tp t="e">
        <v>#N/A</v>
        <stp/>
        <stp>BDH|12475641557463681324</stp>
        <tr r="G26" s="34"/>
      </tp>
      <tp t="e">
        <v>#N/A</v>
        <stp/>
        <stp>BDH|14228179310983352659</stp>
        <tr r="Y44" s="17"/>
      </tp>
      <tp t="e">
        <v>#N/A</v>
        <stp/>
        <stp>BDH|15091287129234140036</stp>
        <tr r="Z7" s="23"/>
      </tp>
      <tp t="e">
        <v>#N/A</v>
        <stp/>
        <stp>BDH|10212459760577687428</stp>
        <tr r="I32" s="6"/>
        <tr r="K6" s="8"/>
      </tp>
      <tp t="e">
        <v>#N/A</v>
        <stp/>
        <stp>BDH|18277453330559542718</stp>
        <tr r="AA26" s="17"/>
      </tp>
      <tp t="e">
        <v>#N/A</v>
        <stp/>
        <stp>BDH|10448829732043607911</stp>
        <tr r="X61" s="17"/>
      </tp>
      <tp t="e">
        <v>#N/A</v>
        <stp/>
        <stp>BDH|11249567074587698553</stp>
        <tr r="F112" s="18"/>
        <tr r="D13" s="20"/>
      </tp>
      <tp t="e">
        <v>#N/A</v>
        <stp/>
        <stp>BDH|18414165778496090995</stp>
        <tr r="W13" s="22"/>
      </tp>
      <tp t="e">
        <v>#N/A</v>
        <stp/>
        <stp>BDH|15456414968381860768</stp>
        <tr r="Q63" s="12"/>
      </tp>
      <tp t="e">
        <v>#N/A</v>
        <stp/>
        <stp>BDH|17663057399297920802</stp>
        <tr r="U9" s="24"/>
      </tp>
      <tp t="e">
        <v>#N/A</v>
        <stp/>
        <stp>BDH|12300724087934388866</stp>
        <tr r="Y9" s="28"/>
      </tp>
      <tp t="e">
        <v>#N/A</v>
        <stp/>
        <stp>BDH|17177171656456490478</stp>
        <tr r="K8" s="28"/>
      </tp>
      <tp t="e">
        <v>#N/A</v>
        <stp/>
        <stp>BDH|10415747116134070353</stp>
        <tr r="N34" s="34"/>
      </tp>
      <tp t="e">
        <v>#N/A</v>
        <stp/>
        <stp>BDH|13874786675534377650</stp>
        <tr r="S6" s="27"/>
      </tp>
      <tp t="e">
        <v>#N/A</v>
        <stp/>
        <stp>BDH|13612135836428551857</stp>
        <tr r="T9" s="2"/>
        <tr r="V8" s="25"/>
        <tr r="S10" s="5"/>
      </tp>
      <tp t="e">
        <v>#N/A</v>
        <stp/>
        <stp>BDH|16593747104306285647</stp>
        <tr r="R12" s="18"/>
      </tp>
      <tp t="e">
        <v>#N/A</v>
        <stp/>
        <stp>BDH|11345505762063535070</stp>
        <tr r="C28" s="12"/>
      </tp>
      <tp t="e">
        <v>#N/A</v>
        <stp/>
        <stp>BDH|17449214078033761097</stp>
        <tr r="R21" s="18"/>
      </tp>
      <tp t="e">
        <v>#N/A</v>
        <stp/>
        <stp>BDH|13624502050046104441</stp>
        <tr r="AA54" s="17"/>
      </tp>
      <tp t="e">
        <v>#N/A</v>
        <stp/>
        <stp>BDH|11587930081254435508</stp>
        <tr r="AA68" s="17"/>
      </tp>
      <tp t="e">
        <v>#N/A</v>
        <stp/>
        <stp>BDH|10084902481375607548</stp>
        <tr r="X17" s="10"/>
      </tp>
      <tp t="e">
        <v>#N/A</v>
        <stp/>
        <stp>BDH|16929391942742607275</stp>
        <tr r="O9" s="34"/>
      </tp>
      <tp t="e">
        <v>#N/A</v>
        <stp/>
        <stp>BDH|12154354973577241060</stp>
        <tr r="Q12" s="18"/>
      </tp>
      <tp t="e">
        <v>#N/A</v>
        <stp/>
        <stp>BDH|17615567204473047076</stp>
        <tr r="Z109" s="18"/>
        <tr r="Y9" s="20"/>
      </tp>
      <tp t="e">
        <v>#N/A</v>
        <stp/>
        <stp>BDH|11549969397176535628</stp>
        <tr r="H132" s="18"/>
      </tp>
      <tp t="e">
        <v>#N/A</v>
        <stp/>
        <stp>BDH|16315043289518803750</stp>
        <tr r="N24" s="20"/>
      </tp>
      <tp t="e">
        <v>#N/A</v>
        <stp/>
        <stp>BDH|17830136424702507795</stp>
        <tr r="I19" s="26"/>
      </tp>
      <tp t="e">
        <v>#N/A</v>
        <stp/>
        <stp>BDH|16541670629034006783</stp>
        <tr r="C11" s="7"/>
      </tp>
      <tp t="e">
        <v>#N/A</v>
        <stp/>
        <stp>BDH|10398079171244039267</stp>
        <tr r="AA15" s="24"/>
      </tp>
      <tp t="e">
        <v>#N/A</v>
        <stp/>
        <stp>BDH|18030020897411218140</stp>
        <tr r="AA52" s="24"/>
      </tp>
      <tp t="e">
        <v>#N/A</v>
        <stp/>
        <stp>BDH|10665690718203132551</stp>
        <tr r="S58" s="18"/>
      </tp>
      <tp t="e">
        <v>#N/A</v>
        <stp/>
        <stp>BDH|11347604957440256354</stp>
        <tr r="H53" s="24"/>
      </tp>
      <tp t="e">
        <v>#N/A</v>
        <stp/>
        <stp>BDH|10507791920693638791</stp>
        <tr r="H35" s="17"/>
      </tp>
      <tp t="e">
        <v>#N/A</v>
        <stp/>
        <stp>BDH|11379238943602388434</stp>
        <tr r="V76" s="17"/>
      </tp>
      <tp t="e">
        <v>#N/A</v>
        <stp/>
        <stp>BDH|12269632934286530030</stp>
        <tr r="Q13" s="24"/>
      </tp>
      <tp t="e">
        <v>#N/A</v>
        <stp/>
        <stp>BDH|14201013820940775778</stp>
        <tr r="X19" s="14"/>
      </tp>
      <tp t="e">
        <v>#N/A</v>
        <stp/>
        <stp>BDH|16100277415153174714</stp>
        <tr r="M35" s="21"/>
      </tp>
      <tp t="e">
        <v>#N/A</v>
        <stp/>
        <stp>BDH|16973402607657555483</stp>
        <tr r="W21" s="10"/>
      </tp>
      <tp t="e">
        <v>#N/A</v>
        <stp/>
        <stp>BDH|13653287133021727295</stp>
        <tr r="O62" s="11"/>
      </tp>
      <tp t="e">
        <v>#N/A</v>
        <stp/>
        <stp>BDH|10080542400985470130</stp>
        <tr r="L21" s="18"/>
      </tp>
      <tp t="e">
        <v>#N/A</v>
        <stp/>
        <stp>BDH|10060933092792170331</stp>
        <tr r="T58" s="21"/>
        <tr r="T33" s="25"/>
        <tr r="R31" s="4"/>
        <tr r="R55" s="11"/>
      </tp>
      <tp t="e">
        <v>#N/A</v>
        <stp/>
        <stp>BDH|15788504807810333103</stp>
        <tr r="H92" s="18"/>
      </tp>
      <tp t="e">
        <v>#N/A</v>
        <stp/>
        <stp>BDH|13987616807756804252</stp>
        <tr r="V16" s="14"/>
      </tp>
      <tp t="e">
        <v>#N/A</v>
        <stp/>
        <stp>BDH|11198447205194646040</stp>
        <tr r="S52" s="21"/>
      </tp>
      <tp t="e">
        <v>#N/A</v>
        <stp/>
        <stp>BDH|15668311147194790754</stp>
        <tr r="P34" s="10"/>
        <tr r="P28" s="11"/>
      </tp>
      <tp t="e">
        <v>#N/A</v>
        <stp/>
        <stp>BDH|11502722148975979646</stp>
        <tr r="D99" s="18"/>
      </tp>
      <tp t="e">
        <v>#N/A</v>
        <stp/>
        <stp>BDH|16935550766070009489</stp>
        <tr r="U12" s="6"/>
      </tp>
      <tp t="e">
        <v>#N/A</v>
        <stp/>
        <stp>BDH|12795132257304172307</stp>
        <tr r="Z41" s="13"/>
      </tp>
      <tp t="e">
        <v>#N/A</v>
        <stp/>
        <stp>BDH|18317065580358097976</stp>
        <tr r="O45" s="21"/>
      </tp>
      <tp t="e">
        <v>#N/A</v>
        <stp/>
        <stp>BDH|18217329153409764662</stp>
        <tr r="P121" s="18"/>
      </tp>
      <tp t="e">
        <v>#N/A</v>
        <stp/>
        <stp>BDH|12692507322904502038</stp>
        <tr r="W67" s="18"/>
      </tp>
      <tp t="e">
        <v>#N/A</v>
        <stp/>
        <stp>BDH|15495839195467027208</stp>
        <tr r="I151" s="18"/>
      </tp>
      <tp t="e">
        <v>#N/A</v>
        <stp/>
        <stp>BDH|11416639635003677661</stp>
        <tr r="Q8" s="13"/>
      </tp>
      <tp t="e">
        <v>#N/A</v>
        <stp/>
        <stp>BDH|16434893706666112989</stp>
        <tr r="M54" s="12"/>
      </tp>
      <tp t="e">
        <v>#N/A</v>
        <stp/>
        <stp>BDH|11325026102802642276</stp>
        <tr r="C7" s="11"/>
      </tp>
      <tp t="e">
        <v>#N/A</v>
        <stp/>
        <stp>BDH|15644075847718036848</stp>
        <tr r="D24" s="2"/>
      </tp>
      <tp t="e">
        <v>#N/A</v>
        <stp/>
        <stp>BDH|11723513457019386904</stp>
        <tr r="T8" s="17"/>
      </tp>
      <tp t="e">
        <v>#N/A</v>
        <stp/>
        <stp>BDH|17769120913550186656</stp>
        <tr r="D62" s="21"/>
      </tp>
      <tp t="e">
        <v>#N/A</v>
        <stp/>
        <stp>BDH|13461408292287509811</stp>
        <tr r="F44" s="21"/>
      </tp>
      <tp t="e">
        <v>#N/A</v>
        <stp/>
        <stp>BDH|14679473176737727122</stp>
        <tr r="Y43" s="12"/>
      </tp>
      <tp t="e">
        <v>#N/A</v>
        <stp/>
        <stp>BDH|15521603060756261253</stp>
        <tr r="AA40" s="22"/>
      </tp>
      <tp t="e">
        <v>#N/A</v>
        <stp/>
        <stp>BDH|11797409143623711315</stp>
        <tr r="F19" s="26"/>
      </tp>
      <tp t="e">
        <v>#N/A</v>
        <stp/>
        <stp>BDH|17218700713026318602</stp>
        <tr r="S22" s="17"/>
      </tp>
      <tp t="e">
        <v>#N/A</v>
        <stp/>
        <stp>BDH|17322551534090073005</stp>
        <tr r="X144" s="18"/>
      </tp>
      <tp t="e">
        <v>#N/A</v>
        <stp/>
        <stp>BDH|18235711501676431847</stp>
        <tr r="R20" s="29"/>
      </tp>
      <tp t="e">
        <v>#N/A</v>
        <stp/>
        <stp>BDH|10486123221731422319</stp>
        <tr r="N60" s="11"/>
        <tr r="P15" s="23"/>
      </tp>
      <tp t="e">
        <v>#N/A</v>
        <stp/>
        <stp>BDH|14436232547871286206</stp>
        <tr r="N50" s="12"/>
      </tp>
      <tp t="e">
        <v>#N/A</v>
        <stp/>
        <stp>BDH|12468015054516642054</stp>
        <tr r="H162" s="18"/>
      </tp>
      <tp t="e">
        <v>#N/A</v>
        <stp/>
        <stp>BDH|14080325579750157189</stp>
        <tr r="S51" s="18"/>
      </tp>
      <tp t="e">
        <v>#N/A</v>
        <stp/>
        <stp>BDH|13414707742638179952</stp>
        <tr r="M36" s="22"/>
      </tp>
      <tp t="e">
        <v>#N/A</v>
        <stp/>
        <stp>BDH|11386638447601628331</stp>
        <tr r="S31" s="22"/>
      </tp>
      <tp t="e">
        <v>#N/A</v>
        <stp/>
        <stp>BDH|16232273797449805580</stp>
        <tr r="Q24" s="13"/>
      </tp>
      <tp t="e">
        <v>#N/A</v>
        <stp/>
        <stp>BDH|16155768953297295242</stp>
        <tr r="G138" s="18"/>
      </tp>
      <tp t="e">
        <v>#N/A</v>
        <stp/>
        <stp>BDH|17331681224577977544</stp>
        <tr r="I84" s="18"/>
      </tp>
      <tp t="e">
        <v>#N/A</v>
        <stp/>
        <stp>BDH|18248556996752573718</stp>
        <tr r="C168" s="18"/>
      </tp>
      <tp t="e">
        <v>#N/A</v>
        <stp/>
        <stp>BDH|12685679155831265135</stp>
        <tr r="J18" s="5"/>
        <tr r="J30" s="6"/>
      </tp>
      <tp t="e">
        <v>#N/A</v>
        <stp/>
        <stp>BDH|14434028457585275560</stp>
        <tr r="Z152" s="18"/>
      </tp>
      <tp t="e">
        <v>#N/A</v>
        <stp/>
        <stp>BDH|11198466801624558065</stp>
        <tr r="J45" s="12"/>
      </tp>
      <tp t="e">
        <v>#N/A</v>
        <stp/>
        <stp>BDH|17336227701257466319</stp>
        <tr r="R34" s="10"/>
        <tr r="R28" s="11"/>
      </tp>
      <tp t="e">
        <v>#N/A</v>
        <stp/>
        <stp>BDH|18006918871941194640</stp>
        <tr r="D131" s="18"/>
      </tp>
      <tp t="e">
        <v>#N/A</v>
        <stp/>
        <stp>BDH|16795482321397898639</stp>
        <tr r="T69" s="10"/>
        <tr r="T63" s="11"/>
        <tr r="T20" s="7"/>
      </tp>
      <tp t="e">
        <v>#N/A</v>
        <stp/>
        <stp>BDH|16151611440715427019</stp>
        <tr r="Q40" s="17"/>
      </tp>
      <tp t="e">
        <v>#N/A</v>
        <stp/>
        <stp>BDH|14481413911078861892</stp>
        <tr r="I14" s="11"/>
      </tp>
      <tp t="e">
        <v>#N/A</v>
        <stp/>
        <stp>BDH|15887957005724532984</stp>
        <tr r="X14" s="6"/>
      </tp>
      <tp t="e">
        <v>#N/A</v>
        <stp/>
        <stp>BDH|13705708578932860028</stp>
        <tr r="W18" s="9"/>
      </tp>
      <tp t="e">
        <v>#N/A</v>
        <stp/>
        <stp>BDH|17488293359731423050</stp>
        <tr r="Z77" s="17"/>
      </tp>
      <tp t="e">
        <v>#N/A</v>
        <stp/>
        <stp>BDH|12910532077769985812</stp>
        <tr r="R45" s="24"/>
      </tp>
      <tp t="e">
        <v>#N/A</v>
        <stp/>
        <stp>BDH|14711413557392341678</stp>
        <tr r="O21" s="2"/>
      </tp>
      <tp t="e">
        <v>#N/A</v>
        <stp/>
        <stp>BDH|15154573560644249318</stp>
        <tr r="G21" s="4"/>
      </tp>
      <tp t="e">
        <v>#N/A</v>
        <stp/>
        <stp>BDH|13150046989028974208</stp>
        <tr r="L159" s="18"/>
      </tp>
      <tp t="e">
        <v>#N/A</v>
        <stp/>
        <stp>BDH|10675374470865263061</stp>
        <tr r="V14" s="21"/>
      </tp>
      <tp t="e">
        <v>#N/A</v>
        <stp/>
        <stp>BDH|17458567470944149063</stp>
        <tr r="R159" s="18"/>
      </tp>
      <tp t="e">
        <v>#N/A</v>
        <stp/>
        <stp>BDH|18082365212593558841</stp>
        <tr r="E65" s="17"/>
      </tp>
      <tp t="e">
        <v>#N/A</v>
        <stp/>
        <stp>BDH|17307445322219696962</stp>
        <tr r="W7" s="6"/>
      </tp>
      <tp t="e">
        <v>#N/A</v>
        <stp/>
        <stp>BDH|14676356247387036513</stp>
        <tr r="D38" s="4"/>
        <tr r="D59" s="11"/>
        <tr r="F13" s="23"/>
      </tp>
      <tp t="e">
        <v>#N/A</v>
        <stp/>
        <stp>BDH|15948173713500148494</stp>
        <tr r="F15" s="21"/>
      </tp>
      <tp t="e">
        <v>#N/A</v>
        <stp/>
        <stp>BDH|17327935888002427594</stp>
        <tr r="Y13" s="29"/>
        <tr r="Y22" s="29"/>
        <tr r="Y33" s="29"/>
      </tp>
      <tp t="e">
        <v>#N/A</v>
        <stp/>
        <stp>BDH|11943899974237565849</stp>
        <tr r="R30" s="22"/>
      </tp>
      <tp t="e">
        <v>#N/A</v>
        <stp/>
        <stp>BDH|13648334551431506544</stp>
        <tr r="M41" s="17"/>
      </tp>
      <tp t="e">
        <v>#N/A</v>
        <stp/>
        <stp>BDH|16161157962477254710</stp>
        <tr r="Y26" s="25"/>
        <tr r="Y16" s="27"/>
      </tp>
      <tp t="e">
        <v>#N/A</v>
        <stp/>
        <stp>BDH|10026590637665967222</stp>
        <tr r="Y59" s="21"/>
        <tr r="W56" s="11"/>
      </tp>
      <tp t="e">
        <v>#N/A</v>
        <stp/>
        <stp>BDH|16892448888063524844</stp>
        <tr r="J39" s="4"/>
        <tr r="J65" s="10"/>
      </tp>
      <tp t="e">
        <v>#N/A</v>
        <stp/>
        <stp>BDH|17594006869026006698</stp>
        <tr r="F11" s="18"/>
      </tp>
      <tp t="e">
        <v>#N/A</v>
        <stp/>
        <stp>BDH|16235806912117737920</stp>
        <tr r="P132" s="18"/>
      </tp>
      <tp t="e">
        <v>#N/A</v>
        <stp/>
        <stp>BDH|10458173014156798759</stp>
        <tr r="S50" s="12"/>
      </tp>
      <tp t="e">
        <v>#N/A</v>
        <stp/>
        <stp>BDH|17168417677150038525</stp>
        <tr r="H59" s="12"/>
      </tp>
      <tp t="e">
        <v>#N/A</v>
        <stp/>
        <stp>BDH|17392203268086896466</stp>
        <tr r="E39" s="10"/>
        <tr r="E33" s="11"/>
      </tp>
      <tp t="e">
        <v>#N/A</v>
        <stp/>
        <stp>BDH|15930995563199374255</stp>
        <tr r="S23" s="11"/>
      </tp>
      <tp t="e">
        <v>#N/A</v>
        <stp/>
        <stp>BDH|11852477587939583586</stp>
        <tr r="X26" s="7"/>
      </tp>
      <tp t="e">
        <v>#N/A</v>
        <stp/>
        <stp>BDH|14919178620593380581</stp>
        <tr r="D37" s="6"/>
      </tp>
      <tp t="e">
        <v>#N/A</v>
        <stp/>
        <stp>BDH|11795431136232284557</stp>
        <tr r="T59" s="12"/>
      </tp>
      <tp t="e">
        <v>#N/A</v>
        <stp/>
        <stp>BDH|16575079520460394546</stp>
        <tr r="C42" s="13"/>
      </tp>
      <tp t="e">
        <v>#N/A</v>
        <stp/>
        <stp>BDH|17533056764677566741</stp>
        <tr r="D16" s="10"/>
      </tp>
      <tp t="e">
        <v>#N/A</v>
        <stp/>
        <stp>BDH|12147492374201926102</stp>
        <tr r="L126" s="18"/>
      </tp>
      <tp t="e">
        <v>#N/A</v>
        <stp/>
        <stp>BDH|12181346997291109877</stp>
        <tr r="AA17" s="24"/>
      </tp>
      <tp t="e">
        <v>#N/A</v>
        <stp/>
        <stp>BDH|13005058041220626663</stp>
        <tr r="V19" s="11"/>
      </tp>
      <tp t="e">
        <v>#N/A</v>
        <stp/>
        <stp>BDH|10828967302529826108</stp>
        <tr r="F29" s="4"/>
      </tp>
      <tp t="e">
        <v>#N/A</v>
        <stp/>
        <stp>BDH|15552047713960736512</stp>
        <tr r="R29" s="21"/>
      </tp>
      <tp t="e">
        <v>#N/A</v>
        <stp/>
        <stp>BDH|12389052106082097149</stp>
        <tr r="X14" s="21"/>
      </tp>
      <tp t="e">
        <v>#N/A</v>
        <stp/>
        <stp>BDH|15128410141900517403</stp>
        <tr r="U7" s="23"/>
      </tp>
      <tp t="e">
        <v>#N/A</v>
        <stp/>
        <stp>BDH|10363408448480805173</stp>
        <tr r="E16" s="29"/>
        <tr r="E36" s="29"/>
      </tp>
      <tp t="e">
        <v>#N/A</v>
        <stp/>
        <stp>BDH|17116988140919599286</stp>
        <tr r="C22" s="30"/>
        <tr r="C25" s="23"/>
      </tp>
      <tp t="e">
        <v>#N/A</v>
        <stp/>
        <stp>BDH|12780128515837477400</stp>
        <tr r="L16" s="22"/>
      </tp>
      <tp t="e">
        <v>#N/A</v>
        <stp/>
        <stp>BDH|10144360779533392697</stp>
        <tr r="Y53" s="24"/>
      </tp>
      <tp t="e">
        <v>#N/A</v>
        <stp/>
        <stp>BDH|11026059437643109073</stp>
        <tr r="W10" s="18"/>
      </tp>
      <tp t="e">
        <v>#N/A</v>
        <stp/>
        <stp>BDH|12045976980013456179</stp>
        <tr r="H48" s="18"/>
      </tp>
      <tp t="e">
        <v>#N/A</v>
        <stp/>
        <stp>BDH|10675484178232072028</stp>
        <tr r="O94" s="17"/>
      </tp>
      <tp t="e">
        <v>#N/A</v>
        <stp/>
        <stp>BDH|13873188836327145735</stp>
        <tr r="P26" s="26"/>
      </tp>
      <tp t="e">
        <v>#N/A</v>
        <stp/>
        <stp>BDH|12049463610857365114</stp>
        <tr r="AA66" s="12"/>
      </tp>
      <tp t="e">
        <v>#N/A</v>
        <stp/>
        <stp>BDH|11183345537046243644</stp>
        <tr r="W22" s="11"/>
      </tp>
      <tp t="e">
        <v>#N/A</v>
        <stp/>
        <stp>BDH|14238162984959063542</stp>
        <tr r="F143" s="18"/>
      </tp>
      <tp t="e">
        <v>#N/A</v>
        <stp/>
        <stp>BDH|12334503496509913688</stp>
        <tr r="E19" s="14"/>
      </tp>
      <tp t="e">
        <v>#N/A</v>
        <stp/>
        <stp>BDH|16697977765258007000</stp>
        <tr r="N22" s="27"/>
      </tp>
      <tp t="e">
        <v>#N/A</v>
        <stp/>
        <stp>BDH|17635504836609403902</stp>
        <tr r="W26" s="10"/>
        <tr r="Y31" s="13"/>
      </tp>
      <tp t="e">
        <v>#N/A</v>
        <stp/>
        <stp>BDH|16947355166084912672</stp>
        <tr r="Y41" s="18"/>
      </tp>
      <tp t="e">
        <v>#N/A</v>
        <stp/>
        <stp>BDH|11842948911618900008</stp>
        <tr r="G54" s="18"/>
      </tp>
      <tp t="e">
        <v>#N/A</v>
        <stp/>
        <stp>BDH|13110925535569552176</stp>
        <tr r="H27" s="6"/>
      </tp>
      <tp t="e">
        <v>#N/A</v>
        <stp/>
        <stp>BDH|17998739915075977525</stp>
        <tr r="X13" s="22"/>
      </tp>
      <tp t="e">
        <v>#N/A</v>
        <stp/>
        <stp>BDH|13671516773636805685</stp>
        <tr r="AA98" s="17"/>
        <tr r="AA13" s="28"/>
      </tp>
      <tp t="e">
        <v>#N/A</v>
        <stp/>
        <stp>BDH|18117088524222024998</stp>
        <tr r="F82" s="17"/>
        <tr r="F19" s="3"/>
      </tp>
      <tp t="e">
        <v>#N/A</v>
        <stp/>
        <stp>BDH|17731044172576165745</stp>
        <tr r="H18" s="2"/>
        <tr r="H53" s="4"/>
        <tr r="H45" s="10"/>
        <tr r="H39" s="11"/>
        <tr r="J46" s="13"/>
      </tp>
      <tp t="e">
        <v>#N/A</v>
        <stp/>
        <stp>BDH|18094753474948336161</stp>
        <tr r="D92" s="18"/>
      </tp>
      <tp t="e">
        <v>#N/A</v>
        <stp/>
        <stp>BDH|13649342700740362157</stp>
        <tr r="R55" s="24"/>
      </tp>
      <tp t="e">
        <v>#N/A</v>
        <stp/>
        <stp>BDH|16654916532809085414</stp>
        <tr r="U89" s="18"/>
      </tp>
      <tp t="e">
        <v>#N/A</v>
        <stp/>
        <stp>BDH|11374747690417613952</stp>
        <tr r="U15" s="9"/>
      </tp>
      <tp t="e">
        <v>#N/A</v>
        <stp/>
        <stp>BDH|12650763318887408289</stp>
        <tr r="T16" s="20"/>
      </tp>
      <tp t="e">
        <v>#N/A</v>
        <stp/>
        <stp>BDH|17443681185788458090</stp>
        <tr r="J73" s="18"/>
      </tp>
      <tp t="e">
        <v>#N/A</v>
        <stp/>
        <stp>BDH|17845251176437618496</stp>
        <tr r="C83" s="17"/>
      </tp>
      <tp t="e">
        <v>#N/A</v>
        <stp/>
        <stp>BDH|11114230321347709704</stp>
        <tr r="D6" s="8"/>
      </tp>
      <tp t="e">
        <v>#N/A</v>
        <stp/>
        <stp>BDH|14500579003852127245</stp>
        <tr r="P63" s="24"/>
      </tp>
      <tp t="e">
        <v>#N/A</v>
        <stp/>
        <stp>BDH|15723060514531237432</stp>
        <tr r="G17" s="20"/>
      </tp>
      <tp t="e">
        <v>#N/A</v>
        <stp/>
        <stp>BDH|17509489450891828616</stp>
        <tr r="I30" s="17"/>
      </tp>
      <tp t="e">
        <v>#N/A</v>
        <stp/>
        <stp>BDH|12636710863216076403</stp>
        <tr r="O17" s="4"/>
        <tr r="Q10" s="3"/>
        <tr r="O55" s="10"/>
        <tr r="O49" s="11"/>
        <tr r="O17" s="7"/>
        <tr r="Q49" s="13"/>
      </tp>
      <tp t="e">
        <v>#N/A</v>
        <stp/>
        <stp>BDH|16137436411745561721</stp>
        <tr r="T73" s="18"/>
      </tp>
      <tp t="e">
        <v>#N/A</v>
        <stp/>
        <stp>BDH|16362015570036472621</stp>
        <tr r="R54" s="18"/>
      </tp>
      <tp t="e">
        <v>#N/A</v>
        <stp/>
        <stp>BDH|12652928640679560758</stp>
        <tr r="T16" s="24"/>
      </tp>
      <tp t="e">
        <v>#N/A</v>
        <stp/>
        <stp>BDH|16408743436470473364</stp>
        <tr r="P17" s="24"/>
      </tp>
      <tp t="e">
        <v>#N/A</v>
        <stp/>
        <stp>BDH|16588501488543813919</stp>
        <tr r="N113" s="18"/>
        <tr r="L14" s="20"/>
      </tp>
      <tp t="e">
        <v>#N/A</v>
        <stp/>
        <stp>BDH|11972537220973892464</stp>
        <tr r="X48" s="12"/>
      </tp>
      <tp t="e">
        <v>#N/A</v>
        <stp/>
        <stp>BDH|10805560695408675597</stp>
        <tr r="M19" s="14"/>
      </tp>
      <tp t="e">
        <v>#N/A</v>
        <stp/>
        <stp>BDH|11584430824281762718</stp>
        <tr r="Q20" s="2"/>
        <tr r="Q18" s="4"/>
        <tr r="Q57" s="10"/>
        <tr r="Q51" s="11"/>
        <tr r="Q19" s="7"/>
        <tr r="S57" s="13"/>
      </tp>
      <tp t="e">
        <v>#N/A</v>
        <stp/>
        <stp>BDH|14417064616061281529</stp>
        <tr r="H16" s="22"/>
      </tp>
      <tp t="e">
        <v>#N/A</v>
        <stp/>
        <stp>BDH|11767347565574161109</stp>
        <tr r="K67" s="10"/>
      </tp>
      <tp t="e">
        <v>#N/A</v>
        <stp/>
        <stp>BDH|17185223953070424133</stp>
        <tr r="J29" s="21"/>
      </tp>
      <tp t="e">
        <v>#N/A</v>
        <stp/>
        <stp>BDH|11088486638416196169</stp>
        <tr r="S91" s="17"/>
      </tp>
      <tp t="e">
        <v>#N/A</v>
        <stp/>
        <stp>BDH|11745373645857457060</stp>
        <tr r="J36" s="17"/>
      </tp>
      <tp t="e">
        <v>#N/A</v>
        <stp/>
        <stp>BDH|13995223654074095189</stp>
        <tr r="M43" s="17"/>
      </tp>
      <tp t="e">
        <v>#N/A</v>
        <stp/>
        <stp>BDH|10711812273309181732</stp>
        <tr r="F22" s="5"/>
      </tp>
      <tp t="e">
        <v>#N/A</v>
        <stp/>
        <stp>BDH|13181030961690053441</stp>
        <tr r="W29" s="5"/>
      </tp>
      <tp t="e">
        <v>#N/A</v>
        <stp/>
        <stp>BDH|11754082345297944348</stp>
        <tr r="D34" s="24"/>
      </tp>
      <tp t="e">
        <v>#N/A</v>
        <stp/>
        <stp>BDH|11983075507917852768</stp>
        <tr r="J25" s="12"/>
      </tp>
      <tp t="e">
        <v>#N/A</v>
        <stp/>
        <stp>BDH|10103242186463272868</stp>
        <tr r="X17" s="22"/>
      </tp>
      <tp t="e">
        <v>#N/A</v>
        <stp/>
        <stp>BDH|13835583517557748179</stp>
        <tr r="M51" s="17"/>
      </tp>
      <tp t="e">
        <v>#N/A</v>
        <stp/>
        <stp>BDH|12929853490522387084</stp>
        <tr r="V26" s="25"/>
        <tr r="V16" s="27"/>
      </tp>
      <tp t="e">
        <v>#N/A</v>
        <stp/>
        <stp>BDH|14640724711183685041</stp>
        <tr r="D49" s="4"/>
      </tp>
      <tp t="e">
        <v>#N/A</v>
        <stp/>
        <stp>BDH|10034128394098828191</stp>
        <tr r="Y27" s="17"/>
      </tp>
      <tp t="e">
        <v>#N/A</v>
        <stp/>
        <stp>BDH|17189736604097647672</stp>
        <tr r="T36" s="18"/>
      </tp>
      <tp t="e">
        <v>#N/A</v>
        <stp/>
        <stp>BDH|17980576131264872404</stp>
        <tr r="P95" s="18"/>
      </tp>
      <tp t="e">
        <v>#N/A</v>
        <stp/>
        <stp>BDH|12987467213787369181</stp>
        <tr r="AA82" s="17"/>
        <tr r="AA19" s="3"/>
      </tp>
      <tp t="e">
        <v>#N/A</v>
        <stp/>
        <stp>BDH|13360364832965536756</stp>
        <tr r="Z26" s="29"/>
      </tp>
      <tp t="e">
        <v>#N/A</v>
        <stp/>
        <stp>BDH|12754719862674320606</stp>
        <tr r="X28" s="22"/>
      </tp>
      <tp t="e">
        <v>#N/A</v>
        <stp/>
        <stp>BDH|16636976801788597625</stp>
        <tr r="K38" s="24"/>
      </tp>
      <tp t="e">
        <v>#N/A</v>
        <stp/>
        <stp>BDH|14473905702084492856</stp>
        <tr r="M10" s="13"/>
      </tp>
      <tp t="e">
        <v>#N/A</v>
        <stp/>
        <stp>BDH|16806769701673836300</stp>
        <tr r="G60" s="21"/>
      </tp>
      <tp t="e">
        <v>#N/A</v>
        <stp/>
        <stp>BDH|11555723668755142496</stp>
        <tr r="J35" s="26"/>
      </tp>
      <tp t="e">
        <v>#N/A</v>
        <stp/>
        <stp>BDH|16879240977742403083</stp>
        <tr r="R12" s="30"/>
      </tp>
      <tp t="e">
        <v>#N/A</v>
        <stp/>
        <stp>BDH|17150794216044115483</stp>
        <tr r="I44" s="18"/>
      </tp>
      <tp t="e">
        <v>#N/A</v>
        <stp/>
        <stp>BDH|11139568719304093093</stp>
        <tr r="J15" s="21"/>
      </tp>
      <tp t="e">
        <v>#N/A</v>
        <stp/>
        <stp>BDH|15306141645546140742</stp>
        <tr r="M10" s="10"/>
      </tp>
      <tp t="e">
        <v>#N/A</v>
        <stp/>
        <stp>BDH|14095015369100665399</stp>
        <tr r="E40" s="34"/>
      </tp>
      <tp t="e">
        <v>#N/A</v>
        <stp/>
        <stp>BDH|15595111892054291830</stp>
        <tr r="AA71" s="18"/>
      </tp>
      <tp t="e">
        <v>#N/A</v>
        <stp/>
        <stp>BDH|18066469929348045788</stp>
        <tr r="F28" s="12"/>
      </tp>
      <tp t="e">
        <v>#N/A</v>
        <stp/>
        <stp>BDH|12927781744914320418</stp>
        <tr r="I19" s="6"/>
      </tp>
      <tp t="e">
        <v>#N/A</v>
        <stp/>
        <stp>BDH|15541813262879989380</stp>
        <tr r="D29" s="21"/>
      </tp>
      <tp t="e">
        <v>#N/A</v>
        <stp/>
        <stp>BDH|14460519533835614671</stp>
        <tr r="R139" s="18"/>
      </tp>
      <tp t="e">
        <v>#N/A</v>
        <stp/>
        <stp>BDH|11715151341705661027</stp>
        <tr r="F21" s="5"/>
      </tp>
      <tp t="e">
        <v>#N/A</v>
        <stp/>
        <stp>BDH|17095527014504260638</stp>
        <tr r="S166" s="18"/>
      </tp>
      <tp t="e">
        <v>#N/A</v>
        <stp/>
        <stp>BDH|14742468774751083726</stp>
        <tr r="G54" s="24"/>
      </tp>
      <tp t="e">
        <v>#N/A</v>
        <stp/>
        <stp>BDH|13641049371082404709</stp>
        <tr r="V68" s="17"/>
      </tp>
      <tp t="e">
        <v>#N/A</v>
        <stp/>
        <stp>BDH|15629561406640122103</stp>
        <tr r="F39" s="4"/>
        <tr r="F65" s="10"/>
      </tp>
      <tp t="e">
        <v>#N/A</v>
        <stp/>
        <stp>BDH|10166107143356115247</stp>
        <tr r="D42" s="10"/>
        <tr r="D36" s="11"/>
      </tp>
      <tp t="e">
        <v>#N/A</v>
        <stp/>
        <stp>BDH|14269312162080393059</stp>
        <tr r="Y72" s="10"/>
        <tr r="Y66" s="11"/>
      </tp>
      <tp t="e">
        <v>#N/A</v>
        <stp/>
        <stp>BDH|17454205064004526626</stp>
        <tr r="S15" s="4"/>
      </tp>
      <tp t="e">
        <v>#N/A</v>
        <stp/>
        <stp>BDH|14671005113674366009</stp>
        <tr r="J20" s="18"/>
      </tp>
      <tp t="e">
        <v>#N/A</v>
        <stp/>
        <stp>BDH|10545146547773699766</stp>
        <tr r="Q62" s="24"/>
      </tp>
      <tp t="e">
        <v>#N/A</v>
        <stp/>
        <stp>BDH|10662700571160478159</stp>
        <tr r="R13" s="22"/>
      </tp>
      <tp t="e">
        <v>#N/A</v>
        <stp/>
        <stp>BDH|16865068458635077706</stp>
        <tr r="L36" s="4"/>
      </tp>
      <tp t="e">
        <v>#N/A</v>
        <stp/>
        <stp>BDH|14330871980886356316</stp>
        <tr r="G14" s="26"/>
      </tp>
      <tp t="e">
        <v>#N/A</v>
        <stp/>
        <stp>BDH|13103200160312588424</stp>
        <tr r="R51" s="12"/>
      </tp>
      <tp t="e">
        <v>#N/A</v>
        <stp/>
        <stp>BDH|14558318224160116472</stp>
        <tr r="S29" s="10"/>
        <tr r="U34" s="13"/>
      </tp>
      <tp t="e">
        <v>#N/A</v>
        <stp/>
        <stp>BDH|16602566566757772379</stp>
        <tr r="W15" s="24"/>
      </tp>
      <tp t="e">
        <v>#N/A</v>
        <stp/>
        <stp>BDH|13791032632036877783</stp>
        <tr r="G25" s="3"/>
      </tp>
      <tp t="e">
        <v>#N/A</v>
        <stp/>
        <stp>BDH|14536536297800736901</stp>
        <tr r="U28" s="12"/>
      </tp>
      <tp t="e">
        <v>#N/A</v>
        <stp/>
        <stp>BDH|11917567542472883334</stp>
        <tr r="C20" s="27"/>
      </tp>
      <tp t="e">
        <v>#N/A</v>
        <stp/>
        <stp>BDH|14293426304798765953</stp>
        <tr r="V58" s="21"/>
        <tr r="V33" s="25"/>
        <tr r="T31" s="4"/>
        <tr r="T55" s="11"/>
      </tp>
      <tp t="e">
        <v>#N/A</v>
        <stp/>
        <stp>BDH|12136589419913766418</stp>
        <tr r="U35" s="22"/>
      </tp>
      <tp t="e">
        <v>#N/A</v>
        <stp/>
        <stp>BDH|15412333943633398010</stp>
        <tr r="AA55" s="18"/>
      </tp>
      <tp t="e">
        <v>#N/A</v>
        <stp/>
        <stp>BDH|15273360267313706228</stp>
        <tr r="AA16" s="12"/>
      </tp>
      <tp t="e">
        <v>#N/A</v>
        <stp/>
        <stp>BDH|10572917540758533478</stp>
        <tr r="H163" s="18"/>
      </tp>
      <tp t="e">
        <v>#N/A</v>
        <stp/>
        <stp>BDH|14822287394299398712</stp>
        <tr r="J21" s="5"/>
      </tp>
      <tp t="e">
        <v>#N/A</v>
        <stp/>
        <stp>BDH|10926483725447378011</stp>
        <tr r="E80" s="17"/>
      </tp>
      <tp t="e">
        <v>#N/A</v>
        <stp/>
        <stp>BDH|12040639871582130058</stp>
        <tr r="R54" s="17"/>
      </tp>
      <tp t="e">
        <v>#N/A</v>
        <stp/>
        <stp>BDH|11671114948196892318</stp>
        <tr r="G97" s="17"/>
        <tr r="G7" s="27"/>
      </tp>
      <tp t="e">
        <v>#N/A</v>
        <stp/>
        <stp>BDH|14850651959231627745</stp>
        <tr r="X167" s="18"/>
      </tp>
      <tp t="e">
        <v>#N/A</v>
        <stp/>
        <stp>BDH|10293490738951424713</stp>
        <tr r="O11" s="28"/>
      </tp>
      <tp t="e">
        <v>#N/A</v>
        <stp/>
        <stp>BDH|11138191126084106793</stp>
        <tr r="S10" s="13"/>
      </tp>
      <tp t="e">
        <v>#N/A</v>
        <stp/>
        <stp>BDH|11612326323863367228</stp>
        <tr r="O34" s="6"/>
        <tr r="Q10" s="8"/>
      </tp>
      <tp t="e">
        <v>#N/A</v>
        <stp/>
        <stp>BDH|16729764785369214104</stp>
        <tr r="Q52" s="21"/>
      </tp>
      <tp t="e">
        <v>#N/A</v>
        <stp/>
        <stp>BDH|17886318740593976262</stp>
        <tr r="C83" s="18"/>
      </tp>
      <tp t="e">
        <v>#N/A</v>
        <stp/>
        <stp>BDH|15115392934451340593</stp>
        <tr r="E25" s="22"/>
      </tp>
      <tp t="e">
        <v>#N/A</v>
        <stp/>
        <stp>BDH|10208614544782044117</stp>
        <tr r="P119" s="18"/>
      </tp>
      <tp t="e">
        <v>#N/A</v>
        <stp/>
        <stp>BDH|10869561748372825281</stp>
        <tr r="P17" s="11"/>
      </tp>
      <tp t="e">
        <v>#N/A</v>
        <stp/>
        <stp>BDH|17229473723318225827</stp>
        <tr r="AA48" s="17"/>
      </tp>
      <tp t="e">
        <v>#N/A</v>
        <stp/>
        <stp>BDH|11873885871578389748</stp>
        <tr r="M75" s="12"/>
      </tp>
      <tp t="e">
        <v>#N/A</v>
        <stp/>
        <stp>BDH|12989247846110494590</stp>
        <tr r="N87" s="17"/>
        <tr r="N20" s="3"/>
        <tr r="L6" s="7"/>
      </tp>
      <tp t="e">
        <v>#N/A</v>
        <stp/>
        <stp>BDH|11008316312836184440</stp>
        <tr r="H6" s="27"/>
      </tp>
      <tp t="e">
        <v>#N/A</v>
        <stp/>
        <stp>BDH|11073037987138771050</stp>
        <tr r="Y35" s="22"/>
      </tp>
      <tp t="e">
        <v>#N/A</v>
        <stp/>
        <stp>BDH|18395649876619157166</stp>
        <tr r="V37" s="18"/>
      </tp>
      <tp t="e">
        <v>#N/A</v>
        <stp/>
        <stp>BDH|12812224538200721230</stp>
        <tr r="V29" s="12"/>
      </tp>
      <tp t="e">
        <v>#N/A</v>
        <stp/>
        <stp>BDH|14046238774875477556</stp>
        <tr r="W8" s="8"/>
      </tp>
      <tp t="e">
        <v>#N/A</v>
        <stp/>
        <stp>BDH|16824698643380048548</stp>
        <tr r="D130" s="18"/>
      </tp>
      <tp t="e">
        <v>#N/A</v>
        <stp/>
        <stp>BDH|18441737890735773267</stp>
        <tr r="K13" s="18"/>
      </tp>
      <tp t="e">
        <v>#N/A</v>
        <stp/>
        <stp>BDH|13187618294088706554</stp>
        <tr r="G12" s="7"/>
      </tp>
      <tp t="e">
        <v>#N/A</v>
        <stp/>
        <stp>BDH|16753867999327324128</stp>
        <tr r="R17" s="4"/>
        <tr r="T10" s="3"/>
        <tr r="R55" s="10"/>
        <tr r="R49" s="11"/>
        <tr r="R17" s="7"/>
        <tr r="T49" s="13"/>
      </tp>
      <tp t="e">
        <v>#N/A</v>
        <stp/>
        <stp>BDH|12975676805497190237</stp>
        <tr r="M65" s="24"/>
      </tp>
      <tp t="e">
        <v>#N/A</v>
        <stp/>
        <stp>BDH|11259655629413068779</stp>
        <tr r="I28" s="10"/>
        <tr r="K33" s="13"/>
      </tp>
      <tp t="e">
        <v>#N/A</v>
        <stp/>
        <stp>BDH|11192093231091919290</stp>
        <tr r="S79" s="17"/>
      </tp>
      <tp t="e">
        <v>#N/A</v>
        <stp/>
        <stp>BDH|17860935410946741854</stp>
        <tr r="H57" s="11"/>
      </tp>
      <tp t="e">
        <v>#N/A</v>
        <stp/>
        <stp>BDH|12632990523251318969</stp>
        <tr r="H7" s="21"/>
      </tp>
      <tp t="e">
        <v>#N/A</v>
        <stp/>
        <stp>BDH|11167835589660299003</stp>
        <tr r="M9" s="2"/>
        <tr r="O8" s="25"/>
        <tr r="L10" s="5"/>
      </tp>
      <tp t="e">
        <v>#N/A</v>
        <stp/>
        <stp>BDH|10830641883348492726</stp>
        <tr r="U66" s="18"/>
      </tp>
      <tp t="e">
        <v>#N/A</v>
        <stp/>
        <stp>BDH|14917138502555403152</stp>
        <tr r="G90" s="17"/>
      </tp>
      <tp t="e">
        <v>#N/A</v>
        <stp/>
        <stp>BDH|10390462305504032193</stp>
        <tr r="C40" s="10"/>
        <tr r="C34" s="11"/>
      </tp>
      <tp t="e">
        <v>#N/A</v>
        <stp/>
        <stp>BDH|10411851180177158699</stp>
        <tr r="J8" s="21"/>
      </tp>
      <tp t="e">
        <v>#N/A</v>
        <stp/>
        <stp>BDH|10972235535990754013</stp>
        <tr r="I22" s="26"/>
      </tp>
      <tp t="e">
        <v>#N/A</v>
        <stp/>
        <stp>BDH|14630509817775926413</stp>
        <tr r="L51" s="13"/>
      </tp>
      <tp t="e">
        <v>#N/A</v>
        <stp/>
        <stp>BDH|11959281003993217190</stp>
        <tr r="J43" s="18"/>
      </tp>
      <tp t="e">
        <v>#N/A</v>
        <stp/>
        <stp>BDH|17970271840026704605</stp>
        <tr r="R20" s="6"/>
      </tp>
      <tp t="e">
        <v>#N/A</v>
        <stp/>
        <stp>BDH|13347544449963783002</stp>
        <tr r="M38" s="18"/>
      </tp>
      <tp t="e">
        <v>#N/A</v>
        <stp/>
        <stp>BDH|15783091615915162035</stp>
        <tr r="G20" s="24"/>
      </tp>
      <tp t="e">
        <v>#N/A</v>
        <stp/>
        <stp>BDH|12786628818767248360</stp>
        <tr r="P11" s="11"/>
      </tp>
      <tp t="e">
        <v>#N/A</v>
        <stp/>
        <stp>BDH|13992347202993226247</stp>
        <tr r="D122" s="18"/>
      </tp>
      <tp t="e">
        <v>#N/A</v>
        <stp/>
        <stp>BDH|11883041017059234808</stp>
        <tr r="H8" s="24"/>
      </tp>
      <tp t="e">
        <v>#N/A</v>
        <stp/>
        <stp>BDH|14926597699530359934</stp>
        <tr r="AA57" s="17"/>
        <tr r="AA10" s="25"/>
      </tp>
      <tp t="e">
        <v>#N/A</v>
        <stp/>
        <stp>BDH|17999082542313217188</stp>
        <tr r="Y11" s="18"/>
      </tp>
      <tp t="e">
        <v>#N/A</v>
        <stp/>
        <stp>BDH|13344782773346557441</stp>
        <tr r="F29" s="24"/>
      </tp>
      <tp t="e">
        <v>#N/A</v>
        <stp/>
        <stp>BDH|17233892505716571826</stp>
        <tr r="L7" s="28"/>
      </tp>
      <tp t="e">
        <v>#N/A</v>
        <stp/>
        <stp>BDH|14814075235334455275</stp>
        <tr r="Q24" s="21"/>
      </tp>
      <tp t="e">
        <v>#N/A</v>
        <stp/>
        <stp>BDH|14849603597019396358</stp>
        <tr r="H25" s="10"/>
      </tp>
      <tp t="e">
        <v>#N/A</v>
        <stp/>
        <stp>BDH|17743701749377048274</stp>
        <tr r="P43" s="24"/>
      </tp>
      <tp t="e">
        <v>#N/A</v>
        <stp/>
        <stp>BDH|15166086187005426934</stp>
        <tr r="E41" s="13"/>
      </tp>
      <tp t="e">
        <v>#N/A</v>
        <stp/>
        <stp>BDH|17327748864630381791</stp>
        <tr r="P9" s="27"/>
      </tp>
      <tp t="e">
        <v>#N/A</v>
        <stp/>
        <stp>BDH|10774140759275191029</stp>
        <tr r="Y18" s="30"/>
      </tp>
      <tp t="e">
        <v>#N/A</v>
        <stp/>
        <stp>BDH|17324294913922851791</stp>
        <tr r="Y111" s="18"/>
        <tr r="X12" s="20"/>
      </tp>
      <tp t="e">
        <v>#N/A</v>
        <stp/>
        <stp>BDH|15923128763893097000</stp>
        <tr r="M15" s="12"/>
      </tp>
      <tp t="e">
        <v>#N/A</v>
        <stp/>
        <stp>BDH|14593094220003152453</stp>
        <tr r="U80" s="18"/>
      </tp>
      <tp t="e">
        <v>#N/A</v>
        <stp/>
        <stp>BDH|11370984698876965627</stp>
        <tr r="J23" s="12"/>
      </tp>
      <tp t="e">
        <v>#N/A</v>
        <stp/>
        <stp>BDH|12383222719106693668</stp>
        <tr r="M43" s="12"/>
      </tp>
      <tp t="e">
        <v>#N/A</v>
        <stp/>
        <stp>BDH|13061677333962425580</stp>
        <tr r="M31" s="18"/>
      </tp>
      <tp t="e">
        <v>#N/A</v>
        <stp/>
        <stp>BDH|16824969663509277170</stp>
        <tr r="U43" s="24"/>
      </tp>
      <tp t="e">
        <v>#N/A</v>
        <stp/>
        <stp>BDH|11994452646035545577</stp>
        <tr r="H94" s="18"/>
      </tp>
      <tp t="e">
        <v>#N/A</v>
        <stp/>
        <stp>BDH|16614441068735393016</stp>
        <tr r="X93" s="17"/>
      </tp>
      <tp t="e">
        <v>#N/A</v>
        <stp/>
        <stp>BDH|10187692572027564772</stp>
        <tr r="N17" s="6"/>
      </tp>
      <tp t="e">
        <v>#N/A</v>
        <stp/>
        <stp>BDH|12880221722431053205</stp>
        <tr r="X11" s="11"/>
      </tp>
      <tp t="e">
        <v>#N/A</v>
        <stp/>
        <stp>BDH|11480647065948432898</stp>
        <tr r="K35" s="25"/>
        <tr r="K7" s="3"/>
        <tr r="I18" s="11"/>
        <tr r="K22" s="13"/>
        <tr r="K7" s="13"/>
      </tp>
      <tp t="e">
        <v>#N/A</v>
        <stp/>
        <stp>BDH|14449429715361844136</stp>
        <tr r="I97" s="18"/>
      </tp>
      <tp t="e">
        <v>#N/A</v>
        <stp/>
        <stp>BDH|15713660224920963042</stp>
        <tr r="K154" s="18"/>
      </tp>
      <tp t="e">
        <v>#N/A</v>
        <stp/>
        <stp>BDH|17215689885590287859</stp>
        <tr r="L39" s="10"/>
        <tr r="L33" s="11"/>
      </tp>
      <tp t="e">
        <v>#N/A</v>
        <stp/>
        <stp>BDH|18318105099494260505</stp>
        <tr r="G61" s="24"/>
      </tp>
      <tp t="e">
        <v>#N/A</v>
        <stp/>
        <stp>BDH|13214494601691318711</stp>
        <tr r="W30" s="26"/>
      </tp>
      <tp t="e">
        <v>#N/A</v>
        <stp/>
        <stp>BDH|15426463418121633040</stp>
        <tr r="Y139" s="18"/>
      </tp>
      <tp t="e">
        <v>#N/A</v>
        <stp/>
        <stp>BDH|10927172993769051050</stp>
        <tr r="K8" s="22"/>
      </tp>
      <tp t="e">
        <v>#N/A</v>
        <stp/>
        <stp>BDH|15152568772410911649</stp>
        <tr r="N14" s="22"/>
      </tp>
      <tp t="e">
        <v>#N/A</v>
        <stp/>
        <stp>BDH|10427899091409187956</stp>
        <tr r="C75" s="18"/>
      </tp>
      <tp t="e">
        <v>#N/A</v>
        <stp/>
        <stp>BDH|11622869628442799876</stp>
        <tr r="M25" s="3"/>
      </tp>
      <tp t="e">
        <v>#N/A</v>
        <stp/>
        <stp>BDH|15305190907713519606</stp>
        <tr r="N17" s="13"/>
      </tp>
      <tp t="e">
        <v>#N/A</v>
        <stp/>
        <stp>BDH|15610271186267631991</stp>
        <tr r="Z56" s="12"/>
      </tp>
      <tp t="e">
        <v>#N/A</v>
        <stp/>
        <stp>BDH|13864196228073861296</stp>
        <tr r="R28" s="21"/>
      </tp>
      <tp t="e">
        <v>#N/A</v>
        <stp/>
        <stp>BDH|12170195278014020180</stp>
        <tr r="AA40" s="21"/>
      </tp>
      <tp t="e">
        <v>#N/A</v>
        <stp/>
        <stp>BDH|12063872212788952240</stp>
        <tr r="U15" s="4"/>
      </tp>
      <tp t="e">
        <v>#N/A</v>
        <stp/>
        <stp>BDH|11081785362517286606</stp>
        <tr r="R23" s="21"/>
      </tp>
      <tp t="e">
        <v>#N/A</v>
        <stp/>
        <stp>BDH|18169088713549264108</stp>
        <tr r="Y20" s="11"/>
      </tp>
      <tp t="e">
        <v>#N/A</v>
        <stp/>
        <stp>BDH|15214396292597316926</stp>
        <tr r="U72" s="24"/>
      </tp>
      <tp t="e">
        <v>#N/A</v>
        <stp/>
        <stp>BDH|12651723714682123796</stp>
        <tr r="N30" s="24"/>
      </tp>
      <tp t="e">
        <v>#N/A</v>
        <stp/>
        <stp>BDH|13443969819992406870</stp>
        <tr r="S60" s="11"/>
        <tr r="U15" s="23"/>
      </tp>
      <tp t="e">
        <v>#N/A</v>
        <stp/>
        <stp>BDH|15341484320893623161</stp>
        <tr r="L20" s="22"/>
      </tp>
      <tp t="e">
        <v>#N/A</v>
        <stp/>
        <stp>BDH|13840444352922544106</stp>
        <tr r="C45" s="17"/>
        <tr r="C9" s="25"/>
      </tp>
      <tp t="e">
        <v>#N/A</v>
        <stp/>
        <stp>BDH|17711623689801051974</stp>
        <tr r="J17" s="18"/>
      </tp>
      <tp t="e">
        <v>#N/A</v>
        <stp/>
        <stp>BDH|13871075723213195362</stp>
        <tr r="N70" s="18"/>
      </tp>
      <tp t="e">
        <v>#N/A</v>
        <stp/>
        <stp>BDH|13938034820804767460</stp>
        <tr r="O20" s="12"/>
      </tp>
      <tp t="e">
        <v>#N/A</v>
        <stp/>
        <stp>BDH|18192404376433944954</stp>
        <tr r="R10" s="21"/>
      </tp>
      <tp t="e">
        <v>#N/A</v>
        <stp/>
        <stp>BDH|13641444070679075898</stp>
        <tr r="T27" s="25"/>
        <tr r="Q14" s="5"/>
        <tr r="T17" s="27"/>
      </tp>
      <tp t="e">
        <v>#N/A</v>
        <stp/>
        <stp>BDH|13903246782891719937</stp>
        <tr r="O9" s="27"/>
      </tp>
      <tp t="e">
        <v>#N/A</v>
        <stp/>
        <stp>BDH|13612748719653589758</stp>
        <tr r="T49" s="12"/>
      </tp>
      <tp t="e">
        <v>#N/A</v>
        <stp/>
        <stp>BDH|14005647343107895040</stp>
        <tr r="Z56" s="13"/>
      </tp>
      <tp t="e">
        <v>#N/A</v>
        <stp/>
        <stp>BDH|15575282400500473629</stp>
        <tr r="L7" s="10"/>
      </tp>
      <tp t="e">
        <v>#N/A</v>
        <stp/>
        <stp>BDH|11817047013165698423</stp>
        <tr r="N51" s="10"/>
        <tr r="N45" s="11"/>
        <tr r="N15" s="7"/>
      </tp>
      <tp t="e">
        <v>#N/A</v>
        <stp/>
        <stp>BDH|16762839857863026989</stp>
        <tr r="D160" s="18"/>
      </tp>
      <tp t="e">
        <v>#N/A</v>
        <stp/>
        <stp>BDH|17368911289457069009</stp>
        <tr r="Q13" s="21"/>
      </tp>
      <tp t="e">
        <v>#N/A</v>
        <stp/>
        <stp>BDH|16368256316195241199</stp>
        <tr r="U25" s="17"/>
      </tp>
      <tp t="e">
        <v>#N/A</v>
        <stp/>
        <stp>BDH|18174044889351244056</stp>
        <tr r="F33" s="10"/>
        <tr r="F27" s="11"/>
      </tp>
      <tp t="e">
        <v>#N/A</v>
        <stp/>
        <stp>BDH|13414315501217906664</stp>
        <tr r="S83" s="17"/>
      </tp>
      <tp t="e">
        <v>#N/A</v>
        <stp/>
        <stp>BDH|17457034109613517504</stp>
        <tr r="E66" s="24"/>
      </tp>
      <tp t="e">
        <v>#N/A</v>
        <stp/>
        <stp>BDH|14846674485783847892</stp>
        <tr r="AA124" s="18"/>
      </tp>
      <tp t="e">
        <v>#N/A</v>
        <stp/>
        <stp>BDH|14702550518461368023</stp>
        <tr r="E88" s="18"/>
      </tp>
      <tp t="e">
        <v>#N/A</v>
        <stp/>
        <stp>BDH|16007409992909890319</stp>
        <tr r="U32" s="10"/>
        <tr r="U26" s="11"/>
      </tp>
      <tp t="e">
        <v>#N/A</v>
        <stp/>
        <stp>BDH|15585894379719781293</stp>
        <tr r="U16" s="20"/>
      </tp>
      <tp t="e">
        <v>#N/A</v>
        <stp/>
        <stp>BDH|13857276815506681778</stp>
        <tr r="U16" s="10"/>
      </tp>
      <tp t="e">
        <v>#N/A</v>
        <stp/>
        <stp>BDH|13311398088639938008</stp>
        <tr r="AA18" s="20"/>
      </tp>
      <tp t="e">
        <v>#N/A</v>
        <stp/>
        <stp>BDH|14578716104273929125</stp>
        <tr r="U45" s="21"/>
      </tp>
      <tp t="e">
        <v>#N/A</v>
        <stp/>
        <stp>BDH|12602844718653000916</stp>
        <tr r="H18" s="12"/>
      </tp>
      <tp t="e">
        <v>#N/A</v>
        <stp/>
        <stp>BDH|10027755930012940768</stp>
        <tr r="G19" s="6"/>
      </tp>
      <tp t="e">
        <v>#N/A</v>
        <stp/>
        <stp>BDH|16613199615925029208</stp>
        <tr r="P71" s="24"/>
      </tp>
      <tp t="e">
        <v>#N/A</v>
        <stp/>
        <stp>BDH|11654925795870362085</stp>
        <tr r="P9" s="24"/>
      </tp>
      <tp t="e">
        <v>#N/A</v>
        <stp/>
        <stp>BDH|14312088742676062732</stp>
        <tr r="W40" s="21"/>
      </tp>
      <tp t="e">
        <v>#N/A</v>
        <stp/>
        <stp>BDH|16943199727646910241</stp>
        <tr r="V66" s="10"/>
      </tp>
      <tp t="e">
        <v>#N/A</v>
        <stp/>
        <stp>BDH|13973118363866154308</stp>
        <tr r="V15" s="26"/>
      </tp>
      <tp t="e">
        <v>#N/A</v>
        <stp/>
        <stp>BDH|16316595252456683142</stp>
        <tr r="D8" s="23"/>
      </tp>
      <tp t="e">
        <v>#N/A</v>
        <stp/>
        <stp>BDH|13843536659403172198</stp>
        <tr r="T64" s="17"/>
      </tp>
      <tp t="e">
        <v>#N/A</v>
        <stp/>
        <stp>BDH|14425209201596731182</stp>
        <tr r="Y124" s="18"/>
      </tp>
      <tp t="e">
        <v>#N/A</v>
        <stp/>
        <stp>BDH|10243702161699065999</stp>
        <tr r="Z55" s="17"/>
      </tp>
      <tp t="e">
        <v>#N/A</v>
        <stp/>
        <stp>BDH|15376793004280215368</stp>
        <tr r="C27" s="17"/>
      </tp>
      <tp t="e">
        <v>#N/A</v>
        <stp/>
        <stp>BDH|13041150346877932000</stp>
        <tr r="Z66" s="12"/>
      </tp>
      <tp t="e">
        <v>#N/A</v>
        <stp/>
        <stp>BDH|12717111936116293786</stp>
        <tr r="F38" s="34"/>
      </tp>
      <tp t="e">
        <v>#N/A</v>
        <stp/>
        <stp>BDH|10695562526733414583</stp>
        <tr r="S56" s="18"/>
      </tp>
      <tp t="e">
        <v>#N/A</v>
        <stp/>
        <stp>BDH|17165471869780049459</stp>
        <tr r="W34" s="25"/>
      </tp>
      <tp t="e">
        <v>#N/A</v>
        <stp/>
        <stp>BDH|13891503500737015021</stp>
        <tr r="N17" s="20"/>
      </tp>
      <tp t="e">
        <v>#N/A</v>
        <stp/>
        <stp>BDH|12878952172594346968</stp>
        <tr r="L21" s="4"/>
      </tp>
      <tp t="e">
        <v>#N/A</v>
        <stp/>
        <stp>BDH|17711329930360928665</stp>
        <tr r="S37" s="22"/>
      </tp>
      <tp t="e">
        <v>#N/A</v>
        <stp/>
        <stp>BDH|18199993650274118135</stp>
        <tr r="N41" s="34"/>
      </tp>
      <tp t="e">
        <v>#N/A</v>
        <stp/>
        <stp>BDH|10754982952759465435</stp>
        <tr r="D10" s="28"/>
      </tp>
      <tp t="e">
        <v>#N/A</v>
        <stp/>
        <stp>BDH|13722086552492557526</stp>
        <tr r="I7" s="2"/>
        <tr r="H7" s="5"/>
        <tr r="H7" s="9"/>
        <tr r="K14" s="3"/>
      </tp>
      <tp t="e">
        <v>#N/A</v>
        <stp/>
        <stp>BDH|14482498647796465342</stp>
        <tr r="F15" s="4"/>
      </tp>
      <tp t="e">
        <v>#N/A</v>
        <stp/>
        <stp>BDH|11108670749641120347</stp>
        <tr r="U33" s="10"/>
        <tr r="U27" s="11"/>
      </tp>
      <tp t="e">
        <v>#N/A</v>
        <stp/>
        <stp>BDH|12366536066600862043</stp>
        <tr r="Z38" s="24"/>
      </tp>
      <tp t="e">
        <v>#N/A</v>
        <stp/>
        <stp>BDH|13414151758712545460</stp>
        <tr r="C114" s="18"/>
      </tp>
      <tp t="e">
        <v>#N/A</v>
        <stp/>
        <stp>BDH|17277380335601323760</stp>
        <tr r="Z21" s="25"/>
        <tr r="Z10" s="27"/>
      </tp>
      <tp t="e">
        <v>#N/A</v>
        <stp/>
        <stp>BDH|12633046879782250635</stp>
        <tr r="Y103" s="18"/>
      </tp>
      <tp t="e">
        <v>#N/A</v>
        <stp/>
        <stp>BDH|15065820627286817874</stp>
        <tr r="X54" s="13"/>
      </tp>
      <tp t="e">
        <v>#N/A</v>
        <stp/>
        <stp>BDH|15557805958640070970</stp>
        <tr r="E156" s="18"/>
      </tp>
      <tp t="e">
        <v>#N/A</v>
        <stp/>
        <stp>BDH|13129794803487103202</stp>
        <tr r="M28" s="9"/>
      </tp>
      <tp t="e">
        <v>#N/A</v>
        <stp/>
        <stp>BDH|12514882386564655773</stp>
        <tr r="Q127" s="18"/>
      </tp>
      <tp t="e">
        <v>#N/A</v>
        <stp/>
        <stp>BDH|10553097564135225206</stp>
        <tr r="Y63" s="10"/>
      </tp>
      <tp t="e">
        <v>#N/A</v>
        <stp/>
        <stp>BDH|15066343473371528182</stp>
        <tr r="R23" s="23"/>
      </tp>
      <tp t="e">
        <v>#N/A</v>
        <stp/>
        <stp>BDH|16538501715773818022</stp>
        <tr r="E11" s="3"/>
        <tr r="C49" s="10"/>
        <tr r="C43" s="11"/>
        <tr r="C8" s="7"/>
      </tp>
      <tp t="e">
        <v>#N/A</v>
        <stp/>
        <stp>BDH|10667903044749810505</stp>
        <tr r="N10" s="2"/>
        <tr r="M11" s="5"/>
        <tr r="M36" s="6"/>
        <tr r="P31" s="29"/>
        <tr r="P39" s="29"/>
      </tp>
      <tp t="e">
        <v>#N/A</v>
        <stp/>
        <stp>BDH|10817662866756147735</stp>
        <tr r="G40" s="24"/>
      </tp>
      <tp t="e">
        <v>#N/A</v>
        <stp/>
        <stp>BDH|14910358307184889295</stp>
        <tr r="P21" s="17"/>
      </tp>
      <tp t="e">
        <v>#N/A</v>
        <stp/>
        <stp>BDH|12097981702512887881</stp>
        <tr r="C21" s="27"/>
      </tp>
      <tp t="e">
        <v>#N/A</v>
        <stp/>
        <stp>BDH|11350368601444076795</stp>
        <tr r="O22" s="10"/>
      </tp>
      <tp t="e">
        <v>#N/A</v>
        <stp/>
        <stp>BDH|12666489533662317633</stp>
        <tr r="D11" s="22"/>
      </tp>
      <tp t="e">
        <v>#N/A</v>
        <stp/>
        <stp>BDH|11247271563194272099</stp>
        <tr r="C16" s="21"/>
      </tp>
      <tp t="e">
        <v>#N/A</v>
        <stp/>
        <stp>BDH|13008113369775676039</stp>
        <tr r="F22" s="22"/>
      </tp>
      <tp t="e">
        <v>#N/A</v>
        <stp/>
        <stp>BDH|15798692336778716924</stp>
        <tr r="V9" s="11"/>
      </tp>
      <tp t="e">
        <v>#N/A</v>
        <stp/>
        <stp>BDH|11385755430384967026</stp>
        <tr r="C12" s="11"/>
      </tp>
      <tp t="e">
        <v>#N/A</v>
        <stp/>
        <stp>BDH|17891005854581569241</stp>
        <tr r="R9" s="29"/>
      </tp>
      <tp t="e">
        <v>#N/A</v>
        <stp/>
        <stp>BDH|18237434268979263266</stp>
        <tr r="N16" s="25"/>
      </tp>
      <tp t="e">
        <v>#N/A</v>
        <stp/>
        <stp>BDH|12928551647816163470</stp>
        <tr r="P19" s="11"/>
      </tp>
      <tp t="e">
        <v>#N/A</v>
        <stp/>
        <stp>BDH|16865749721265648764</stp>
        <tr r="G25" s="22"/>
      </tp>
      <tp t="e">
        <v>#N/A</v>
        <stp/>
        <stp>BDH|15918729545152256511</stp>
        <tr r="AA24" s="20"/>
      </tp>
      <tp t="e">
        <v>#N/A</v>
        <stp/>
        <stp>BDH|15876325424323599665</stp>
        <tr r="F26" s="6"/>
      </tp>
      <tp t="e">
        <v>#N/A</v>
        <stp/>
        <stp>BDH|11939194834942127081</stp>
        <tr r="AA20" s="12"/>
      </tp>
      <tp t="e">
        <v>#N/A</v>
        <stp/>
        <stp>BDH|13299591458236959473</stp>
        <tr r="S28" s="5"/>
      </tp>
      <tp t="e">
        <v>#N/A</v>
        <stp/>
        <stp>BDH|16648244135637239189</stp>
        <tr r="Y8" s="22"/>
      </tp>
      <tp t="e">
        <v>#N/A</v>
        <stp/>
        <stp>BDH|18272348582251851314</stp>
        <tr r="C34" s="25"/>
      </tp>
      <tp t="e">
        <v>#N/A</v>
        <stp/>
        <stp>BDH|12113031036469808917</stp>
        <tr r="E29" s="10"/>
        <tr r="G34" s="13"/>
      </tp>
      <tp t="e">
        <v>#N/A</v>
        <stp/>
        <stp>BDH|14427837033686192889</stp>
        <tr r="M50" s="21"/>
      </tp>
      <tp t="e">
        <v>#N/A</v>
        <stp/>
        <stp>BDH|14013564145503879764</stp>
        <tr r="Y50" s="18"/>
      </tp>
      <tp t="e">
        <v>#N/A</v>
        <stp/>
        <stp>BDH|12230061049480452740</stp>
        <tr r="I42" s="13"/>
      </tp>
      <tp t="e">
        <v>#N/A</v>
        <stp/>
        <stp>BDH|14244213349576472536</stp>
        <tr r="AA118" s="18"/>
      </tp>
      <tp t="e">
        <v>#N/A</v>
        <stp/>
        <stp>BDH|10085185617379559879</stp>
        <tr r="M8" s="17"/>
      </tp>
      <tp t="e">
        <v>#N/A</v>
        <stp/>
        <stp>BDH|14747282942262445142</stp>
        <tr r="T37" s="22"/>
      </tp>
      <tp t="e">
        <v>#N/A</v>
        <stp/>
        <stp>BDH|15155761177595507183</stp>
        <tr r="D30" s="22"/>
      </tp>
      <tp t="e">
        <v>#N/A</v>
        <stp/>
        <stp>BDH|18203580123559343773</stp>
        <tr r="S167" s="18"/>
      </tp>
      <tp t="e">
        <v>#N/A</v>
        <stp/>
        <stp>BDH|16336258228806754144</stp>
        <tr r="E20" s="30"/>
      </tp>
      <tp t="e">
        <v>#N/A</v>
        <stp/>
        <stp>BDH|15335225655311814215</stp>
        <tr r="R15" s="10"/>
      </tp>
      <tp t="e">
        <v>#N/A</v>
        <stp/>
        <stp>BDH|15433927148499694059</stp>
        <tr r="T7" s="30"/>
      </tp>
      <tp t="e">
        <v>#N/A</v>
        <stp/>
        <stp>BDH|14535042819982601638</stp>
        <tr r="Q131" s="18"/>
      </tp>
      <tp t="e">
        <v>#N/A</v>
        <stp/>
        <stp>BDH|11854064873557829086</stp>
        <tr r="Y12" s="24"/>
      </tp>
      <tp t="e">
        <v>#N/A</v>
        <stp/>
        <stp>BDH|11459183647113750615</stp>
        <tr r="W25" s="10"/>
      </tp>
      <tp t="e">
        <v>#N/A</v>
        <stp/>
        <stp>BDH|16292831042983843862</stp>
        <tr r="U57" s="17"/>
        <tr r="U10" s="25"/>
      </tp>
      <tp t="e">
        <v>#N/A</v>
        <stp/>
        <stp>BDH|15869340105147794039</stp>
        <tr r="Z28" s="26"/>
      </tp>
      <tp t="e">
        <v>#N/A</v>
        <stp/>
        <stp>BDH|10910779081307350919</stp>
        <tr r="Y11" s="14"/>
      </tp>
      <tp t="e">
        <v>#N/A</v>
        <stp/>
        <stp>BDH|14090767836660590187</stp>
        <tr r="L9" s="18"/>
      </tp>
      <tp t="e">
        <v>#N/A</v>
        <stp/>
        <stp>BDH|15784734929723446249</stp>
        <tr r="AA40" s="17"/>
      </tp>
      <tp t="e">
        <v>#N/A</v>
        <stp/>
        <stp>BDH|15772364148207324475</stp>
        <tr r="P64" s="12"/>
      </tp>
      <tp t="e">
        <v>#N/A</v>
        <stp/>
        <stp>BDH|12933376512977823698</stp>
        <tr r="AA16" s="30"/>
      </tp>
      <tp t="e">
        <v>#N/A</v>
        <stp/>
        <stp>BDH|16643099745207386441</stp>
        <tr r="W9" s="17"/>
      </tp>
      <tp t="e">
        <v>#N/A</v>
        <stp/>
        <stp>BDH|12806396967237843135</stp>
        <tr r="M116" s="18"/>
      </tp>
      <tp t="e">
        <v>#N/A</v>
        <stp/>
        <stp>BDH|13809506233097138370</stp>
        <tr r="E31" s="25"/>
      </tp>
      <tp t="e">
        <v>#N/A</v>
        <stp/>
        <stp>BDH|12908658403997511275</stp>
        <tr r="R23" s="11"/>
      </tp>
      <tp t="e">
        <v>#N/A</v>
        <stp/>
        <stp>BDH|12676668404823956607</stp>
        <tr r="E22" s="20"/>
      </tp>
      <tp t="e">
        <v>#N/A</v>
        <stp/>
        <stp>BDH|16267484822187767620</stp>
        <tr r="G73" s="17"/>
        <tr r="D8" s="5"/>
        <tr r="D8" s="9"/>
      </tp>
      <tp t="e">
        <v>#N/A</v>
        <stp/>
        <stp>BDH|16396194693648599716</stp>
        <tr r="D26" s="24"/>
      </tp>
      <tp t="e">
        <v>#N/A</v>
        <stp/>
        <stp>BDH|11119965014580758890</stp>
        <tr r="I25" s="7"/>
      </tp>
      <tp t="e">
        <v>#N/A</v>
        <stp/>
        <stp>BDH|15138101136977323182</stp>
        <tr r="F56" s="18"/>
      </tp>
      <tp t="e">
        <v>#N/A</v>
        <stp/>
        <stp>BDH|15843565320591276208</stp>
        <tr r="L71" s="10"/>
        <tr r="L65" s="11"/>
      </tp>
      <tp t="e">
        <v>#N/A</v>
        <stp/>
        <stp>BDH|14741084989998261584</stp>
        <tr r="K58" s="18"/>
      </tp>
      <tp t="e">
        <v>#N/A</v>
        <stp/>
        <stp>BDH|11666251017753931018</stp>
        <tr r="R26" s="21"/>
      </tp>
      <tp t="e">
        <v>#N/A</v>
        <stp/>
        <stp>BDH|16326218407064189188</stp>
        <tr r="P116" s="18"/>
      </tp>
      <tp t="e">
        <v>#N/A</v>
        <stp/>
        <stp>BDH|14857896948760063958</stp>
        <tr r="O11" s="14"/>
      </tp>
      <tp t="e">
        <v>#N/A</v>
        <stp/>
        <stp>BDH|18082145820823082985</stp>
        <tr r="N62" s="24"/>
      </tp>
      <tp t="e">
        <v>#N/A</v>
        <stp/>
        <stp>BDH|14886012768257530483</stp>
        <tr r="E94" s="18"/>
      </tp>
      <tp t="e">
        <v>#N/A</v>
        <stp/>
        <stp>BDH|18114182880650039059</stp>
        <tr r="W10" s="28"/>
      </tp>
      <tp t="e">
        <v>#N/A</v>
        <stp/>
        <stp>BDH|15523161502924848153</stp>
        <tr r="Y47" s="21"/>
      </tp>
      <tp t="e">
        <v>#N/A</v>
        <stp/>
        <stp>BDH|16948598081318547286</stp>
        <tr r="V114" s="18"/>
      </tp>
      <tp t="e">
        <v>#N/A</v>
        <stp/>
        <stp>BDH|17455595462617137228</stp>
        <tr r="T98" s="17"/>
        <tr r="T13" s="28"/>
      </tp>
      <tp t="e">
        <v>#N/A</v>
        <stp/>
        <stp>BDH|18366484397611785571</stp>
        <tr r="Z111" s="18"/>
        <tr r="Y12" s="20"/>
      </tp>
      <tp t="e">
        <v>#N/A</v>
        <stp/>
        <stp>BDH|15220889101618010471</stp>
        <tr r="Y35" s="17"/>
      </tp>
      <tp t="e">
        <v>#N/A</v>
        <stp/>
        <stp>BDH|17767202321081304797</stp>
        <tr r="T52" s="18"/>
      </tp>
      <tp t="e">
        <v>#N/A</v>
        <stp/>
        <stp>BDH|11417462058710306157</stp>
        <tr r="W11" s="20"/>
      </tp>
      <tp t="e">
        <v>#N/A</v>
        <stp/>
        <stp>BDH|10541624679581126135</stp>
        <tr r="E35" s="22"/>
      </tp>
      <tp t="e">
        <v>#N/A</v>
        <stp/>
        <stp>BDH|12709886812519199308</stp>
        <tr r="J27" s="21"/>
      </tp>
      <tp t="e">
        <v>#N/A</v>
        <stp/>
        <stp>BDH|15109596227234072731</stp>
        <tr r="M31" s="21"/>
      </tp>
      <tp t="e">
        <v>#N/A</v>
        <stp/>
        <stp>BDH|12110032928988688903</stp>
        <tr r="K14" s="26"/>
      </tp>
      <tp t="e">
        <v>#N/A</v>
        <stp/>
        <stp>BDH|14551031819841642558</stp>
        <tr r="J15" s="5"/>
      </tp>
      <tp t="e">
        <v>#N/A</v>
        <stp/>
        <stp>BDH|13311208877035018288</stp>
        <tr r="L58" s="21"/>
        <tr r="L33" s="25"/>
        <tr r="J31" s="4"/>
        <tr r="J55" s="11"/>
      </tp>
      <tp t="e">
        <v>#N/A</v>
        <stp/>
        <stp>BDH|13010493972713607212</stp>
        <tr r="I9" s="11"/>
      </tp>
      <tp t="e">
        <v>#N/A</v>
        <stp/>
        <stp>BDH|14212760554166934154</stp>
        <tr r="M93" s="17"/>
      </tp>
      <tp t="e">
        <v>#N/A</v>
        <stp/>
        <stp>BDH|14957356973022247311</stp>
        <tr r="U15" s="25"/>
      </tp>
      <tp t="e">
        <v>#N/A</v>
        <stp/>
        <stp>BDH|17940646262937484175</stp>
        <tr r="F14" s="4"/>
      </tp>
      <tp t="e">
        <v>#N/A</v>
        <stp/>
        <stp>BDH|11455866419778157167</stp>
        <tr r="K153" s="18"/>
      </tp>
      <tp t="e">
        <v>#N/A</v>
        <stp/>
        <stp>BDH|14287849416639410580</stp>
        <tr r="K15" s="12"/>
      </tp>
      <tp t="e">
        <v>#N/A</v>
        <stp/>
        <stp>BDH|18209190821332760813</stp>
        <tr r="L95" s="17"/>
        <tr r="L30" s="25"/>
      </tp>
      <tp t="e">
        <v>#N/A</v>
        <stp/>
        <stp>BDH|13524208739401532258</stp>
        <tr r="D20" s="24"/>
      </tp>
      <tp t="e">
        <v>#N/A</v>
        <stp/>
        <stp>BDH|12926174220289270907</stp>
        <tr r="W34" s="12"/>
      </tp>
      <tp t="e">
        <v>#N/A</v>
        <stp/>
        <stp>BDH|15100160842500957104</stp>
        <tr r="K31" s="26"/>
      </tp>
      <tp t="e">
        <v>#N/A</v>
        <stp/>
        <stp>BDH|15978565120225252611</stp>
        <tr r="S54" s="13"/>
      </tp>
      <tp t="e">
        <v>#N/A</v>
        <stp/>
        <stp>BDH|12145651777456946461</stp>
        <tr r="I43" s="17"/>
      </tp>
      <tp t="e">
        <v>#N/A</v>
        <stp/>
        <stp>BDH|12869582980399828741</stp>
        <tr r="X34" s="17"/>
      </tp>
      <tp t="e">
        <v>#N/A</v>
        <stp/>
        <stp>BDH|16078210442332881347</stp>
        <tr r="L20" s="23"/>
      </tp>
      <tp t="e">
        <v>#N/A</v>
        <stp/>
        <stp>BDH|17087403052771530684</stp>
        <tr r="N30" s="29"/>
        <tr r="N8" s="29"/>
      </tp>
      <tp t="e">
        <v>#N/A</v>
        <stp/>
        <stp>BDH|12759286494869588118</stp>
        <tr r="L118" s="18"/>
      </tp>
      <tp t="e">
        <v>#N/A</v>
        <stp/>
        <stp>BDH|11845191746995826004</stp>
        <tr r="D96" s="17"/>
      </tp>
      <tp t="e">
        <v>#N/A</v>
        <stp/>
        <stp>BDH|13889717857497074716</stp>
        <tr r="Y66" s="12"/>
      </tp>
      <tp t="e">
        <v>#N/A</v>
        <stp/>
        <stp>BDH|15692904489325957091</stp>
        <tr r="F21" s="17"/>
      </tp>
      <tp t="e">
        <v>#N/A</v>
        <stp/>
        <stp>BDH|10498803583227014680</stp>
        <tr r="K21" s="26"/>
      </tp>
      <tp t="e">
        <v>#N/A</v>
        <stp/>
        <stp>BDH|10800666501691309639</stp>
        <tr r="E68" s="17"/>
      </tp>
      <tp t="e">
        <v>#N/A</v>
        <stp/>
        <stp>BDH|13701883861405468958</stp>
        <tr r="I64" s="17"/>
      </tp>
      <tp t="e">
        <v>#N/A</v>
        <stp/>
        <stp>BDH|14285288734783174708</stp>
        <tr r="S44" s="12"/>
      </tp>
      <tp t="e">
        <v>#N/A</v>
        <stp/>
        <stp>BDH|12633413527526697394</stp>
        <tr r="U16" s="25"/>
      </tp>
      <tp t="e">
        <v>#N/A</v>
        <stp/>
        <stp>BDH|11098055038957321418</stp>
        <tr r="V33" s="10"/>
        <tr r="V27" s="11"/>
      </tp>
      <tp t="e">
        <v>#N/A</v>
        <stp/>
        <stp>BDH|14743354692127661898</stp>
        <tr r="C24" s="17"/>
      </tp>
      <tp t="e">
        <v>#N/A</v>
        <stp/>
        <stp>BDH|13954006593949628236</stp>
        <tr r="J25" s="18"/>
      </tp>
      <tp t="e">
        <v>#N/A</v>
        <stp/>
        <stp>BDH|12716241338394793634</stp>
        <tr r="M163" s="18"/>
      </tp>
      <tp t="e">
        <v>#N/A</v>
        <stp/>
        <stp>BDH|16550208656571938155</stp>
        <tr r="V16" s="22"/>
      </tp>
      <tp t="e">
        <v>#N/A</v>
        <stp/>
        <stp>BDH|16954299478425769700</stp>
        <tr r="Y41" s="10"/>
        <tr r="Y35" s="11"/>
      </tp>
      <tp t="e">
        <v>#N/A</v>
        <stp/>
        <stp>BDH|11133687853512340168</stp>
        <tr r="M19" s="12"/>
      </tp>
      <tp t="e">
        <v>#N/A</v>
        <stp/>
        <stp>BDH|13532435708425293336</stp>
        <tr r="R99" s="17"/>
      </tp>
      <tp t="e">
        <v>#N/A</v>
        <stp/>
        <stp>BDH|10248150577870662796</stp>
        <tr r="D20" s="27"/>
      </tp>
      <tp t="e">
        <v>#N/A</v>
        <stp/>
        <stp>BDH|16772802881780168788</stp>
        <tr r="Z39" s="22"/>
      </tp>
      <tp t="e">
        <v>#N/A</v>
        <stp/>
        <stp>BDH|14235699516215016725</stp>
        <tr r="X69" s="17"/>
      </tp>
      <tp t="e">
        <v>#N/A</v>
        <stp/>
        <stp>BDH|12531605661507809430</stp>
        <tr r="N50" s="13"/>
      </tp>
      <tp t="e">
        <v>#N/A</v>
        <stp/>
        <stp>BDH|16559203508760551576</stp>
        <tr r="F21" s="4"/>
      </tp>
      <tp t="e">
        <v>#N/A</v>
        <stp/>
        <stp>BDH|17120193486666639976</stp>
        <tr r="L23" s="26"/>
      </tp>
      <tp t="e">
        <v>#N/A</v>
        <stp/>
        <stp>BDH|11092503976926008491</stp>
        <tr r="V48" s="17"/>
      </tp>
      <tp t="e">
        <v>#N/A</v>
        <stp/>
        <stp>BDH|13142583147732871195</stp>
        <tr r="G24" s="4"/>
        <tr r="G58" s="11"/>
      </tp>
      <tp t="e">
        <v>#N/A</v>
        <stp/>
        <stp>BDH|13092641640091901129</stp>
        <tr r="I24" s="29"/>
      </tp>
      <tp t="e">
        <v>#N/A</v>
        <stp/>
        <stp>BDH|10034809468069089673</stp>
        <tr r="I25" s="18"/>
      </tp>
      <tp t="e">
        <v>#N/A</v>
        <stp/>
        <stp>BDH|15800212815445675250</stp>
        <tr r="F45" s="18"/>
      </tp>
      <tp t="e">
        <v>#N/A</v>
        <stp/>
        <stp>BDH|11989770988458995705</stp>
        <tr r="U157" s="18"/>
      </tp>
      <tp t="e">
        <v>#N/A</v>
        <stp/>
        <stp>BDH|16639323268903492177</stp>
        <tr r="W29" s="10"/>
        <tr r="Y34" s="13"/>
      </tp>
      <tp t="e">
        <v>#N/A</v>
        <stp/>
        <stp>BDH|17745447028996349679</stp>
        <tr r="I16" s="20"/>
      </tp>
      <tp t="e">
        <v>#N/A</v>
        <stp/>
        <stp>BDH|15788526132760198297</stp>
        <tr r="Z76" s="12"/>
      </tp>
      <tp t="e">
        <v>#N/A</v>
        <stp/>
        <stp>BDH|10466795700464292208</stp>
        <tr r="AA21" s="18"/>
      </tp>
      <tp t="e">
        <v>#N/A</v>
        <stp/>
        <stp>BDH|18065422487783230685</stp>
        <tr r="K73" s="10"/>
        <tr r="K67" s="11"/>
      </tp>
      <tp t="e">
        <v>#N/A</v>
        <stp/>
        <stp>BDH|10376835689602795318</stp>
        <tr r="V9" s="26"/>
      </tp>
      <tp t="e">
        <v>#N/A</v>
        <stp/>
        <stp>BDH|18233923433776475585</stp>
        <tr r="K65" s="17"/>
      </tp>
      <tp t="e">
        <v>#N/A</v>
        <stp/>
        <stp>BDH|18240105899234413506</stp>
        <tr r="X52" s="10"/>
        <tr r="X46" s="11"/>
        <tr r="X16" s="7"/>
      </tp>
      <tp t="e">
        <v>#N/A</v>
        <stp/>
        <stp>BDH|16850434057197093122</stp>
        <tr r="V42" s="10"/>
        <tr r="V36" s="11"/>
      </tp>
      <tp t="e">
        <v>#N/A</v>
        <stp/>
        <stp>BDH|14128469717145601580</stp>
        <tr r="S39" s="4"/>
        <tr r="S65" s="10"/>
      </tp>
      <tp t="e">
        <v>#N/A</v>
        <stp/>
        <stp>BDH|12316087562947415237</stp>
        <tr r="J10" s="13"/>
      </tp>
      <tp t="e">
        <v>#N/A</v>
        <stp/>
        <stp>BDH|11327429258813221259</stp>
        <tr r="Z33" s="18"/>
      </tp>
      <tp t="e">
        <v>#N/A</v>
        <stp/>
        <stp>BDH|17058108841011925261</stp>
        <tr r="Q9" s="23"/>
      </tp>
      <tp t="e">
        <v>#N/A</v>
        <stp/>
        <stp>BDH|15280286838647473283</stp>
        <tr r="X10" s="24"/>
      </tp>
      <tp t="e">
        <v>#N/A</v>
        <stp/>
        <stp>BDH|16957209116151275536</stp>
        <tr r="R9" s="24"/>
      </tp>
      <tp t="e">
        <v>#N/A</v>
        <stp/>
        <stp>BDH|17633600436497953471</stp>
        <tr r="R17" s="23"/>
      </tp>
      <tp t="e">
        <v>#N/A</v>
        <stp/>
        <stp>BDH|14232711410914508788</stp>
        <tr r="G19" s="12"/>
      </tp>
      <tp t="e">
        <v>#N/A</v>
        <stp/>
        <stp>BDH|14912501272691317664</stp>
        <tr r="I16" s="10"/>
      </tp>
      <tp t="e">
        <v>#N/A</v>
        <stp/>
        <stp>BDH|18096999381360438823</stp>
        <tr r="T19" s="25"/>
        <tr r="R21" s="11"/>
      </tp>
      <tp t="e">
        <v>#N/A</v>
        <stp/>
        <stp>BDH|12069544710512331596</stp>
        <tr r="P19" s="17"/>
      </tp>
      <tp t="e">
        <v>#N/A</v>
        <stp/>
        <stp>BDH|18205313247607804927</stp>
        <tr r="J8" s="10"/>
      </tp>
      <tp t="e">
        <v>#N/A</v>
        <stp/>
        <stp>BDH|11007181875551226717</stp>
        <tr r="L18" s="12"/>
      </tp>
      <tp t="e">
        <v>#N/A</v>
        <stp/>
        <stp>BDH|14143763628573077314</stp>
        <tr r="L108" s="18"/>
        <tr r="J8" s="20"/>
      </tp>
      <tp t="e">
        <v>#N/A</v>
        <stp/>
        <stp>BDH|11246255314560868352</stp>
        <tr r="J10" s="6"/>
      </tp>
      <tp t="e">
        <v>#N/A</v>
        <stp/>
        <stp>BDH|14143783727560466044</stp>
        <tr r="O9" s="21"/>
      </tp>
      <tp t="e">
        <v>#N/A</v>
        <stp/>
        <stp>BDH|10804353576887638238</stp>
        <tr r="O17" s="6"/>
      </tp>
      <tp t="e">
        <v>#N/A</v>
        <stp/>
        <stp>BDH|12878720715402122707</stp>
        <tr r="H9" s="2"/>
        <tr r="J8" s="25"/>
        <tr r="G10" s="5"/>
      </tp>
      <tp t="e">
        <v>#N/A</v>
        <stp/>
        <stp>BDH|12025763308210913494</stp>
        <tr r="O35" s="10"/>
        <tr r="O47" s="10"/>
        <tr r="O29" s="11"/>
        <tr r="O41" s="11"/>
      </tp>
      <tp t="e">
        <v>#N/A</v>
        <stp/>
        <stp>BDH|10446243479737241352</stp>
        <tr r="Z51" s="17"/>
      </tp>
      <tp t="e">
        <v>#N/A</v>
        <stp/>
        <stp>BDH|16600092822082672753</stp>
        <tr r="K23" s="13"/>
      </tp>
      <tp t="e">
        <v>#N/A</v>
        <stp/>
        <stp>BDH|11920581761227759491</stp>
        <tr r="Z99" s="18"/>
      </tp>
      <tp t="e">
        <v>#N/A</v>
        <stp/>
        <stp>BDH|18314735122715518997</stp>
        <tr r="T8" s="23"/>
      </tp>
      <tp t="e">
        <v>#N/A</v>
        <stp/>
        <stp>BDH|15444537847047741292</stp>
        <tr r="C72" s="12"/>
      </tp>
      <tp t="e">
        <v>#N/A</v>
        <stp/>
        <stp>BDH|14533532219465922483</stp>
        <tr r="Q64" s="24"/>
      </tp>
      <tp t="e">
        <v>#N/A</v>
        <stp/>
        <stp>BDH|15496199808592252794</stp>
        <tr r="N18" s="17"/>
      </tp>
      <tp t="e">
        <v>#N/A</v>
        <stp/>
        <stp>BDH|10791439633725034390</stp>
        <tr r="W38" s="6"/>
      </tp>
      <tp t="e">
        <v>#N/A</v>
        <stp/>
        <stp>BDH|14985686137290674710</stp>
        <tr r="F16" s="21"/>
      </tp>
      <tp t="e">
        <v>#N/A</v>
        <stp/>
        <stp>BDH|18022937023021767468</stp>
        <tr r="K34" s="25"/>
      </tp>
      <tp t="e">
        <v>#N/A</v>
        <stp/>
        <stp>BDH|14316277019109490885</stp>
        <tr r="K21" s="9"/>
      </tp>
      <tp t="e">
        <v>#N/A</v>
        <stp/>
        <stp>BDH|11426618262164201340</stp>
        <tr r="D9" s="24"/>
      </tp>
      <tp t="e">
        <v>#N/A</v>
        <stp/>
        <stp>BDH|14443238256443849686</stp>
        <tr r="C7" s="4"/>
      </tp>
      <tp t="e">
        <v>#N/A</v>
        <stp/>
        <stp>BDH|12227436303813706346</stp>
        <tr r="U107" s="18"/>
        <tr r="S7" s="20"/>
      </tp>
      <tp t="e">
        <v>#N/A</v>
        <stp/>
        <stp>BDH|18017603310500969988</stp>
        <tr r="I26" s="22"/>
      </tp>
      <tp t="e">
        <v>#N/A</v>
        <stp/>
        <stp>BDH|15688511896718858783</stp>
        <tr r="S13" s="29"/>
        <tr r="S22" s="29"/>
        <tr r="S33" s="29"/>
      </tp>
      <tp t="e">
        <v>#N/A</v>
        <stp/>
        <stp>BDH|11398835684797562005</stp>
        <tr r="K51" s="17"/>
      </tp>
      <tp t="e">
        <v>#N/A</v>
        <stp/>
        <stp>BDH|11634778017166242756</stp>
        <tr r="P79" s="18"/>
      </tp>
      <tp t="e">
        <v>#N/A</v>
        <stp/>
        <stp>BDH|14564042152801753657</stp>
        <tr r="AA130" s="18"/>
      </tp>
      <tp t="e">
        <v>#N/A</v>
        <stp/>
        <stp>BDH|13908346312833968476</stp>
        <tr r="G91" s="17"/>
      </tp>
      <tp t="e">
        <v>#N/A</v>
        <stp/>
        <stp>BDH|10520419387582525871</stp>
        <tr r="K7" s="14"/>
      </tp>
      <tp t="e">
        <v>#N/A</v>
        <stp/>
        <stp>BDH|13769306642073256168</stp>
        <tr r="H21" s="30"/>
        <tr r="H24" s="23"/>
      </tp>
      <tp t="e">
        <v>#N/A</v>
        <stp/>
        <stp>BDH|10686525007280074325</stp>
        <tr r="Q38" s="18"/>
      </tp>
      <tp t="e">
        <v>#N/A</v>
        <stp/>
        <stp>BDH|11328649514306049621</stp>
        <tr r="J10" s="22"/>
      </tp>
      <tp t="e">
        <v>#N/A</v>
        <stp/>
        <stp>BDH|11248775140682091643</stp>
        <tr r="T72" s="18"/>
      </tp>
      <tp t="e">
        <v>#N/A</v>
        <stp/>
        <stp>BDH|17975689171483766360</stp>
        <tr r="Q14" s="29"/>
        <tr r="Q23" s="29"/>
        <tr r="Q34" s="29"/>
      </tp>
      <tp t="e">
        <v>#N/A</v>
        <stp/>
        <stp>BDH|17221718624500502433</stp>
        <tr r="R134" s="18"/>
      </tp>
      <tp t="e">
        <v>#N/A</v>
        <stp/>
        <stp>BDH|10962282909435159189</stp>
        <tr r="U14" s="28"/>
      </tp>
      <tp t="e">
        <v>#N/A</v>
        <stp/>
        <stp>BDH|10705522022625117479</stp>
        <tr r="R16" s="14"/>
      </tp>
      <tp t="e">
        <v>#N/A</v>
        <stp/>
        <stp>BDH|11074287660496919506</stp>
        <tr r="W41" s="18"/>
      </tp>
      <tp t="e">
        <v>#N/A</v>
        <stp/>
        <stp>BDH|12040562136770854297</stp>
        <tr r="U18" s="23"/>
      </tp>
      <tp t="e">
        <v>#N/A</v>
        <stp/>
        <stp>BDH|11664338807551318508</stp>
        <tr r="T43" s="21"/>
      </tp>
      <tp t="e">
        <v>#N/A</v>
        <stp/>
        <stp>BDH|14516120937789849993</stp>
        <tr r="N41" s="22"/>
      </tp>
      <tp t="e">
        <v>#N/A</v>
        <stp/>
        <stp>BDH|14888790016630295446</stp>
        <tr r="K61" s="18"/>
      </tp>
      <tp t="e">
        <v>#N/A</v>
        <stp/>
        <stp>BDH|15427342296049490038</stp>
        <tr r="Q37" s="22"/>
      </tp>
      <tp t="e">
        <v>#N/A</v>
        <stp/>
        <stp>BDH|18091970713717279179</stp>
        <tr r="AA21" s="24"/>
      </tp>
      <tp t="e">
        <v>#N/A</v>
        <stp/>
        <stp>BDH|15791764983174396805</stp>
        <tr r="R22" s="27"/>
      </tp>
      <tp t="e">
        <v>#N/A</v>
        <stp/>
        <stp>BDH|16223445406844268039</stp>
        <tr r="R43" s="13"/>
      </tp>
      <tp t="e">
        <v>#N/A</v>
        <stp/>
        <stp>BDH|13753676450325822392</stp>
        <tr r="S19" s="26"/>
      </tp>
      <tp t="e">
        <v>#N/A</v>
        <stp/>
        <stp>BDH|15320264046133301617</stp>
        <tr r="L89" s="17"/>
      </tp>
      <tp t="e">
        <v>#N/A</v>
        <stp/>
        <stp>BDH|18349855688777843975</stp>
        <tr r="G67" s="10"/>
      </tp>
      <tp t="e">
        <v>#N/A</v>
        <stp/>
        <stp>BDH|16139856964897889992</stp>
        <tr r="J16" s="20"/>
      </tp>
      <tp t="e">
        <v>#N/A</v>
        <stp/>
        <stp>BDH|13814129924863779580</stp>
        <tr r="U14" s="6"/>
      </tp>
      <tp t="e">
        <v>#N/A</v>
        <stp/>
        <stp>BDH|14367122712394255604</stp>
        <tr r="V30" s="21"/>
      </tp>
      <tp t="e">
        <v>#N/A</v>
        <stp/>
        <stp>BDH|12035459954596705379</stp>
        <tr r="X45" s="12"/>
      </tp>
      <tp t="e">
        <v>#N/A</v>
        <stp/>
        <stp>BDH|15785788840324922474</stp>
        <tr r="Y49" s="12"/>
      </tp>
      <tp t="e">
        <v>#N/A</v>
        <stp/>
        <stp>BDH|14719468077166340749</stp>
        <tr r="L24" s="29"/>
      </tp>
      <tp t="e">
        <v>#N/A</v>
        <stp/>
        <stp>BDH|17743939016331489873</stp>
        <tr r="P42" s="21"/>
      </tp>
      <tp t="e">
        <v>#N/A</v>
        <stp/>
        <stp>BDH|18143825125205345142</stp>
        <tr r="X20" s="17"/>
      </tp>
      <tp t="e">
        <v>#N/A</v>
        <stp/>
        <stp>BDH|10385048415074436377</stp>
        <tr r="U65" s="18"/>
      </tp>
      <tp t="e">
        <v>#N/A</v>
        <stp/>
        <stp>BDH|14441199173411891574</stp>
        <tr r="AA34" s="17"/>
      </tp>
      <tp t="e">
        <v>#N/A</v>
        <stp/>
        <stp>BDH|12237620705534189645</stp>
        <tr r="D65" s="24"/>
      </tp>
      <tp t="e">
        <v>#N/A</v>
        <stp/>
        <stp>BDH|13126511616170503139</stp>
        <tr r="Q7" s="17"/>
      </tp>
      <tp t="e">
        <v>#N/A</v>
        <stp/>
        <stp>BDH|15509891662758684586</stp>
        <tr r="C13" s="29"/>
        <tr r="C22" s="29"/>
        <tr r="C33" s="29"/>
      </tp>
      <tp t="e">
        <v>#N/A</v>
        <stp/>
        <stp>BDH|18426110489493471489</stp>
        <tr r="R38" s="24"/>
      </tp>
      <tp t="e">
        <v>#N/A</v>
        <stp/>
        <stp>BDH|15381446812881794727</stp>
        <tr r="G22" s="9"/>
      </tp>
      <tp t="e">
        <v>#N/A</v>
        <stp/>
        <stp>BDH|16184243023206376651</stp>
        <tr r="Q123" s="18"/>
      </tp>
      <tp t="e">
        <v>#N/A</v>
        <stp/>
        <stp>BDH|15701031302276088565</stp>
        <tr r="C21" s="3"/>
      </tp>
      <tp t="e">
        <v>#N/A</v>
        <stp/>
        <stp>BDH|16791656933501417455</stp>
        <tr r="Q27" s="5"/>
        <tr r="Q27" s="9"/>
      </tp>
      <tp t="e">
        <v>#N/A</v>
        <stp/>
        <stp>BDH|12388032404941185556</stp>
        <tr r="P22" s="26"/>
      </tp>
      <tp t="e">
        <v>#N/A</v>
        <stp/>
        <stp>BDH|11569067844995470633</stp>
        <tr r="M27" s="21"/>
      </tp>
      <tp t="e">
        <v>#N/A</v>
        <stp/>
        <stp>BDH|13927185306885658116</stp>
        <tr r="N151" s="18"/>
      </tp>
      <tp t="e">
        <v>#N/A</v>
        <stp/>
        <stp>BDH|11098003881056537945</stp>
        <tr r="S58" s="24"/>
      </tp>
      <tp t="e">
        <v>#N/A</v>
        <stp/>
        <stp>BDH|10135742869337551094</stp>
        <tr r="R42" s="22"/>
      </tp>
      <tp t="e">
        <v>#N/A</v>
        <stp/>
        <stp>BDH|17723023695300836883</stp>
        <tr r="D8" s="25"/>
      </tp>
      <tp t="e">
        <v>#N/A</v>
        <stp/>
        <stp>BDH|14632761844386660725</stp>
        <tr r="R16" s="25"/>
      </tp>
      <tp t="e">
        <v>#N/A</v>
        <stp/>
        <stp>BDH|14442572266059628834</stp>
        <tr r="S19" s="24"/>
      </tp>
      <tp t="e">
        <v>#N/A</v>
        <stp/>
        <stp>BDH|16497472887988571415</stp>
        <tr r="C24" s="21"/>
      </tp>
      <tp t="e">
        <v>#N/A</v>
        <stp/>
        <stp>BDH|16249607653020754361</stp>
        <tr r="O31" s="26"/>
      </tp>
      <tp t="e">
        <v>#N/A</v>
        <stp/>
        <stp>BDH|14658157050081758740</stp>
        <tr r="Y21" s="27"/>
      </tp>
      <tp t="e">
        <v>#N/A</v>
        <stp/>
        <stp>BDH|12663253330637675253</stp>
        <tr r="M48" s="17"/>
      </tp>
      <tp t="e">
        <v>#N/A</v>
        <stp/>
        <stp>BDH|13064890047461663883</stp>
        <tr r="D31" s="13"/>
      </tp>
      <tp t="e">
        <v>#N/A</v>
        <stp/>
        <stp>BDH|10167130172529038906</stp>
        <tr r="F20" s="5"/>
        <tr r="F20" s="9"/>
      </tp>
      <tp t="e">
        <v>#N/A</v>
        <stp/>
        <stp>BDH|12192516157475343149</stp>
        <tr r="C10" s="21"/>
      </tp>
      <tp t="e">
        <v>#N/A</v>
        <stp/>
        <stp>BDH|12659606602697180558</stp>
        <tr r="Q21" s="5"/>
      </tp>
      <tp t="e">
        <v>#N/A</v>
        <stp/>
        <stp>BDH|11062345174274919794</stp>
        <tr r="Z58" s="21"/>
        <tr r="Z33" s="25"/>
        <tr r="X31" s="4"/>
        <tr r="X55" s="11"/>
      </tp>
      <tp t="e">
        <v>#N/A</v>
        <stp/>
        <stp>BDH|14401265666931718739</stp>
        <tr r="G29" s="12"/>
      </tp>
      <tp t="e">
        <v>#N/A</v>
        <stp/>
        <stp>BDH|16360842077169819680</stp>
        <tr r="K18" s="20"/>
      </tp>
      <tp t="e">
        <v>#N/A</v>
        <stp/>
        <stp>BDH|18393299983406875217</stp>
        <tr r="K26" s="13"/>
      </tp>
      <tp t="e">
        <v>#N/A</v>
        <stp/>
        <stp>BDH|10478278746444192446</stp>
        <tr r="I18" s="17"/>
      </tp>
      <tp t="e">
        <v>#N/A</v>
        <stp/>
        <stp>BDH|10427708362710502739</stp>
        <tr r="AA75" s="18"/>
      </tp>
      <tp t="e">
        <v>#N/A</v>
        <stp/>
        <stp>BDH|12030637498709836234</stp>
        <tr r="E20" s="17"/>
      </tp>
      <tp t="e">
        <v>#N/A</v>
        <stp/>
        <stp>BDH|13953197234323731409</stp>
        <tr r="Z23" s="24"/>
      </tp>
      <tp t="e">
        <v>#N/A</v>
        <stp/>
        <stp>BDH|10684098669165421519</stp>
        <tr r="J10" s="4"/>
        <tr r="I6" s="16"/>
        <tr r="L6" s="3"/>
        <tr r="J6" s="11"/>
      </tp>
      <tp t="e">
        <v>#N/A</v>
        <stp/>
        <stp>BDH|15231651752073590331</stp>
        <tr r="K97" s="18"/>
      </tp>
      <tp t="e">
        <v>#N/A</v>
        <stp/>
        <stp>BDH|15299897838080463840</stp>
        <tr r="T13" s="12"/>
      </tp>
      <tp t="e">
        <v>#N/A</v>
        <stp/>
        <stp>BDH|13572522454214576158</stp>
        <tr r="AA43" s="18"/>
      </tp>
      <tp t="e">
        <v>#N/A</v>
        <stp/>
        <stp>BDH|16168325112194281602</stp>
        <tr r="T48" s="18"/>
      </tp>
      <tp t="e">
        <v>#N/A</v>
        <stp/>
        <stp>BDH|11025051239853767782</stp>
        <tr r="M40" s="24"/>
      </tp>
      <tp t="e">
        <v>#N/A</v>
        <stp/>
        <stp>BDH|13190730206123555122</stp>
        <tr r="X13" s="21"/>
      </tp>
      <tp t="e">
        <v>#N/A</v>
        <stp/>
        <stp>BDH|16617345637160421028</stp>
        <tr r="Y35" s="25"/>
        <tr r="Y7" s="3"/>
        <tr r="W18" s="11"/>
        <tr r="Y22" s="13"/>
        <tr r="Y7" s="13"/>
      </tp>
      <tp t="e">
        <v>#N/A</v>
        <stp/>
        <stp>BDH|17764715523006343258</stp>
        <tr r="M25" s="22"/>
      </tp>
      <tp t="e">
        <v>#N/A</v>
        <stp/>
        <stp>BDH|12052862162069480331</stp>
        <tr r="D42" s="21"/>
      </tp>
      <tp t="e">
        <v>#N/A</v>
        <stp/>
        <stp>BDH|16186912062638375725</stp>
        <tr r="X51" s="18"/>
      </tp>
      <tp t="e">
        <v>#N/A</v>
        <stp/>
        <stp>BDH|12297814626556506836</stp>
        <tr r="G102" s="18"/>
      </tp>
      <tp t="e">
        <v>#N/A</v>
        <stp/>
        <stp>BDH|18104293928536490873</stp>
        <tr r="H66" s="17"/>
      </tp>
      <tp t="e">
        <v>#N/A</v>
        <stp/>
        <stp>BDH|13391860398892980675</stp>
        <tr r="AA120" s="18"/>
      </tp>
      <tp t="e">
        <v>#N/A</v>
        <stp/>
        <stp>BDH|14155451097869078607</stp>
        <tr r="Y9" s="21"/>
      </tp>
      <tp t="e">
        <v>#N/A</v>
        <stp/>
        <stp>BDH|18353695900880118885</stp>
        <tr r="M22" s="11"/>
      </tp>
      <tp t="e">
        <v>#N/A</v>
        <stp/>
        <stp>BDH|15364406972654720457</stp>
        <tr r="H42" s="10"/>
        <tr r="H36" s="11"/>
      </tp>
      <tp t="e">
        <v>#N/A</v>
        <stp/>
        <stp>BDH|15084009153764377232</stp>
        <tr r="D43" s="24"/>
      </tp>
      <tp t="e">
        <v>#N/A</v>
        <stp/>
        <stp>BDH|15126723575544246773</stp>
        <tr r="J47" s="12"/>
      </tp>
      <tp t="e">
        <v>#N/A</v>
        <stp/>
        <stp>BDH|15009477325373262630</stp>
        <tr r="X26" s="24"/>
      </tp>
      <tp t="e">
        <v>#N/A</v>
        <stp/>
        <stp>BDH|14408818518419855268</stp>
        <tr r="V8" s="17"/>
      </tp>
      <tp t="e">
        <v>#N/A</v>
        <stp/>
        <stp>BDH|16964880272457744877</stp>
        <tr r="Q15" s="5"/>
      </tp>
      <tp t="e">
        <v>#N/A</v>
        <stp/>
        <stp>BDH|11825674049225306065</stp>
        <tr r="J39" s="22"/>
      </tp>
      <tp t="e">
        <v>#N/A</v>
        <stp/>
        <stp>BDH|11978417517400810245</stp>
        <tr r="X28" s="18"/>
      </tp>
      <tp t="e">
        <v>#N/A</v>
        <stp/>
        <stp>BDH|10424348986059323468</stp>
        <tr r="X35" s="12"/>
      </tp>
      <tp t="e">
        <v>#N/A</v>
        <stp/>
        <stp>BDH|15035174954361070603</stp>
        <tr r="R78" s="12"/>
      </tp>
      <tp t="e">
        <v>#N/A</v>
        <stp/>
        <stp>BDH|13929952384756979220</stp>
        <tr r="T37" s="21"/>
        <tr r="T24" s="3"/>
      </tp>
      <tp t="e">
        <v>#N/A</v>
        <stp/>
        <stp>BDH|12720207964134079403</stp>
        <tr r="F39" s="34"/>
      </tp>
      <tp t="e">
        <v>#N/A</v>
        <stp/>
        <stp>BDH|13662333887176927881</stp>
        <tr r="G23" s="23"/>
      </tp>
      <tp t="e">
        <v>#N/A</v>
        <stp/>
        <stp>BDH|18133955744681366201</stp>
        <tr r="E61" s="11"/>
        <tr r="G19" s="23"/>
      </tp>
      <tp t="e">
        <v>#N/A</v>
        <stp/>
        <stp>BDH|10181135571242411249</stp>
        <tr r="F9" s="6"/>
      </tp>
      <tp t="e">
        <v>#N/A</v>
        <stp/>
        <stp>BDH|10528909816739522759</stp>
        <tr r="F145" s="18"/>
      </tp>
      <tp t="e">
        <v>#N/A</v>
        <stp/>
        <stp>BDH|13053771908870497283</stp>
        <tr r="L23" s="24"/>
      </tp>
      <tp t="e">
        <v>#N/A</v>
        <stp/>
        <stp>BDH|16329678673823258261</stp>
        <tr r="U17" s="17"/>
        <tr r="U20" s="28"/>
      </tp>
      <tp t="e">
        <v>#N/A</v>
        <stp/>
        <stp>BDH|11826422979992577658</stp>
        <tr r="Y30" s="21"/>
      </tp>
      <tp t="e">
        <v>#N/A</v>
        <stp/>
        <stp>BDH|13448545288121338985</stp>
        <tr r="E15" s="5"/>
      </tp>
      <tp t="e">
        <v>#N/A</v>
        <stp/>
        <stp>BDH|12894322728992728765</stp>
        <tr r="E7" s="34"/>
      </tp>
      <tp t="e">
        <v>#N/A</v>
        <stp/>
        <stp>BDH|17097839285085625436</stp>
        <tr r="K20" s="5"/>
        <tr r="K20" s="9"/>
      </tp>
      <tp t="e">
        <v>#N/A</v>
        <stp/>
        <stp>BDH|15404947310152018933</stp>
        <tr r="AA54" s="18"/>
      </tp>
      <tp t="e">
        <v>#N/A</v>
        <stp/>
        <stp>BDH|10978022719027538042</stp>
        <tr r="R44" s="17"/>
      </tp>
      <tp t="e">
        <v>#N/A</v>
        <stp/>
        <stp>BDH|17021222407747335450</stp>
        <tr r="F111" s="18"/>
        <tr r="D12" s="20"/>
      </tp>
      <tp t="e">
        <v>#N/A</v>
        <stp/>
        <stp>BDH|18366946054182131009</stp>
        <tr r="F68" s="10"/>
      </tp>
      <tp t="e">
        <v>#N/A</v>
        <stp/>
        <stp>BDH|16943149121503744097</stp>
        <tr r="W39" s="22"/>
      </tp>
      <tp t="e">
        <v>#N/A</v>
        <stp/>
        <stp>BDH|14178865241926739833</stp>
        <tr r="E40" s="17"/>
      </tp>
      <tp t="e">
        <v>#N/A</v>
        <stp/>
        <stp>BDH|13662665854110214649</stp>
        <tr r="C44" s="12"/>
      </tp>
      <tp t="e">
        <v>#N/A</v>
        <stp/>
        <stp>BDH|17470903841018171469</stp>
        <tr r="I64" s="24"/>
      </tp>
      <tp t="e">
        <v>#N/A</v>
        <stp/>
        <stp>BDH|17966214960183980631</stp>
        <tr r="U68" s="24"/>
      </tp>
      <tp t="e">
        <v>#N/A</v>
        <stp/>
        <stp>BDH|10185468374976382328</stp>
        <tr r="O51" s="13"/>
      </tp>
      <tp t="e">
        <v>#N/A</v>
        <stp/>
        <stp>BDH|12689490501752405287</stp>
        <tr r="C37" s="10"/>
        <tr r="C31" s="11"/>
        <tr r="E40" s="13"/>
      </tp>
      <tp t="e">
        <v>#N/A</v>
        <stp/>
        <stp>BDH|15315416652192286006</stp>
        <tr r="E9" s="21"/>
      </tp>
      <tp t="e">
        <v>#N/A</v>
        <stp/>
        <stp>BDH|15579639727176155122</stp>
        <tr r="D36" s="4"/>
      </tp>
      <tp t="e">
        <v>#N/A</v>
        <stp/>
        <stp>BDH|15110360722077611518</stp>
        <tr r="J26" s="7"/>
      </tp>
      <tp t="e">
        <v>#N/A</v>
        <stp/>
        <stp>BDH|17654962696611212068</stp>
        <tr r="R6" s="28"/>
      </tp>
      <tp t="e">
        <v>#N/A</v>
        <stp/>
        <stp>BDH|10922312218992056623</stp>
        <tr r="D156" s="18"/>
      </tp>
      <tp t="e">
        <v>#N/A</v>
        <stp/>
        <stp>BDH|10634337848951667094</stp>
        <tr r="I74" s="12"/>
      </tp>
      <tp t="e">
        <v>#N/A</v>
        <stp/>
        <stp>BDH|13272147035621613678</stp>
        <tr r="E12" s="18"/>
      </tp>
      <tp t="e">
        <v>#N/A</v>
        <stp/>
        <stp>BDH|13750508162212423432</stp>
        <tr r="AA115" s="18"/>
      </tp>
      <tp t="e">
        <v>#N/A</v>
        <stp/>
        <stp>BDH|12586066816137395248</stp>
        <tr r="Z16" s="29"/>
        <tr r="Z36" s="29"/>
      </tp>
      <tp t="e">
        <v>#N/A</v>
        <stp/>
        <stp>BDH|17491204791342219851</stp>
        <tr r="Y66" s="10"/>
      </tp>
      <tp t="e">
        <v>#N/A</v>
        <stp/>
        <stp>BDH|14790071636261635027</stp>
        <tr r="X7" s="6"/>
      </tp>
      <tp t="e">
        <v>#N/A</v>
        <stp/>
        <stp>BDH|18171219584394444024</stp>
        <tr r="G10" s="22"/>
      </tp>
      <tp t="e">
        <v>#N/A</v>
        <stp/>
        <stp>BDH|11644208420432768533</stp>
        <tr r="V22" s="11"/>
      </tp>
      <tp t="e">
        <v>#N/A</v>
        <stp/>
        <stp>BDH|10103145449633871069</stp>
        <tr r="D41" s="21"/>
      </tp>
      <tp t="e">
        <v>#N/A</v>
        <stp/>
        <stp>BDH|13381408230210877298</stp>
        <tr r="T26" s="22"/>
      </tp>
      <tp t="e">
        <v>#N/A</v>
        <stp/>
        <stp>BDH|15323265959166856260</stp>
        <tr r="J22" s="22"/>
      </tp>
      <tp t="e">
        <v>#N/A</v>
        <stp/>
        <stp>BDH|15545559512973074400</stp>
        <tr r="J8" s="18"/>
      </tp>
      <tp t="e">
        <v>#N/A</v>
        <stp/>
        <stp>BDH|15704630501255708000</stp>
        <tr r="M51" s="24"/>
      </tp>
      <tp t="e">
        <v>#N/A</v>
        <stp/>
        <stp>BDH|10613005940446020440</stp>
        <tr r="Q26" s="17"/>
      </tp>
      <tp t="e">
        <v>#N/A</v>
        <stp/>
        <stp>BDH|17446662433254430075</stp>
        <tr r="E86" s="18"/>
      </tp>
      <tp t="e">
        <v>#N/A</v>
        <stp/>
        <stp>BDH|16029433851586141711</stp>
        <tr r="O39" s="22"/>
      </tp>
      <tp t="e">
        <v>#N/A</v>
        <stp/>
        <stp>BDH|17838031453727321397</stp>
        <tr r="E62" s="12"/>
      </tp>
      <tp t="e">
        <v>#N/A</v>
        <stp/>
        <stp>BDH|11068154936531964486</stp>
        <tr r="M27" s="25"/>
        <tr r="J14" s="5"/>
        <tr r="M17" s="27"/>
      </tp>
      <tp t="e">
        <v>#N/A</v>
        <stp/>
        <stp>BDH|14342764866515560645</stp>
        <tr r="H97" s="18"/>
      </tp>
      <tp t="e">
        <v>#N/A</v>
        <stp/>
        <stp>BDH|15627843924040762932</stp>
        <tr r="U26" s="24"/>
      </tp>
      <tp t="e">
        <v>#N/A</v>
        <stp/>
        <stp>BDH|16356878542568492404</stp>
        <tr r="F63" s="18"/>
      </tp>
      <tp t="e">
        <v>#N/A</v>
        <stp/>
        <stp>BDH|16212362452374469202</stp>
        <tr r="D16" s="30"/>
      </tp>
      <tp t="e">
        <v>#N/A</v>
        <stp/>
        <stp>BDH|14082455713946715131</stp>
        <tr r="F55" s="18"/>
      </tp>
      <tp t="e">
        <v>#N/A</v>
        <stp/>
        <stp>BDH|13426185744234253484</stp>
        <tr r="X17" s="11"/>
      </tp>
      <tp t="e">
        <v>#N/A</v>
        <stp/>
        <stp>BDH|14268242472996858193</stp>
        <tr r="V80" s="17"/>
      </tp>
      <tp t="e">
        <v>#N/A</v>
        <stp/>
        <stp>BDH|12688135977837095577</stp>
        <tr r="F13" s="2"/>
      </tp>
      <tp t="e">
        <v>#N/A</v>
        <stp/>
        <stp>BDH|13258333740593011149</stp>
        <tr r="H45" s="4"/>
        <tr r="H30" s="10"/>
        <tr r="H24" s="11"/>
        <tr r="J30" s="13"/>
      </tp>
      <tp t="e">
        <v>#N/A</v>
        <stp/>
        <stp>BDH|12091797366265943032</stp>
        <tr r="I40" s="10"/>
        <tr r="I34" s="11"/>
      </tp>
      <tp t="e">
        <v>#N/A</v>
        <stp/>
        <stp>BDH|11883523259216520131</stp>
        <tr r="M32" s="18"/>
      </tp>
      <tp t="e">
        <v>#N/A</v>
        <stp/>
        <stp>BDH|14385981978058449427</stp>
        <tr r="D8" s="8"/>
      </tp>
      <tp t="e">
        <v>#N/A</v>
        <stp/>
        <stp>BDH|11950006341135838659</stp>
        <tr r="D101" s="18"/>
      </tp>
      <tp t="e">
        <v>#N/A</v>
        <stp/>
        <stp>BDH|12190782426551359093</stp>
        <tr r="R89" s="17"/>
      </tp>
      <tp t="e">
        <v>#N/A</v>
        <stp/>
        <stp>BDH|10496309281725181817</stp>
        <tr r="U59" s="17"/>
      </tp>
      <tp t="e">
        <v>#N/A</v>
        <stp/>
        <stp>BDH|17145511945482217228</stp>
        <tr r="M21" s="3"/>
      </tp>
      <tp t="e">
        <v>#N/A</v>
        <stp/>
        <stp>BDH|13622762402580324248</stp>
        <tr r="U10" s="22"/>
      </tp>
      <tp t="e">
        <v>#N/A</v>
        <stp/>
        <stp>BDH|13813489654267630376</stp>
        <tr r="C40" s="22"/>
      </tp>
      <tp t="e">
        <v>#N/A</v>
        <stp/>
        <stp>BDH|10076750332691769359</stp>
        <tr r="N114" s="18"/>
      </tp>
      <tp t="e">
        <v>#N/A</v>
        <stp/>
        <stp>BDH|10166609295658306125</stp>
        <tr r="AA69" s="17"/>
      </tp>
      <tp t="e">
        <v>#N/A</v>
        <stp/>
        <stp>BDH|10166262707647383366</stp>
        <tr r="Q22" s="21"/>
      </tp>
      <tp t="e">
        <v>#N/A</v>
        <stp/>
        <stp>BDH|14595565226060989597</stp>
        <tr r="T9" s="21"/>
      </tp>
      <tp t="e">
        <v>#N/A</v>
        <stp/>
        <stp>BDH|13054004028467920044</stp>
        <tr r="R26" s="25"/>
        <tr r="R16" s="27"/>
      </tp>
      <tp t="e">
        <v>#N/A</v>
        <stp/>
        <stp>BDH|16186211855611986695</stp>
        <tr r="V65" s="18"/>
      </tp>
      <tp t="e">
        <v>#N/A</v>
        <stp/>
        <stp>BDH|12541240273024257553</stp>
        <tr r="W17" s="22"/>
      </tp>
      <tp t="e">
        <v>#N/A</v>
        <stp/>
        <stp>BDH|12318478110673370229</stp>
        <tr r="Z18" s="24"/>
      </tp>
      <tp t="e">
        <v>#N/A</v>
        <stp/>
        <stp>BDH|17296527414203199604</stp>
        <tr r="W40" s="17"/>
      </tp>
      <tp t="e">
        <v>#N/A</v>
        <stp/>
        <stp>BDH|13033630347336477156</stp>
        <tr r="W34" s="26"/>
      </tp>
      <tp t="e">
        <v>#N/A</v>
        <stp/>
        <stp>BDH|15936297445322503756</stp>
        <tr r="M8" s="26"/>
        <tr r="J10" s="9"/>
      </tp>
      <tp t="e">
        <v>#N/A</v>
        <stp/>
        <stp>BDH|17167526593589455410</stp>
        <tr r="C37" s="22"/>
      </tp>
      <tp t="e">
        <v>#N/A</v>
        <stp/>
        <stp>BDH|13457824311464557870</stp>
        <tr r="Z78" s="17"/>
      </tp>
      <tp t="e">
        <v>#N/A</v>
        <stp/>
        <stp>BDH|17104572728401834735</stp>
        <tr r="T20" s="11"/>
      </tp>
      <tp t="e">
        <v>#N/A</v>
        <stp/>
        <stp>BDH|17724630548500878317</stp>
        <tr r="Y33" s="10"/>
        <tr r="Y27" s="11"/>
      </tp>
      <tp t="e">
        <v>#N/A</v>
        <stp/>
        <stp>BDH|18128208840219266169</stp>
        <tr r="K71" s="12"/>
      </tp>
      <tp t="e">
        <v>#N/A</v>
        <stp/>
        <stp>BDH|12609334544690455300</stp>
        <tr r="K138" s="18"/>
      </tp>
      <tp t="e">
        <v>#N/A</v>
        <stp/>
        <stp>BDH|16188837518579844078</stp>
        <tr r="V22" s="24"/>
      </tp>
      <tp t="e">
        <v>#N/A</v>
        <stp/>
        <stp>BDH|10298227813160187571</stp>
        <tr r="Q44" s="21"/>
      </tp>
      <tp t="e">
        <v>#N/A</v>
        <stp/>
        <stp>BDH|10228835294626228125</stp>
        <tr r="Z52" s="21"/>
      </tp>
      <tp t="e">
        <v>#N/A</v>
        <stp/>
        <stp>BDH|11029697432075674787</stp>
        <tr r="E17" s="9"/>
      </tp>
      <tp t="e">
        <v>#N/A</v>
        <stp/>
        <stp>BDH|17744976086406273614</stp>
        <tr r="J11" s="24"/>
      </tp>
      <tp t="e">
        <v>#N/A</v>
        <stp/>
        <stp>BDH|13706676287179561274</stp>
        <tr r="T63" s="24"/>
      </tp>
      <tp t="e">
        <v>#N/A</v>
        <stp/>
        <stp>BDH|13819222439953624713</stp>
        <tr r="Q21" s="3"/>
      </tp>
      <tp t="e">
        <v>#N/A</v>
        <stp/>
        <stp>BDH|12229223705663980584</stp>
        <tr r="M31" s="24"/>
      </tp>
      <tp t="e">
        <v>#N/A</v>
        <stp/>
        <stp>BDH|13876139559314424524</stp>
        <tr r="D7" s="30"/>
      </tp>
      <tp t="e">
        <v>#N/A</v>
        <stp/>
        <stp>BDH|12126166163822519157</stp>
        <tr r="AA16" s="20"/>
      </tp>
      <tp t="e">
        <v>#N/A</v>
        <stp/>
        <stp>BDH|16792639940935534750</stp>
        <tr r="L73" s="17"/>
        <tr r="I8" s="5"/>
        <tr r="I8" s="9"/>
      </tp>
      <tp t="e">
        <v>#N/A</v>
        <stp/>
        <stp>BDH|18178418188780504291</stp>
        <tr r="N72" s="10"/>
        <tr r="N66" s="11"/>
      </tp>
      <tp t="e">
        <v>#N/A</v>
        <stp/>
        <stp>BDH|17630808031749733347</stp>
        <tr r="N35" s="25"/>
        <tr r="N7" s="3"/>
        <tr r="L18" s="11"/>
        <tr r="N22" s="13"/>
        <tr r="N7" s="13"/>
      </tp>
      <tp t="e">
        <v>#N/A</v>
        <stp/>
        <stp>BDH|13113638470057651304</stp>
        <tr r="T152" s="18"/>
      </tp>
      <tp t="e">
        <v>#N/A</v>
        <stp/>
        <stp>BDH|14790636846678658803</stp>
        <tr r="Q110" s="18"/>
        <tr r="O11" s="20"/>
      </tp>
      <tp t="e">
        <v>#N/A</v>
        <stp/>
        <stp>BDH|15783010732051670160</stp>
        <tr r="AA69" s="12"/>
      </tp>
      <tp t="e">
        <v>#N/A</v>
        <stp/>
        <stp>BDH|16193544531751470742</stp>
        <tr r="V6" s="27"/>
      </tp>
      <tp t="e">
        <v>#N/A</v>
        <stp/>
        <stp>BDH|16629314967992454704</stp>
        <tr r="K26" s="17"/>
      </tp>
      <tp t="e">
        <v>#N/A</v>
        <stp/>
        <stp>BDH|16897054725296494488</stp>
        <tr r="R19" s="10"/>
      </tp>
      <tp t="e">
        <v>#N/A</v>
        <stp/>
        <stp>BDH|16759680772664164588</stp>
        <tr r="C56" s="13"/>
      </tp>
      <tp t="e">
        <v>#N/A</v>
        <stp/>
        <stp>BDH|17167934783917312767</stp>
        <tr r="D93" s="18"/>
      </tp>
      <tp t="e">
        <v>#N/A</v>
        <stp/>
        <stp>BDH|15797027851657847180</stp>
        <tr r="I10" s="13"/>
      </tp>
      <tp t="e">
        <v>#N/A</v>
        <stp/>
        <stp>BDH|13800496427635349618</stp>
        <tr r="Q11" s="3"/>
        <tr r="O49" s="10"/>
        <tr r="O43" s="11"/>
        <tr r="O8" s="7"/>
      </tp>
      <tp t="e">
        <v>#N/A</v>
        <stp/>
        <stp>BDH|12711149856051822199</stp>
        <tr r="K51" s="13"/>
      </tp>
      <tp t="e">
        <v>#N/A</v>
        <stp/>
        <stp>BDH|15434232120452236115</stp>
        <tr r="M45" s="18"/>
      </tp>
      <tp t="e">
        <v>#N/A</v>
        <stp/>
        <stp>BDH|16621998596309985942</stp>
        <tr r="X24" s="29"/>
      </tp>
      <tp t="e">
        <v>#N/A</v>
        <stp/>
        <stp>BDH|18136605751508036542</stp>
        <tr r="F15" s="5"/>
      </tp>
      <tp t="e">
        <v>#N/A</v>
        <stp/>
        <stp>BDH|10624326535652144444</stp>
        <tr r="K34" s="10"/>
        <tr r="K28" s="11"/>
      </tp>
      <tp t="e">
        <v>#N/A</v>
        <stp/>
        <stp>BDH|16084418157252508373</stp>
        <tr r="Z37" s="24"/>
      </tp>
      <tp t="e">
        <v>#N/A</v>
        <stp/>
        <stp>BDH|12677218067794300478</stp>
        <tr r="U34" s="10"/>
        <tr r="U28" s="11"/>
      </tp>
      <tp t="e">
        <v>#N/A</v>
        <stp/>
        <stp>BDH|14514511572632069220</stp>
        <tr r="Z131" s="18"/>
      </tp>
      <tp t="e">
        <v>#N/A</v>
        <stp/>
        <stp>BDH|12725130952466600646</stp>
        <tr r="H11" s="29"/>
      </tp>
      <tp t="e">
        <v>#N/A</v>
        <stp/>
        <stp>BDH|14323627739515880248</stp>
        <tr r="L31" s="26"/>
      </tp>
      <tp t="e">
        <v>#N/A</v>
        <stp/>
        <stp>BDH|11800321219060565527</stp>
        <tr r="V10" s="17"/>
      </tp>
      <tp t="e">
        <v>#N/A</v>
        <stp/>
        <stp>BDH|14134620502055734120</stp>
        <tr r="Y33" s="12"/>
      </tp>
      <tp t="e">
        <v>#N/A</v>
        <stp/>
        <stp>BDH|17035005510688098849</stp>
        <tr r="C49" s="4"/>
      </tp>
      <tp t="e">
        <v>#N/A</v>
        <stp/>
        <stp>BDH|13359437308121450081</stp>
        <tr r="E87" s="18"/>
      </tp>
      <tp t="e">
        <v>#N/A</v>
        <stp/>
        <stp>BDH|11594548067796305210</stp>
        <tr r="AA28" s="24"/>
      </tp>
      <tp t="e">
        <v>#N/A</v>
        <stp/>
        <stp>BDH|13846299185928070705</stp>
        <tr r="O40" s="10"/>
        <tr r="O34" s="11"/>
      </tp>
      <tp t="e">
        <v>#N/A</v>
        <stp/>
        <stp>BDH|12934209033720795591</stp>
        <tr r="C60" s="12"/>
      </tp>
      <tp t="e">
        <v>#N/A</v>
        <stp/>
        <stp>BDH|17804675348073392009</stp>
        <tr r="Y21" s="26"/>
      </tp>
      <tp t="e">
        <v>#N/A</v>
        <stp/>
        <stp>BDH|14577132572567068302</stp>
        <tr r="U110" s="18"/>
        <tr r="S11" s="20"/>
      </tp>
      <tp t="e">
        <v>#N/A</v>
        <stp/>
        <stp>BDH|12759304881189432667</stp>
        <tr r="G40" s="22"/>
      </tp>
      <tp t="e">
        <v>#N/A</v>
        <stp/>
        <stp>BDH|12412015476134134762</stp>
        <tr r="D34" s="25"/>
      </tp>
      <tp t="e">
        <v>#N/A</v>
        <stp/>
        <stp>BDH|12714698472982948710</stp>
        <tr r="K126" s="18"/>
      </tp>
      <tp t="e">
        <v>#N/A</v>
        <stp/>
        <stp>BDH|10782720421541353203</stp>
        <tr r="W80" s="17"/>
      </tp>
      <tp t="e">
        <v>#N/A</v>
        <stp/>
        <stp>BDH|16747541488499522499</stp>
        <tr r="F17" s="18"/>
      </tp>
      <tp t="e">
        <v>#N/A</v>
        <stp/>
        <stp>BDH|16624573032974679225</stp>
        <tr r="Q19" s="24"/>
      </tp>
      <tp t="e">
        <v>#N/A</v>
        <stp/>
        <stp>BDH|16130721271183799320</stp>
        <tr r="I18" s="9"/>
      </tp>
      <tp t="e">
        <v>#N/A</v>
        <stp/>
        <stp>BDH|11541759513773662225</stp>
        <tr r="P44" s="24"/>
      </tp>
      <tp t="e">
        <v>#N/A</v>
        <stp/>
        <stp>BDH|14390162363363906681</stp>
        <tr r="AA26" s="24"/>
      </tp>
      <tp t="e">
        <v>#N/A</v>
        <stp/>
        <stp>BDH|17037589168990498235</stp>
        <tr r="N25" s="12"/>
      </tp>
      <tp t="e">
        <v>#N/A</v>
        <stp/>
        <stp>BDH|17286691778624507411</stp>
        <tr r="R34" s="17"/>
      </tp>
      <tp t="e">
        <v>#N/A</v>
        <stp/>
        <stp>BDH|14575110834897517723</stp>
        <tr r="Z126" s="18"/>
      </tp>
      <tp t="e">
        <v>#N/A</v>
        <stp/>
        <stp>BDH|13061708244271011731</stp>
        <tr r="AA17" s="18"/>
      </tp>
      <tp t="e">
        <v>#N/A</v>
        <stp/>
        <stp>BDH|11682015971684662471</stp>
        <tr r="H59" s="17"/>
      </tp>
      <tp t="e">
        <v>#N/A</v>
        <stp/>
        <stp>BDH|16092217101170564225</stp>
        <tr r="O43" s="12"/>
      </tp>
      <tp t="e">
        <v>#N/A</v>
        <stp/>
        <stp>BDH|13644820213595649967</stp>
        <tr r="AA64" s="18"/>
      </tp>
      <tp t="e">
        <v>#N/A</v>
        <stp/>
        <stp>BDH|11515737499840868909</stp>
        <tr r="C158" s="18"/>
      </tp>
      <tp t="e">
        <v>#N/A</v>
        <stp/>
        <stp>BDH|16036163040993505648</stp>
        <tr r="D24" s="26"/>
      </tp>
      <tp t="e">
        <v>#N/A</v>
        <stp/>
        <stp>BDH|11193759694948604118</stp>
        <tr r="H23" s="20"/>
      </tp>
      <tp t="e">
        <v>#N/A</v>
        <stp/>
        <stp>BDH|16445029731605485642</stp>
        <tr r="Q36" s="21"/>
      </tp>
      <tp t="e">
        <v>#N/A</v>
        <stp/>
        <stp>BDH|11440627436035561724</stp>
        <tr r="O98" s="18"/>
      </tp>
      <tp t="e">
        <v>#N/A</v>
        <stp/>
        <stp>BDH|10722796938185231737</stp>
        <tr r="Y63" s="24"/>
      </tp>
      <tp t="e">
        <v>#N/A</v>
        <stp/>
        <stp>BDH|13519323676630413125</stp>
        <tr r="S56" s="12"/>
      </tp>
      <tp t="e">
        <v>#N/A</v>
        <stp/>
        <stp>BDH|10466151306377224026</stp>
        <tr r="T60" s="24"/>
      </tp>
      <tp t="e">
        <v>#N/A</v>
        <stp/>
        <stp>BDH|14257033106277701574</stp>
        <tr r="Z21" s="21"/>
      </tp>
      <tp t="e">
        <v>#N/A</v>
        <stp/>
        <stp>BDH|16668475840907280742</stp>
        <tr r="J11" s="7"/>
      </tp>
      <tp t="e">
        <v>#N/A</v>
        <stp/>
        <stp>BDH|15031321814375758463</stp>
        <tr r="U27" s="25"/>
        <tr r="R14" s="5"/>
        <tr r="U17" s="27"/>
      </tp>
      <tp t="e">
        <v>#N/A</v>
        <stp/>
        <stp>BDH|17228736710074428321</stp>
        <tr r="H74" s="18"/>
      </tp>
      <tp t="e">
        <v>#N/A</v>
        <stp/>
        <stp>BDH|11018043527653370676</stp>
        <tr r="X67" s="24"/>
      </tp>
      <tp t="e">
        <v>#N/A</v>
        <stp/>
        <stp>BDH|18352404631770211973</stp>
        <tr r="F27" s="6"/>
      </tp>
      <tp t="e">
        <v>#N/A</v>
        <stp/>
        <stp>BDH|14441640392799512419</stp>
        <tr r="Q39" s="6"/>
      </tp>
      <tp t="e">
        <v>#N/A</v>
        <stp/>
        <stp>BDH|15282283268553476402</stp>
        <tr r="AA11" s="14"/>
      </tp>
      <tp t="e">
        <v>#N/A</v>
        <stp/>
        <stp>BDH|18333910719537590185</stp>
        <tr r="G19" s="14"/>
      </tp>
      <tp t="e">
        <v>#N/A</v>
        <stp/>
        <stp>BDH|11208944186206664009</stp>
        <tr r="O7" s="21"/>
      </tp>
      <tp t="e">
        <v>#N/A</v>
        <stp/>
        <stp>BDH|16338733055016083431</stp>
        <tr r="Q64" s="17"/>
      </tp>
      <tp t="e">
        <v>#N/A</v>
        <stp/>
        <stp>BDH|17189414214175008124</stp>
        <tr r="T47" s="21"/>
      </tp>
      <tp t="e">
        <v>#N/A</v>
        <stp/>
        <stp>BDH|13785549712988308941</stp>
        <tr r="V52" s="10"/>
        <tr r="V46" s="11"/>
        <tr r="V16" s="7"/>
      </tp>
      <tp t="e">
        <v>#N/A</v>
        <stp/>
        <stp>BDH|13672436080531356809</stp>
        <tr r="T52" s="12"/>
      </tp>
      <tp t="e">
        <v>#N/A</v>
        <stp/>
        <stp>BDH|15075116939291636088</stp>
        <tr r="U17" s="14"/>
      </tp>
      <tp t="e">
        <v>#N/A</v>
        <stp/>
        <stp>BDH|12183769841936540153</stp>
        <tr r="P69" s="17"/>
      </tp>
      <tp t="e">
        <v>#N/A</v>
        <stp/>
        <stp>BDH|14236731747671139019</stp>
        <tr r="E46" s="10"/>
        <tr r="E40" s="11"/>
      </tp>
      <tp t="e">
        <v>#N/A</v>
        <stp/>
        <stp>BDH|16458625637382556728</stp>
        <tr r="F71" s="12"/>
      </tp>
      <tp t="e">
        <v>#N/A</v>
        <stp/>
        <stp>BDH|13411711372585799062</stp>
        <tr r="L13" s="2"/>
      </tp>
      <tp t="e">
        <v>#N/A</v>
        <stp/>
        <stp>BDH|11570768436944281713</stp>
        <tr r="G30" s="12"/>
      </tp>
      <tp t="e">
        <v>#N/A</v>
        <stp/>
        <stp>BDH|11921557276696489387</stp>
        <tr r="Z135" s="18"/>
      </tp>
      <tp t="e">
        <v>#N/A</v>
        <stp/>
        <stp>BDH|15334637696678879486</stp>
        <tr r="Z11" s="21"/>
      </tp>
      <tp t="e">
        <v>#N/A</v>
        <stp/>
        <stp>BDH|16714369818143682192</stp>
        <tr r="G35" s="4"/>
      </tp>
      <tp t="e">
        <v>#N/A</v>
        <stp/>
        <stp>BDH|16277055378423100485</stp>
        <tr r="O22" s="11"/>
      </tp>
      <tp t="e">
        <v>#N/A</v>
        <stp/>
        <stp>BDH|10048116772673778320</stp>
        <tr r="AA165" s="18"/>
      </tp>
      <tp t="e">
        <v>#N/A</v>
        <stp/>
        <stp>BDH|14865926689203451014</stp>
        <tr r="V104" s="18"/>
      </tp>
      <tp t="e">
        <v>#N/A</v>
        <stp/>
        <stp>BDH|17643512086429556526</stp>
        <tr r="F18" s="14"/>
      </tp>
      <tp t="e">
        <v>#N/A</v>
        <stp/>
        <stp>BDH|10758857572158560135</stp>
        <tr r="S46" s="21"/>
      </tp>
      <tp t="e">
        <v>#N/A</v>
        <stp/>
        <stp>BDH|14716226494430155960</stp>
        <tr r="L117" s="18"/>
      </tp>
      <tp t="e">
        <v>#N/A</v>
        <stp/>
        <stp>BDH|14600786579975082711</stp>
        <tr r="K63" s="17"/>
      </tp>
      <tp t="e">
        <v>#N/A</v>
        <stp/>
        <stp>BDH|13423674778303836750</stp>
        <tr r="I42" s="12"/>
      </tp>
      <tp t="e">
        <v>#N/A</v>
        <stp/>
        <stp>BDH|10629127203676573141</stp>
        <tr r="J8" s="12"/>
      </tp>
      <tp t="e">
        <v>#N/A</v>
        <stp/>
        <stp>BDH|12302500415625263525</stp>
        <tr r="X6" s="28"/>
      </tp>
      <tp t="e">
        <v>#N/A</v>
        <stp/>
        <stp>BDH|15669902172178717550</stp>
        <tr r="D17" s="14"/>
      </tp>
      <tp t="e">
        <v>#N/A</v>
        <stp/>
        <stp>BDH|13498022161065853665</stp>
        <tr r="S67" s="12"/>
      </tp>
      <tp t="e">
        <v>#N/A</v>
        <stp/>
        <stp>BDH|11453850585947552082</stp>
        <tr r="O70" s="24"/>
      </tp>
      <tp t="e">
        <v>#N/A</v>
        <stp/>
        <stp>BDH|15434399414742638364</stp>
        <tr r="W69" s="10"/>
        <tr r="W63" s="11"/>
        <tr r="W20" s="7"/>
      </tp>
      <tp t="e">
        <v>#N/A</v>
        <stp/>
        <stp>BDH|12349375826615895037</stp>
        <tr r="V157" s="18"/>
      </tp>
      <tp t="e">
        <v>#N/A</v>
        <stp/>
        <stp>BDH|15953683510851154592</stp>
        <tr r="S111" s="18"/>
        <tr r="Q12" s="20"/>
      </tp>
      <tp t="e">
        <v>#N/A</v>
        <stp/>
        <stp>BDH|10026192470481585154</stp>
        <tr r="X12" s="3"/>
        <tr r="V54" s="10"/>
        <tr r="V48" s="11"/>
        <tr r="V7" s="7"/>
      </tp>
      <tp t="e">
        <v>#N/A</v>
        <stp/>
        <stp>BDH|11053887887947614005</stp>
        <tr r="O39" s="10"/>
        <tr r="O33" s="11"/>
      </tp>
      <tp t="e">
        <v>#N/A</v>
        <stp/>
        <stp>BDH|15520224113761983147</stp>
        <tr r="P7" s="6"/>
      </tp>
      <tp t="e">
        <v>#N/A</v>
        <stp/>
        <stp>BDH|14315365013847935762</stp>
        <tr r="V42" s="4"/>
      </tp>
      <tp t="e">
        <v>#N/A</v>
        <stp/>
        <stp>BDH|11310070528612437719</stp>
        <tr r="E10" s="23"/>
      </tp>
      <tp t="e">
        <v>#N/A</v>
        <stp/>
        <stp>BDH|15928118634784624533</stp>
        <tr r="O28" s="4"/>
      </tp>
      <tp t="e">
        <v>#N/A</v>
        <stp/>
        <stp>BDH|11102751316575377481</stp>
        <tr r="U101" s="18"/>
      </tp>
      <tp t="e">
        <v>#N/A</v>
        <stp/>
        <stp>BDH|14441170244035971271</stp>
        <tr r="M38" s="10"/>
        <tr r="M32" s="11"/>
      </tp>
      <tp t="e">
        <v>#N/A</v>
        <stp/>
        <stp>BDH|10725551422691871013</stp>
        <tr r="V39" s="24"/>
      </tp>
      <tp t="e">
        <v>#N/A</v>
        <stp/>
        <stp>BDH|13580259729015980099</stp>
        <tr r="M59" s="18"/>
      </tp>
      <tp t="e">
        <v>#N/A</v>
        <stp/>
        <stp>BDH|13707006303455877055</stp>
        <tr r="W91" s="18"/>
      </tp>
      <tp t="e">
        <v>#N/A</v>
        <stp/>
        <stp>BDH|10950568700840236341</stp>
        <tr r="U106" s="18"/>
        <tr r="S6" s="20"/>
      </tp>
      <tp t="e">
        <v>#N/A</v>
        <stp/>
        <stp>BDH|10566042359743145001</stp>
        <tr r="U9" s="23"/>
      </tp>
      <tp t="e">
        <v>#N/A</v>
        <stp/>
        <stp>BDH|14428487054585950683</stp>
        <tr r="I28" s="22"/>
      </tp>
      <tp t="e">
        <v>#N/A</v>
        <stp/>
        <stp>BDH|12899276568517965779</stp>
        <tr r="T23" s="11"/>
      </tp>
      <tp t="e">
        <v>#N/A</v>
        <stp/>
        <stp>BDH|15238936964028458485</stp>
        <tr r="P11" s="18"/>
      </tp>
      <tp t="e">
        <v>#N/A</v>
        <stp/>
        <stp>BDH|11758167717455700283</stp>
        <tr r="P12" s="3"/>
        <tr r="N54" s="10"/>
        <tr r="N48" s="11"/>
        <tr r="N7" s="7"/>
      </tp>
      <tp t="e">
        <v>#N/A</v>
        <stp/>
        <stp>BDH|13082181541573004309</stp>
        <tr r="J10" s="24"/>
      </tp>
      <tp t="e">
        <v>#N/A</v>
        <stp/>
        <stp>BDH|16155665910080663783</stp>
        <tr r="F35" s="22"/>
      </tp>
      <tp t="e">
        <v>#N/A</v>
        <stp/>
        <stp>BDH|15095745549900690029</stp>
        <tr r="S40" s="24"/>
      </tp>
      <tp t="e">
        <v>#N/A</v>
        <stp/>
        <stp>BDH|10837628732987070411</stp>
        <tr r="M30" s="29"/>
        <tr r="M8" s="29"/>
      </tp>
      <tp t="e">
        <v>#N/A</v>
        <stp/>
        <stp>BDH|18371942173284446488</stp>
        <tr r="P78" s="12"/>
      </tp>
      <tp t="e">
        <v>#N/A</v>
        <stp/>
        <stp>BDH|15165995693347135428</stp>
        <tr r="W15" s="29"/>
        <tr r="W35" s="29"/>
      </tp>
      <tp t="e">
        <v>#N/A</v>
        <stp/>
        <stp>BDH|10731142759391486360</stp>
        <tr r="G7" s="34"/>
      </tp>
      <tp t="e">
        <v>#N/A</v>
        <stp/>
        <stp>BDH|11455560841031394786</stp>
        <tr r="W8" s="14"/>
      </tp>
      <tp t="e">
        <v>#N/A</v>
        <stp/>
        <stp>BDH|15686834573988979478</stp>
        <tr r="C23" s="12"/>
      </tp>
      <tp t="e">
        <v>#N/A</v>
        <stp/>
        <stp>BDH|11684826296791382798</stp>
        <tr r="R61" s="21"/>
      </tp>
      <tp t="e">
        <v>#N/A</v>
        <stp/>
        <stp>BDH|17072703142494917638</stp>
        <tr r="N31" s="24"/>
      </tp>
      <tp t="e">
        <v>#N/A</v>
        <stp/>
        <stp>BDH|11660586741643465539</stp>
        <tr r="N18" s="10"/>
        <tr r="P16" s="13"/>
        <tr r="P27" s="13"/>
      </tp>
      <tp t="e">
        <v>#N/A</v>
        <stp/>
        <stp>BDH|14505291479892556584</stp>
        <tr r="N72" s="18"/>
      </tp>
      <tp t="e">
        <v>#N/A</v>
        <stp/>
        <stp>BDH|15454570579198390915</stp>
        <tr r="K57" s="24"/>
      </tp>
      <tp t="e">
        <v>#N/A</v>
        <stp/>
        <stp>BDH|16618950309469186035</stp>
        <tr r="M29" s="12"/>
      </tp>
      <tp t="e">
        <v>#N/A</v>
        <stp/>
        <stp>BDH|12715583271940014662</stp>
        <tr r="K30" s="17"/>
      </tp>
      <tp t="e">
        <v>#N/A</v>
        <stp/>
        <stp>BDH|11246677675725140398</stp>
        <tr r="H8" s="23"/>
      </tp>
      <tp t="e">
        <v>#N/A</v>
        <stp/>
        <stp>BDH|10910416648862987418</stp>
        <tr r="Z9" s="27"/>
      </tp>
      <tp t="e">
        <v>#N/A</v>
        <stp/>
        <stp>BDH|17050745313804833374</stp>
        <tr r="Z49" s="21"/>
      </tp>
      <tp t="e">
        <v>#N/A</v>
        <stp/>
        <stp>BDH|15253484133586534249</stp>
        <tr r="D13" s="29"/>
        <tr r="D22" s="29"/>
        <tr r="D33" s="29"/>
      </tp>
      <tp t="e">
        <v>#N/A</v>
        <stp/>
        <stp>BDH|17085905593039858836</stp>
        <tr r="V28" s="9"/>
      </tp>
      <tp t="e">
        <v>#N/A</v>
        <stp/>
        <stp>BDH|13111082466802207155</stp>
        <tr r="AA35" s="25"/>
        <tr r="AA7" s="3"/>
        <tr r="Y18" s="11"/>
        <tr r="AA22" s="13"/>
        <tr r="AA7" s="13"/>
      </tp>
      <tp t="e">
        <v>#N/A</v>
        <stp/>
        <stp>BDH|15840552183309483723</stp>
        <tr r="U37" s="18"/>
      </tp>
      <tp t="e">
        <v>#N/A</v>
        <stp/>
        <stp>BDH|15558383373811746617</stp>
        <tr r="V71" s="10"/>
        <tr r="V65" s="11"/>
      </tp>
      <tp t="e">
        <v>#N/A</v>
        <stp/>
        <stp>BDH|15776456656477581590</stp>
        <tr r="U41" s="13"/>
      </tp>
      <tp t="e">
        <v>#N/A</v>
        <stp/>
        <stp>BDH|14486855670815081890</stp>
        <tr r="Z47" s="24"/>
      </tp>
      <tp t="e">
        <v>#N/A</v>
        <stp/>
        <stp>BDH|10296207325607928169</stp>
        <tr r="W20" s="24"/>
      </tp>
      <tp t="e">
        <v>#N/A</v>
        <stp/>
        <stp>BDH|10952367630491643713</stp>
        <tr r="Q65" s="18"/>
      </tp>
      <tp t="e">
        <v>#N/A</v>
        <stp/>
        <stp>BDH|11945246160005562605</stp>
        <tr r="Z55" s="13"/>
      </tp>
      <tp t="e">
        <v>#N/A</v>
        <stp/>
        <stp>BDH|10310160553330966275</stp>
        <tr r="AA55" s="12"/>
      </tp>
      <tp t="e">
        <v>#N/A</v>
        <stp/>
        <stp>BDH|12754713756707891109</stp>
        <tr r="N36" s="17"/>
      </tp>
      <tp t="e">
        <v>#N/A</v>
        <stp/>
        <stp>BDH|17791921804741184980</stp>
        <tr r="F87" s="18"/>
      </tp>
      <tp t="e">
        <v>#N/A</v>
        <stp/>
        <stp>BDH|11223093010704666256</stp>
        <tr r="U76" s="12"/>
      </tp>
      <tp t="e">
        <v>#N/A</v>
        <stp/>
        <stp>BDH|16679391683762049940</stp>
        <tr r="Z21" s="24"/>
      </tp>
      <tp t="e">
        <v>#N/A</v>
        <stp/>
        <stp>BDH|14143006850702818511</stp>
        <tr r="I68" s="10"/>
      </tp>
      <tp t="e">
        <v>#N/A</v>
        <stp/>
        <stp>BDH|10989425856420491715</stp>
        <tr r="T22" s="21"/>
      </tp>
      <tp t="e">
        <v>#N/A</v>
        <stp/>
        <stp>BDH|11821757514351172005</stp>
        <tr r="E8" s="2"/>
      </tp>
      <tp t="e">
        <v>#N/A</v>
        <stp/>
        <stp>BDH|17388191667225267346</stp>
        <tr r="C73" s="18"/>
      </tp>
      <tp t="e">
        <v>#N/A</v>
        <stp/>
        <stp>BDH|14948338900502603372</stp>
        <tr r="V13" s="8"/>
      </tp>
      <tp t="e">
        <v>#N/A</v>
        <stp/>
        <stp>BDH|16615651143753958128</stp>
        <tr r="L17" s="14"/>
      </tp>
      <tp t="e">
        <v>#N/A</v>
        <stp/>
        <stp>BDH|14088087731149323816</stp>
        <tr r="Q9" s="12"/>
      </tp>
      <tp t="e">
        <v>#N/A</v>
        <stp/>
        <stp>BDH|16370658342067674591</stp>
        <tr r="Z26" s="22"/>
      </tp>
      <tp t="e">
        <v>#N/A</v>
        <stp/>
        <stp>BDH|10188124098738114612</stp>
        <tr r="S27" s="26"/>
        <tr r="P14" s="9"/>
      </tp>
      <tp t="e">
        <v>#N/A</v>
        <stp/>
        <stp>BDH|13638769891148805323</stp>
        <tr r="F13" s="8"/>
      </tp>
      <tp t="e">
        <v>#N/A</v>
        <stp/>
        <stp>BDH|17918678753526249447</stp>
        <tr r="Y70" s="18"/>
      </tp>
      <tp t="e">
        <v>#N/A</v>
        <stp/>
        <stp>BDH|18313584486145127679</stp>
        <tr r="E20" s="24"/>
      </tp>
      <tp t="e">
        <v>#N/A</v>
        <stp/>
        <stp>BDH|13816636563320139529</stp>
        <tr r="V163" s="18"/>
      </tp>
      <tp t="e">
        <v>#N/A</v>
        <stp/>
        <stp>BDH|17962953386094120409</stp>
        <tr r="K43" s="12"/>
      </tp>
      <tp t="e">
        <v>#N/A</v>
        <stp/>
        <stp>BDH|15218778869002234054</stp>
        <tr r="O56" s="13"/>
      </tp>
      <tp t="e">
        <v>#N/A</v>
        <stp/>
        <stp>BDH|14230786232686695057</stp>
        <tr r="V15" s="18"/>
      </tp>
      <tp t="e">
        <v>#N/A</v>
        <stp/>
        <stp>BDH|18035231299597930289</stp>
        <tr r="G30" s="29"/>
        <tr r="G8" s="29"/>
      </tp>
      <tp t="e">
        <v>#N/A</v>
        <stp/>
        <stp>BDH|14094001356443804451</stp>
        <tr r="H91" s="17"/>
      </tp>
      <tp t="e">
        <v>#N/A</v>
        <stp/>
        <stp>BDH|14750723450673845369</stp>
        <tr r="D21" s="4"/>
      </tp>
      <tp t="e">
        <v>#N/A</v>
        <stp/>
        <stp>BDH|14160464103565935369</stp>
        <tr r="F26" s="18"/>
      </tp>
      <tp t="e">
        <v>#N/A</v>
        <stp/>
        <stp>BDH|11241047497046887827</stp>
        <tr r="J30" s="21"/>
      </tp>
      <tp t="e">
        <v>#N/A</v>
        <stp/>
        <stp>BDH|14817439848481821302</stp>
        <tr r="K28" s="26"/>
      </tp>
      <tp t="e">
        <v>#N/A</v>
        <stp/>
        <stp>BDH|13699681913153107175</stp>
        <tr r="H149" s="18"/>
      </tp>
      <tp t="e">
        <v>#N/A</v>
        <stp/>
        <stp>BDH|14924009442983801581</stp>
        <tr r="K111" s="18"/>
        <tr r="I12" s="20"/>
      </tp>
      <tp t="e">
        <v>#N/A</v>
        <stp/>
        <stp>BDH|10033115401737974025</stp>
        <tr r="Y57" s="17"/>
        <tr r="Y10" s="25"/>
      </tp>
      <tp t="e">
        <v>#N/A</v>
        <stp/>
        <stp>BDH|13258938088124769059</stp>
        <tr r="H16" s="17"/>
        <tr r="H19" s="28"/>
      </tp>
      <tp t="e">
        <v>#N/A</v>
        <stp/>
        <stp>BDH|17750108236021392297</stp>
        <tr r="N21" s="25"/>
        <tr r="N10" s="27"/>
      </tp>
      <tp t="e">
        <v>#N/A</v>
        <stp/>
        <stp>BDH|10250163125287940232</stp>
        <tr r="AA14" s="13"/>
      </tp>
      <tp t="e">
        <v>#N/A</v>
        <stp/>
        <stp>BDH|17833534030106344130</stp>
        <tr r="R14" s="30"/>
      </tp>
      <tp t="e">
        <v>#N/A</v>
        <stp/>
        <stp>BDH|13354470970553935562</stp>
        <tr r="M67" s="10"/>
      </tp>
      <tp t="e">
        <v>#N/A</v>
        <stp/>
        <stp>BDH|12732088934433764479</stp>
        <tr r="P110" s="18"/>
        <tr r="N11" s="20"/>
      </tp>
      <tp t="e">
        <v>#N/A</v>
        <stp/>
        <stp>BDH|16547018530937664493</stp>
        <tr r="G80" s="17"/>
      </tp>
      <tp t="e">
        <v>#N/A</v>
        <stp/>
        <stp>BDH|10942569477932728641</stp>
        <tr r="I46" s="12"/>
      </tp>
      <tp t="e">
        <v>#N/A</v>
        <stp/>
        <stp>BDH|12616949847670895960</stp>
        <tr r="D151" s="18"/>
      </tp>
      <tp t="e">
        <v>#N/A</v>
        <stp/>
        <stp>BDH|11854924361700459844</stp>
        <tr r="V73" s="17"/>
        <tr r="S8" s="5"/>
        <tr r="S8" s="9"/>
      </tp>
      <tp t="e">
        <v>#N/A</v>
        <stp/>
        <stp>BDH|11897849343548504312</stp>
        <tr r="L145" s="18"/>
      </tp>
      <tp t="e">
        <v>#N/A</v>
        <stp/>
        <stp>BDH|16134837259739540452</stp>
        <tr r="S72" s="24"/>
      </tp>
      <tp t="e">
        <v>#N/A</v>
        <stp/>
        <stp>BDH|13245111137220904763</stp>
        <tr r="S33" s="10"/>
        <tr r="S27" s="11"/>
      </tp>
      <tp t="e">
        <v>#N/A</v>
        <stp/>
        <stp>BDH|14420269279930916788</stp>
        <tr r="V7" s="11"/>
      </tp>
      <tp t="e">
        <v>#N/A</v>
        <stp/>
        <stp>BDH|16933268821590278063</stp>
        <tr r="W41" s="12"/>
      </tp>
      <tp t="e">
        <v>#N/A</v>
        <stp/>
        <stp>BDH|15199049809842475125</stp>
        <tr r="U74" s="18"/>
      </tp>
      <tp t="e">
        <v>#N/A</v>
        <stp/>
        <stp>BDH|12237110208707276239</stp>
        <tr r="I13" s="18"/>
      </tp>
      <tp t="e">
        <v>#N/A</v>
        <stp/>
        <stp>BDH|10671272719092787754</stp>
        <tr r="I8" s="22"/>
      </tp>
      <tp t="e">
        <v>#N/A</v>
        <stp/>
        <stp>BDH|11412581833259229879</stp>
        <tr r="O10" s="21"/>
      </tp>
      <tp t="e">
        <v>#N/A</v>
        <stp/>
        <stp>BDH|14557684716987874297</stp>
        <tr r="Z90" s="18"/>
      </tp>
      <tp t="e">
        <v>#N/A</v>
        <stp/>
        <stp>BDH|11345755739694793726</stp>
        <tr r="Q75" s="12"/>
      </tp>
      <tp t="e">
        <v>#N/A</v>
        <stp/>
        <stp>BDH|11684534892538585389</stp>
        <tr r="Z19" s="24"/>
      </tp>
      <tp t="e">
        <v>#N/A</v>
        <stp/>
        <stp>BDH|18250689437239658214</stp>
        <tr r="D87" s="18"/>
      </tp>
      <tp t="e">
        <v>#N/A</v>
        <stp/>
        <stp>BDH|15804266504002598351</stp>
        <tr r="N49" s="17"/>
      </tp>
      <tp t="e">
        <v>#N/A</v>
        <stp/>
        <stp>BDH|15337179710784847764</stp>
        <tr r="P16" s="17"/>
        <tr r="P19" s="28"/>
      </tp>
      <tp t="e">
        <v>#N/A</v>
        <stp/>
        <stp>BDH|17655641738473488744</stp>
        <tr r="R64" s="17"/>
      </tp>
      <tp t="e">
        <v>#N/A</v>
        <stp/>
        <stp>BDH|17541297053211697734</stp>
        <tr r="F45" s="13"/>
      </tp>
      <tp t="e">
        <v>#N/A</v>
        <stp/>
        <stp>BDH|10649778809568337916</stp>
        <tr r="G19" s="26"/>
      </tp>
      <tp t="e">
        <v>#N/A</v>
        <stp/>
        <stp>BDH|15771281553741508532</stp>
        <tr r="G23" s="24"/>
      </tp>
      <tp t="e">
        <v>#N/A</v>
        <stp/>
        <stp>BDH|13956374256074276705</stp>
        <tr r="O32" s="22"/>
      </tp>
      <tp t="e">
        <v>#N/A</v>
        <stp/>
        <stp>BDH|10960466040350421612</stp>
        <tr r="Q17" s="4"/>
        <tr r="S10" s="3"/>
        <tr r="Q55" s="10"/>
        <tr r="Q49" s="11"/>
        <tr r="Q17" s="7"/>
        <tr r="S49" s="13"/>
      </tp>
      <tp t="e">
        <v>#N/A</v>
        <stp/>
        <stp>BDH|12712215961211903144</stp>
        <tr r="U13" s="17"/>
        <tr r="U16" s="28"/>
      </tp>
      <tp t="e">
        <v>#N/A</v>
        <stp/>
        <stp>BDH|10118343246720919106</stp>
        <tr r="U19" s="26"/>
      </tp>
      <tp t="e">
        <v>#N/A</v>
        <stp/>
        <stp>BDH|13848427423860125328</stp>
        <tr r="V19" s="6"/>
      </tp>
      <tp t="e">
        <v>#N/A</v>
        <stp/>
        <stp>BDH|18294115229839031406</stp>
        <tr r="T28" s="22"/>
      </tp>
      <tp t="e">
        <v>#N/A</v>
        <stp/>
        <stp>BDH|14740692542278663803</stp>
        <tr r="T147" s="18"/>
      </tp>
      <tp t="e">
        <v>#N/A</v>
        <stp/>
        <stp>BDH|10827100382188817782</stp>
        <tr r="D15" s="5"/>
      </tp>
      <tp t="e">
        <v>#N/A</v>
        <stp/>
        <stp>BDH|17426391894209039232</stp>
        <tr r="AA32" s="18"/>
      </tp>
      <tp t="e">
        <v>#N/A</v>
        <stp/>
        <stp>BDH|14670625364762256080</stp>
        <tr r="X31" s="10"/>
        <tr r="X25" s="11"/>
      </tp>
      <tp t="e">
        <v>#N/A</v>
        <stp/>
        <stp>BDH|13808813110084526866</stp>
        <tr r="D15" s="10"/>
      </tp>
      <tp t="e">
        <v>#N/A</v>
        <stp/>
        <stp>BDH|12359154515635949104</stp>
        <tr r="Y63" s="18"/>
      </tp>
      <tp t="e">
        <v>#N/A</v>
        <stp/>
        <stp>BDH|11566092006165913293</stp>
        <tr r="D10" s="13"/>
      </tp>
      <tp t="e">
        <v>#N/A</v>
        <stp/>
        <stp>BDH|17076686937360753421</stp>
        <tr r="G64" s="17"/>
      </tp>
      <tp t="e">
        <v>#N/A</v>
        <stp/>
        <stp>BDH|14002741736247836105</stp>
        <tr r="C97" s="18"/>
      </tp>
      <tp t="e">
        <v>#N/A</v>
        <stp/>
        <stp>BDH|17115043969226507134</stp>
        <tr r="R55" s="18"/>
      </tp>
      <tp t="e">
        <v>#N/A</v>
        <stp/>
        <stp>BDH|10509279648152782274</stp>
        <tr r="N22" s="9"/>
      </tp>
      <tp t="e">
        <v>#N/A</v>
        <stp/>
        <stp>BDH|13044452054476802236</stp>
        <tr r="R20" s="17"/>
      </tp>
      <tp t="e">
        <v>#N/A</v>
        <stp/>
        <stp>BDH|12404119296764847861</stp>
        <tr r="K59" s="24"/>
      </tp>
      <tp t="e">
        <v>#N/A</v>
        <stp/>
        <stp>BDH|10823760719469284985</stp>
        <tr r="C17" s="14"/>
      </tp>
      <tp t="e">
        <v>#N/A</v>
        <stp/>
        <stp>BDH|14886935501362048973</stp>
        <tr r="N7" s="24"/>
      </tp>
      <tp t="e">
        <v>#N/A</v>
        <stp/>
        <stp>BDH|11764471839461338179</stp>
        <tr r="G18" s="20"/>
      </tp>
      <tp t="e">
        <v>#N/A</v>
        <stp/>
        <stp>BDH|13863608871654170057</stp>
        <tr r="F40" s="22"/>
      </tp>
      <tp t="e">
        <v>#N/A</v>
        <stp/>
        <stp>BDH|12895313799518896659</stp>
        <tr r="H99" s="17"/>
      </tp>
      <tp t="e">
        <v>#N/A</v>
        <stp/>
        <stp>BDH|17187230121729665886</stp>
        <tr r="P23" s="12"/>
      </tp>
      <tp t="e">
        <v>#N/A</v>
        <stp/>
        <stp>BDH|13765404355842819675</stp>
        <tr r="U53" s="13"/>
      </tp>
      <tp t="e">
        <v>#N/A</v>
        <stp/>
        <stp>BDH|14687990163954166909</stp>
        <tr r="T26" s="24"/>
      </tp>
      <tp t="e">
        <v>#N/A</v>
        <stp/>
        <stp>BDH|18119110951902545892</stp>
        <tr r="M70" s="17"/>
      </tp>
      <tp t="e">
        <v>#N/A</v>
        <stp/>
        <stp>BDH|17410042423356650588</stp>
        <tr r="T14" s="21"/>
      </tp>
      <tp t="e">
        <v>#N/A</v>
        <stp/>
        <stp>BDH|14847395418395579519</stp>
        <tr r="W75" s="18"/>
      </tp>
      <tp t="e">
        <v>#N/A</v>
        <stp/>
        <stp>BDH|15471358783649851170</stp>
        <tr r="T64" s="24"/>
      </tp>
      <tp t="e">
        <v>#N/A</v>
        <stp/>
        <stp>BDH|13853767683109893389</stp>
        <tr r="D18" s="5"/>
        <tr r="D30" s="6"/>
      </tp>
      <tp t="e">
        <v>#N/A</v>
        <stp/>
        <stp>BDH|16024553369455133605</stp>
        <tr r="Y18" s="17"/>
      </tp>
      <tp t="e">
        <v>#N/A</v>
        <stp/>
        <stp>BDH|11047555196143910872</stp>
        <tr r="Q44" s="13"/>
      </tp>
      <tp t="e">
        <v>#N/A</v>
        <stp/>
        <stp>BDH|16743290891623765855</stp>
        <tr r="E19" s="10"/>
      </tp>
      <tp t="e">
        <v>#N/A</v>
        <stp/>
        <stp>BDH|13243952189610206411</stp>
        <tr r="K14" s="8"/>
      </tp>
      <tp t="e">
        <v>#N/A</v>
        <stp/>
        <stp>BDH|14416214328480998299</stp>
        <tr r="Y23" s="21"/>
      </tp>
      <tp t="e">
        <v>#N/A</v>
        <stp/>
        <stp>BDH|17775246709877180460</stp>
        <tr r="Q34" s="10"/>
        <tr r="Q28" s="11"/>
      </tp>
      <tp t="e">
        <v>#N/A</v>
        <stp/>
        <stp>BDH|10826644646334127067</stp>
        <tr r="D12" s="24"/>
      </tp>
      <tp t="e">
        <v>#N/A</v>
        <stp/>
        <stp>BDH|15513423209500275710</stp>
        <tr r="V144" s="18"/>
      </tp>
      <tp t="e">
        <v>#N/A</v>
        <stp/>
        <stp>BDH|12753886639679329680</stp>
        <tr r="L42" s="18"/>
      </tp>
      <tp t="e">
        <v>#N/A</v>
        <stp/>
        <stp>BDH|15836354629564102685</stp>
        <tr r="O135" s="18"/>
      </tp>
      <tp t="e">
        <v>#N/A</v>
        <stp/>
        <stp>BDH|10456354118785222161</stp>
        <tr r="Z10" s="18"/>
      </tp>
      <tp t="e">
        <v>#N/A</v>
        <stp/>
        <stp>BDH|16958504160757218462</stp>
        <tr r="N107" s="18"/>
        <tr r="L7" s="20"/>
      </tp>
      <tp t="e">
        <v>#N/A</v>
        <stp/>
        <stp>BDH|16817888241814413885</stp>
        <tr r="F23" s="23"/>
      </tp>
      <tp t="e">
        <v>#N/A</v>
        <stp/>
        <stp>BDH|13105782434054417547</stp>
        <tr r="V75" s="18"/>
      </tp>
      <tp t="e">
        <v>#N/A</v>
        <stp/>
        <stp>BDH|14319517753795528788</stp>
        <tr r="G67" s="17"/>
      </tp>
      <tp t="e">
        <v>#N/A</v>
        <stp/>
        <stp>BDH|14839549064468523916</stp>
        <tr r="Y70" s="24"/>
      </tp>
      <tp t="e">
        <v>#N/A</v>
        <stp/>
        <stp>BDH|10444723399649580163</stp>
        <tr r="I20" s="12"/>
      </tp>
      <tp t="e">
        <v>#N/A</v>
        <stp/>
        <stp>BDH|10878207614884534151</stp>
        <tr r="K45" s="4"/>
        <tr r="K30" s="10"/>
        <tr r="K24" s="11"/>
        <tr r="M30" s="13"/>
      </tp>
      <tp t="e">
        <v>#N/A</v>
        <stp/>
        <stp>BDH|13855013263862349153</stp>
        <tr r="L25" s="17"/>
      </tp>
      <tp t="e">
        <v>#N/A</v>
        <stp/>
        <stp>BDH|17138153853297981223</stp>
        <tr r="P22" s="25"/>
        <tr r="P12" s="27"/>
      </tp>
      <tp t="e">
        <v>#N/A</v>
        <stp/>
        <stp>BDH|14408675837344977318</stp>
        <tr r="D42" s="4"/>
      </tp>
      <tp t="e">
        <v>#N/A</v>
        <stp/>
        <stp>BDH|14379310564677889020</stp>
        <tr r="W66" s="12"/>
      </tp>
      <tp t="e">
        <v>#N/A</v>
        <stp/>
        <stp>BDH|10124927806808952700</stp>
        <tr r="J68" s="12"/>
      </tp>
      <tp t="e">
        <v>#N/A</v>
        <stp/>
        <stp>BDH|10676620314594522598</stp>
        <tr r="C118" s="18"/>
      </tp>
      <tp t="e">
        <v>#N/A</v>
        <stp/>
        <stp>BDH|15764648242521538086</stp>
        <tr r="H30" s="21"/>
      </tp>
      <tp t="e">
        <v>#N/A</v>
        <stp/>
        <stp>BDH|15854211263995664205</stp>
        <tr r="AA22" s="21"/>
      </tp>
      <tp t="e">
        <v>#N/A</v>
        <stp/>
        <stp>BDH|17136018608878579919</stp>
        <tr r="Q63" s="21"/>
      </tp>
      <tp t="e">
        <v>#N/A</v>
        <stp/>
        <stp>BDH|12389609333180445188</stp>
        <tr r="S46" s="12"/>
      </tp>
      <tp t="e">
        <v>#N/A</v>
        <stp/>
        <stp>BDH|15270530601703529591</stp>
        <tr r="G21" s="21"/>
      </tp>
      <tp t="e">
        <v>#N/A</v>
        <stp/>
        <stp>BDH|12485706913126295495</stp>
        <tr r="D43" s="4"/>
      </tp>
      <tp t="e">
        <v>#N/A</v>
        <stp/>
        <stp>BDH|10557001116774706380</stp>
        <tr r="P114" s="18"/>
      </tp>
      <tp t="e">
        <v>#N/A</v>
        <stp/>
        <stp>BDH|15897008436549710956</stp>
        <tr r="Z25" s="17"/>
      </tp>
      <tp t="e">
        <v>#N/A</v>
        <stp/>
        <stp>BDH|18058970811524804223</stp>
        <tr r="AA63" s="17"/>
      </tp>
      <tp t="e">
        <v>#N/A</v>
        <stp/>
        <stp>BDH|14583299560511808786</stp>
        <tr r="H39" s="34"/>
      </tp>
      <tp t="e">
        <v>#N/A</v>
        <stp/>
        <stp>BDH|10956707690360241877</stp>
        <tr r="I14" s="2"/>
        <tr r="I11" s="10"/>
      </tp>
      <tp t="e">
        <v>#N/A</v>
        <stp/>
        <stp>BDH|16599200557076799192</stp>
        <tr r="S42" s="17"/>
      </tp>
      <tp t="e">
        <v>#N/A</v>
        <stp/>
        <stp>BDH|16716867680442839251</stp>
        <tr r="I69" s="12"/>
      </tp>
      <tp t="e">
        <v>#N/A</v>
        <stp/>
        <stp>BDH|18249735162068826773</stp>
        <tr r="V20" s="10"/>
      </tp>
      <tp t="e">
        <v>#N/A</v>
        <stp/>
        <stp>BDH|16478194725311713236</stp>
        <tr r="E10" s="12"/>
      </tp>
      <tp t="e">
        <v>#N/A</v>
        <stp/>
        <stp>BDH|10642533684039946244</stp>
        <tr r="N22" s="24"/>
      </tp>
      <tp t="e">
        <v>#N/A</v>
        <stp/>
        <stp>BDH|15158787729212919457</stp>
        <tr r="P29" s="17"/>
      </tp>
      <tp t="e">
        <v>#N/A</v>
        <stp/>
        <stp>BDH|18430854799268629722</stp>
        <tr r="H79" s="17"/>
      </tp>
      <tp t="e">
        <v>#N/A</v>
        <stp/>
        <stp>BDH|11112866577988884043</stp>
        <tr r="U11" s="18"/>
      </tp>
      <tp t="e">
        <v>#N/A</v>
        <stp/>
        <stp>BDH|10155979969921226813</stp>
        <tr r="G7" s="23"/>
      </tp>
      <tp t="e">
        <v>#N/A</v>
        <stp/>
        <stp>BDH|18112622159179101476</stp>
        <tr r="R53" s="17"/>
      </tp>
      <tp t="e">
        <v>#N/A</v>
        <stp/>
        <stp>BDH|11741454266665921010</stp>
        <tr r="W30" s="21"/>
      </tp>
      <tp t="e">
        <v>#N/A</v>
        <stp/>
        <stp>BDH|10234414478523535625</stp>
        <tr r="N18" s="5"/>
        <tr r="N30" s="6"/>
      </tp>
      <tp t="e">
        <v>#N/A</v>
        <stp/>
        <stp>BDH|15577847339139755130</stp>
        <tr r="S129" s="18"/>
      </tp>
      <tp t="e">
        <v>#N/A</v>
        <stp/>
        <stp>BDH|13701314894477993842</stp>
        <tr r="N21" s="26"/>
      </tp>
      <tp t="e">
        <v>#N/A</v>
        <stp/>
        <stp>BDH|16538709038812515679</stp>
        <tr r="O23" s="11"/>
      </tp>
      <tp t="e">
        <v>#N/A</v>
        <stp/>
        <stp>BDH|14776723537674912249</stp>
        <tr r="H16" s="11"/>
      </tp>
      <tp t="e">
        <v>#N/A</v>
        <stp/>
        <stp>BDH|17633944296356984726</stp>
        <tr r="N54" s="12"/>
      </tp>
      <tp t="e">
        <v>#N/A</v>
        <stp/>
        <stp>BDH|16652028008732773247</stp>
        <tr r="H35" s="4"/>
      </tp>
      <tp t="e">
        <v>#N/A</v>
        <stp/>
        <stp>BDH|15903769210642459743</stp>
        <tr r="X28" s="12"/>
      </tp>
      <tp t="e">
        <v>#N/A</v>
        <stp/>
        <stp>BDH|11680198716124204348</stp>
        <tr r="N20" s="5"/>
        <tr r="N20" s="9"/>
      </tp>
      <tp t="e">
        <v>#N/A</v>
        <stp/>
        <stp>BDH|13430022140880148184</stp>
        <tr r="Z18" s="12"/>
      </tp>
      <tp t="e">
        <v>#N/A</v>
        <stp/>
        <stp>BDH|16999427477543324001</stp>
        <tr r="AA16" s="24"/>
      </tp>
      <tp t="e">
        <v>#N/A</v>
        <stp/>
        <stp>BDH|14197479419154718378</stp>
        <tr r="T21" s="30"/>
        <tr r="T24" s="23"/>
      </tp>
      <tp t="e">
        <v>#N/A</v>
        <stp/>
        <stp>BDH|15944643669955349682</stp>
        <tr r="R149" s="18"/>
      </tp>
      <tp t="e">
        <v>#N/A</v>
        <stp/>
        <stp>BDH|10662853499151352669</stp>
        <tr r="X123" s="18"/>
      </tp>
      <tp t="e">
        <v>#N/A</v>
        <stp/>
        <stp>BDH|16176720860063410288</stp>
        <tr r="I45" s="18"/>
      </tp>
      <tp t="e">
        <v>#N/A</v>
        <stp/>
        <stp>BDH|17807978915278562102</stp>
        <tr r="E33" s="21"/>
      </tp>
      <tp t="e">
        <v>#N/A</v>
        <stp/>
        <stp>BDH|18184285894200645546</stp>
        <tr r="N162" s="18"/>
      </tp>
      <tp t="e">
        <v>#N/A</v>
        <stp/>
        <stp>BDH|10084720574554155285</stp>
        <tr r="K29" s="12"/>
      </tp>
      <tp t="e">
        <v>#N/A</v>
        <stp/>
        <stp>BDH|12640658902086888468</stp>
        <tr r="U17" s="24"/>
      </tp>
      <tp t="e">
        <v>#N/A</v>
        <stp/>
        <stp>BDH|18361535216278853218</stp>
        <tr r="C31" s="12"/>
      </tp>
      <tp t="e">
        <v>#N/A</v>
        <stp/>
        <stp>BDH|16135965731683140987</stp>
        <tr r="U11" s="13"/>
      </tp>
      <tp t="e">
        <v>#N/A</v>
        <stp/>
        <stp>BDH|11092079155855921749</stp>
        <tr r="P139" s="18"/>
      </tp>
      <tp t="e">
        <v>#N/A</v>
        <stp/>
        <stp>BDH|11332495133734109473</stp>
        <tr r="R68" s="12"/>
      </tp>
      <tp t="e">
        <v>#N/A</v>
        <stp/>
        <stp>BDH|11367650910569806912</stp>
        <tr r="K25" s="34"/>
      </tp>
      <tp t="e">
        <v>#N/A</v>
        <stp/>
        <stp>BDH|13569322818816145119</stp>
        <tr r="G12" s="13"/>
      </tp>
      <tp t="e">
        <v>#N/A</v>
        <stp/>
        <stp>BDH|18186936067262954338</stp>
        <tr r="F82" s="18"/>
      </tp>
      <tp t="e">
        <v>#N/A</v>
        <stp/>
        <stp>BDH|17349345293323349887</stp>
        <tr r="X67" s="18"/>
      </tp>
      <tp t="e">
        <v>#N/A</v>
        <stp/>
        <stp>BDH|18155680901791769904</stp>
        <tr r="V106" s="18"/>
        <tr r="T6" s="20"/>
      </tp>
      <tp t="e">
        <v>#N/A</v>
        <stp/>
        <stp>BDH|10769094520197521346</stp>
        <tr r="W79" s="17"/>
      </tp>
      <tp t="e">
        <v>#N/A</v>
        <stp/>
        <stp>BDH|17966964129159155381</stp>
        <tr r="Y29" s="29"/>
        <tr r="Y7" s="29"/>
      </tp>
      <tp t="e">
        <v>#N/A</v>
        <stp/>
        <stp>BDH|11198644561063889432</stp>
        <tr r="L34" s="6"/>
        <tr r="N10" s="8"/>
      </tp>
      <tp t="e">
        <v>#N/A</v>
        <stp/>
        <stp>BDH|13395374228077312309</stp>
        <tr r="V63" s="17"/>
      </tp>
      <tp t="e">
        <v>#N/A</v>
        <stp/>
        <stp>BDH|15573681238141368795</stp>
        <tr r="X39" s="4"/>
        <tr r="X65" s="10"/>
      </tp>
      <tp t="e">
        <v>#N/A</v>
        <stp/>
        <stp>BDH|14058091464016143234</stp>
        <tr r="T55" s="12"/>
      </tp>
      <tp t="e">
        <v>#N/A</v>
        <stp/>
        <stp>BDH|14464411467526921644</stp>
        <tr r="N6" s="28"/>
      </tp>
      <tp t="e">
        <v>#N/A</v>
        <stp/>
        <stp>BDH|14826305032036448408</stp>
        <tr r="C35" s="22"/>
      </tp>
      <tp t="e">
        <v>#N/A</v>
        <stp/>
        <stp>BDH|13417775349902618427</stp>
        <tr r="AA86" s="18"/>
      </tp>
      <tp t="e">
        <v>#N/A</v>
        <stp/>
        <stp>BDH|15306780326125728348</stp>
        <tr r="K14" s="11"/>
      </tp>
      <tp t="e">
        <v>#N/A</v>
        <stp/>
        <stp>BDH|16044693530924259150</stp>
        <tr r="E28" s="26"/>
      </tp>
      <tp t="e">
        <v>#N/A</v>
        <stp/>
        <stp>BDH|16895887874526262987</stp>
        <tr r="I9" s="23"/>
      </tp>
      <tp t="e">
        <v>#N/A</v>
        <stp/>
        <stp>BDH|17886411575327504570</stp>
        <tr r="V34" s="6"/>
        <tr r="X10" s="8"/>
      </tp>
      <tp t="e">
        <v>#N/A</v>
        <stp/>
        <stp>BDH|13815742380139213309</stp>
        <tr r="R20" s="18"/>
      </tp>
      <tp t="e">
        <v>#N/A</v>
        <stp/>
        <stp>BDH|14889337151584441004</stp>
        <tr r="W66" s="10"/>
      </tp>
      <tp t="e">
        <v>#N/A</v>
        <stp/>
        <stp>BDH|15986911735659105025</stp>
        <tr r="U95" s="17"/>
        <tr r="U30" s="25"/>
      </tp>
      <tp t="e">
        <v>#N/A</v>
        <stp/>
        <stp>BDH|15696781149737109787</stp>
        <tr r="J66" s="24"/>
      </tp>
      <tp t="e">
        <v>#N/A</v>
        <stp/>
        <stp>BDH|18230888770535569410</stp>
        <tr r="M43" s="4"/>
      </tp>
      <tp t="e">
        <v>#N/A</v>
        <stp/>
        <stp>BDH|12939670117864777704</stp>
        <tr r="I83" s="17"/>
      </tp>
      <tp t="e">
        <v>#N/A</v>
        <stp/>
        <stp>BDH|12956429553181153470</stp>
        <tr r="M10" s="2"/>
        <tr r="L11" s="5"/>
        <tr r="L36" s="6"/>
        <tr r="O31" s="29"/>
        <tr r="O39" s="29"/>
      </tp>
      <tp t="e">
        <v>#N/A</v>
        <stp/>
        <stp>BDH|16641048041360969446</stp>
        <tr r="C16" s="17"/>
        <tr r="C19" s="28"/>
      </tp>
      <tp t="e">
        <v>#N/A</v>
        <stp/>
        <stp>BDH|12514616727841403190</stp>
        <tr r="D22" s="11"/>
      </tp>
      <tp t="e">
        <v>#N/A</v>
        <stp/>
        <stp>BDH|12062457769854267200</stp>
        <tr r="M42" s="17"/>
      </tp>
      <tp t="e">
        <v>#N/A</v>
        <stp/>
        <stp>BDH|12432382364843543232</stp>
        <tr r="W158" s="18"/>
      </tp>
      <tp t="e">
        <v>#N/A</v>
        <stp/>
        <stp>BDH|15908275031887342526</stp>
        <tr r="I35" s="26"/>
      </tp>
      <tp t="e">
        <v>#N/A</v>
        <stp/>
        <stp>BDH|10299444573004287198</stp>
        <tr r="P8" s="13"/>
      </tp>
      <tp t="e">
        <v>#N/A</v>
        <stp/>
        <stp>BDH|11788281901853488645</stp>
        <tr r="H167" s="18"/>
      </tp>
      <tp t="e">
        <v>#N/A</v>
        <stp/>
        <stp>BDH|12320399302587734011</stp>
        <tr r="C7" s="17"/>
      </tp>
      <tp t="e">
        <v>#N/A</v>
        <stp/>
        <stp>BDH|18119684964988191629</stp>
        <tr r="Q120" s="18"/>
      </tp>
      <tp t="e">
        <v>#N/A</v>
        <stp/>
        <stp>BDH|14689087411625265633</stp>
        <tr r="I24" s="22"/>
      </tp>
      <tp t="e">
        <v>#N/A</v>
        <stp/>
        <stp>BDH|16550692953916796564</stp>
        <tr r="N31" s="26"/>
      </tp>
      <tp t="e">
        <v>#N/A</v>
        <stp/>
        <stp>BDH|12993211783866474814</stp>
        <tr r="P56" s="10"/>
        <tr r="P50" s="11"/>
        <tr r="P18" s="7"/>
        <tr r="R52" s="13"/>
      </tp>
      <tp t="e">
        <v>#N/A</v>
        <stp/>
        <stp>BDH|13447295305170313752</stp>
        <tr r="P40" s="17"/>
      </tp>
      <tp t="e">
        <v>#N/A</v>
        <stp/>
        <stp>BDH|14486108892062110893</stp>
        <tr r="L14" s="21"/>
      </tp>
      <tp t="e">
        <v>#N/A</v>
        <stp/>
        <stp>BDH|11121312858408645900</stp>
        <tr r="J41" s="18"/>
      </tp>
      <tp t="e">
        <v>#N/A</v>
        <stp/>
        <stp>BDH|12075434959267002241</stp>
        <tr r="H146" s="18"/>
      </tp>
      <tp t="e">
        <v>#N/A</v>
        <stp/>
        <stp>BDH|16922924713209156171</stp>
        <tr r="U21" s="9"/>
      </tp>
      <tp t="e">
        <v>#N/A</v>
        <stp/>
        <stp>BDH|14524107717923593192</stp>
        <tr r="S17" s="24"/>
      </tp>
      <tp t="e">
        <v>#N/A</v>
        <stp/>
        <stp>BDH|14971233040286367275</stp>
        <tr r="L24" s="24"/>
      </tp>
      <tp t="e">
        <v>#N/A</v>
        <stp/>
        <stp>BDH|14146045232787105683</stp>
        <tr r="R16" s="21"/>
      </tp>
      <tp t="e">
        <v>#N/A</v>
        <stp/>
        <stp>BDH|13401790425258704817</stp>
        <tr r="X63" s="21"/>
      </tp>
      <tp t="e">
        <v>#N/A</v>
        <stp/>
        <stp>BDH|10700716753371812531</stp>
        <tr r="D11" s="18"/>
      </tp>
      <tp t="e">
        <v>#N/A</v>
        <stp/>
        <stp>BDH|16040486346816274629</stp>
        <tr r="N29" s="21"/>
      </tp>
      <tp t="e">
        <v>#N/A</v>
        <stp/>
        <stp>BDH|16234230910467842588</stp>
        <tr r="C20" s="11"/>
      </tp>
      <tp t="e">
        <v>#N/A</v>
        <stp/>
        <stp>BDH|10894089813595560378</stp>
        <tr r="W23" s="20"/>
      </tp>
      <tp t="e">
        <v>#N/A</v>
        <stp/>
        <stp>BDH|17293216693502199909</stp>
        <tr r="N38" s="34"/>
      </tp>
      <tp t="e">
        <v>#N/A</v>
        <stp/>
        <stp>BDH|15577772941550425168</stp>
        <tr r="N146" s="18"/>
      </tp>
      <tp t="e">
        <v>#N/A</v>
        <stp/>
        <stp>BDH|15803125690283384985</stp>
        <tr r="M13" s="22"/>
      </tp>
      <tp t="e">
        <v>#N/A</v>
        <stp/>
        <stp>BDH|18125929270550717155</stp>
        <tr r="H12" s="14"/>
      </tp>
      <tp t="e">
        <v>#N/A</v>
        <stp/>
        <stp>BDH|16140060149302892774</stp>
        <tr r="P44" s="18"/>
      </tp>
      <tp t="e">
        <v>#N/A</v>
        <stp/>
        <stp>BDH|12196461848355661084</stp>
        <tr r="D95" s="17"/>
        <tr r="D30" s="25"/>
      </tp>
      <tp t="e">
        <v>#N/A</v>
        <stp/>
        <stp>BDH|12739432257562347619</stp>
        <tr r="H60" s="12"/>
      </tp>
      <tp t="e">
        <v>#N/A</v>
        <stp/>
        <stp>BDH|13637620060201781520</stp>
        <tr r="R11" s="13"/>
      </tp>
      <tp t="e">
        <v>#N/A</v>
        <stp/>
        <stp>BDH|12533164505854761000</stp>
        <tr r="F77" s="12"/>
      </tp>
      <tp t="e">
        <v>#N/A</v>
        <stp/>
        <stp>BDH|11572343740384580557</stp>
        <tr r="F34" s="18"/>
      </tp>
      <tp t="e">
        <v>#N/A</v>
        <stp/>
        <stp>BDH|13672105168104988763</stp>
        <tr r="P69" s="10"/>
        <tr r="P63" s="11"/>
        <tr r="P20" s="7"/>
      </tp>
      <tp t="e">
        <v>#N/A</v>
        <stp/>
        <stp>BDH|10358688608054611544</stp>
        <tr r="P20" s="12"/>
      </tp>
      <tp t="e">
        <v>#N/A</v>
        <stp/>
        <stp>BDH|11308334666833338041</stp>
        <tr r="Z41" s="21"/>
      </tp>
      <tp t="e">
        <v>#N/A</v>
        <stp/>
        <stp>BDH|11459246755612186350</stp>
        <tr r="X8" s="21"/>
      </tp>
      <tp t="e">
        <v>#N/A</v>
        <stp/>
        <stp>BDH|10257269316747658353</stp>
        <tr r="C8" s="34"/>
      </tp>
      <tp t="e">
        <v>#N/A</v>
        <stp/>
        <stp>BDH|11134380264066888546</stp>
        <tr r="Y38" s="10"/>
        <tr r="Y32" s="11"/>
      </tp>
      <tp t="e">
        <v>#N/A</v>
        <stp/>
        <stp>BDH|12810485809505980414</stp>
        <tr r="C18" s="9"/>
      </tp>
      <tp t="e">
        <v>#N/A</v>
        <stp/>
        <stp>BDH|12672669577533121774</stp>
        <tr r="Z12" s="22"/>
      </tp>
      <tp t="e">
        <v>#N/A</v>
        <stp/>
        <stp>BDH|11662303389999719490</stp>
        <tr r="J15" s="24"/>
      </tp>
      <tp t="e">
        <v>#N/A</v>
        <stp/>
        <stp>BDH|10305422325750681130</stp>
        <tr r="Z30" s="18"/>
      </tp>
      <tp t="e">
        <v>#N/A</v>
        <stp/>
        <stp>BDH|10615175745767263579</stp>
        <tr r="S20" s="24"/>
      </tp>
      <tp t="e">
        <v>#N/A</v>
        <stp/>
        <stp>BDH|14447370400180263000</stp>
        <tr r="U31" s="22"/>
      </tp>
      <tp t="e">
        <v>#N/A</v>
        <stp/>
        <stp>BDH|15672060291328108317</stp>
        <tr r="D17" s="13"/>
      </tp>
      <tp t="e">
        <v>#N/A</v>
        <stp/>
        <stp>BDH|10521704424516155415</stp>
        <tr r="S8" s="27"/>
      </tp>
      <tp t="e">
        <v>#N/A</v>
        <stp/>
        <stp>BDH|18199838320444477170</stp>
        <tr r="F115" s="18"/>
      </tp>
      <tp t="e">
        <v>#N/A</v>
        <stp/>
        <stp>BDH|17578133790208254051</stp>
        <tr r="Z96" s="17"/>
      </tp>
      <tp t="e">
        <v>#N/A</v>
        <stp/>
        <stp>BDH|12456713927615229510</stp>
        <tr r="G17" s="6"/>
      </tp>
      <tp t="e">
        <v>#N/A</v>
        <stp/>
        <stp>BDH|15824703428061831690</stp>
        <tr r="U42" s="4"/>
      </tp>
      <tp t="e">
        <v>#N/A</v>
        <stp/>
        <stp>BDH|17362623429624003091</stp>
        <tr r="E13" s="8"/>
      </tp>
      <tp t="e">
        <v>#N/A</v>
        <stp/>
        <stp>BDH|14331652054608752840</stp>
        <tr r="C32" s="21"/>
      </tp>
      <tp t="e">
        <v>#N/A</v>
        <stp/>
        <stp>BDH|10328634801940886185</stp>
        <tr r="I55" s="13"/>
      </tp>
      <tp t="e">
        <v>#N/A</v>
        <stp/>
        <stp>BDH|12260678153893775500</stp>
        <tr r="H122" s="18"/>
      </tp>
      <tp t="e">
        <v>#N/A</v>
        <stp/>
        <stp>BDH|14226091448553178430</stp>
        <tr r="J17" s="24"/>
      </tp>
      <tp t="e">
        <v>#N/A</v>
        <stp/>
        <stp>BDH|15653766051353828383</stp>
        <tr r="O23" s="13"/>
      </tp>
      <tp t="e">
        <v>#N/A</v>
        <stp/>
        <stp>BDH|17321832823418370212</stp>
        <tr r="W33" s="12"/>
      </tp>
      <tp t="e">
        <v>#N/A</v>
        <stp/>
        <stp>BDH|17406893259098475515</stp>
        <tr r="H14" s="17"/>
        <tr r="H17" s="28"/>
      </tp>
      <tp t="e">
        <v>#N/A</v>
        <stp/>
        <stp>BDH|16017375566572190619</stp>
        <tr r="N28" s="24"/>
      </tp>
      <tp t="e">
        <v>#N/A</v>
        <stp/>
        <stp>BDH|10719174193409792658</stp>
        <tr r="F18" s="10"/>
        <tr r="H16" s="13"/>
        <tr r="H27" s="13"/>
      </tp>
      <tp t="e">
        <v>#N/A</v>
        <stp/>
        <stp>BDH|18121710534582709927</stp>
        <tr r="F141" s="18"/>
      </tp>
      <tp t="e">
        <v>#N/A</v>
        <stp/>
        <stp>BDH|10836787113316451762</stp>
        <tr r="U60" s="11"/>
        <tr r="W15" s="23"/>
      </tp>
      <tp t="e">
        <v>#N/A</v>
        <stp/>
        <stp>BDH|12505175708942991625</stp>
        <tr r="V21" s="26"/>
      </tp>
      <tp t="e">
        <v>#N/A</v>
        <stp/>
        <stp>BDH|18160664743314031952</stp>
        <tr r="J21" s="25"/>
        <tr r="J10" s="27"/>
      </tp>
      <tp t="e">
        <v>#N/A</v>
        <stp/>
        <stp>BDH|16431445666402204152</stp>
        <tr r="H29" s="29"/>
        <tr r="H7" s="29"/>
      </tp>
      <tp t="e">
        <v>#N/A</v>
        <stp/>
        <stp>BDH|11993388166790183379</stp>
        <tr r="X32" s="21"/>
      </tp>
      <tp t="e">
        <v>#N/A</v>
        <stp/>
        <stp>BDH|15482860405849607307</stp>
        <tr r="Q22" s="12"/>
      </tp>
      <tp t="e">
        <v>#N/A</v>
        <stp/>
        <stp>BDH|10209605572881085712</stp>
        <tr r="T101" s="18"/>
      </tp>
      <tp t="e">
        <v>#N/A</v>
        <stp/>
        <stp>BDH|15918995925148524110</stp>
        <tr r="K25" s="17"/>
      </tp>
      <tp t="e">
        <v>#N/A</v>
        <stp/>
        <stp>BDH|11649302867752511154</stp>
        <tr r="I25" s="2"/>
        <tr r="K62" s="21"/>
      </tp>
      <tp t="e">
        <v>#N/A</v>
        <stp/>
        <stp>BDH|13142264468036861662</stp>
        <tr r="T40" s="29"/>
      </tp>
      <tp t="e">
        <v>#N/A</v>
        <stp/>
        <stp>BDH|11665426054552697578</stp>
        <tr r="L16" s="18"/>
      </tp>
      <tp t="e">
        <v>#N/A</v>
        <stp/>
        <stp>BDH|11025632821996613443</stp>
        <tr r="R20" s="10"/>
      </tp>
      <tp t="e">
        <v>#N/A</v>
        <stp/>
        <stp>BDH|12087101309313802711</stp>
        <tr r="R19" s="24"/>
      </tp>
      <tp t="e">
        <v>#N/A</v>
        <stp/>
        <stp>BDH|17094898379959818683</stp>
        <tr r="Z70" s="17"/>
      </tp>
      <tp t="e">
        <v>#N/A</v>
        <stp/>
        <stp>BDH|13115391766562790396</stp>
        <tr r="J52" s="17"/>
      </tp>
      <tp t="e">
        <v>#N/A</v>
        <stp/>
        <stp>BDH|13725739435018894898</stp>
        <tr r="U40" s="10"/>
        <tr r="U34" s="11"/>
      </tp>
      <tp t="e">
        <v>#N/A</v>
        <stp/>
        <stp>BDH|10665839087195220205</stp>
        <tr r="Y51" s="13"/>
      </tp>
      <tp t="e">
        <v>#N/A</v>
        <stp/>
        <stp>BDH|12999085091208567451</stp>
        <tr r="Y52" s="12"/>
      </tp>
      <tp t="e">
        <v>#N/A</v>
        <stp/>
        <stp>BDH|16796315310711561234</stp>
        <tr r="J111" s="18"/>
        <tr r="H12" s="20"/>
      </tp>
      <tp t="e">
        <v>#N/A</v>
        <stp/>
        <stp>BDH|17735001150853357646</stp>
        <tr r="W16" s="17"/>
        <tr r="W19" s="28"/>
      </tp>
      <tp t="e">
        <v>#N/A</v>
        <stp/>
        <stp>BDH|18018208587444460133</stp>
        <tr r="E58" s="24"/>
      </tp>
      <tp t="e">
        <v>#N/A</v>
        <stp/>
        <stp>BDH|10299151539641857464</stp>
        <tr r="K76" s="12"/>
      </tp>
      <tp t="e">
        <v>#N/A</v>
        <stp/>
        <stp>BDH|13343357031746089272</stp>
        <tr r="D36" s="22"/>
      </tp>
      <tp t="e">
        <v>#N/A</v>
        <stp/>
        <stp>BDH|18289302722069740770</stp>
        <tr r="R9" s="21"/>
      </tp>
      <tp t="e">
        <v>#N/A</v>
        <stp/>
        <stp>BDH|17121159273093701505</stp>
        <tr r="Y76" s="12"/>
      </tp>
      <tp t="e">
        <v>#N/A</v>
        <stp/>
        <stp>BDH|10166638201369131820</stp>
        <tr r="M24" s="12"/>
      </tp>
      <tp t="e">
        <v>#N/A</v>
        <stp/>
        <stp>BDH|14918149159750305772</stp>
        <tr r="S22" s="18"/>
      </tp>
      <tp t="e">
        <v>#N/A</v>
        <stp/>
        <stp>BDH|17670931280838272974</stp>
        <tr r="I31" s="21"/>
      </tp>
      <tp t="e">
        <v>#N/A</v>
        <stp/>
        <stp>BDH|11376430450653350437</stp>
        <tr r="I7" s="30"/>
      </tp>
      <tp t="e">
        <v>#N/A</v>
        <stp/>
        <stp>BDH|17661552470065621754</stp>
        <tr r="L56" s="10"/>
        <tr r="L50" s="11"/>
        <tr r="L18" s="7"/>
        <tr r="N52" s="13"/>
      </tp>
      <tp t="e">
        <v>#N/A</v>
        <stp/>
        <stp>BDH|12468806082077573236</stp>
        <tr r="R50" s="13"/>
      </tp>
      <tp t="e">
        <v>#N/A</v>
        <stp/>
        <stp>BDH|18211383807675431996</stp>
        <tr r="J62" s="10"/>
      </tp>
      <tp t="e">
        <v>#N/A</v>
        <stp/>
        <stp>BDH|15324551077122158206</stp>
        <tr r="H51" s="18"/>
      </tp>
      <tp t="e">
        <v>#N/A</v>
        <stp/>
        <stp>BDH|10958522258312662553</stp>
        <tr r="V27" s="18"/>
      </tp>
      <tp t="e">
        <v>#N/A</v>
        <stp/>
        <stp>BDH|10113765680588235053</stp>
        <tr r="L87" s="18"/>
      </tp>
      <tp t="e">
        <v>#N/A</v>
        <stp/>
        <stp>BDH|15925589769320107199</stp>
        <tr r="C21" s="25"/>
        <tr r="C10" s="27"/>
      </tp>
      <tp t="e">
        <v>#N/A</v>
        <stp/>
        <stp>BDH|17257302215600383248</stp>
        <tr r="O113" s="18"/>
        <tr r="M14" s="20"/>
      </tp>
      <tp t="e">
        <v>#N/A</v>
        <stp/>
        <stp>BDH|18341893056005533795</stp>
        <tr r="X43" s="12"/>
      </tp>
      <tp t="e">
        <v>#N/A</v>
        <stp/>
        <stp>BDH|18015537396641028252</stp>
        <tr r="Q50" s="13"/>
      </tp>
      <tp t="e">
        <v>#N/A</v>
        <stp/>
        <stp>BDH|18311425849279871606</stp>
        <tr r="Q20" s="24"/>
      </tp>
      <tp t="e">
        <v>#N/A</v>
        <stp/>
        <stp>BDH|16178956895623404250</stp>
        <tr r="O28" s="21"/>
      </tp>
      <tp t="e">
        <v>#N/A</v>
        <stp/>
        <stp>BDH|10680205693605459918</stp>
        <tr r="J11" s="29"/>
      </tp>
      <tp t="e">
        <v>#N/A</v>
        <stp/>
        <stp>BDH|14267811317832799830</stp>
        <tr r="X13" s="24"/>
      </tp>
      <tp t="e">
        <v>#N/A</v>
        <stp/>
        <stp>BDH|17879743908783656420</stp>
        <tr r="Q11" s="9"/>
      </tp>
      <tp t="e">
        <v>#N/A</v>
        <stp/>
        <stp>BDH|13547247020363165700</stp>
        <tr r="AA137" s="18"/>
      </tp>
      <tp t="e">
        <v>#N/A</v>
        <stp/>
        <stp>BDH|16797028439773960156</stp>
        <tr r="V9" s="3"/>
        <tr r="T50" s="10"/>
        <tr r="T44" s="11"/>
        <tr r="T14" s="7"/>
      </tp>
      <tp t="e">
        <v>#N/A</v>
        <stp/>
        <stp>BDH|14934194402192449064</stp>
        <tr r="D48" s="17"/>
      </tp>
      <tp t="e">
        <v>#N/A</v>
        <stp/>
        <stp>BDH|16035417857118294849</stp>
        <tr r="L156" s="18"/>
      </tp>
      <tp t="e">
        <v>#N/A</v>
        <stp/>
        <stp>BDH|13664165954743143355</stp>
        <tr r="F99" s="17"/>
      </tp>
      <tp t="e">
        <v>#N/A</v>
        <stp/>
        <stp>BDH|13253937462093559862</stp>
        <tr r="U13" s="6"/>
      </tp>
      <tp t="e">
        <v>#N/A</v>
        <stp/>
        <stp>BDH|15554684687438216481</stp>
        <tr r="N142" s="18"/>
      </tp>
      <tp t="e">
        <v>#N/A</v>
        <stp/>
        <stp>BDH|10617345596624243963</stp>
        <tr r="Y60" s="24"/>
      </tp>
      <tp t="e">
        <v>#N/A</v>
        <stp/>
        <stp>BDH|14556491719272009452</stp>
        <tr r="P41" s="34"/>
      </tp>
      <tp t="e">
        <v>#N/A</v>
        <stp/>
        <stp>BDH|14927510524100855442</stp>
        <tr r="K14" s="25"/>
      </tp>
      <tp t="e">
        <v>#N/A</v>
        <stp/>
        <stp>BDH|13896490830146573574</stp>
        <tr r="K61" s="11"/>
        <tr r="M19" s="23"/>
      </tp>
      <tp t="e">
        <v>#N/A</v>
        <stp/>
        <stp>BDH|16135024867337699017</stp>
        <tr r="Y28" s="26"/>
      </tp>
      <tp t="e">
        <v>#N/A</v>
        <stp/>
        <stp>BDH|13535313382817307862</stp>
        <tr r="N33" s="12"/>
      </tp>
      <tp t="e">
        <v>#N/A</v>
        <stp/>
        <stp>BDH|17087950337219995389</stp>
        <tr r="C132" s="18"/>
      </tp>
      <tp t="e">
        <v>#N/A</v>
        <stp/>
        <stp>BDH|10950659031670664286</stp>
        <tr r="L24" s="26"/>
      </tp>
      <tp t="e">
        <v>#N/A</v>
        <stp/>
        <stp>BDH|17179054826444696677</stp>
        <tr r="F13" s="24"/>
      </tp>
      <tp t="e">
        <v>#N/A</v>
        <stp/>
        <stp>BDH|17582087538432766114</stp>
        <tr r="N45" s="17"/>
        <tr r="N9" s="25"/>
      </tp>
      <tp t="e">
        <v>#N/A</v>
        <stp/>
        <stp>BDH|15810244749542101678</stp>
        <tr r="M50" s="24"/>
      </tp>
      <tp t="e">
        <v>#N/A</v>
        <stp/>
        <stp>BDH|11779424706601439349</stp>
        <tr r="Y73" s="24"/>
      </tp>
      <tp t="e">
        <v>#N/A</v>
        <stp/>
        <stp>BDH|18374348515539925487</stp>
        <tr r="L128" s="18"/>
      </tp>
      <tp t="e">
        <v>#N/A</v>
        <stp/>
        <stp>BDH|10531524454131617668</stp>
        <tr r="J12" s="24"/>
      </tp>
      <tp t="e">
        <v>#N/A</v>
        <stp/>
        <stp>BDH|18047803355831388359</stp>
        <tr r="U21" s="10"/>
      </tp>
      <tp t="e">
        <v>#N/A</v>
        <stp/>
        <stp>BDH|17868912585216705788</stp>
        <tr r="C20" s="24"/>
      </tp>
      <tp t="e">
        <v>#N/A</v>
        <stp/>
        <stp>BDH|17151141946487964298</stp>
        <tr r="E14" s="30"/>
      </tp>
      <tp t="e">
        <v>#N/A</v>
        <stp/>
        <stp>BDH|10340233206830446515</stp>
        <tr r="U151" s="18"/>
      </tp>
      <tp t="e">
        <v>#N/A</v>
        <stp/>
        <stp>BDH|15304367280158690101</stp>
        <tr r="S50" s="4"/>
      </tp>
      <tp t="e">
        <v>#N/A</v>
        <stp/>
        <stp>BDH|17315869786052632266</stp>
        <tr r="P7" s="14"/>
      </tp>
      <tp t="e">
        <v>#N/A</v>
        <stp/>
        <stp>BDH|12110701553961044611</stp>
        <tr r="V30" s="18"/>
      </tp>
      <tp t="e">
        <v>#N/A</v>
        <stp/>
        <stp>BDH|14382423537674796028</stp>
        <tr r="N26" s="34"/>
      </tp>
      <tp t="e">
        <v>#N/A</v>
        <stp/>
        <stp>BDH|17252550174834700671</stp>
        <tr r="E18" s="23"/>
      </tp>
      <tp t="e">
        <v>#N/A</v>
        <stp/>
        <stp>BDH|17732485869615013752</stp>
        <tr r="J94" s="17"/>
      </tp>
      <tp t="e">
        <v>#N/A</v>
        <stp/>
        <stp>BDH|12984429319659165902</stp>
        <tr r="X39" s="10"/>
        <tr r="X33" s="11"/>
      </tp>
      <tp t="e">
        <v>#N/A</v>
        <stp/>
        <stp>BDH|15509705461544406732</stp>
        <tr r="V26" s="17"/>
      </tp>
      <tp t="e">
        <v>#N/A</v>
        <stp/>
        <stp>BDH|10526503002502007046</stp>
        <tr r="W58" s="17"/>
      </tp>
      <tp t="e">
        <v>#N/A</v>
        <stp/>
        <stp>BDH|14749049434865563514</stp>
        <tr r="U11" s="11"/>
      </tp>
      <tp t="e">
        <v>#N/A</v>
        <stp/>
        <stp>BDH|17830361342381811677</stp>
        <tr r="L26" s="22"/>
      </tp>
      <tp t="e">
        <v>#N/A</v>
        <stp/>
        <stp>BDH|10575640534435576733</stp>
        <tr r="P13" s="18"/>
      </tp>
      <tp t="e">
        <v>#N/A</v>
        <stp/>
        <stp>BDH|13733502839346502484</stp>
        <tr r="X33" s="10"/>
        <tr r="X27" s="11"/>
      </tp>
      <tp t="e">
        <v>#N/A</v>
        <stp/>
        <stp>BDH|18377490809132337933</stp>
        <tr r="H14" s="23"/>
      </tp>
      <tp t="e">
        <v>#N/A</v>
        <stp/>
        <stp>BDH|12212799138470693163</stp>
        <tr r="G21" s="25"/>
        <tr r="G10" s="27"/>
      </tp>
      <tp t="e">
        <v>#N/A</v>
        <stp/>
        <stp>BDH|14047611843153149206</stp>
        <tr r="AA23" s="22"/>
      </tp>
      <tp t="e">
        <v>#N/A</v>
        <stp/>
        <stp>BDH|12176606845842295555</stp>
        <tr r="O57" s="18"/>
      </tp>
      <tp t="e">
        <v>#N/A</v>
        <stp/>
        <stp>BDH|14113056887979682263</stp>
        <tr r="L46" s="21"/>
      </tp>
      <tp t="e">
        <v>#N/A</v>
        <stp/>
        <stp>BDH|10343483222357921632</stp>
        <tr r="Y44" s="12"/>
      </tp>
      <tp t="e">
        <v>#N/A</v>
        <stp/>
        <stp>BDH|16243223775603450720</stp>
        <tr r="E16" s="10"/>
      </tp>
      <tp t="e">
        <v>#N/A</v>
        <stp/>
        <stp>BDH|12963467974454819200</stp>
        <tr r="I18" s="10"/>
        <tr r="K16" s="13"/>
        <tr r="K27" s="13"/>
      </tp>
      <tp t="e">
        <v>#N/A</v>
        <stp/>
        <stp>BDH|12763037550502576227</stp>
        <tr r="N9" s="11"/>
      </tp>
      <tp t="e">
        <v>#N/A</v>
        <stp/>
        <stp>BDH|13169288992147084883</stp>
        <tr r="I11" s="11"/>
      </tp>
      <tp t="e">
        <v>#N/A</v>
        <stp/>
        <stp>BDH|17656889499429036850</stp>
        <tr r="O59" s="24"/>
      </tp>
      <tp t="e">
        <v>#N/A</v>
        <stp/>
        <stp>BDH|12622729340114221243</stp>
        <tr r="AA10" s="18"/>
      </tp>
      <tp t="e">
        <v>#N/A</v>
        <stp/>
        <stp>BDH|12767807306444670959</stp>
        <tr r="I36" s="22"/>
      </tp>
      <tp t="e">
        <v>#N/A</v>
        <stp/>
        <stp>BDH|13209417322563712149</stp>
        <tr r="T123" s="18"/>
      </tp>
      <tp t="e">
        <v>#N/A</v>
        <stp/>
        <stp>BDH|17007328551696875090</stp>
        <tr r="N27" s="34"/>
      </tp>
      <tp t="e">
        <v>#N/A</v>
        <stp/>
        <stp>BDH|13520468655685154050</stp>
        <tr r="H49" s="18"/>
      </tp>
      <tp t="e">
        <v>#N/A</v>
        <stp/>
        <stp>BDH|15504849697436303574</stp>
        <tr r="N63" s="17"/>
      </tp>
      <tp t="e">
        <v>#N/A</v>
        <stp/>
        <stp>BDH|15504612233105438218</stp>
        <tr r="G66" s="12"/>
      </tp>
      <tp t="e">
        <v>#N/A</v>
        <stp/>
        <stp>BDH|13338028360153315104</stp>
        <tr r="J58" s="24"/>
      </tp>
      <tp t="e">
        <v>#N/A</v>
        <stp/>
        <stp>BDH|17590137911382614233</stp>
        <tr r="P25" s="21"/>
      </tp>
      <tp t="e">
        <v>#N/A</v>
        <stp/>
        <stp>BDH|12632777497072622929</stp>
        <tr r="W16" s="18"/>
      </tp>
      <tp t="e">
        <v>#N/A</v>
        <stp/>
        <stp>BDH|16402528811252531707</stp>
        <tr r="G42" s="18"/>
      </tp>
      <tp t="e">
        <v>#N/A</v>
        <stp/>
        <stp>BDH|14024478370358468811</stp>
        <tr r="M8" s="22"/>
      </tp>
      <tp t="e">
        <v>#N/A</v>
        <stp/>
        <stp>BDH|18437438973229258542</stp>
        <tr r="Z14" s="22"/>
      </tp>
      <tp t="e">
        <v>#N/A</v>
        <stp/>
        <stp>BDH|14163368894680331925</stp>
        <tr r="E119" s="18"/>
      </tp>
      <tp t="e">
        <v>#N/A</v>
        <stp/>
        <stp>BDH|11375839441318109220</stp>
        <tr r="T17" s="4"/>
        <tr r="V10" s="3"/>
        <tr r="T55" s="10"/>
        <tr r="T49" s="11"/>
        <tr r="T17" s="7"/>
        <tr r="V49" s="13"/>
      </tp>
      <tp t="e">
        <v>#N/A</v>
        <stp/>
        <stp>BDH|15756325102923162242</stp>
        <tr r="R70" s="18"/>
      </tp>
      <tp t="e">
        <v>#N/A</v>
        <stp/>
        <stp>BDH|12695325341292663014</stp>
        <tr r="C18" s="18"/>
      </tp>
      <tp t="e">
        <v>#N/A</v>
        <stp/>
        <stp>BDH|10516006927017823286</stp>
        <tr r="Y74" s="18"/>
      </tp>
      <tp t="e">
        <v>#N/A</v>
        <stp/>
        <stp>BDH|15896418366229422992</stp>
        <tr r="D136" s="18"/>
      </tp>
      <tp t="e">
        <v>#N/A</v>
        <stp/>
        <stp>BDH|16143381850264858331</stp>
        <tr r="T8" s="4"/>
      </tp>
      <tp t="e">
        <v>#N/A</v>
        <stp/>
        <stp>BDH|14263588407076896076</stp>
        <tr r="AA42" s="21"/>
      </tp>
      <tp t="e">
        <v>#N/A</v>
        <stp/>
        <stp>BDH|14855215142400901504</stp>
        <tr r="H9" s="22"/>
      </tp>
      <tp t="e">
        <v>#N/A</v>
        <stp/>
        <stp>BDH|15322057870290344573</stp>
        <tr r="C48" s="18"/>
      </tp>
      <tp t="e">
        <v>#N/A</v>
        <stp/>
        <stp>BDH|17969333805322843152</stp>
        <tr r="L54" s="17"/>
      </tp>
      <tp t="e">
        <v>#N/A</v>
        <stp/>
        <stp>BDH|17950157718257517736</stp>
        <tr r="K26" s="22"/>
      </tp>
      <tp t="e">
        <v>#N/A</v>
        <stp/>
        <stp>BDH|10572503573542553713</stp>
        <tr r="R27" s="6"/>
      </tp>
      <tp t="e">
        <v>#N/A</v>
        <stp/>
        <stp>BDH|13846410873391109691</stp>
        <tr r="S22" s="24"/>
      </tp>
      <tp t="e">
        <v>#N/A</v>
        <stp/>
        <stp>BDH|14018862912698073264</stp>
        <tr r="AA18" s="14"/>
      </tp>
      <tp t="e">
        <v>#N/A</v>
        <stp/>
        <stp>BDH|15935980343129840680</stp>
        <tr r="O55" s="18"/>
      </tp>
      <tp t="e">
        <v>#N/A</v>
        <stp/>
        <stp>BDH|14719776903500667472</stp>
        <tr r="Q34" s="21"/>
      </tp>
      <tp t="e">
        <v>#N/A</v>
        <stp/>
        <stp>BDH|12959023738786567041</stp>
        <tr r="C40" s="24"/>
      </tp>
      <tp t="e">
        <v>#N/A</v>
        <stp/>
        <stp>BDH|11563137224177166212</stp>
        <tr r="W153" s="18"/>
      </tp>
      <tp t="e">
        <v>#N/A</v>
        <stp/>
        <stp>BDH|11900166747931879253</stp>
        <tr r="R50" s="17"/>
      </tp>
      <tp t="e">
        <v>#N/A</v>
        <stp/>
        <stp>BDH|11719965310359394775</stp>
        <tr r="O58" s="24"/>
      </tp>
      <tp t="e">
        <v>#N/A</v>
        <stp/>
        <stp>BDH|13992094707577725351</stp>
        <tr r="Z121" s="18"/>
      </tp>
      <tp t="e">
        <v>#N/A</v>
        <stp/>
        <stp>BDH|16591823144349603402</stp>
        <tr r="W19" s="24"/>
      </tp>
      <tp t="e">
        <v>#N/A</v>
        <stp/>
        <stp>BDH|15230562447070285342</stp>
        <tr r="S9" s="21"/>
      </tp>
      <tp t="e">
        <v>#N/A</v>
        <stp/>
        <stp>BDH|15401622394358125568</stp>
        <tr r="Q19" s="26"/>
      </tp>
      <tp t="e">
        <v>#N/A</v>
        <stp/>
        <stp>BDH|13298685439893476229</stp>
        <tr r="V15" s="9"/>
      </tp>
      <tp t="e">
        <v>#N/A</v>
        <stp/>
        <stp>BDH|13713921645051695830</stp>
        <tr r="L9" s="2"/>
        <tr r="N8" s="25"/>
        <tr r="K10" s="5"/>
      </tp>
      <tp t="e">
        <v>#N/A</v>
        <stp/>
        <stp>BDH|13442712142417025029</stp>
        <tr r="I36" s="24"/>
      </tp>
      <tp t="e">
        <v>#N/A</v>
        <stp/>
        <stp>BDH|12591522042214461046</stp>
        <tr r="V36" s="4"/>
      </tp>
      <tp t="e">
        <v>#N/A</v>
        <stp/>
        <stp>BDH|11710505323938207935</stp>
        <tr r="G18" s="18"/>
      </tp>
      <tp t="e">
        <v>#N/A</v>
        <stp/>
        <stp>BDH|10861174421311896530</stp>
        <tr r="C26" s="17"/>
      </tp>
      <tp t="e">
        <v>#N/A</v>
        <stp/>
        <stp>BDH|18296874931740359427</stp>
        <tr r="N8" s="13"/>
      </tp>
      <tp t="e">
        <v>#N/A</v>
        <stp/>
        <stp>BDH|13710280324885614187</stp>
        <tr r="AA48" s="18"/>
      </tp>
      <tp t="e">
        <v>#N/A</v>
        <stp/>
        <stp>BDH|12711529897359602014</stp>
        <tr r="O9" s="26"/>
      </tp>
      <tp t="e">
        <v>#N/A</v>
        <stp/>
        <stp>BDH|12599490330614152685</stp>
        <tr r="E21" s="27"/>
      </tp>
      <tp t="e">
        <v>#N/A</v>
        <stp/>
        <stp>BDH|15463862194403768049</stp>
        <tr r="Z47" s="17"/>
      </tp>
      <tp t="e">
        <v>#N/A</v>
        <stp/>
        <stp>BDH|14783045854085264304</stp>
        <tr r="E43" s="4"/>
      </tp>
      <tp t="e">
        <v>#N/A</v>
        <stp/>
        <stp>BDH|16648228677717108374</stp>
        <tr r="H60" s="24"/>
      </tp>
      <tp t="e">
        <v>#N/A</v>
        <stp/>
        <stp>BDH|10018279210347350310</stp>
        <tr r="C54" s="24"/>
      </tp>
      <tp t="e">
        <v>#N/A</v>
        <stp/>
        <stp>BDH|10789707055310665519</stp>
        <tr r="V14" s="18"/>
      </tp>
      <tp t="e">
        <v>#N/A</v>
        <stp/>
        <stp>BDH|10631950985075743344</stp>
        <tr r="N29" s="17"/>
      </tp>
      <tp t="e">
        <v>#N/A</v>
        <stp/>
        <stp>BDH|11755463860534112051</stp>
        <tr r="M10" s="17"/>
      </tp>
      <tp t="e">
        <v>#N/A</v>
        <stp/>
        <stp>BDH|10790026877068054879</stp>
        <tr r="J69" s="10"/>
        <tr r="J63" s="11"/>
        <tr r="J20" s="7"/>
      </tp>
      <tp t="e">
        <v>#N/A</v>
        <stp/>
        <stp>BDH|18372456222050573945</stp>
        <tr r="T40" s="21"/>
      </tp>
      <tp t="e">
        <v>#N/A</v>
        <stp/>
        <stp>BDH|13346567402168065927</stp>
        <tr r="H116" s="18"/>
      </tp>
      <tp t="e">
        <v>#N/A</v>
        <stp/>
        <stp>BDH|14038418075889692979</stp>
        <tr r="U12" s="12"/>
      </tp>
      <tp t="e">
        <v>#N/A</v>
        <stp/>
        <stp>BDH|16438740062507313745</stp>
        <tr r="X36" s="24"/>
      </tp>
      <tp t="e">
        <v>#N/A</v>
        <stp/>
        <stp>BDH|16832868333223088980</stp>
        <tr r="J17" s="23"/>
      </tp>
      <tp t="e">
        <v>#N/A</v>
        <stp/>
        <stp>BDH|10106451911195062707</stp>
        <tr r="L35" s="18"/>
      </tp>
      <tp t="e">
        <v>#N/A</v>
        <stp/>
        <stp>BDH|12280611357503992584</stp>
        <tr r="K62" s="11"/>
      </tp>
      <tp t="e">
        <v>#N/A</v>
        <stp/>
        <stp>BDH|16763442145585469476</stp>
        <tr r="M74" s="17"/>
      </tp>
      <tp t="e">
        <v>#N/A</v>
        <stp/>
        <stp>BDH|17743172240422662734</stp>
        <tr r="H13" s="18"/>
      </tp>
      <tp t="e">
        <v>#N/A</v>
        <stp/>
        <stp>BDH|13662060545695706576</stp>
        <tr r="U17" s="5"/>
        <tr r="U24" s="6"/>
      </tp>
      <tp t="e">
        <v>#N/A</v>
        <stp/>
        <stp>BDH|10739171827041235507</stp>
        <tr r="O61" s="11"/>
        <tr r="Q19" s="23"/>
      </tp>
      <tp t="e">
        <v>#N/A</v>
        <stp/>
        <stp>BDH|10448902031268354534</stp>
        <tr r="I22" s="27"/>
      </tp>
      <tp t="e">
        <v>#N/A</v>
        <stp/>
        <stp>BDH|13764464024153821184</stp>
        <tr r="U70" s="17"/>
      </tp>
      <tp t="e">
        <v>#N/A</v>
        <stp/>
        <stp>BDH|10353468980469015213</stp>
        <tr r="Q81" s="18"/>
      </tp>
      <tp t="e">
        <v>#N/A</v>
        <stp/>
        <stp>BDH|15265475372478699954</stp>
        <tr r="P18" s="24"/>
      </tp>
      <tp t="e">
        <v>#N/A</v>
        <stp/>
        <stp>BDH|13492655729304945451</stp>
        <tr r="G11" s="11"/>
      </tp>
      <tp t="e">
        <v>#N/A</v>
        <stp/>
        <stp>BDH|12254238704117530045</stp>
        <tr r="S18" s="22"/>
      </tp>
      <tp t="e">
        <v>#N/A</v>
        <stp/>
        <stp>BDH|10374588002317809555</stp>
        <tr r="Z14" s="17"/>
        <tr r="Z17" s="28"/>
      </tp>
      <tp t="e">
        <v>#N/A</v>
        <stp/>
        <stp>BDH|14921398143860128469</stp>
        <tr r="V8" s="22"/>
      </tp>
      <tp t="e">
        <v>#N/A</v>
        <stp/>
        <stp>BDH|16274157076870189749</stp>
        <tr r="W42" s="21"/>
      </tp>
      <tp t="e">
        <v>#N/A</v>
        <stp/>
        <stp>BDH|17869698303810191676</stp>
        <tr r="L79" s="17"/>
      </tp>
      <tp t="e">
        <v>#N/A</v>
        <stp/>
        <stp>BDH|12157616211976224471</stp>
        <tr r="C59" s="17"/>
      </tp>
      <tp t="e">
        <v>#N/A</v>
        <stp/>
        <stp>BDH|17008636473867436605</stp>
        <tr r="Q34" s="22"/>
      </tp>
      <tp t="e">
        <v>#N/A</v>
        <stp/>
        <stp>BDH|11352868732594486978</stp>
        <tr r="R59" s="24"/>
      </tp>
      <tp t="e">
        <v>#N/A</v>
        <stp/>
        <stp>BDH|18028172897380656729</stp>
        <tr r="J8" s="8"/>
      </tp>
      <tp t="e">
        <v>#N/A</v>
        <stp/>
        <stp>BDH|16571873291944026470</stp>
        <tr r="Q11" s="12"/>
      </tp>
      <tp t="e">
        <v>#N/A</v>
        <stp/>
        <stp>BDH|14314706052865330463</stp>
        <tr r="Q20" s="18"/>
      </tp>
      <tp t="e">
        <v>#N/A</v>
        <stp/>
        <stp>BDH|13991635038693036267</stp>
        <tr r="U168" s="18"/>
      </tp>
      <tp t="e">
        <v>#N/A</v>
        <stp/>
        <stp>BDH|16428692015933559592</stp>
        <tr r="K43" s="13"/>
      </tp>
      <tp t="e">
        <v>#N/A</v>
        <stp/>
        <stp>BDH|13951421574957845034</stp>
        <tr r="D13" s="23"/>
      </tp>
      <tp t="e">
        <v>#N/A</v>
        <stp/>
        <stp>BDH|14449409062479753850</stp>
        <tr r="N28" s="26"/>
      </tp>
      <tp t="e">
        <v>#N/A</v>
        <stp/>
        <stp>BDH|15635928693077239514</stp>
        <tr r="O151" s="18"/>
      </tp>
      <tp t="e">
        <v>#N/A</v>
        <stp/>
        <stp>BDH|16080822872406070845</stp>
        <tr r="D18" s="23"/>
      </tp>
      <tp t="e">
        <v>#N/A</v>
        <stp/>
        <stp>BDH|13459271578461760085</stp>
        <tr r="Z14" s="30"/>
      </tp>
      <tp t="e">
        <v>#N/A</v>
        <stp/>
        <stp>BDH|18095847736945161172</stp>
        <tr r="J12" s="17"/>
      </tp>
      <tp t="e">
        <v>#N/A</v>
        <stp/>
        <stp>BDH|12034027044567740656</stp>
        <tr r="V25" s="12"/>
      </tp>
      <tp t="e">
        <v>#N/A</v>
        <stp/>
        <stp>BDH|14410576391026048961</stp>
        <tr r="V22" s="10"/>
      </tp>
      <tp t="e">
        <v>#N/A</v>
        <stp/>
        <stp>BDH|15577656474152675165</stp>
        <tr r="Q13" s="10"/>
      </tp>
      <tp t="e">
        <v>#N/A</v>
        <stp/>
        <stp>BDH|10637572374750213535</stp>
        <tr r="X71" s="24"/>
      </tp>
      <tp t="e">
        <v>#N/A</v>
        <stp/>
        <stp>BDH|12653137206442148663</stp>
        <tr r="K40" s="34"/>
      </tp>
      <tp t="e">
        <v>#N/A</v>
        <stp/>
        <stp>BDH|13279225760268074846</stp>
        <tr r="C54" s="13"/>
      </tp>
      <tp t="e">
        <v>#N/A</v>
        <stp/>
        <stp>BDH|14807161619683237015</stp>
        <tr r="G18" s="13"/>
      </tp>
      <tp t="e">
        <v>#N/A</v>
        <stp/>
        <stp>BDH|17542973022633728833</stp>
        <tr r="F149" s="18"/>
      </tp>
      <tp t="e">
        <v>#N/A</v>
        <stp/>
        <stp>BDH|16203441139442333486</stp>
        <tr r="Q17" s="22"/>
      </tp>
      <tp t="e">
        <v>#N/A</v>
        <stp/>
        <stp>BDH|14322816327539276036</stp>
        <tr r="V40" s="21"/>
      </tp>
      <tp t="e">
        <v>#N/A</v>
        <stp/>
        <stp>BDH|10335279473912267015</stp>
        <tr r="I27" s="26"/>
        <tr r="F14" s="9"/>
      </tp>
      <tp t="e">
        <v>#N/A</v>
        <stp/>
        <stp>BDH|14140928266905425957</stp>
        <tr r="L91" s="18"/>
      </tp>
      <tp t="e">
        <v>#N/A</v>
        <stp/>
        <stp>BDH|13468237523412460644</stp>
        <tr r="Q119" s="18"/>
      </tp>
      <tp t="e">
        <v>#N/A</v>
        <stp/>
        <stp>BDH|18392018127028269530</stp>
        <tr r="S73" s="10"/>
        <tr r="S67" s="11"/>
      </tp>
      <tp t="e">
        <v>#N/A</v>
        <stp/>
        <stp>BDH|13013358562819210817</stp>
        <tr r="T10" s="26"/>
      </tp>
      <tp t="e">
        <v>#N/A</v>
        <stp/>
        <stp>BDH|18316827312625263350</stp>
        <tr r="O16" s="22"/>
      </tp>
      <tp t="e">
        <v>#N/A</v>
        <stp/>
        <stp>BDH|16511548447941643141</stp>
        <tr r="G69" s="18"/>
      </tp>
      <tp t="e">
        <v>#N/A</v>
        <stp/>
        <stp>BDH|17327564791924326839</stp>
        <tr r="V8" s="27"/>
      </tp>
      <tp t="e">
        <v>#N/A</v>
        <stp/>
        <stp>BDH|14339662876276405408</stp>
        <tr r="S24" s="12"/>
      </tp>
      <tp t="e">
        <v>#N/A</v>
        <stp/>
        <stp>BDH|18268312608395899944</stp>
        <tr r="X59" s="21"/>
        <tr r="V56" s="11"/>
      </tp>
      <tp t="e">
        <v>#N/A</v>
        <stp/>
        <stp>BDH|18309865476920068040</stp>
        <tr r="L8" s="34"/>
      </tp>
      <tp t="e">
        <v>#N/A</v>
        <stp/>
        <stp>BDH|10954055580608266799</stp>
        <tr r="Z97" s="18"/>
      </tp>
      <tp t="e">
        <v>#N/A</v>
        <stp/>
        <stp>BDH|11509939727759445422</stp>
        <tr r="E7" s="4"/>
      </tp>
      <tp t="e">
        <v>#N/A</v>
        <stp/>
        <stp>BDH|12780332404411601716</stp>
        <tr r="N42" s="12"/>
      </tp>
      <tp t="e">
        <v>#N/A</v>
        <stp/>
        <stp>BDH|14065036424257587652</stp>
        <tr r="E69" s="17"/>
      </tp>
      <tp t="e">
        <v>#N/A</v>
        <stp/>
        <stp>BDH|13203426210143488230</stp>
        <tr r="D33" s="21"/>
      </tp>
      <tp t="e">
        <v>#N/A</v>
        <stp/>
        <stp>BDH|17634528351791217102</stp>
        <tr r="M34" s="12"/>
      </tp>
      <tp t="e">
        <v>#N/A</v>
        <stp/>
        <stp>BDH|11647856665811420957</stp>
        <tr r="O47" s="21"/>
      </tp>
      <tp t="e">
        <v>#N/A</v>
        <stp/>
        <stp>BDH|14042171060677744379</stp>
        <tr r="J7" s="24"/>
      </tp>
      <tp t="e">
        <v>#N/A</v>
        <stp/>
        <stp>BDH|17109306364173190633</stp>
        <tr r="X19" s="12"/>
      </tp>
      <tp t="e">
        <v>#N/A</v>
        <stp/>
        <stp>BDH|10703938710568219711</stp>
        <tr r="E12" s="6"/>
      </tp>
      <tp t="e">
        <v>#N/A</v>
        <stp/>
        <stp>BDH|15505192435629919978</stp>
        <tr r="E23" s="18"/>
      </tp>
      <tp t="e">
        <v>#N/A</v>
        <stp/>
        <stp>BDH|17989205229150473037</stp>
        <tr r="G35" s="10"/>
        <tr r="G47" s="10"/>
        <tr r="G29" s="11"/>
        <tr r="G41" s="11"/>
      </tp>
      <tp t="e">
        <v>#N/A</v>
        <stp/>
        <stp>BDH|12209311615513715469</stp>
        <tr r="F26" s="26"/>
      </tp>
      <tp t="e">
        <v>#N/A</v>
        <stp/>
        <stp>BDH|12224304473638397955</stp>
        <tr r="I51" s="12"/>
      </tp>
      <tp t="e">
        <v>#N/A</v>
        <stp/>
        <stp>BDH|12827543356342579786</stp>
        <tr r="L39" s="24"/>
      </tp>
      <tp t="e">
        <v>#N/A</v>
        <stp/>
        <stp>BDH|14218764748744892438</stp>
        <tr r="F79" s="17"/>
      </tp>
      <tp t="e">
        <v>#N/A</v>
        <stp/>
        <stp>BDH|10181841467878764124</stp>
        <tr r="J45" s="13"/>
      </tp>
      <tp t="e">
        <v>#N/A</v>
        <stp/>
        <stp>BDH|15364873472474269935</stp>
        <tr r="V72" s="17"/>
        <tr r="V18" s="3"/>
      </tp>
      <tp t="e">
        <v>#N/A</v>
        <stp/>
        <stp>BDH|17927110442277803252</stp>
        <tr r="O13" s="2"/>
      </tp>
      <tp t="e">
        <v>#N/A</v>
        <stp/>
        <stp>BDH|14405163051243720431</stp>
        <tr r="U69" s="18"/>
      </tp>
      <tp t="e">
        <v>#N/A</v>
        <stp/>
        <stp>BDH|11088235241440590001</stp>
        <tr r="W39" s="24"/>
      </tp>
      <tp t="e">
        <v>#N/A</v>
        <stp/>
        <stp>BDH|13161133619384801047</stp>
        <tr r="Z36" s="24"/>
      </tp>
      <tp t="e">
        <v>#N/A</v>
        <stp/>
        <stp>BDH|12515571784308308022</stp>
        <tr r="T13" s="13"/>
      </tp>
      <tp t="e">
        <v>#N/A</v>
        <stp/>
        <stp>BDH|12342011832693245556</stp>
        <tr r="M90" s="18"/>
      </tp>
      <tp t="e">
        <v>#N/A</v>
        <stp/>
        <stp>BDH|16756732187677163956</stp>
        <tr r="N73" s="24"/>
      </tp>
      <tp t="e">
        <v>#N/A</v>
        <stp/>
        <stp>BDH|10390002099988466694</stp>
        <tr r="H37" s="22"/>
      </tp>
      <tp t="e">
        <v>#N/A</v>
        <stp/>
        <stp>BDH|12658326545910726218</stp>
        <tr r="I49" s="17"/>
      </tp>
      <tp t="e">
        <v>#N/A</v>
        <stp/>
        <stp>BDH|16319747476761111070</stp>
        <tr r="C61" s="21"/>
      </tp>
      <tp t="e">
        <v>#N/A</v>
        <stp/>
        <stp>BDH|16514251946996916188</stp>
        <tr r="W7" s="8"/>
      </tp>
      <tp t="e">
        <v>#N/A</v>
        <stp/>
        <stp>BDH|17151865097455467435</stp>
        <tr r="V54" s="17"/>
      </tp>
      <tp t="e">
        <v>#N/A</v>
        <stp/>
        <stp>BDH|17719814720672055810</stp>
        <tr r="S24" s="26"/>
      </tp>
      <tp t="e">
        <v>#N/A</v>
        <stp/>
        <stp>BDH|10549664267047448072</stp>
        <tr r="Y61" s="17"/>
      </tp>
      <tp t="e">
        <v>#N/A</v>
        <stp/>
        <stp>BDH|17624601320627312322</stp>
        <tr r="Z15" s="29"/>
        <tr r="Z35" s="29"/>
      </tp>
      <tp t="e">
        <v>#N/A</v>
        <stp/>
        <stp>BDH|10936258649825158433</stp>
        <tr r="E26" s="29"/>
      </tp>
      <tp t="e">
        <v>#N/A</v>
        <stp/>
        <stp>BDH|14355709516931246404</stp>
        <tr r="V28" s="21"/>
      </tp>
      <tp t="e">
        <v>#N/A</v>
        <stp/>
        <stp>BDH|10212111338837540299</stp>
        <tr r="P83" s="17"/>
      </tp>
      <tp t="e">
        <v>#N/A</v>
        <stp/>
        <stp>BDH|14185926280030385272</stp>
        <tr r="W151" s="18"/>
      </tp>
      <tp t="e">
        <v>#N/A</v>
        <stp/>
        <stp>BDH|11305727620963459030</stp>
        <tr r="V149" s="18"/>
      </tp>
      <tp t="e">
        <v>#N/A</v>
        <stp/>
        <stp>BDH|13913326440775884653</stp>
        <tr r="D61" s="11"/>
        <tr r="F19" s="23"/>
      </tp>
      <tp t="e">
        <v>#N/A</v>
        <stp/>
        <stp>BDH|10675586534554596596</stp>
        <tr r="O39" s="24"/>
      </tp>
      <tp t="e">
        <v>#N/A</v>
        <stp/>
        <stp>BDH|12314166003655193113</stp>
        <tr r="Z56" s="18"/>
      </tp>
      <tp t="e">
        <v>#N/A</v>
        <stp/>
        <stp>BDH|13070674961826207221</stp>
        <tr r="J34" s="24"/>
      </tp>
      <tp t="e">
        <v>#N/A</v>
        <stp/>
        <stp>BDH|14795572468033628383</stp>
        <tr r="G17" s="14"/>
      </tp>
      <tp t="e">
        <v>#N/A</v>
        <stp/>
        <stp>BDH|11859822856003385895</stp>
        <tr r="X10" s="28"/>
      </tp>
      <tp t="e">
        <v>#N/A</v>
        <stp/>
        <stp>BDH|10023411771581777518</stp>
        <tr r="T53" s="24"/>
      </tp>
      <tp t="e">
        <v>#N/A</v>
        <stp/>
        <stp>BDH|11709229563022844084</stp>
        <tr r="X30" s="21"/>
      </tp>
      <tp t="e">
        <v>#N/A</v>
        <stp/>
        <stp>BDH|13504939621787677871</stp>
        <tr r="L130" s="18"/>
      </tp>
      <tp t="e">
        <v>#N/A</v>
        <stp/>
        <stp>BDH|15271188809284149741</stp>
        <tr r="S87" s="17"/>
        <tr r="S20" s="3"/>
        <tr r="Q6" s="7"/>
      </tp>
      <tp t="e">
        <v>#N/A</v>
        <stp/>
        <stp>BDH|12451151318814950161</stp>
        <tr r="U71" s="10"/>
        <tr r="U65" s="11"/>
      </tp>
      <tp t="e">
        <v>#N/A</v>
        <stp/>
        <stp>BDH|17926478698174055906</stp>
        <tr r="U9" s="17"/>
      </tp>
      <tp t="e">
        <v>#N/A</v>
        <stp/>
        <stp>BDH|13721143939731915758</stp>
        <tr r="I41" s="21"/>
      </tp>
      <tp t="e">
        <v>#N/A</v>
        <stp/>
        <stp>BDH|15163819121631208956</stp>
        <tr r="U27" s="18"/>
      </tp>
      <tp t="e">
        <v>#N/A</v>
        <stp/>
        <stp>BDH|17229499069063359170</stp>
        <tr r="V26" s="7"/>
      </tp>
      <tp t="e">
        <v>#N/A</v>
        <stp/>
        <stp>BDH|11127017322372791631</stp>
        <tr r="N39" s="22"/>
      </tp>
      <tp t="e">
        <v>#N/A</v>
        <stp/>
        <stp>BDH|14766165219975949673</stp>
        <tr r="X30" s="26"/>
      </tp>
      <tp t="e">
        <v>#N/A</v>
        <stp/>
        <stp>BDH|15492380875917767185</stp>
        <tr r="AA50" s="18"/>
      </tp>
      <tp t="e">
        <v>#N/A</v>
        <stp/>
        <stp>BDH|14330005437443214300</stp>
        <tr r="P61" s="11"/>
        <tr r="R19" s="23"/>
      </tp>
      <tp t="e">
        <v>#N/A</v>
        <stp/>
        <stp>BDH|10029270224626226174</stp>
        <tr r="H38" s="4"/>
        <tr r="H59" s="11"/>
        <tr r="J13" s="23"/>
      </tp>
      <tp t="e">
        <v>#N/A</v>
        <stp/>
        <stp>BDH|10553664155283340735</stp>
        <tr r="T8" s="14"/>
      </tp>
      <tp t="e">
        <v>#N/A</v>
        <stp/>
        <stp>BDH|12747588464471983742</stp>
        <tr r="T15" s="26"/>
      </tp>
      <tp t="e">
        <v>#N/A</v>
        <stp/>
        <stp>BDH|12621232040025463674</stp>
        <tr r="N10" s="24"/>
      </tp>
      <tp t="e">
        <v>#N/A</v>
        <stp/>
        <stp>BDH|10209557267704787019</stp>
        <tr r="V26" s="10"/>
        <tr r="X31" s="13"/>
      </tp>
      <tp t="e">
        <v>#N/A</v>
        <stp/>
        <stp>BDH|18376262252128239036</stp>
        <tr r="P14" s="6"/>
      </tp>
      <tp t="e">
        <v>#N/A</v>
        <stp/>
        <stp>BDH|13496538941977681261</stp>
        <tr r="K13" s="2"/>
      </tp>
      <tp t="e">
        <v>#N/A</v>
        <stp/>
        <stp>BDH|16491869784146295728</stp>
        <tr r="F18" s="22"/>
      </tp>
      <tp t="e">
        <v>#N/A</v>
        <stp/>
        <stp>BDH|17293356224692591307</stp>
        <tr r="D22" s="21"/>
      </tp>
      <tp t="e">
        <v>#N/A</v>
        <stp/>
        <stp>BDH|10540317540734622441</stp>
        <tr r="W52" s="17"/>
      </tp>
      <tp t="e">
        <v>#N/A</v>
        <stp/>
        <stp>BDH|11550674231702496118</stp>
        <tr r="X49" s="4"/>
      </tp>
      <tp t="e">
        <v>#N/A</v>
        <stp/>
        <stp>BDH|11199327890675676938</stp>
        <tr r="W14" s="25"/>
      </tp>
      <tp t="e">
        <v>#N/A</v>
        <stp/>
        <stp>BDH|18415422032131575972</stp>
        <tr r="J33" s="26"/>
      </tp>
      <tp t="e">
        <v>#N/A</v>
        <stp/>
        <stp>BDH|18120197458382588938</stp>
        <tr r="Y142" s="18"/>
      </tp>
      <tp t="e">
        <v>#N/A</v>
        <stp/>
        <stp>BDH|13310665551242282508</stp>
        <tr r="E64" s="21"/>
      </tp>
      <tp t="e">
        <v>#N/A</v>
        <stp/>
        <stp>BDH|12394643816936273450</stp>
        <tr r="Z7" s="21"/>
      </tp>
      <tp t="e">
        <v>#N/A</v>
        <stp/>
        <stp>BDH|17106037127302278017</stp>
        <tr r="W11" s="28"/>
      </tp>
      <tp t="e">
        <v>#N/A</v>
        <stp/>
        <stp>BDH|15079912027411346831</stp>
        <tr r="K42" s="18"/>
      </tp>
      <tp t="e">
        <v>#N/A</v>
        <stp/>
        <stp>BDH|12201122564004598681</stp>
        <tr r="X52" s="4"/>
        <tr r="Z8" s="3"/>
        <tr r="X43" s="10"/>
        <tr r="X37" s="11"/>
        <tr r="Z38" s="13"/>
      </tp>
      <tp t="e">
        <v>#N/A</v>
        <stp/>
        <stp>BDH|10907328648270899029</stp>
        <tr r="N57" s="24"/>
      </tp>
      <tp t="e">
        <v>#N/A</v>
        <stp/>
        <stp>BDH|11862297276602986175</stp>
        <tr r="Z38" s="22"/>
      </tp>
      <tp t="e">
        <v>#N/A</v>
        <stp/>
        <stp>BDH|13053307057027697581</stp>
        <tr r="T51" s="10"/>
        <tr r="T45" s="11"/>
        <tr r="T15" s="7"/>
      </tp>
      <tp t="e">
        <v>#N/A</v>
        <stp/>
        <stp>BDH|16793210678874422039</stp>
        <tr r="X35" s="10"/>
        <tr r="X47" s="10"/>
        <tr r="X29" s="11"/>
        <tr r="X41" s="11"/>
      </tp>
      <tp t="e">
        <v>#N/A</v>
        <stp/>
        <stp>BDH|13100420162041880701</stp>
        <tr r="G16" s="26"/>
      </tp>
      <tp t="e">
        <v>#N/A</v>
        <stp/>
        <stp>BDH|18371192969089245189</stp>
        <tr r="P63" s="17"/>
      </tp>
      <tp t="e">
        <v>#N/A</v>
        <stp/>
        <stp>BDH|10035087833502683647</stp>
        <tr r="J63" s="12"/>
      </tp>
      <tp t="e">
        <v>#N/A</v>
        <stp/>
        <stp>BDH|12407307368802091258</stp>
        <tr r="K70" s="10"/>
        <tr r="K64" s="11"/>
      </tp>
      <tp t="e">
        <v>#N/A</v>
        <stp/>
        <stp>BDH|16779399314113150027</stp>
        <tr r="H8" s="13"/>
      </tp>
      <tp t="e">
        <v>#N/A</v>
        <stp/>
        <stp>BDH|17946549609123891658</stp>
        <tr r="Q94" s="18"/>
      </tp>
      <tp t="e">
        <v>#N/A</v>
        <stp/>
        <stp>BDH|17393290972631006413</stp>
        <tr r="O8" s="13"/>
      </tp>
      <tp t="e">
        <v>#N/A</v>
        <stp/>
        <stp>BDH|15524286444434582054</stp>
        <tr r="N38" s="6"/>
      </tp>
      <tp t="e">
        <v>#N/A</v>
        <stp/>
        <stp>BDH|16853688024257844257</stp>
        <tr r="E13" s="13"/>
      </tp>
      <tp t="e">
        <v>#N/A</v>
        <stp/>
        <stp>BDH|15537856144027839955</stp>
        <tr r="I17" s="13"/>
      </tp>
      <tp t="e">
        <v>#N/A</v>
        <stp/>
        <stp>BDH|10318594917567073444</stp>
        <tr r="C35" s="21"/>
      </tp>
      <tp t="e">
        <v>#N/A</v>
        <stp/>
        <stp>BDH|15240604394879934468</stp>
        <tr r="F22" s="17"/>
      </tp>
      <tp t="e">
        <v>#N/A</v>
        <stp/>
        <stp>BDH|13051375738271508530</stp>
        <tr r="R33" s="26"/>
      </tp>
      <tp t="e">
        <v>#N/A</v>
        <stp/>
        <stp>BDH|10976926979531217897</stp>
        <tr r="C40" s="34"/>
      </tp>
      <tp t="e">
        <v>#N/A</v>
        <stp/>
        <stp>BDH|11058810523695801931</stp>
        <tr r="R137" s="18"/>
      </tp>
      <tp t="e">
        <v>#N/A</v>
        <stp/>
        <stp>BDH|15443467561145227582</stp>
        <tr r="I63" s="17"/>
      </tp>
      <tp t="e">
        <v>#N/A</v>
        <stp/>
        <stp>BDH|17323829862687362999</stp>
        <tr r="D146" s="18"/>
      </tp>
      <tp t="e">
        <v>#N/A</v>
        <stp/>
        <stp>BDH|13870095585644842852</stp>
        <tr r="U24" s="17"/>
      </tp>
      <tp t="e">
        <v>#N/A</v>
        <stp/>
        <stp>BDH|13169585914292257264</stp>
        <tr r="J35" s="22"/>
      </tp>
      <tp t="e">
        <v>#N/A</v>
        <stp/>
        <stp>BDH|13881534155313264759</stp>
        <tr r="V10" s="22"/>
      </tp>
      <tp t="e">
        <v>#N/A</v>
        <stp/>
        <stp>BDH|12652086893659121550</stp>
        <tr r="K14" s="28"/>
      </tp>
      <tp t="e">
        <v>#N/A</v>
        <stp/>
        <stp>BDH|11324407689603036937</stp>
        <tr r="W80" s="18"/>
      </tp>
      <tp t="e">
        <v>#N/A</v>
        <stp/>
        <stp>BDH|12520115367705378792</stp>
        <tr r="C24" s="26"/>
      </tp>
      <tp t="e">
        <v>#N/A</v>
        <stp/>
        <stp>BDH|11434203824226908007</stp>
        <tr r="W29" s="29"/>
        <tr r="W7" s="29"/>
      </tp>
      <tp t="e">
        <v>#N/A</v>
        <stp/>
        <stp>BDH|13104490608075824517</stp>
        <tr r="T8" s="6"/>
      </tp>
      <tp t="e">
        <v>#N/A</v>
        <stp/>
        <stp>BDH|18370225440781903811</stp>
        <tr r="Y19" s="26"/>
      </tp>
      <tp t="e">
        <v>#N/A</v>
        <stp/>
        <stp>BDH|13838056365367166504</stp>
        <tr r="L23" s="2"/>
        <tr r="N18" s="21"/>
        <tr r="N23" s="3"/>
      </tp>
      <tp t="e">
        <v>#N/A</v>
        <stp/>
        <stp>BDH|15669247969343550573</stp>
        <tr r="F7" s="17"/>
      </tp>
      <tp t="e">
        <v>#N/A</v>
        <stp/>
        <stp>BDH|13529152900213997610</stp>
        <tr r="M94" s="17"/>
      </tp>
      <tp t="e">
        <v>#N/A</v>
        <stp/>
        <stp>BDH|10657586088123895960</stp>
        <tr r="I16" s="29"/>
        <tr r="I36" s="29"/>
      </tp>
      <tp t="e">
        <v>#N/A</v>
        <stp/>
        <stp>BDH|16962005507100781110</stp>
        <tr r="R28" s="17"/>
      </tp>
      <tp t="e">
        <v>#N/A</v>
        <stp/>
        <stp>BDH|15421252404227599783</stp>
        <tr r="W31" s="18"/>
      </tp>
      <tp t="e">
        <v>#N/A</v>
        <stp/>
        <stp>BDH|15822898546708661693</stp>
        <tr r="T47" s="17"/>
      </tp>
      <tp t="e">
        <v>#N/A</v>
        <stp/>
        <stp>BDH|11979768478574747281</stp>
        <tr r="E20" s="10"/>
      </tp>
      <tp t="e">
        <v>#N/A</v>
        <stp/>
        <stp>BDH|17918779157033632174</stp>
        <tr r="Z159" s="18"/>
      </tp>
      <tp t="e">
        <v>#N/A</v>
        <stp/>
        <stp>BDH|11705235537825219293</stp>
        <tr r="F20" s="6"/>
      </tp>
      <tp t="e">
        <v>#N/A</v>
        <stp/>
        <stp>BDH|12217737691972195999</stp>
        <tr r="R18" s="6"/>
      </tp>
      <tp t="e">
        <v>#N/A</v>
        <stp/>
        <stp>BDH|15818255732755681616</stp>
        <tr r="X54" s="18"/>
      </tp>
      <tp t="e">
        <v>#N/A</v>
        <stp/>
        <stp>BDH|14315931113883935827</stp>
        <tr r="O25" s="3"/>
      </tp>
      <tp t="e">
        <v>#N/A</v>
        <stp/>
        <stp>BDH|13894136824610383742</stp>
        <tr r="J14" s="30"/>
      </tp>
      <tp t="e">
        <v>#N/A</v>
        <stp/>
        <stp>BDH|12945229014670097671</stp>
        <tr r="R25" s="2"/>
        <tr r="T62" s="21"/>
      </tp>
      <tp t="e">
        <v>#N/A</v>
        <stp/>
        <stp>BDH|10667413994118859232</stp>
        <tr r="F32" s="34"/>
      </tp>
      <tp t="e">
        <v>#N/A</v>
        <stp/>
        <stp>BDH|14864022785779380249</stp>
        <tr r="Y15" s="22"/>
      </tp>
      <tp t="e">
        <v>#N/A</v>
        <stp/>
        <stp>BDH|13205506985499683098</stp>
        <tr r="Q89" s="18"/>
      </tp>
      <tp t="e">
        <v>#N/A</v>
        <stp/>
        <stp>BDH|10521718284428178098</stp>
        <tr r="O10" s="17"/>
      </tp>
      <tp t="e">
        <v>#N/A</v>
        <stp/>
        <stp>BDH|11893066784197395916</stp>
        <tr r="D45" s="24"/>
      </tp>
      <tp t="e">
        <v>#N/A</v>
        <stp/>
        <stp>BDH|10714351376483960052</stp>
        <tr r="H10" s="4"/>
        <tr r="G6" s="16"/>
        <tr r="J6" s="3"/>
        <tr r="H6" s="11"/>
      </tp>
      <tp t="e">
        <v>#N/A</v>
        <stp/>
        <stp>BDH|16145993410968278129</stp>
        <tr r="X95" s="18"/>
      </tp>
      <tp t="e">
        <v>#N/A</v>
        <stp/>
        <stp>BDH|12626432540257833251</stp>
        <tr r="P40" s="24"/>
      </tp>
      <tp t="e">
        <v>#N/A</v>
        <stp/>
        <stp>BDH|13983378935085404170</stp>
        <tr r="U11" s="28"/>
      </tp>
      <tp t="e">
        <v>#N/A</v>
        <stp/>
        <stp>BDH|16444021431355904766</stp>
        <tr r="Q46" s="12"/>
      </tp>
      <tp t="e">
        <v>#N/A</v>
        <stp/>
        <stp>BDH|10635078561199047889</stp>
        <tr r="L11" s="14"/>
      </tp>
      <tp t="e">
        <v>#N/A</v>
        <stp/>
        <stp>BDH|16710804889569379850</stp>
        <tr r="J40" s="22"/>
      </tp>
      <tp t="e">
        <v>#N/A</v>
        <stp/>
        <stp>BDH|10517036780008807761</stp>
        <tr r="I104" s="18"/>
      </tp>
      <tp t="e">
        <v>#N/A</v>
        <stp/>
        <stp>BDH|15286535017553939540</stp>
        <tr r="J11" s="22"/>
      </tp>
      <tp t="e">
        <v>#N/A</v>
        <stp/>
        <stp>BDH|12026464349495202068</stp>
        <tr r="O26" s="10"/>
        <tr r="Q31" s="13"/>
      </tp>
      <tp t="e">
        <v>#N/A</v>
        <stp/>
        <stp>BDH|14779848793377975522</stp>
        <tr r="J57" s="17"/>
        <tr r="J10" s="25"/>
      </tp>
      <tp t="e">
        <v>#N/A</v>
        <stp/>
        <stp>BDH|13965970516818131424</stp>
        <tr r="O63" s="12"/>
      </tp>
      <tp t="e">
        <v>#N/A</v>
        <stp/>
        <stp>BDH|10385229999918092439</stp>
        <tr r="K7" s="24"/>
      </tp>
      <tp t="e">
        <v>#N/A</v>
        <stp/>
        <stp>BDH|14393900734451548896</stp>
        <tr r="Q29" s="5"/>
      </tp>
      <tp t="e">
        <v>#N/A</v>
        <stp/>
        <stp>BDH|17389693760801394125</stp>
        <tr r="Q50" s="21"/>
      </tp>
      <tp t="e">
        <v>#N/A</v>
        <stp/>
        <stp>BDH|16340052209917176657</stp>
        <tr r="O11" s="9"/>
      </tp>
      <tp t="e">
        <v>#N/A</v>
        <stp/>
        <stp>BDH|15975580365027615699</stp>
        <tr r="P62" s="12"/>
      </tp>
      <tp t="e">
        <v>#N/A</v>
        <stp/>
        <stp>BDH|14100194047383731539</stp>
        <tr r="K67" s="17"/>
      </tp>
      <tp t="e">
        <v>#N/A</v>
        <stp/>
        <stp>BDH|13763295876358359908</stp>
        <tr r="S126" s="18"/>
      </tp>
      <tp t="e">
        <v>#N/A</v>
        <stp/>
        <stp>BDH|15852080240881340785</stp>
        <tr r="X10" s="30"/>
      </tp>
      <tp t="e">
        <v>#N/A</v>
        <stp/>
        <stp>BDH|15127480370116174738</stp>
        <tr r="J19" s="17"/>
      </tp>
      <tp t="e">
        <v>#N/A</v>
        <stp/>
        <stp>BDH|15041284726481007357</stp>
        <tr r="J64" s="12"/>
      </tp>
      <tp t="e">
        <v>#N/A</v>
        <stp/>
        <stp>BDH|11668052106767814161</stp>
        <tr r="Q32" s="12"/>
      </tp>
      <tp t="e">
        <v>#N/A</v>
        <stp/>
        <stp>BDH|14625391184079507150</stp>
        <tr r="D53" s="17"/>
      </tp>
      <tp t="e">
        <v>#N/A</v>
        <stp/>
        <stp>BDH|14858419420823616647</stp>
        <tr r="C13" s="5"/>
      </tp>
      <tp t="e">
        <v>#N/A</v>
        <stp/>
        <stp>BDH|18330107067691869976</stp>
        <tr r="S20" s="5"/>
        <tr r="S20" s="9"/>
      </tp>
      <tp t="e">
        <v>#N/A</v>
        <stp/>
        <stp>BDH|15792731446024888511</stp>
        <tr r="Z17" s="21"/>
      </tp>
      <tp t="e">
        <v>#N/A</v>
        <stp/>
        <stp>BDH|16003591040265326511</stp>
        <tr r="W13" s="29"/>
        <tr r="W22" s="29"/>
        <tr r="W33" s="29"/>
      </tp>
      <tp t="e">
        <v>#N/A</v>
        <stp/>
        <stp>BDH|15302622512447843205</stp>
        <tr r="N53" s="18"/>
      </tp>
      <tp t="e">
        <v>#N/A</v>
        <stp/>
        <stp>BDH|17030496328744936234</stp>
        <tr r="X34" s="25"/>
      </tp>
      <tp t="e">
        <v>#N/A</v>
        <stp/>
        <stp>BDH|17277597590508577456</stp>
        <tr r="X25" s="13"/>
      </tp>
      <tp t="e">
        <v>#N/A</v>
        <stp/>
        <stp>BDH|17135335538871320128</stp>
        <tr r="U43" s="4"/>
      </tp>
      <tp t="e">
        <v>#N/A</v>
        <stp/>
        <stp>BDH|16532041021183979020</stp>
        <tr r="V26" s="24"/>
      </tp>
      <tp t="e">
        <v>#N/A</v>
        <stp/>
        <stp>BDH|12828213163784313523</stp>
        <tr r="W29" s="17"/>
      </tp>
      <tp t="e">
        <v>#N/A</v>
        <stp/>
        <stp>BDH|15140797791545399904</stp>
        <tr r="M90" s="17"/>
      </tp>
      <tp t="e">
        <v>#N/A</v>
        <stp/>
        <stp>BDH|14771463816621801758</stp>
        <tr r="O18" s="17"/>
      </tp>
      <tp t="e">
        <v>#N/A</v>
        <stp/>
        <stp>BDH|17045591940403789240</stp>
        <tr r="E21" s="30"/>
        <tr r="E24" s="23"/>
      </tp>
      <tp t="e">
        <v>#N/A</v>
        <stp/>
        <stp>BDH|10063444668713086662</stp>
        <tr r="G13" s="13"/>
      </tp>
      <tp t="e">
        <v>#N/A</v>
        <stp/>
        <stp>BDH|10343498821611738066</stp>
        <tr r="P11" s="7"/>
      </tp>
      <tp t="e">
        <v>#N/A</v>
        <stp/>
        <stp>BDH|17592334119724329666</stp>
        <tr r="AA150" s="18"/>
      </tp>
      <tp t="e">
        <v>#N/A</v>
        <stp/>
        <stp>BDH|17480984671679550721</stp>
        <tr r="P59" s="24"/>
      </tp>
      <tp t="e">
        <v>#N/A</v>
        <stp/>
        <stp>BDH|14558079765075935042</stp>
        <tr r="S66" s="24"/>
      </tp>
      <tp t="e">
        <v>#N/A</v>
        <stp/>
        <stp>BDH|16723695545415867698</stp>
        <tr r="W49" s="18"/>
      </tp>
      <tp t="e">
        <v>#N/A</v>
        <stp/>
        <stp>BDH|15316409569233059303</stp>
        <tr r="Y13" s="12"/>
      </tp>
      <tp t="e">
        <v>#N/A</v>
        <stp/>
        <stp>BDH|11769538718501766311</stp>
        <tr r="O15" s="6"/>
      </tp>
      <tp t="e">
        <v>#N/A</v>
        <stp/>
        <stp>BDH|15102281822610320229</stp>
        <tr r="G31" s="10"/>
        <tr r="G25" s="11"/>
      </tp>
      <tp t="e">
        <v>#N/A</v>
        <stp/>
        <stp>BDH|18072876478972540200</stp>
        <tr r="C80" s="18"/>
      </tp>
      <tp t="e">
        <v>#N/A</v>
        <stp/>
        <stp>BDH|16695116660663427597</stp>
        <tr r="H9" s="23"/>
      </tp>
      <tp t="e">
        <v>#N/A</v>
        <stp/>
        <stp>BDH|15872501905353440432</stp>
        <tr r="N80" s="18"/>
      </tp>
      <tp t="e">
        <v>#N/A</v>
        <stp/>
        <stp>BDH|12426875849090363932</stp>
        <tr r="X41" s="24"/>
      </tp>
      <tp t="e">
        <v>#N/A</v>
        <stp/>
        <stp>BDH|16362584340125195509</stp>
        <tr r="P41" s="18"/>
      </tp>
      <tp t="e">
        <v>#N/A</v>
        <stp/>
        <stp>BDH|16891642269734664598</stp>
        <tr r="G23" s="12"/>
      </tp>
      <tp t="e">
        <v>#N/A</v>
        <stp/>
        <stp>BDH|17951854903570249872</stp>
        <tr r="T124" s="18"/>
      </tp>
      <tp t="e">
        <v>#N/A</v>
        <stp/>
        <stp>BDH|14761053062022231784</stp>
        <tr r="H31" s="34"/>
      </tp>
      <tp t="e">
        <v>#N/A</v>
        <stp/>
        <stp>BDH|10566703855160830526</stp>
        <tr r="S28" s="18"/>
      </tp>
      <tp t="e">
        <v>#N/A</v>
        <stp/>
        <stp>BDH|15824043949593751580</stp>
        <tr r="M35" s="22"/>
      </tp>
      <tp t="e">
        <v>#N/A</v>
        <stp/>
        <stp>BDH|18136378042868859066</stp>
        <tr r="V22" s="18"/>
      </tp>
      <tp t="e">
        <v>#N/A</v>
        <stp/>
        <stp>BDH|14577994986600605265</stp>
        <tr r="AA32" s="22"/>
      </tp>
      <tp t="e">
        <v>#N/A</v>
        <stp/>
        <stp>BDH|15275296015678234964</stp>
        <tr r="S20" s="18"/>
      </tp>
      <tp t="e">
        <v>#N/A</v>
        <stp/>
        <stp>BDH|16274790416473471434</stp>
        <tr r="H27" s="26"/>
        <tr r="E14" s="9"/>
      </tp>
      <tp t="e">
        <v>#N/A</v>
        <stp/>
        <stp>BDH|13664569833811824312</stp>
        <tr r="I124" s="18"/>
      </tp>
      <tp t="e">
        <v>#N/A</v>
        <stp/>
        <stp>BDH|10813415235384090468</stp>
        <tr r="C105" s="18"/>
      </tp>
      <tp t="e">
        <v>#N/A</v>
        <stp/>
        <stp>BDH|13778729773937561394</stp>
        <tr r="T7" s="8"/>
      </tp>
      <tp t="e">
        <v>#N/A</v>
        <stp/>
        <stp>BDH|15948563408875990243</stp>
        <tr r="L35" s="12"/>
      </tp>
      <tp t="e">
        <v>#N/A</v>
        <stp/>
        <stp>BDH|11255384660885181614</stp>
        <tr r="AA17" s="20"/>
      </tp>
      <tp t="e">
        <v>#N/A</v>
        <stp/>
        <stp>BDH|15871146556594888289</stp>
        <tr r="W11" s="18"/>
      </tp>
      <tp t="e">
        <v>#N/A</v>
        <stp/>
        <stp>BDH|13377333655760950263</stp>
        <tr r="X24" s="20"/>
      </tp>
      <tp t="e">
        <v>#N/A</v>
        <stp/>
        <stp>BDH|12810624836905086560</stp>
        <tr r="Y36" s="10"/>
        <tr r="Y30" s="11"/>
        <tr r="AA39" s="13"/>
      </tp>
      <tp t="e">
        <v>#N/A</v>
        <stp/>
        <stp>BDH|10966940683046084035</stp>
        <tr r="Y40" s="21"/>
      </tp>
      <tp t="e">
        <v>#N/A</v>
        <stp/>
        <stp>BDH|11132143649973121001</stp>
        <tr r="V61" s="11"/>
        <tr r="X19" s="23"/>
      </tp>
      <tp t="e">
        <v>#N/A</v>
        <stp/>
        <stp>BDH|17773160812738796890</stp>
        <tr r="K42" s="10"/>
        <tr r="K36" s="11"/>
      </tp>
      <tp t="e">
        <v>#N/A</v>
        <stp/>
        <stp>BDH|11410490706065299741</stp>
        <tr r="S8" s="18"/>
      </tp>
      <tp t="e">
        <v>#N/A</v>
        <stp/>
        <stp>BDH|12434975308539531539</stp>
        <tr r="O8" s="4"/>
      </tp>
      <tp t="e">
        <v>#N/A</v>
        <stp/>
        <stp>BDH|10662279577434370685</stp>
        <tr r="J43" s="24"/>
      </tp>
      <tp t="e">
        <v>#N/A</v>
        <stp/>
        <stp>BDH|17504759339336468204</stp>
        <tr r="I40" s="34"/>
      </tp>
      <tp t="e">
        <v>#N/A</v>
        <stp/>
        <stp>BDH|15958354160025419258</stp>
        <tr r="W35" s="21"/>
      </tp>
      <tp t="e">
        <v>#N/A</v>
        <stp/>
        <stp>BDH|12811110520643506518</stp>
        <tr r="G7" s="10"/>
      </tp>
      <tp t="e">
        <v>#N/A</v>
        <stp/>
        <stp>BDH|15249254658040388517</stp>
        <tr r="N79" s="12"/>
      </tp>
      <tp t="e">
        <v>#N/A</v>
        <stp/>
        <stp>BDH|13452887813968271502</stp>
        <tr r="D15" s="18"/>
      </tp>
      <tp t="e">
        <v>#N/A</v>
        <stp/>
        <stp>BDH|10212485031947418722</stp>
        <tr r="Y90" s="18"/>
      </tp>
      <tp t="e">
        <v>#N/A</v>
        <stp/>
        <stp>BDH|10750125468815550553</stp>
        <tr r="N52" s="24"/>
      </tp>
      <tp t="e">
        <v>#N/A</v>
        <stp/>
        <stp>BDH|10174783362671496725</stp>
        <tr r="G10" s="13"/>
      </tp>
      <tp t="e">
        <v>#N/A</v>
        <stp/>
        <stp>BDH|13046310706832822520</stp>
        <tr r="K56" s="13"/>
      </tp>
      <tp t="e">
        <v>#N/A</v>
        <stp/>
        <stp>BDH|13420019099648626571</stp>
        <tr r="X70" s="24"/>
      </tp>
      <tp t="e">
        <v>#N/A</v>
        <stp/>
        <stp>BDH|14497600063974372799</stp>
        <tr r="D32" s="13"/>
      </tp>
      <tp t="e">
        <v>#N/A</v>
        <stp/>
        <stp>BDH|16250912608980666805</stp>
        <tr r="J71" s="10"/>
        <tr r="J65" s="11"/>
      </tp>
      <tp t="e">
        <v>#N/A</v>
        <stp/>
        <stp>BDH|15255714759829142961</stp>
        <tr r="Y57" s="11"/>
      </tp>
      <tp t="e">
        <v>#N/A</v>
        <stp/>
        <stp>BDH|16948266958592266482</stp>
        <tr r="R50" s="4"/>
      </tp>
      <tp t="e">
        <v>#N/A</v>
        <stp/>
        <stp>BDH|11166856755588562390</stp>
        <tr r="C52" s="24"/>
      </tp>
      <tp t="e">
        <v>#N/A</v>
        <stp/>
        <stp>BDH|13238131256871208189</stp>
        <tr r="V18" s="22"/>
      </tp>
      <tp t="e">
        <v>#N/A</v>
        <stp/>
        <stp>BDH|17503087136745372655</stp>
        <tr r="K34" s="26"/>
      </tp>
      <tp t="e">
        <v>#N/A</v>
        <stp/>
        <stp>BDH|13708570990728951040</stp>
        <tr r="K56" s="10"/>
        <tr r="K50" s="11"/>
        <tr r="K18" s="7"/>
        <tr r="M52" s="13"/>
      </tp>
      <tp t="e">
        <v>#N/A</v>
        <stp/>
        <stp>BDH|18072734757448935505</stp>
        <tr r="D132" s="18"/>
      </tp>
      <tp t="e">
        <v>#N/A</v>
        <stp/>
        <stp>BDH|14413292556707404325</stp>
        <tr r="K41" s="13"/>
      </tp>
      <tp t="e">
        <v>#N/A</v>
        <stp/>
        <stp>BDH|16543758528535287170</stp>
        <tr r="E32" s="17"/>
      </tp>
      <tp t="e">
        <v>#N/A</v>
        <stp/>
        <stp>BDH|15494735917845536187</stp>
        <tr r="W162" s="18"/>
      </tp>
      <tp t="e">
        <v>#N/A</v>
        <stp/>
        <stp>BDH|11426395186218762513</stp>
        <tr r="N154" s="18"/>
      </tp>
      <tp t="e">
        <v>#N/A</v>
        <stp/>
        <stp>BDH|17156390356433629554</stp>
        <tr r="Q96" s="18"/>
      </tp>
      <tp t="e">
        <v>#N/A</v>
        <stp/>
        <stp>BDH|15970964996980649229</stp>
        <tr r="U18" s="29"/>
        <tr r="U38" s="29"/>
      </tp>
      <tp t="e">
        <v>#N/A</v>
        <stp/>
        <stp>BDH|15405705721130927711</stp>
        <tr r="M15" s="21"/>
      </tp>
      <tp t="e">
        <v>#N/A</v>
        <stp/>
        <stp>BDH|15238334201016575786</stp>
        <tr r="R41" s="12"/>
      </tp>
      <tp t="e">
        <v>#N/A</v>
        <stp/>
        <stp>BDH|13951497549464303073</stp>
        <tr r="O39" s="6"/>
      </tp>
      <tp t="e">
        <v>#N/A</v>
        <stp/>
        <stp>BDH|13119352698779576747</stp>
        <tr r="I7" s="11"/>
      </tp>
      <tp t="e">
        <v>#N/A</v>
        <stp/>
        <stp>BDH|15730141276197931314</stp>
        <tr r="O123" s="18"/>
      </tp>
      <tp t="e">
        <v>#N/A</v>
        <stp/>
        <stp>BDH|18423643577309240782</stp>
        <tr r="D154" s="18"/>
      </tp>
      <tp t="e">
        <v>#N/A</v>
        <stp/>
        <stp>BDH|10463327931905822231</stp>
        <tr r="D80" s="17"/>
      </tp>
      <tp t="e">
        <v>#N/A</v>
        <stp/>
        <stp>BDH|16749417458899373917</stp>
        <tr r="V43" s="18"/>
      </tp>
      <tp t="e">
        <v>#N/A</v>
        <stp/>
        <stp>BDH|10894515468424859057</stp>
        <tr r="H55" s="12"/>
      </tp>
      <tp t="e">
        <v>#N/A</v>
        <stp/>
        <stp>BDH|15947112371334473018</stp>
        <tr r="T15" s="17"/>
        <tr r="T18" s="28"/>
      </tp>
      <tp t="e">
        <v>#N/A</v>
        <stp/>
        <stp>BDH|16685669096677945939</stp>
        <tr r="F8" s="17"/>
      </tp>
      <tp t="e">
        <v>#N/A</v>
        <stp/>
        <stp>BDH|16233018152523933747</stp>
        <tr r="L10" s="12"/>
      </tp>
      <tp t="e">
        <v>#N/A</v>
        <stp/>
        <stp>BDH|15251596410644255259</stp>
        <tr r="H14" s="4"/>
      </tp>
      <tp t="e">
        <v>#N/A</v>
        <stp/>
        <stp>BDH|13847556973547167139</stp>
        <tr r="P27" s="17"/>
      </tp>
      <tp t="e">
        <v>#N/A</v>
        <stp/>
        <stp>BDH|18049968289307326905</stp>
        <tr r="U134" s="18"/>
      </tp>
      <tp t="e">
        <v>#N/A</v>
        <stp/>
        <stp>BDH|14109586260195780527</stp>
        <tr r="L11" s="7"/>
      </tp>
      <tp t="e">
        <v>#N/A</v>
        <stp/>
        <stp>BDH|13146776149822353500</stp>
        <tr r="J22" s="21"/>
      </tp>
      <tp t="e">
        <v>#N/A</v>
        <stp/>
        <stp>BDH|16072798534172823793</stp>
        <tr r="Q18" s="5"/>
        <tr r="Q30" s="6"/>
      </tp>
      <tp t="e">
        <v>#N/A</v>
        <stp/>
        <stp>BDH|11530065739556650309</stp>
        <tr r="U143" s="18"/>
      </tp>
      <tp t="e">
        <v>#N/A</v>
        <stp/>
        <stp>BDH|12750594265130279659</stp>
        <tr r="C51" s="24"/>
      </tp>
      <tp t="e">
        <v>#N/A</v>
        <stp/>
        <stp>BDH|13635019785275632985</stp>
        <tr r="D57" s="17"/>
        <tr r="D10" s="25"/>
      </tp>
      <tp t="e">
        <v>#N/A</v>
        <stp/>
        <stp>BDH|10164576828313191337</stp>
        <tr r="X62" s="11"/>
      </tp>
      <tp t="e">
        <v>#N/A</v>
        <stp/>
        <stp>BDH|10834105917367780040</stp>
        <tr r="Q58" s="17"/>
      </tp>
      <tp t="e">
        <v>#N/A</v>
        <stp/>
        <stp>BDH|14064511338080298573</stp>
        <tr r="V48" s="12"/>
      </tp>
      <tp t="e">
        <v>#N/A</v>
        <stp/>
        <stp>BDH|17041206729438224879</stp>
        <tr r="AA64" s="17"/>
      </tp>
      <tp t="e">
        <v>#N/A</v>
        <stp/>
        <stp>BDH|10513100044613989143</stp>
        <tr r="P167" s="18"/>
      </tp>
      <tp t="e">
        <v>#N/A</v>
        <stp/>
        <stp>BDH|14702946615109282283</stp>
        <tr r="V7" s="10"/>
      </tp>
      <tp t="e">
        <v>#N/A</v>
        <stp/>
        <stp>BDH|10793616606667973652</stp>
        <tr r="G44" s="21"/>
      </tp>
      <tp t="e">
        <v>#N/A</v>
        <stp/>
        <stp>BDH|11824733117847212729</stp>
        <tr r="Z53" s="17"/>
      </tp>
      <tp t="e">
        <v>#N/A</v>
        <stp/>
        <stp>BDH|11384901586944888318</stp>
        <tr r="D8" s="34"/>
      </tp>
      <tp t="e">
        <v>#N/A</v>
        <stp/>
        <stp>BDH|12495369652762960151</stp>
        <tr r="L20" s="5"/>
        <tr r="L20" s="9"/>
      </tp>
      <tp t="e">
        <v>#N/A</v>
        <stp/>
        <stp>BDH|17819441400622068600</stp>
        <tr r="L33" s="10"/>
        <tr r="L27" s="11"/>
      </tp>
      <tp t="e">
        <v>#N/A</v>
        <stp/>
        <stp>BDH|15350765692565842931</stp>
        <tr r="Y17" s="17"/>
        <tr r="Y20" s="28"/>
      </tp>
      <tp t="e">
        <v>#N/A</v>
        <stp/>
        <stp>BDH|17128676200875992332</stp>
        <tr r="K74" s="18"/>
      </tp>
      <tp t="e">
        <v>#N/A</v>
        <stp/>
        <stp>BDH|10266074359202940093</stp>
        <tr r="F35" s="25"/>
        <tr r="F7" s="3"/>
        <tr r="D18" s="11"/>
        <tr r="F22" s="13"/>
        <tr r="F7" s="13"/>
      </tp>
      <tp t="e">
        <v>#N/A</v>
        <stp/>
        <stp>BDH|11373953764699721096</stp>
        <tr r="S10" s="22"/>
      </tp>
      <tp t="e">
        <v>#N/A</v>
        <stp/>
        <stp>BDH|11978963792097305122</stp>
        <tr r="X11" s="12"/>
      </tp>
      <tp t="e">
        <v>#N/A</v>
        <stp/>
        <stp>BDH|16742951389152118260</stp>
        <tr r="D14" s="30"/>
      </tp>
      <tp t="e">
        <v>#N/A</v>
        <stp/>
        <stp>BDH|17236847402001159994</stp>
        <tr r="P120" s="18"/>
      </tp>
      <tp t="e">
        <v>#N/A</v>
        <stp/>
        <stp>BDH|12804762962932179619</stp>
        <tr r="O64" s="18"/>
      </tp>
      <tp t="e">
        <v>#N/A</v>
        <stp/>
        <stp>BDH|16157622812147446196</stp>
        <tr r="L67" s="18"/>
      </tp>
      <tp t="e">
        <v>#N/A</v>
        <stp/>
        <stp>BDH|18168360582963031798</stp>
        <tr r="V20" s="11"/>
      </tp>
      <tp t="e">
        <v>#N/A</v>
        <stp/>
        <stp>BDH|16592785697558095764</stp>
        <tr r="G12" s="17"/>
      </tp>
      <tp t="e">
        <v>#N/A</v>
        <stp/>
        <stp>BDH|10918657921496039515</stp>
        <tr r="P9" s="10"/>
      </tp>
      <tp t="e">
        <v>#N/A</v>
        <stp/>
        <stp>BDH|11641701079511498742</stp>
        <tr r="O157" s="18"/>
      </tp>
      <tp t="e">
        <v>#N/A</v>
        <stp/>
        <stp>BDH|17526192557383208768</stp>
        <tr r="N14" s="2"/>
        <tr r="N11" s="10"/>
      </tp>
      <tp t="e">
        <v>#N/A</v>
        <stp/>
        <stp>BDH|12594675328634700520</stp>
        <tr r="Z44" s="17"/>
      </tp>
      <tp t="e">
        <v>#N/A</v>
        <stp/>
        <stp>BDH|18285557498494941797</stp>
        <tr r="J125" s="18"/>
      </tp>
      <tp t="e">
        <v>#N/A</v>
        <stp/>
        <stp>BDH|13941319407961388634</stp>
        <tr r="D31" s="24"/>
      </tp>
      <tp t="e">
        <v>#N/A</v>
        <stp/>
        <stp>BDH|17860306386748204338</stp>
        <tr r="K64" s="21"/>
      </tp>
      <tp t="e">
        <v>#N/A</v>
        <stp/>
        <stp>BDH|14198465538214594059</stp>
        <tr r="Q60" s="21"/>
      </tp>
      <tp t="e">
        <v>#N/A</v>
        <stp/>
        <stp>BDH|13679209430306857316</stp>
        <tr r="I16" s="25"/>
      </tp>
      <tp t="e">
        <v>#N/A</v>
        <stp/>
        <stp>BDH|15877114512672219069</stp>
        <tr r="X14" s="26"/>
      </tp>
      <tp t="e">
        <v>#N/A</v>
        <stp/>
        <stp>BDH|17622843889421487101</stp>
        <tr r="T162" s="18"/>
      </tp>
      <tp t="e">
        <v>#N/A</v>
        <stp/>
        <stp>BDH|14229394131662437110</stp>
        <tr r="D9" s="3"/>
      </tp>
      <tp t="e">
        <v>#N/A</v>
        <stp/>
        <stp>BDH|14405291534812789012</stp>
        <tr r="X67" s="10"/>
      </tp>
      <tp t="e">
        <v>#N/A</v>
        <stp/>
        <stp>BDH|15541037503390275284</stp>
        <tr r="W21" s="20"/>
      </tp>
      <tp t="e">
        <v>#N/A</v>
        <stp/>
        <stp>BDH|14814405517150348633</stp>
        <tr r="X17" s="18"/>
      </tp>
      <tp t="e">
        <v>#N/A</v>
        <stp/>
        <stp>BDH|13830474862406421063</stp>
        <tr r="Y11" s="7"/>
      </tp>
      <tp t="e">
        <v>#N/A</v>
        <stp/>
        <stp>BDH|12005045157369447980</stp>
        <tr r="H8" s="34"/>
      </tp>
      <tp t="e">
        <v>#N/A</v>
        <stp/>
        <stp>BDH|15038585812164374262</stp>
        <tr r="T14" s="28"/>
      </tp>
      <tp t="e">
        <v>#N/A</v>
        <stp/>
        <stp>BDH|10014929828855264977</stp>
        <tr r="I35" s="17"/>
      </tp>
      <tp t="e">
        <v>#N/A</v>
        <stp/>
        <stp>BDH|17791197257896055262</stp>
        <tr r="Y20" s="10"/>
      </tp>
      <tp t="e">
        <v>#N/A</v>
        <stp/>
        <stp>BDH|13973049947930277071</stp>
        <tr r="G94" s="18"/>
      </tp>
      <tp t="e">
        <v>#N/A</v>
        <stp/>
        <stp>BDH|14832901921279002161</stp>
        <tr r="H65" s="21"/>
        <tr r="F23" s="7"/>
      </tp>
      <tp t="e">
        <v>#N/A</v>
        <stp/>
        <stp>BDH|16927404250933397357</stp>
        <tr r="O59" s="12"/>
      </tp>
      <tp t="e">
        <v>#N/A</v>
        <stp/>
        <stp>BDH|17524880335633105865</stp>
        <tr r="H71" s="24"/>
      </tp>
      <tp t="e">
        <v>#N/A</v>
        <stp/>
        <stp>BDH|13942682539613676216</stp>
        <tr r="F38" s="6"/>
      </tp>
      <tp t="e">
        <v>#N/A</v>
        <stp/>
        <stp>BDH|11902037745391867382</stp>
        <tr r="T49" s="17"/>
      </tp>
      <tp t="e">
        <v>#N/A</v>
        <stp/>
        <stp>BDH|13946745148680224785</stp>
        <tr r="Z98" s="18"/>
      </tp>
      <tp t="e">
        <v>#N/A</v>
        <stp/>
        <stp>BDH|13807467069750196699</stp>
        <tr r="K57" s="12"/>
      </tp>
      <tp t="e">
        <v>#N/A</v>
        <stp/>
        <stp>BDH|13907916592002451613</stp>
        <tr r="D41" s="12"/>
      </tp>
      <tp t="e">
        <v>#N/A</v>
        <stp/>
        <stp>BDH|14983550939692281786</stp>
        <tr r="R7" s="28"/>
      </tp>
      <tp t="e">
        <v>#N/A</v>
        <stp/>
        <stp>BDH|14051032569517620237</stp>
        <tr r="C11" s="3"/>
      </tp>
      <tp t="e">
        <v>#N/A</v>
        <stp/>
        <stp>BDH|13045626085343913917</stp>
        <tr r="S16" s="26"/>
      </tp>
      <tp t="e">
        <v>#N/A</v>
        <stp/>
        <stp>BDH|11896648705267531736</stp>
        <tr r="C128" s="18"/>
      </tp>
      <tp t="e">
        <v>#N/A</v>
        <stp/>
        <stp>BDH|14957683418416150271</stp>
        <tr r="F70" s="24"/>
      </tp>
      <tp t="e">
        <v>#N/A</v>
        <stp/>
        <stp>BDH|10358396403884388057</stp>
        <tr r="W86" s="18"/>
      </tp>
      <tp t="e">
        <v>#N/A</v>
        <stp/>
        <stp>BDH|14178271745782527797</stp>
        <tr r="U86" s="18"/>
      </tp>
      <tp t="e">
        <v>#N/A</v>
        <stp/>
        <stp>BDH|11421513038615555569</stp>
        <tr r="I66" s="12"/>
      </tp>
      <tp t="e">
        <v>#N/A</v>
        <stp/>
        <stp>BDH|11649630975942664581</stp>
        <tr r="N19" s="14"/>
      </tp>
      <tp t="e">
        <v>#N/A</v>
        <stp/>
        <stp>BDH|11830324231625781320</stp>
        <tr r="G22" s="27"/>
      </tp>
      <tp t="e">
        <v>#N/A</v>
        <stp/>
        <stp>BDH|17718797624482428708</stp>
        <tr r="F64" s="18"/>
      </tp>
      <tp t="e">
        <v>#N/A</v>
        <stp/>
        <stp>BDH|14552495041791019239</stp>
        <tr r="V25" s="21"/>
      </tp>
      <tp t="e">
        <v>#N/A</v>
        <stp/>
        <stp>BDH|18045239413325699989</stp>
        <tr r="X19" s="6"/>
      </tp>
      <tp t="e">
        <v>#N/A</v>
        <stp/>
        <stp>BDH|10664590522512279219</stp>
        <tr r="L77" s="18"/>
      </tp>
      <tp t="e">
        <v>#N/A</v>
        <stp/>
        <stp>BDH|10090327895164845916</stp>
        <tr r="N21" s="2"/>
      </tp>
      <tp t="e">
        <v>#N/A</v>
        <stp/>
        <stp>BDH|13580704303165881608</stp>
        <tr r="P54" s="21"/>
      </tp>
      <tp t="e">
        <v>#N/A</v>
        <stp/>
        <stp>BDH|10597413937188901847</stp>
        <tr r="R16" s="11"/>
      </tp>
      <tp t="e">
        <v>#N/A</v>
        <stp/>
        <stp>BDH|16811645527927136242</stp>
        <tr r="R25" s="17"/>
      </tp>
      <tp t="e">
        <v>#N/A</v>
        <stp/>
        <stp>BDH|14809360347417054372</stp>
        <tr r="C18" s="30"/>
      </tp>
      <tp t="e">
        <v>#N/A</v>
        <stp/>
        <stp>BDH|14133944081037269582</stp>
        <tr r="D21" s="24"/>
      </tp>
      <tp t="e">
        <v>#N/A</v>
        <stp/>
        <stp>BDH|17866641740284000626</stp>
        <tr r="F65" s="21"/>
        <tr r="D23" s="7"/>
      </tp>
      <tp t="e">
        <v>#N/A</v>
        <stp/>
        <stp>BDH|11665582128025151492</stp>
        <tr r="Y10" s="17"/>
      </tp>
      <tp t="e">
        <v>#N/A</v>
        <stp/>
        <stp>BDH|14902376122493076127</stp>
        <tr r="L65" s="12"/>
      </tp>
      <tp t="e">
        <v>#N/A</v>
        <stp/>
        <stp>BDH|16278984517270554966</stp>
        <tr r="F28" s="4"/>
      </tp>
      <tp t="e">
        <v>#N/A</v>
        <stp/>
        <stp>BDH|17556097803173606372</stp>
        <tr r="I9" s="28"/>
      </tp>
      <tp t="e">
        <v>#N/A</v>
        <stp/>
        <stp>BDH|10128170137396884378</stp>
        <tr r="E36" s="34"/>
      </tp>
      <tp t="e">
        <v>#N/A</v>
        <stp/>
        <stp>BDH|10117508502073413199</stp>
        <tr r="L8" s="24"/>
      </tp>
      <tp t="e">
        <v>#N/A</v>
        <stp/>
        <stp>BDH|17222627701393600596</stp>
        <tr r="W12" s="11"/>
      </tp>
      <tp t="e">
        <v>#N/A</v>
        <stp/>
        <stp>BDH|18211980327155598169</stp>
        <tr r="E74" s="12"/>
      </tp>
      <tp t="e">
        <v>#N/A</v>
        <stp/>
        <stp>BDH|16040598935364697346</stp>
        <tr r="P54" s="18"/>
      </tp>
      <tp t="e">
        <v>#N/A</v>
        <stp/>
        <stp>BDH|13784241356477246499</stp>
        <tr r="O16" s="17"/>
        <tr r="O19" s="28"/>
      </tp>
      <tp t="e">
        <v>#N/A</v>
        <stp/>
        <stp>BDH|16853786269039403933</stp>
        <tr r="V119" s="18"/>
      </tp>
      <tp t="e">
        <v>#N/A</v>
        <stp/>
        <stp>BDH|10831963180520650667</stp>
        <tr r="Z26" s="24"/>
      </tp>
      <tp t="e">
        <v>#N/A</v>
        <stp/>
        <stp>BDH|17202115875665025387</stp>
        <tr r="J13" s="6"/>
      </tp>
      <tp t="e">
        <v>#N/A</v>
        <stp/>
        <stp>BDH|16356185622964064679</stp>
        <tr r="N13" s="24"/>
      </tp>
      <tp t="e">
        <v>#N/A</v>
        <stp/>
        <stp>BDH|13033485185638139026</stp>
        <tr r="U167" s="18"/>
      </tp>
      <tp t="e">
        <v>#N/A</v>
        <stp/>
        <stp>BDH|13737097651284373524</stp>
        <tr r="D66" s="21"/>
      </tp>
      <tp t="e">
        <v>#N/A</v>
        <stp/>
        <stp>BDH|11650802789254597248</stp>
        <tr r="F43" s="24"/>
      </tp>
      <tp t="e">
        <v>#N/A</v>
        <stp/>
        <stp>BDH|16271714273887120502</stp>
        <tr r="T66" s="12"/>
      </tp>
      <tp t="e">
        <v>#N/A</v>
        <stp/>
        <stp>BDH|15505967236338263369</stp>
        <tr r="N27" s="17"/>
      </tp>
      <tp t="e">
        <v>#N/A</v>
        <stp/>
        <stp>BDH|15260504462163598140</stp>
        <tr r="N25" s="7"/>
      </tp>
      <tp t="e">
        <v>#N/A</v>
        <stp/>
        <stp>BDH|11384616387732340974</stp>
        <tr r="P93" s="17"/>
      </tp>
      <tp t="e">
        <v>#N/A</v>
        <stp/>
        <stp>BDH|16031898055257892859</stp>
        <tr r="K29" s="17"/>
      </tp>
      <tp t="e">
        <v>#N/A</v>
        <stp/>
        <stp>BDH|15907749360598429886</stp>
        <tr r="H25" s="17"/>
      </tp>
      <tp t="e">
        <v>#N/A</v>
        <stp/>
        <stp>BDH|16784522136252034623</stp>
        <tr r="H37" s="24"/>
      </tp>
      <tp t="e">
        <v>#N/A</v>
        <stp/>
        <stp>BDH|10861987214659589500</stp>
        <tr r="O41" s="24"/>
      </tp>
      <tp t="e">
        <v>#N/A</v>
        <stp/>
        <stp>BDH|11197776413190592318</stp>
        <tr r="H31" s="25"/>
      </tp>
      <tp t="e">
        <v>#N/A</v>
        <stp/>
        <stp>BDH|15574503335852473554</stp>
        <tr r="C55" s="13"/>
      </tp>
      <tp t="e">
        <v>#N/A</v>
        <stp/>
        <stp>BDH|11150001261936394529</stp>
        <tr r="N112" s="18"/>
        <tr r="L13" s="20"/>
      </tp>
      <tp t="e">
        <v>#N/A</v>
        <stp/>
        <stp>BDH|10474503043431394454</stp>
        <tr r="W49" s="17"/>
      </tp>
      <tp t="e">
        <v>#N/A</v>
        <stp/>
        <stp>BDH|16339962752709093763</stp>
        <tr r="I42" s="18"/>
      </tp>
      <tp t="e">
        <v>#N/A</v>
        <stp/>
        <stp>BDH|12359219331223430461</stp>
        <tr r="P61" s="24"/>
      </tp>
      <tp t="e">
        <v>#N/A</v>
        <stp/>
        <stp>BDH|10960872932389482693</stp>
        <tr r="C39" s="6"/>
      </tp>
      <tp t="e">
        <v>#N/A</v>
        <stp/>
        <stp>BDH|12815871791512615597</stp>
        <tr r="O26" s="13"/>
      </tp>
      <tp t="e">
        <v>#N/A</v>
        <stp/>
        <stp>BDH|14362550847798532951</stp>
        <tr r="K102" s="18"/>
      </tp>
      <tp t="e">
        <v>#N/A</v>
        <stp/>
        <stp>BDH|13112129232517258229</stp>
        <tr r="G24" s="21"/>
      </tp>
      <tp t="e">
        <v>#N/A</v>
        <stp/>
        <stp>BDH|15730309935879657856</stp>
        <tr r="S13" s="22"/>
      </tp>
      <tp t="e">
        <v>#N/A</v>
        <stp/>
        <stp>BDH|14306059580269392142</stp>
        <tr r="J9" s="6"/>
      </tp>
      <tp t="e">
        <v>#N/A</v>
        <stp/>
        <stp>BDH|13159452093243740916</stp>
        <tr r="K144" s="18"/>
      </tp>
      <tp t="e">
        <v>#N/A</v>
        <stp/>
        <stp>BDH|16809932599157220516</stp>
        <tr r="Z52" s="17"/>
      </tp>
      <tp t="e">
        <v>#N/A</v>
        <stp/>
        <stp>BDH|17371204395149250150</stp>
        <tr r="E41" s="21"/>
      </tp>
      <tp t="e">
        <v>#N/A</v>
        <stp/>
        <stp>BDH|17593372428976226497</stp>
        <tr r="Q40" s="10"/>
        <tr r="Q34" s="11"/>
      </tp>
      <tp t="e">
        <v>#N/A</v>
        <stp/>
        <stp>BDH|13384808844708377356</stp>
        <tr r="D26" s="12"/>
      </tp>
      <tp t="e">
        <v>#N/A</v>
        <stp/>
        <stp>BDH|17075111605176558407</stp>
        <tr r="Y14" s="25"/>
      </tp>
      <tp t="e">
        <v>#N/A</v>
        <stp/>
        <stp>BDH|17767909293911678234</stp>
        <tr r="J34" s="12"/>
      </tp>
      <tp t="e">
        <v>#N/A</v>
        <stp/>
        <stp>BDH|18009813422317154130</stp>
        <tr r="N121" s="18"/>
      </tp>
      <tp t="e">
        <v>#N/A</v>
        <stp/>
        <stp>BDH|11427919992535031076</stp>
        <tr r="S36" s="10"/>
        <tr r="S30" s="11"/>
        <tr r="U39" s="13"/>
      </tp>
      <tp t="e">
        <v>#N/A</v>
        <stp/>
        <stp>BDH|12103524947157075049</stp>
        <tr r="J24" s="4"/>
        <tr r="J58" s="11"/>
      </tp>
      <tp t="e">
        <v>#N/A</v>
        <stp/>
        <stp>BDH|11717917026808615664</stp>
        <tr r="Y16" s="29"/>
        <tr r="Y36" s="29"/>
      </tp>
      <tp t="e">
        <v>#N/A</v>
        <stp/>
        <stp>BDH|12349514326832212363</stp>
        <tr r="N17" s="22"/>
      </tp>
      <tp t="e">
        <v>#N/A</v>
        <stp/>
        <stp>BDH|16128779821197042074</stp>
        <tr r="R9" s="2"/>
        <tr r="T8" s="25"/>
        <tr r="Q10" s="5"/>
      </tp>
      <tp t="e">
        <v>#N/A</v>
        <stp/>
        <stp>BDH|13769882892632594481</stp>
        <tr r="X22" s="9"/>
      </tp>
      <tp t="e">
        <v>#N/A</v>
        <stp/>
        <stp>BDH|12060427491893590869</stp>
        <tr r="K40" s="10"/>
        <tr r="K34" s="11"/>
      </tp>
      <tp t="e">
        <v>#N/A</v>
        <stp/>
        <stp>BDH|11078028340678443964</stp>
        <tr r="O8" s="6"/>
      </tp>
      <tp t="e">
        <v>#N/A</v>
        <stp/>
        <stp>BDH|17210137396158481336</stp>
        <tr r="C77" s="18"/>
      </tp>
      <tp t="e">
        <v>#N/A</v>
        <stp/>
        <stp>BDH|15497464175613233150</stp>
        <tr r="L114" s="18"/>
      </tp>
      <tp t="e">
        <v>#N/A</v>
        <stp/>
        <stp>BDH|16670366496339580132</stp>
        <tr r="V14" s="13"/>
      </tp>
      <tp t="e">
        <v>#N/A</v>
        <stp/>
        <stp>BDH|14038079190128532127</stp>
        <tr r="X41" s="12"/>
      </tp>
      <tp t="e">
        <v>#N/A</v>
        <stp/>
        <stp>BDH|15732643505063644409</stp>
        <tr r="T63" s="18"/>
      </tp>
      <tp t="e">
        <v>#N/A</v>
        <stp/>
        <stp>BDH|11279553806000596040</stp>
        <tr r="X150" s="18"/>
      </tp>
      <tp t="e">
        <v>#N/A</v>
        <stp/>
        <stp>BDH|14484556222972322508</stp>
        <tr r="R46" s="10"/>
        <tr r="R40" s="11"/>
      </tp>
      <tp t="e">
        <v>#N/A</v>
        <stp/>
        <stp>BDH|14552006803180273049</stp>
        <tr r="M52" s="12"/>
      </tp>
      <tp t="e">
        <v>#N/A</v>
        <stp/>
        <stp>BDH|11984171018662432720</stp>
        <tr r="L84" s="18"/>
      </tp>
      <tp t="e">
        <v>#N/A</v>
        <stp/>
        <stp>BDH|18005608382075501774</stp>
        <tr r="S34" s="26"/>
      </tp>
      <tp t="e">
        <v>#N/A</v>
        <stp/>
        <stp>BDH|11539949727856502831</stp>
        <tr r="D25" s="7"/>
      </tp>
      <tp t="e">
        <v>#N/A</v>
        <stp/>
        <stp>BDH|15349981989286210605</stp>
        <tr r="L18" s="29"/>
        <tr r="L38" s="29"/>
      </tp>
      <tp t="e">
        <v>#N/A</v>
        <stp/>
        <stp>BDH|14138517791424467855</stp>
        <tr r="J131" s="18"/>
      </tp>
      <tp t="e">
        <v>#N/A</v>
        <stp/>
        <stp>BDH|13295680368116630148</stp>
        <tr r="V19" s="22"/>
      </tp>
      <tp t="e">
        <v>#N/A</v>
        <stp/>
        <stp>BDH|12287694611013393296</stp>
        <tr r="X64" s="12"/>
      </tp>
      <tp t="e">
        <v>#N/A</v>
        <stp/>
        <stp>BDH|17350661118303904745</stp>
        <tr r="I11" s="12"/>
      </tp>
      <tp t="e">
        <v>#N/A</v>
        <stp/>
        <stp>BDH|15236456435004565271</stp>
        <tr r="T61" s="24"/>
      </tp>
      <tp t="e">
        <v>#N/A</v>
        <stp/>
        <stp>BDH|18034570306350653977</stp>
        <tr r="P73" s="12"/>
      </tp>
      <tp t="e">
        <v>#N/A</v>
        <stp/>
        <stp>BDH|17573499899658711628</stp>
        <tr r="M62" s="24"/>
      </tp>
      <tp t="e">
        <v>#N/A</v>
        <stp/>
        <stp>BDH|11595587316558287992</stp>
        <tr r="J23" s="11"/>
      </tp>
      <tp t="e">
        <v>#N/A</v>
        <stp/>
        <stp>BDH|12380318046582763333</stp>
        <tr r="I25" s="24"/>
      </tp>
      <tp t="e">
        <v>#N/A</v>
        <stp/>
        <stp>BDH|17699742113045738068</stp>
        <tr r="T6" s="27"/>
      </tp>
      <tp t="e">
        <v>#N/A</v>
        <stp/>
        <stp>BDH|18145726295975084763</stp>
        <tr r="U13" s="2"/>
      </tp>
      <tp t="e">
        <v>#N/A</v>
        <stp/>
        <stp>BDH|12209945302599372677</stp>
        <tr r="D38" s="22"/>
      </tp>
      <tp t="e">
        <v>#N/A</v>
        <stp/>
        <stp>BDH|15054825136672729833</stp>
        <tr r="K36" s="10"/>
        <tr r="K30" s="11"/>
        <tr r="M39" s="13"/>
      </tp>
      <tp t="e">
        <v>#N/A</v>
        <stp/>
        <stp>BDH|16831250956244952122</stp>
        <tr r="W46" s="21"/>
      </tp>
      <tp t="e">
        <v>#N/A</v>
        <stp/>
        <stp>BDH|11741974963218341200</stp>
        <tr r="H51" s="10"/>
        <tr r="H45" s="11"/>
        <tr r="H15" s="7"/>
      </tp>
      <tp t="e">
        <v>#N/A</v>
        <stp/>
        <stp>BDH|13536433314521309310</stp>
        <tr r="J16" s="17"/>
        <tr r="J19" s="28"/>
      </tp>
      <tp t="e">
        <v>#N/A</v>
        <stp/>
        <stp>BDH|16158605979386822505</stp>
        <tr r="I27" s="22"/>
      </tp>
      <tp t="e">
        <v>#N/A</v>
        <stp/>
        <stp>BDH|14957822259569006426</stp>
        <tr r="N55" s="24"/>
      </tp>
      <tp t="e">
        <v>#N/A</v>
        <stp/>
        <stp>BDH|10473759462592678767</stp>
        <tr r="E40" s="21"/>
      </tp>
      <tp t="e">
        <v>#N/A</v>
        <stp/>
        <stp>BDH|10638560363906929193</stp>
        <tr r="K35" s="22"/>
      </tp>
      <tp t="e">
        <v>#N/A</v>
        <stp/>
        <stp>BDH|16909827993023241099</stp>
        <tr r="V67" s="12"/>
      </tp>
      <tp t="e">
        <v>#N/A</v>
        <stp/>
        <stp>BDH|14692151414611164151</stp>
        <tr r="N91" s="18"/>
      </tp>
      <tp t="e">
        <v>#N/A</v>
        <stp/>
        <stp>BDH|13297750765006453054</stp>
        <tr r="Q16" s="20"/>
      </tp>
      <tp t="e">
        <v>#N/A</v>
        <stp/>
        <stp>BDH|14639079634440679301</stp>
        <tr r="P14" s="28"/>
      </tp>
      <tp t="e">
        <v>#N/A</v>
        <stp/>
        <stp>BDH|17101166646105708358</stp>
        <tr r="M37" s="22"/>
      </tp>
      <tp t="e">
        <v>#N/A</v>
        <stp/>
        <stp>BDH|17738789049334301466</stp>
        <tr r="AA104" s="18"/>
      </tp>
      <tp t="e">
        <v>#N/A</v>
        <stp/>
        <stp>BDH|14846615828522523678</stp>
        <tr r="E6" s="19"/>
        <tr r="E37" s="17"/>
        <tr r="E16" s="3"/>
      </tp>
      <tp t="e">
        <v>#N/A</v>
        <stp/>
        <stp>BDH|16345211452024626159</stp>
        <tr r="U147" s="18"/>
      </tp>
      <tp t="e">
        <v>#N/A</v>
        <stp/>
        <stp>BDH|14695118256725206105</stp>
        <tr r="G14" s="23"/>
      </tp>
      <tp t="e">
        <v>#N/A</v>
        <stp/>
        <stp>BDH|17258741027041321714</stp>
        <tr r="W98" s="18"/>
      </tp>
      <tp t="e">
        <v>#N/A</v>
        <stp/>
        <stp>BDH|12689960245443479829</stp>
        <tr r="V22" s="20"/>
      </tp>
      <tp t="e">
        <v>#N/A</v>
        <stp/>
        <stp>BDH|13119533415731735237</stp>
        <tr r="N166" s="18"/>
      </tp>
      <tp t="e">
        <v>#N/A</v>
        <stp/>
        <stp>BDH|14901356858734207251</stp>
        <tr r="O8" s="21"/>
      </tp>
      <tp t="e">
        <v>#N/A</v>
        <stp/>
        <stp>BDH|10168504531626011435</stp>
        <tr r="P57" s="12"/>
      </tp>
      <tp t="e">
        <v>#N/A</v>
        <stp/>
        <stp>BDH|16366931267034239964</stp>
        <tr r="F9" s="12"/>
      </tp>
      <tp t="e">
        <v>#N/A</v>
        <stp/>
        <stp>BDH|18383543496291515178</stp>
        <tr r="J56" s="13"/>
      </tp>
      <tp t="e">
        <v>#N/A</v>
        <stp/>
        <stp>BDH|12410103027116257326</stp>
        <tr r="F119" s="18"/>
      </tp>
      <tp t="e">
        <v>#N/A</v>
        <stp/>
        <stp>BDH|17943366571242458593</stp>
        <tr r="M26" s="10"/>
        <tr r="O31" s="13"/>
      </tp>
      <tp t="e">
        <v>#N/A</v>
        <stp/>
        <stp>BDH|12567951066358311163</stp>
        <tr r="F34" s="25"/>
      </tp>
      <tp t="e">
        <v>#N/A</v>
        <stp/>
        <stp>BDH|15522651592577718962</stp>
        <tr r="C7" s="14"/>
      </tp>
      <tp t="e">
        <v>#N/A</v>
        <stp/>
        <stp>BDH|13397431231466214608</stp>
        <tr r="O14" s="2"/>
        <tr r="O11" s="10"/>
      </tp>
      <tp t="e">
        <v>#N/A</v>
        <stp/>
        <stp>BDH|10142308876397632729</stp>
        <tr r="E75" s="17"/>
      </tp>
      <tp t="e">
        <v>#N/A</v>
        <stp/>
        <stp>BDH|17643831256936982891</stp>
        <tr r="M11" s="24"/>
      </tp>
      <tp t="e">
        <v>#N/A</v>
        <stp/>
        <stp>BDH|18400361685415314271</stp>
        <tr r="X43" s="17"/>
      </tp>
      <tp t="e">
        <v>#N/A</v>
        <stp/>
        <stp>BDH|12694039983578487619</stp>
        <tr r="M11" s="17"/>
      </tp>
      <tp t="e">
        <v>#N/A</v>
        <stp/>
        <stp>BDH|11216874907515402854</stp>
        <tr r="S50" s="24"/>
      </tp>
      <tp t="e">
        <v>#N/A</v>
        <stp/>
        <stp>BDH|12264401191388214321</stp>
        <tr r="P24" s="18"/>
      </tp>
      <tp t="e">
        <v>#N/A</v>
        <stp/>
        <stp>BDH|14913386072743564752</stp>
        <tr r="X52" s="17"/>
      </tp>
      <tp t="e">
        <v>#N/A</v>
        <stp/>
        <stp>BDH|14637112807402786357</stp>
        <tr r="X26" s="29"/>
      </tp>
      <tp t="e">
        <v>#N/A</v>
        <stp/>
        <stp>BDH|14273220728891915134</stp>
        <tr r="K60" s="24"/>
      </tp>
      <tp t="e">
        <v>#N/A</v>
        <stp/>
        <stp>BDH|13930488871397072325</stp>
        <tr r="L59" s="18"/>
      </tp>
      <tp t="e">
        <v>#N/A</v>
        <stp/>
        <stp>BDH|12040188947760907342</stp>
        <tr r="Z42" s="12"/>
      </tp>
      <tp t="e">
        <v>#N/A</v>
        <stp/>
        <stp>BDH|14817408419036646354</stp>
        <tr r="F166" s="18"/>
      </tp>
      <tp t="e">
        <v>#N/A</v>
        <stp/>
        <stp>BDH|15569778597827772809</stp>
        <tr r="W14" s="21"/>
      </tp>
      <tp t="e">
        <v>#N/A</v>
        <stp/>
        <stp>BDH|15311659861420719125</stp>
        <tr r="G124" s="18"/>
      </tp>
      <tp t="e">
        <v>#N/A</v>
        <stp/>
        <stp>BDH|17752203053961346553</stp>
        <tr r="I64" s="12"/>
      </tp>
      <tp t="e">
        <v>#N/A</v>
        <stp/>
        <stp>BDH|11946651128061586033</stp>
        <tr r="M47" s="21"/>
      </tp>
      <tp t="e">
        <v>#N/A</v>
        <stp/>
        <stp>BDH|15513941476267093855</stp>
        <tr r="T73" s="17"/>
        <tr r="Q8" s="5"/>
        <tr r="Q8" s="9"/>
      </tp>
      <tp t="e">
        <v>#N/A</v>
        <stp/>
        <stp>BDH|16394314036623578131</stp>
        <tr r="N10" s="10"/>
      </tp>
      <tp t="e">
        <v>#N/A</v>
        <stp/>
        <stp>BDH|15508490477696182483</stp>
        <tr r="T146" s="18"/>
      </tp>
      <tp t="e">
        <v>#N/A</v>
        <stp/>
        <stp>BDH|16671904697587442571</stp>
        <tr r="T20" s="6"/>
      </tp>
      <tp t="e">
        <v>#N/A</v>
        <stp/>
        <stp>BDH|10953446513281539090</stp>
        <tr r="L29" s="21"/>
      </tp>
      <tp t="e">
        <v>#N/A</v>
        <stp/>
        <stp>BDH|10419373730584912087</stp>
        <tr r="E18" s="29"/>
        <tr r="E38" s="29"/>
      </tp>
      <tp t="e">
        <v>#N/A</v>
        <stp/>
        <stp>BDH|15464345763313995788</stp>
        <tr r="J66" s="12"/>
      </tp>
      <tp t="e">
        <v>#N/A</v>
        <stp/>
        <stp>BDH|11407142665315049775</stp>
        <tr r="G43" s="24"/>
      </tp>
      <tp t="e">
        <v>#N/A</v>
        <stp/>
        <stp>BDH|11458829669202987946</stp>
        <tr r="N155" s="18"/>
      </tp>
      <tp t="e">
        <v>#N/A</v>
        <stp/>
        <stp>BDH|10520367402497303006</stp>
        <tr r="L74" s="12"/>
      </tp>
      <tp t="e">
        <v>#N/A</v>
        <stp/>
        <stp>BDH|16138552167162316326</stp>
        <tr r="G56" s="10"/>
        <tr r="G50" s="11"/>
        <tr r="G18" s="7"/>
        <tr r="I52" s="13"/>
      </tp>
      <tp t="e">
        <v>#N/A</v>
        <stp/>
        <stp>BDH|17382709995298523516</stp>
        <tr r="L149" s="18"/>
      </tp>
      <tp t="e">
        <v>#N/A</v>
        <stp/>
        <stp>BDH|11344776839051648090</stp>
        <tr r="X24" s="22"/>
      </tp>
      <tp t="e">
        <v>#N/A</v>
        <stp/>
        <stp>BDH|15549286597073147993</stp>
        <tr r="Q71" s="10"/>
        <tr r="Q65" s="11"/>
      </tp>
      <tp t="e">
        <v>#N/A</v>
        <stp/>
        <stp>BDH|13012286828801695643</stp>
        <tr r="R82" s="18"/>
      </tp>
      <tp t="e">
        <v>#N/A</v>
        <stp/>
        <stp>BDH|14762204920646657634</stp>
        <tr r="M20" s="18"/>
      </tp>
      <tp t="e">
        <v>#N/A</v>
        <stp/>
        <stp>BDH|15846367000463963154</stp>
        <tr r="K14" s="6"/>
      </tp>
      <tp t="e">
        <v>#N/A</v>
        <stp/>
        <stp>BDH|10170933955479771123</stp>
        <tr r="H23" s="10"/>
      </tp>
      <tp t="e">
        <v>#N/A</v>
        <stp/>
        <stp>BDH|16937638943643801339</stp>
        <tr r="Y24" s="26"/>
      </tp>
      <tp t="e">
        <v>#N/A</v>
        <stp/>
        <stp>BDH|12566850940329319310</stp>
        <tr r="H39" s="10"/>
        <tr r="H33" s="11"/>
      </tp>
      <tp t="e">
        <v>#N/A</v>
        <stp/>
        <stp>BDH|15268439933622993494</stp>
        <tr r="Y24" s="13"/>
      </tp>
      <tp t="e">
        <v>#N/A</v>
        <stp/>
        <stp>BDH|12639653672934222360</stp>
        <tr r="V65" s="24"/>
      </tp>
      <tp t="e">
        <v>#N/A</v>
        <stp/>
        <stp>BDH|10291116362633018043</stp>
        <tr r="Z62" s="12"/>
      </tp>
      <tp t="e">
        <v>#N/A</v>
        <stp/>
        <stp>BDH|15857406632846704081</stp>
        <tr r="G112" s="18"/>
        <tr r="E13" s="20"/>
      </tp>
      <tp t="e">
        <v>#N/A</v>
        <stp/>
        <stp>BDH|17987109029349628939</stp>
        <tr r="AA57" s="18"/>
      </tp>
      <tp t="e">
        <v>#N/A</v>
        <stp/>
        <stp>BDH|11111714141722294462</stp>
        <tr r="F16" s="30"/>
      </tp>
      <tp t="e">
        <v>#N/A</v>
        <stp/>
        <stp>BDH|16791377805558140917</stp>
        <tr r="D30" s="12"/>
      </tp>
      <tp t="e">
        <v>#N/A</v>
        <stp/>
        <stp>BDH|13678370913890376540</stp>
        <tr r="W52" s="21"/>
      </tp>
      <tp t="e">
        <v>#N/A</v>
        <stp/>
        <stp>BDH|17636169625227516751</stp>
        <tr r="U14" s="23"/>
      </tp>
      <tp t="e">
        <v>#N/A</v>
        <stp/>
        <stp>BDH|12090203081258643424</stp>
        <tr r="T82" s="17"/>
        <tr r="T19" s="3"/>
      </tp>
      <tp t="e">
        <v>#N/A</v>
        <stp/>
        <stp>BDH|12196644054553305670</stp>
        <tr r="T22" s="10"/>
      </tp>
      <tp t="e">
        <v>#N/A</v>
        <stp/>
        <stp>BDH|13454069479444857462</stp>
        <tr r="X10" s="2"/>
        <tr r="W11" s="5"/>
        <tr r="W36" s="6"/>
        <tr r="Z31" s="29"/>
        <tr r="Z39" s="29"/>
      </tp>
      <tp t="e">
        <v>#N/A</v>
        <stp/>
        <stp>BDH|17479283478447076119</stp>
        <tr r="N8" s="2"/>
      </tp>
      <tp t="e">
        <v>#N/A</v>
        <stp/>
        <stp>BDH|11802899861652498918</stp>
        <tr r="T31" s="18"/>
      </tp>
      <tp t="e">
        <v>#N/A</v>
        <stp/>
        <stp>BDH|13783456661241379456</stp>
        <tr r="D76" s="17"/>
      </tp>
      <tp t="e">
        <v>#N/A</v>
        <stp/>
        <stp>BDH|15631099638726783458</stp>
        <tr r="Q65" s="24"/>
      </tp>
      <tp t="e">
        <v>#N/A</v>
        <stp/>
        <stp>BDH|11037159451177448653</stp>
        <tr r="U63" s="21"/>
      </tp>
      <tp t="e">
        <v>#N/A</v>
        <stp/>
        <stp>BDH|11424748373357668203</stp>
        <tr r="D14" s="3"/>
      </tp>
      <tp t="e">
        <v>#N/A</v>
        <stp/>
        <stp>BDH|13447032652852641069</stp>
        <tr r="I44" s="21"/>
      </tp>
      <tp t="e">
        <v>#N/A</v>
        <stp/>
        <stp>BDH|11314461505559163840</stp>
        <tr r="M9" s="24"/>
      </tp>
      <tp t="e">
        <v>#N/A</v>
        <stp/>
        <stp>BDH|12140961521659317401</stp>
        <tr r="H20" s="6"/>
      </tp>
      <tp t="e">
        <v>#N/A</v>
        <stp/>
        <stp>BDH|15372303247692286438</stp>
        <tr r="Y31" s="10"/>
        <tr r="Y25" s="11"/>
      </tp>
      <tp t="e">
        <v>#N/A</v>
        <stp/>
        <stp>BDH|10939828444430380895</stp>
        <tr r="P17" s="17"/>
        <tr r="P20" s="28"/>
      </tp>
      <tp t="e">
        <v>#N/A</v>
        <stp/>
        <stp>BDH|13990286867384588766</stp>
        <tr r="H21" s="26"/>
      </tp>
      <tp t="e">
        <v>#N/A</v>
        <stp/>
        <stp>BDH|11579904181423739766</stp>
        <tr r="D32" s="17"/>
      </tp>
      <tp t="e">
        <v>#N/A</v>
        <stp/>
        <stp>BDH|13565562064243773753</stp>
        <tr r="I34" s="10"/>
        <tr r="I28" s="11"/>
      </tp>
      <tp t="e">
        <v>#N/A</v>
        <stp/>
        <stp>BDH|12833700388050225970</stp>
        <tr r="T56" s="10"/>
        <tr r="T50" s="11"/>
        <tr r="T18" s="7"/>
        <tr r="V52" s="13"/>
      </tp>
      <tp t="e">
        <v>#N/A</v>
        <stp/>
        <stp>BDH|13862080664052537345</stp>
        <tr r="F94" s="17"/>
      </tp>
      <tp t="e">
        <v>#N/A</v>
        <stp/>
        <stp>BDH|17812069529862141334</stp>
        <tr r="G25" s="24"/>
      </tp>
      <tp t="e">
        <v>#N/A</v>
        <stp/>
        <stp>BDH|16527215846572465632</stp>
        <tr r="G140" s="18"/>
      </tp>
      <tp t="e">
        <v>#N/A</v>
        <stp/>
        <stp>BDH|16299609700067073371</stp>
        <tr r="D8" s="26"/>
      </tp>
      <tp t="e">
        <v>#N/A</v>
        <stp/>
        <stp>BDH|15734860312829381155</stp>
        <tr r="F57" s="18"/>
      </tp>
      <tp t="e">
        <v>#N/A</v>
        <stp/>
        <stp>BDH|14848753573234837433</stp>
        <tr r="O46" s="12"/>
      </tp>
      <tp t="e">
        <v>#N/A</v>
        <stp/>
        <stp>BDH|13771252602496478313</stp>
        <tr r="E148" s="18"/>
      </tp>
      <tp t="e">
        <v>#N/A</v>
        <stp/>
        <stp>BDH|10978115758388536807</stp>
        <tr r="N34" s="17"/>
      </tp>
      <tp t="e">
        <v>#N/A</v>
        <stp/>
        <stp>BDH|17447348951397724239</stp>
        <tr r="U49" s="18"/>
      </tp>
      <tp t="e">
        <v>#N/A</v>
        <stp/>
        <stp>BDH|17493348165962147407</stp>
        <tr r="E89" s="18"/>
      </tp>
      <tp t="e">
        <v>#N/A</v>
        <stp/>
        <stp>BDH|13073371527394395276</stp>
        <tr r="AA51" s="18"/>
      </tp>
      <tp t="e">
        <v>#N/A</v>
        <stp/>
        <stp>BDH|13517155594867604866</stp>
        <tr r="X43" s="24"/>
      </tp>
      <tp t="e">
        <v>#N/A</v>
        <stp/>
        <stp>BDH|14640222591513588842</stp>
        <tr r="C46" s="10"/>
        <tr r="C40" s="11"/>
      </tp>
      <tp t="e">
        <v>#N/A</v>
        <stp/>
        <stp>BDH|12047021837483218639</stp>
        <tr r="N36" s="10"/>
        <tr r="N30" s="11"/>
        <tr r="P39" s="13"/>
      </tp>
      <tp t="e">
        <v>#N/A</v>
        <stp/>
        <stp>BDH|10595457074443947497</stp>
        <tr r="X25" s="7"/>
      </tp>
      <tp t="e">
        <v>#N/A</v>
        <stp/>
        <stp>BDH|11276524626804464665</stp>
        <tr r="K46" s="18"/>
      </tp>
      <tp t="e">
        <v>#N/A</v>
        <stp/>
        <stp>BDH|10487718904043092056</stp>
        <tr r="Z71" s="17"/>
      </tp>
      <tp t="e">
        <v>#N/A</v>
        <stp/>
        <stp>BDH|12683514523862580353</stp>
        <tr r="U127" s="18"/>
      </tp>
      <tp t="e">
        <v>#N/A</v>
        <stp/>
        <stp>BDH|15430653775999147913</stp>
        <tr r="M71" s="18"/>
      </tp>
      <tp t="e">
        <v>#N/A</v>
        <stp/>
        <stp>BDH|10646768501614058751</stp>
        <tr r="W15" s="12"/>
      </tp>
      <tp t="e">
        <v>#N/A</v>
        <stp/>
        <stp>BDH|12521847761351116959</stp>
        <tr r="M60" s="21"/>
      </tp>
      <tp t="e">
        <v>#N/A</v>
        <stp/>
        <stp>BDH|10993202978096507705</stp>
        <tr r="I166" s="18"/>
      </tp>
      <tp t="e">
        <v>#N/A</v>
        <stp/>
        <stp>BDH|12065280439081486613</stp>
        <tr r="D12" s="6"/>
      </tp>
      <tp t="e">
        <v>#N/A</v>
        <stp/>
        <stp>BDH|17282255504543752200</stp>
        <tr r="O17" s="13"/>
      </tp>
      <tp t="e">
        <v>#N/A</v>
        <stp/>
        <stp>BDH|13760586220495209597</stp>
        <tr r="K19" s="17"/>
      </tp>
      <tp t="e">
        <v>#N/A</v>
        <stp/>
        <stp>BDH|10148769664763586620</stp>
        <tr r="Z128" s="18"/>
      </tp>
      <tp t="e">
        <v>#N/A</v>
        <stp/>
        <stp>BDH|16218736905792922790</stp>
        <tr r="V39" s="10"/>
        <tr r="V33" s="11"/>
      </tp>
      <tp t="e">
        <v>#N/A</v>
        <stp/>
        <stp>BDH|14186050724117186553</stp>
        <tr r="X41" s="18"/>
      </tp>
      <tp t="e">
        <v>#N/A</v>
        <stp/>
        <stp>BDH|15532329283398539258</stp>
        <tr r="AA28" s="18"/>
      </tp>
      <tp t="e">
        <v>#N/A</v>
        <stp/>
        <stp>BDH|15643664308057576095</stp>
        <tr r="V16" s="2"/>
        <tr r="V32" s="4"/>
        <tr r="V61" s="10"/>
        <tr r="X19" s="13"/>
      </tp>
      <tp t="e">
        <v>#N/A</v>
        <stp/>
        <stp>BDH|12078639702595082552</stp>
        <tr r="D37" s="22"/>
      </tp>
      <tp t="e">
        <v>#N/A</v>
        <stp/>
        <stp>BDH|11640122916293333656</stp>
        <tr r="K59" s="21"/>
        <tr r="I56" s="11"/>
      </tp>
      <tp t="e">
        <v>#N/A</v>
        <stp/>
        <stp>BDH|12095126642862176151</stp>
        <tr r="C15" s="5"/>
      </tp>
      <tp t="e">
        <v>#N/A</v>
        <stp/>
        <stp>BDH|14371036269251975745</stp>
        <tr r="X56" s="17"/>
        <tr r="X17" s="3"/>
      </tp>
      <tp t="e">
        <v>#N/A</v>
        <stp/>
        <stp>BDH|14630126169126121187</stp>
        <tr r="S17" s="17"/>
        <tr r="S20" s="28"/>
      </tp>
      <tp t="e">
        <v>#N/A</v>
        <stp/>
        <stp>BDH|16868646590754021985</stp>
        <tr r="K20" s="6"/>
      </tp>
      <tp t="e">
        <v>#N/A</v>
        <stp/>
        <stp>BDH|15469696818165533342</stp>
        <tr r="T78" s="18"/>
      </tp>
      <tp t="e">
        <v>#N/A</v>
        <stp/>
        <stp>BDH|12609523966606102375</stp>
        <tr r="J52" s="4"/>
        <tr r="L8" s="3"/>
        <tr r="J43" s="10"/>
        <tr r="J37" s="11"/>
        <tr r="L38" s="13"/>
      </tp>
      <tp t="e">
        <v>#N/A</v>
        <stp/>
        <stp>BDH|16860042258474028305</stp>
        <tr r="I74" s="18"/>
      </tp>
      <tp t="e">
        <v>#N/A</v>
        <stp/>
        <stp>BDH|15459383954286911152</stp>
        <tr r="X124" s="18"/>
      </tp>
      <tp t="e">
        <v>#N/A</v>
        <stp/>
        <stp>BDH|14151727310745267354</stp>
        <tr r="Z73" s="12"/>
      </tp>
      <tp t="e">
        <v>#N/A</v>
        <stp/>
        <stp>BDH|11435317451235642665</stp>
        <tr r="F70" s="12"/>
      </tp>
      <tp t="e">
        <v>#N/A</v>
        <stp/>
        <stp>BDH|16402469371032060378</stp>
        <tr r="P151" s="18"/>
      </tp>
      <tp t="e">
        <v>#N/A</v>
        <stp/>
        <stp>BDH|13189128620703598728</stp>
        <tr r="G46" s="10"/>
        <tr r="G40" s="11"/>
      </tp>
      <tp t="e">
        <v>#N/A</v>
        <stp/>
        <stp>BDH|16226632144876255638</stp>
        <tr r="L23" s="21"/>
      </tp>
      <tp t="e">
        <v>#N/A</v>
        <stp/>
        <stp>BDH|11155606921239318875</stp>
        <tr r="D38" s="6"/>
      </tp>
      <tp t="e">
        <v>#N/A</v>
        <stp/>
        <stp>BDH|14610870770096509904</stp>
        <tr r="R62" s="18"/>
      </tp>
      <tp t="e">
        <v>#N/A</v>
        <stp/>
        <stp>BDH|13104802274009949182</stp>
        <tr r="K113" s="18"/>
        <tr r="I14" s="20"/>
      </tp>
      <tp t="e">
        <v>#N/A</v>
        <stp/>
        <stp>BDH|11590640010913169142</stp>
        <tr r="AA13" s="21"/>
      </tp>
      <tp t="e">
        <v>#N/A</v>
        <stp/>
        <stp>BDH|12113463674717325243</stp>
        <tr r="I13" s="11"/>
      </tp>
      <tp t="e">
        <v>#N/A</v>
        <stp/>
        <stp>BDH|15379618355211373331</stp>
        <tr r="G150" s="18"/>
      </tp>
      <tp t="e">
        <v>#N/A</v>
        <stp/>
        <stp>BDH|10836213541673683195</stp>
        <tr r="W32" s="22"/>
      </tp>
      <tp t="e">
        <v>#N/A</v>
        <stp/>
        <stp>BDH|12396019338015988042</stp>
        <tr r="K44" s="24"/>
      </tp>
      <tp t="e">
        <v>#N/A</v>
        <stp/>
        <stp>BDH|13353541179993803617</stp>
        <tr r="H14" s="8"/>
      </tp>
      <tp t="e">
        <v>#N/A</v>
        <stp/>
        <stp>BDH|15799142429122927042</stp>
        <tr r="S70" s="18"/>
      </tp>
      <tp t="e">
        <v>#N/A</v>
        <stp/>
        <stp>BDH|14037302225073798252</stp>
        <tr r="T95" s="17"/>
        <tr r="T30" s="25"/>
      </tp>
      <tp t="e">
        <v>#N/A</v>
        <stp/>
        <stp>BDH|16774948136289114135</stp>
        <tr r="H88" s="18"/>
      </tp>
      <tp t="e">
        <v>#N/A</v>
        <stp/>
        <stp>BDH|11633482958911988589</stp>
        <tr r="C22" s="22"/>
      </tp>
      <tp t="e">
        <v>#N/A</v>
        <stp/>
        <stp>BDH|16450137761317484250</stp>
        <tr r="AA61" s="12"/>
      </tp>
      <tp t="e">
        <v>#N/A</v>
        <stp/>
        <stp>BDH|17663732727814528206</stp>
        <tr r="O36" s="10"/>
        <tr r="O30" s="11"/>
        <tr r="Q39" s="13"/>
      </tp>
      <tp t="e">
        <v>#N/A</v>
        <stp/>
        <stp>BDH|11397102991268047555</stp>
        <tr r="U10" s="28"/>
      </tp>
      <tp t="e">
        <v>#N/A</v>
        <stp/>
        <stp>BDH|16416472033375689010</stp>
        <tr r="S11" s="14"/>
      </tp>
      <tp t="e">
        <v>#N/A</v>
        <stp/>
        <stp>BDH|14388007477980680756</stp>
        <tr r="S14" s="6"/>
      </tp>
      <tp t="e">
        <v>#N/A</v>
        <stp/>
        <stp>BDH|18015859234987177079</stp>
        <tr r="L119" s="18"/>
      </tp>
      <tp t="e">
        <v>#N/A</v>
        <stp/>
        <stp>BDH|18326889864962093084</stp>
        <tr r="J11" s="17"/>
      </tp>
      <tp t="e">
        <v>#N/A</v>
        <stp/>
        <stp>BDH|14759995892914805436</stp>
        <tr r="W166" s="18"/>
      </tp>
      <tp t="e">
        <v>#N/A</v>
        <stp/>
        <stp>BDH|16166019224069372907</stp>
        <tr r="T61" s="18"/>
      </tp>
      <tp t="e">
        <v>#N/A</v>
        <stp/>
        <stp>BDH|12469691289020715848</stp>
        <tr r="P41" s="17"/>
      </tp>
      <tp t="e">
        <v>#N/A</v>
        <stp/>
        <stp>BDH|18061623588687845559</stp>
        <tr r="G28" s="17"/>
      </tp>
      <tp t="e">
        <v>#N/A</v>
        <stp/>
        <stp>BDH|12345765716899420905</stp>
        <tr r="I130" s="18"/>
      </tp>
      <tp t="e">
        <v>#N/A</v>
        <stp/>
        <stp>BDH|14211769750204575663</stp>
        <tr r="I23" s="2"/>
        <tr r="K18" s="21"/>
        <tr r="K23" s="3"/>
      </tp>
      <tp t="e">
        <v>#N/A</v>
        <stp/>
        <stp>BDH|17494794866961996350</stp>
        <tr r="D49" s="18"/>
      </tp>
      <tp t="e">
        <v>#N/A</v>
        <stp/>
        <stp>BDH|14898021964306015097</stp>
        <tr r="H14" s="11"/>
      </tp>
      <tp t="e">
        <v>#N/A</v>
        <stp/>
        <stp>BDH|11720212072549603958</stp>
        <tr r="L7" s="6"/>
      </tp>
      <tp t="e">
        <v>#N/A</v>
        <stp/>
        <stp>BDH|15670368421844126479</stp>
        <tr r="E13" s="7"/>
      </tp>
      <tp t="e">
        <v>#N/A</v>
        <stp/>
        <stp>BDH|17738951981912743033</stp>
        <tr r="G25" s="2"/>
        <tr r="I62" s="21"/>
      </tp>
      <tp t="e">
        <v>#N/A</v>
        <stp/>
        <stp>BDH|18413793561498872532</stp>
        <tr r="W94" s="18"/>
      </tp>
      <tp t="e">
        <v>#N/A</v>
        <stp/>
        <stp>BDH|17877124851653972451</stp>
        <tr r="O22" s="9"/>
      </tp>
      <tp t="e">
        <v>#N/A</v>
        <stp/>
        <stp>BDH|11181251370639090935</stp>
        <tr r="Q88" s="18"/>
      </tp>
      <tp t="e">
        <v>#N/A</v>
        <stp/>
        <stp>BDH|18427151103108264577</stp>
        <tr r="M11" s="11"/>
      </tp>
      <tp t="e">
        <v>#N/A</v>
        <stp/>
        <stp>BDH|10414162945276667765</stp>
        <tr r="W8" s="28"/>
      </tp>
      <tp t="e">
        <v>#N/A</v>
        <stp/>
        <stp>BDH|14099225095378850388</stp>
        <tr r="E26" s="12"/>
      </tp>
      <tp t="e">
        <v>#N/A</v>
        <stp/>
        <stp>BDH|14680757471286683634</stp>
        <tr r="Q58" s="18"/>
      </tp>
      <tp t="e">
        <v>#N/A</v>
        <stp/>
        <stp>BDH|12238224213415222060</stp>
        <tr r="L40" s="17"/>
      </tp>
      <tp t="e">
        <v>#N/A</v>
        <stp/>
        <stp>BDH|16104461150156625563</stp>
        <tr r="H127" s="18"/>
      </tp>
      <tp t="e">
        <v>#N/A</v>
        <stp/>
        <stp>BDH|14761720370345662542</stp>
        <tr r="U12" s="22"/>
      </tp>
      <tp t="e">
        <v>#N/A</v>
        <stp/>
        <stp>BDH|17261585133371811460</stp>
        <tr r="K31" s="24"/>
      </tp>
      <tp t="e">
        <v>#N/A</v>
        <stp/>
        <stp>BDH|13557445111133595129</stp>
        <tr r="N30" s="17"/>
      </tp>
      <tp t="e">
        <v>#N/A</v>
        <stp/>
        <stp>BDH|14679379203110698337</stp>
        <tr r="J39" s="34"/>
      </tp>
      <tp t="e">
        <v>#N/A</v>
        <stp/>
        <stp>BDH|17015221511182232262</stp>
        <tr r="S42" s="22"/>
      </tp>
      <tp t="e">
        <v>#N/A</v>
        <stp/>
        <stp>BDH|12410018367912395269</stp>
        <tr r="T16" s="10"/>
      </tp>
      <tp t="e">
        <v>#N/A</v>
        <stp/>
        <stp>BDH|17142937123601114974</stp>
        <tr r="N8" s="12"/>
      </tp>
      <tp t="e">
        <v>#N/A</v>
        <stp/>
        <stp>BDH|10513493636511474297</stp>
        <tr r="C8" s="13"/>
      </tp>
      <tp t="e">
        <v>#N/A</v>
        <stp/>
        <stp>BDH|13496667871834160256</stp>
        <tr r="H70" s="12"/>
      </tp>
      <tp t="e">
        <v>#N/A</v>
        <stp/>
        <stp>BDH|12770027909417957127</stp>
        <tr r="M64" s="17"/>
      </tp>
      <tp t="e">
        <v>#N/A</v>
        <stp/>
        <stp>BDH|16313004545561309725</stp>
        <tr r="T22" s="9"/>
      </tp>
      <tp t="e">
        <v>#N/A</v>
        <stp/>
        <stp>BDH|17480780662823806115</stp>
        <tr r="K73" s="17"/>
        <tr r="H8" s="5"/>
        <tr r="H8" s="9"/>
      </tp>
      <tp t="e">
        <v>#N/A</v>
        <stp/>
        <stp>BDH|10651157716582512672</stp>
        <tr r="I12" s="12"/>
      </tp>
      <tp t="e">
        <v>#N/A</v>
        <stp/>
        <stp>BDH|14988958131879247388</stp>
        <tr r="F30" s="22"/>
      </tp>
      <tp t="e">
        <v>#N/A</v>
        <stp/>
        <stp>BDH|14676087039166834586</stp>
        <tr r="V120" s="18"/>
      </tp>
      <tp t="e">
        <v>#N/A</v>
        <stp/>
        <stp>BDH|16052329718365982543</stp>
        <tr r="Z125" s="18"/>
      </tp>
      <tp t="e">
        <v>#N/A</v>
        <stp/>
        <stp>BDH|17502374034372866195</stp>
        <tr r="O13" s="11"/>
      </tp>
      <tp t="e">
        <v>#N/A</v>
        <stp/>
        <stp>BDH|13657555532385794401</stp>
        <tr r="Y165" s="18"/>
      </tp>
      <tp t="e">
        <v>#N/A</v>
        <stp/>
        <stp>BDH|12699397797329705596</stp>
        <tr r="W115" s="18"/>
      </tp>
      <tp t="e">
        <v>#N/A</v>
        <stp/>
        <stp>BDH|15446199428497570565</stp>
        <tr r="P28" s="18"/>
      </tp>
      <tp t="e">
        <v>#N/A</v>
        <stp/>
        <stp>BDH|15967579866392763091</stp>
        <tr r="P22" s="7"/>
      </tp>
      <tp t="e">
        <v>#N/A</v>
        <stp/>
        <stp>BDH|18056834963390083261</stp>
        <tr r="E64" s="18"/>
      </tp>
      <tp t="e">
        <v>#N/A</v>
        <stp/>
        <stp>BDH|11856337627904900030</stp>
        <tr r="N132" s="18"/>
      </tp>
      <tp t="e">
        <v>#N/A</v>
        <stp/>
        <stp>BDH|15767669768092879373</stp>
        <tr r="H47" s="17"/>
      </tp>
      <tp t="e">
        <v>#N/A</v>
        <stp/>
        <stp>BDH|11880687827313927287</stp>
        <tr r="Y8" s="18"/>
      </tp>
      <tp t="e">
        <v>#N/A</v>
        <stp/>
        <stp>BDH|11070554845920073462</stp>
        <tr r="T44" s="13"/>
      </tp>
      <tp t="e">
        <v>#N/A</v>
        <stp/>
        <stp>BDH|11045602592568140258</stp>
        <tr r="J27" s="18"/>
      </tp>
      <tp t="e">
        <v>#N/A</v>
        <stp/>
        <stp>BDH|12840897815208188737</stp>
        <tr r="W28" s="5"/>
      </tp>
      <tp t="e">
        <v>#N/A</v>
        <stp/>
        <stp>BDH|12751456649866521084</stp>
        <tr r="P35" s="22"/>
      </tp>
      <tp t="e">
        <v>#N/A</v>
        <stp/>
        <stp>BDH|13065635438900447292</stp>
        <tr r="Z45" s="17"/>
        <tr r="Z9" s="25"/>
      </tp>
      <tp t="e">
        <v>#N/A</v>
        <stp/>
        <stp>BDH|10480137412103754747</stp>
        <tr r="E79" s="17"/>
      </tp>
      <tp t="e">
        <v>#N/A</v>
        <stp/>
        <stp>BDH|11055515250357429232</stp>
        <tr r="I150" s="18"/>
      </tp>
      <tp t="e">
        <v>#N/A</v>
        <stp/>
        <stp>BDH|11673245566366316713</stp>
        <tr r="V126" s="18"/>
      </tp>
      <tp t="e">
        <v>#N/A</v>
        <stp/>
        <stp>BDH|17837662361083143087</stp>
        <tr r="F62" s="12"/>
      </tp>
      <tp t="e">
        <v>#N/A</v>
        <stp/>
        <stp>BDH|14399201294839501242</stp>
        <tr r="J31" s="17"/>
      </tp>
      <tp t="e">
        <v>#N/A</v>
        <stp/>
        <stp>BDH|13030224568450554394</stp>
        <tr r="AA9" s="3"/>
        <tr r="Y50" s="10"/>
        <tr r="Y44" s="11"/>
        <tr r="Y14" s="7"/>
      </tp>
      <tp t="e">
        <v>#N/A</v>
        <stp/>
        <stp>BDH|14723784408502573546</stp>
        <tr r="X6" s="2"/>
        <tr r="W6" s="5"/>
        <tr r="W6" s="9"/>
        <tr r="Y12" s="8"/>
        <tr r="Z10" s="29"/>
        <tr r="Z19" s="29"/>
        <tr r="Z25" s="29"/>
      </tp>
      <tp t="e">
        <v>#N/A</v>
        <stp/>
        <stp>BDH|16197601065286298401</stp>
        <tr r="C20" s="5"/>
        <tr r="C20" s="9"/>
      </tp>
      <tp t="e">
        <v>#N/A</v>
        <stp/>
        <stp>BDH|11674201122291173432</stp>
        <tr r="Z30" s="22"/>
      </tp>
      <tp t="e">
        <v>#N/A</v>
        <stp/>
        <stp>BDH|10069279235331650428</stp>
        <tr r="N52" s="18"/>
      </tp>
      <tp t="e">
        <v>#N/A</v>
        <stp/>
        <stp>BDH|17104705871977588435</stp>
        <tr r="S82" s="17"/>
        <tr r="S19" s="3"/>
      </tp>
      <tp t="e">
        <v>#N/A</v>
        <stp/>
        <stp>BDH|16012761872857092521</stp>
        <tr r="P12" s="12"/>
      </tp>
      <tp t="e">
        <v>#N/A</v>
        <stp/>
        <stp>BDH|17648233610325771543</stp>
        <tr r="O116" s="18"/>
      </tp>
      <tp t="e">
        <v>#N/A</v>
        <stp/>
        <stp>BDH|15531263610701123345</stp>
        <tr r="Q55" s="18"/>
      </tp>
      <tp t="e">
        <v>#N/A</v>
        <stp/>
        <stp>BDH|17421497534636613292</stp>
        <tr r="J20" s="5"/>
        <tr r="J20" s="9"/>
      </tp>
      <tp t="e">
        <v>#N/A</v>
        <stp/>
        <stp>BDH|15477223603761223216</stp>
        <tr r="S40" s="10"/>
        <tr r="S34" s="11"/>
      </tp>
      <tp t="e">
        <v>#N/A</v>
        <stp/>
        <stp>BDH|12592366877846632442</stp>
        <tr r="N42" s="17"/>
      </tp>
      <tp t="e">
        <v>#N/A</v>
        <stp/>
        <stp>BDH|12149016779890751189</stp>
        <tr r="S12" s="21"/>
      </tp>
      <tp t="e">
        <v>#N/A</v>
        <stp/>
        <stp>BDH|12340868756249238278</stp>
        <tr r="U152" s="18"/>
      </tp>
      <tp t="e">
        <v>#N/A</v>
        <stp/>
        <stp>BDH|18028247215316001973</stp>
        <tr r="AA43" s="12"/>
      </tp>
      <tp t="e">
        <v>#N/A</v>
        <stp/>
        <stp>BDH|16842724898725616922</stp>
        <tr r="O30" s="17"/>
      </tp>
      <tp t="e">
        <v>#N/A</v>
        <stp/>
        <stp>BDH|16292100383459711208</stp>
        <tr r="P21" s="12"/>
      </tp>
      <tp t="e">
        <v>#N/A</v>
        <stp/>
        <stp>BDH|12710183768056635775</stp>
        <tr r="G61" s="18"/>
      </tp>
      <tp t="e">
        <v>#N/A</v>
        <stp/>
        <stp>BDH|16592817189654618622</stp>
        <tr r="H64" s="12"/>
      </tp>
      <tp t="e">
        <v>#N/A</v>
        <stp/>
        <stp>BDH|15339079405166800700</stp>
        <tr r="O22" s="26"/>
      </tp>
      <tp t="e">
        <v>#N/A</v>
        <stp/>
        <stp>BDH|10974257773160128179</stp>
        <tr r="L72" s="24"/>
      </tp>
      <tp t="e">
        <v>#N/A</v>
        <stp/>
        <stp>BDH|14926992030138124289</stp>
        <tr r="N55" s="12"/>
      </tp>
      <tp t="e">
        <v>#N/A</v>
        <stp/>
        <stp>BDH|12945663342873652720</stp>
        <tr r="O8" s="11"/>
      </tp>
      <tp t="e">
        <v>#N/A</v>
        <stp/>
        <stp>BDH|10985229478215989432</stp>
        <tr r="C22" s="12"/>
      </tp>
      <tp t="e">
        <v>#N/A</v>
        <stp/>
        <stp>BDH|11906452714478275839</stp>
        <tr r="T14" s="18"/>
      </tp>
      <tp t="e">
        <v>#N/A</v>
        <stp/>
        <stp>BDH|13779882340668343358</stp>
        <tr r="C34" s="10"/>
        <tr r="C28" s="11"/>
      </tp>
      <tp t="e">
        <v>#N/A</v>
        <stp/>
        <stp>BDH|16177133852256819019</stp>
        <tr r="T77" s="12"/>
      </tp>
      <tp t="e">
        <v>#N/A</v>
        <stp/>
        <stp>BDH|13658399161484336646</stp>
        <tr r="E13" s="18"/>
      </tp>
      <tp t="e">
        <v>#N/A</v>
        <stp/>
        <stp>BDH|13937922722918323437</stp>
        <tr r="J50" s="24"/>
      </tp>
      <tp t="e">
        <v>#N/A</v>
        <stp/>
        <stp>BDH|17090134341255818332</stp>
        <tr r="D9" s="23"/>
      </tp>
      <tp t="e">
        <v>#N/A</v>
        <stp/>
        <stp>BDH|10303607106862911052</stp>
        <tr r="M35" s="25"/>
        <tr r="M7" s="3"/>
        <tr r="K18" s="11"/>
        <tr r="M22" s="13"/>
        <tr r="M7" s="13"/>
      </tp>
      <tp t="e">
        <v>#N/A</v>
        <stp/>
        <stp>BDH|10954016753915236405</stp>
        <tr r="S35" s="10"/>
        <tr r="S47" s="10"/>
        <tr r="S29" s="11"/>
        <tr r="S41" s="11"/>
      </tp>
      <tp t="e">
        <v>#N/A</v>
        <stp/>
        <stp>BDH|11502737658876727101</stp>
        <tr r="H14" s="18"/>
      </tp>
      <tp t="e">
        <v>#N/A</v>
        <stp/>
        <stp>BDH|16086270856474978117</stp>
        <tr r="X7" s="2"/>
        <tr r="W7" s="5"/>
        <tr r="W7" s="9"/>
        <tr r="Z14" s="3"/>
      </tp>
      <tp t="e">
        <v>#N/A</v>
        <stp/>
        <stp>BDH|14948035144421298550</stp>
        <tr r="W7" s="17"/>
      </tp>
      <tp t="e">
        <v>#N/A</v>
        <stp/>
        <stp>BDH|15941010309247895603</stp>
        <tr r="L42" s="21"/>
      </tp>
      <tp t="e">
        <v>#N/A</v>
        <stp/>
        <stp>BDH|17663076675972498691</stp>
        <tr r="J37" s="12"/>
      </tp>
      <tp t="e">
        <v>#N/A</v>
        <stp/>
        <stp>BDH|18021018501288007498</stp>
        <tr r="T45" s="21"/>
      </tp>
      <tp t="e">
        <v>#N/A</v>
        <stp/>
        <stp>BDH|15914004521265602677</stp>
        <tr r="X129" s="18"/>
      </tp>
      <tp t="e">
        <v>#N/A</v>
        <stp/>
        <stp>BDH|13299238930167166196</stp>
        <tr r="G20" s="30"/>
      </tp>
      <tp t="e">
        <v>#N/A</v>
        <stp/>
        <stp>BDH|13804319175922314161</stp>
        <tr r="C88" s="17"/>
      </tp>
      <tp t="e">
        <v>#N/A</v>
        <stp/>
        <stp>BDH|15557799934930732561</stp>
        <tr r="S18" s="6"/>
      </tp>
      <tp t="e">
        <v>#N/A</v>
        <stp/>
        <stp>BDH|10826080094439528482</stp>
        <tr r="J73" s="12"/>
      </tp>
      <tp t="e">
        <v>#N/A</v>
        <stp/>
        <stp>BDH|15038612068817767679</stp>
        <tr r="T43" s="13"/>
      </tp>
      <tp t="e">
        <v>#N/A</v>
        <stp/>
        <stp>BDH|14163675126410001491</stp>
        <tr r="H6" s="15"/>
        <tr r="H12" s="2"/>
        <tr r="H11" s="4"/>
        <tr r="H6" s="10"/>
      </tp>
      <tp t="e">
        <v>#N/A</v>
        <stp/>
        <stp>BDH|15220280565771746414</stp>
        <tr r="R78" s="17"/>
      </tp>
      <tp t="e">
        <v>#N/A</v>
        <stp/>
        <stp>BDH|10051631367227455397</stp>
        <tr r="L31" s="12"/>
      </tp>
      <tp t="e">
        <v>#N/A</v>
        <stp/>
        <stp>BDH|18042041267208843227</stp>
        <tr r="N71" s="17"/>
      </tp>
      <tp t="e">
        <v>#N/A</v>
        <stp/>
        <stp>BDH|17908578734037537270</stp>
        <tr r="M29" s="9"/>
      </tp>
      <tp t="e">
        <v>#N/A</v>
        <stp/>
        <stp>BDH|13096764760331968773</stp>
        <tr r="I24" s="24"/>
      </tp>
      <tp t="e">
        <v>#N/A</v>
        <stp/>
        <stp>BDH|11964566061804400223</stp>
        <tr r="G60" s="11"/>
        <tr r="I15" s="23"/>
      </tp>
      <tp t="e">
        <v>#N/A</v>
        <stp/>
        <stp>BDH|14379190933960850290</stp>
        <tr r="U17" s="22"/>
      </tp>
      <tp t="e">
        <v>#N/A</v>
        <stp/>
        <stp>BDH|13584343348143190308</stp>
        <tr r="U18" s="14"/>
      </tp>
      <tp t="e">
        <v>#N/A</v>
        <stp/>
        <stp>BDH|14941945990703371368</stp>
        <tr r="L19" s="17"/>
      </tp>
      <tp t="e">
        <v>#N/A</v>
        <stp/>
        <stp>BDH|12255777949835139050</stp>
        <tr r="AA131" s="18"/>
      </tp>
      <tp t="e">
        <v>#N/A</v>
        <stp/>
        <stp>BDH|15505463008132523768</stp>
        <tr r="H9" s="12"/>
      </tp>
      <tp t="e">
        <v>#N/A</v>
        <stp/>
        <stp>BDH|15028499891199978595</stp>
        <tr r="W61" s="17"/>
      </tp>
      <tp t="e">
        <v>#N/A</v>
        <stp/>
        <stp>BDH|11807201990899065707</stp>
        <tr r="P69" s="12"/>
      </tp>
      <tp t="e">
        <v>#N/A</v>
        <stp/>
        <stp>BDH|13355370432795656289</stp>
        <tr r="L63" s="17"/>
      </tp>
      <tp t="e">
        <v>#N/A</v>
        <stp/>
        <stp>BDH|13755781874901117622</stp>
        <tr r="D33" s="26"/>
      </tp>
      <tp t="e">
        <v>#N/A</v>
        <stp/>
        <stp>BDH|11811908257780238950</stp>
        <tr r="R13" s="13"/>
      </tp>
      <tp t="e">
        <v>#N/A</v>
        <stp/>
        <stp>BDH|12143116934934902057</stp>
        <tr r="J106" s="18"/>
        <tr r="H6" s="20"/>
      </tp>
      <tp t="e">
        <v>#N/A</v>
        <stp/>
        <stp>BDH|12328469944592178485</stp>
        <tr r="U23" s="21"/>
      </tp>
      <tp t="e">
        <v>#N/A</v>
        <stp/>
        <stp>BDH|18379042289096102279</stp>
        <tr r="U41" s="12"/>
      </tp>
      <tp t="e">
        <v>#N/A</v>
        <stp/>
        <stp>BDH|13081145809843679531</stp>
        <tr r="K155" s="18"/>
      </tp>
      <tp t="e">
        <v>#N/A</v>
        <stp/>
        <stp>BDH|12475090269360517096</stp>
        <tr r="P8" s="14"/>
      </tp>
      <tp t="e">
        <v>#N/A</v>
        <stp/>
        <stp>BDH|14787470877811671295</stp>
        <tr r="H25" s="6"/>
      </tp>
      <tp t="e">
        <v>#N/A</v>
        <stp/>
        <stp>BDH|16951788910856175283</stp>
        <tr r="Q34" s="24"/>
      </tp>
      <tp t="e">
        <v>#N/A</v>
        <stp/>
        <stp>BDH|14780148436765809756</stp>
        <tr r="F9" s="3"/>
        <tr r="D50" s="10"/>
        <tr r="D44" s="11"/>
        <tr r="D14" s="7"/>
      </tp>
      <tp t="e">
        <v>#N/A</v>
        <stp/>
        <stp>BDH|16449674948261067135</stp>
        <tr r="Q68" s="18"/>
      </tp>
      <tp t="e">
        <v>#N/A</v>
        <stp/>
        <stp>BDH|17881029641325055236</stp>
        <tr r="W11" s="17"/>
      </tp>
      <tp t="e">
        <v>#N/A</v>
        <stp/>
        <stp>BDH|10734780806951192203</stp>
        <tr r="D20" s="29"/>
      </tp>
      <tp t="e">
        <v>#N/A</v>
        <stp/>
        <stp>BDH|18279786505249033270</stp>
        <tr r="G25" s="17"/>
      </tp>
      <tp t="e">
        <v>#N/A</v>
        <stp/>
        <stp>BDH|16006914845727406883</stp>
        <tr r="K24" s="24"/>
      </tp>
      <tp t="e">
        <v>#N/A</v>
        <stp/>
        <stp>BDH|17014179151732683587</stp>
        <tr r="M23" s="20"/>
      </tp>
      <tp t="e">
        <v>#N/A</v>
        <stp/>
        <stp>BDH|16960003759827844009</stp>
        <tr r="W156" s="18"/>
      </tp>
      <tp t="e">
        <v>#N/A</v>
        <stp/>
        <stp>BDH|12795672553084257199</stp>
        <tr r="R19" s="17"/>
      </tp>
      <tp t="e">
        <v>#N/A</v>
        <stp/>
        <stp>BDH|10943356424536301332</stp>
        <tr r="D29" s="9"/>
      </tp>
      <tp t="e">
        <v>#N/A</v>
        <stp/>
        <stp>BDH|15849598785815929953</stp>
        <tr r="Z10" s="23"/>
      </tp>
      <tp t="e">
        <v>#N/A</v>
        <stp/>
        <stp>BDH|16400557002021267695</stp>
        <tr r="H43" s="18"/>
      </tp>
      <tp t="e">
        <v>#N/A</v>
        <stp/>
        <stp>BDH|11775798954463734463</stp>
        <tr r="W161" s="18"/>
      </tp>
      <tp t="e">
        <v>#N/A</v>
        <stp/>
        <stp>BDH|16671336333491872359</stp>
        <tr r="I7" s="17"/>
      </tp>
      <tp t="e">
        <v>#N/A</v>
        <stp/>
        <stp>BDH|12322505523003242298</stp>
        <tr r="J30" s="22"/>
      </tp>
      <tp t="e">
        <v>#N/A</v>
        <stp/>
        <stp>BDH|15876802612809257133</stp>
        <tr r="L40" s="22"/>
      </tp>
      <tp t="e">
        <v>#N/A</v>
        <stp/>
        <stp>BDH|12595474531649134890</stp>
        <tr r="O9" s="17"/>
      </tp>
      <tp t="e">
        <v>#N/A</v>
        <stp/>
        <stp>BDH|11796562412168131997</stp>
        <tr r="C18" s="12"/>
      </tp>
      <tp t="e">
        <v>#N/A</v>
        <stp/>
        <stp>BDH|18334791992711701348</stp>
        <tr r="T33" s="12"/>
      </tp>
      <tp t="e">
        <v>#N/A</v>
        <stp/>
        <stp>BDH|15098326539578343933</stp>
        <tr r="I55" s="24"/>
      </tp>
      <tp t="e">
        <v>#N/A</v>
        <stp/>
        <stp>BDH|15387790066244004477</stp>
        <tr r="K22" s="7"/>
      </tp>
      <tp t="e">
        <v>#N/A</v>
        <stp/>
        <stp>BDH|17745019618983603138</stp>
        <tr r="K21" s="5"/>
      </tp>
      <tp t="e">
        <v>#N/A</v>
        <stp/>
        <stp>BDH|18332380712888237604</stp>
        <tr r="C22" s="5"/>
      </tp>
      <tp t="e">
        <v>#N/A</v>
        <stp/>
        <stp>BDH|15731933188932447231</stp>
        <tr r="T17" s="13"/>
      </tp>
      <tp t="e">
        <v>#N/A</v>
        <stp/>
        <stp>BDH|16686582767844071529</stp>
        <tr r="M37" s="10"/>
        <tr r="M31" s="11"/>
        <tr r="O40" s="13"/>
      </tp>
      <tp t="e">
        <v>#N/A</v>
        <stp/>
        <stp>BDH|17891447340073362044</stp>
        <tr r="G107" s="18"/>
        <tr r="E7" s="20"/>
      </tp>
      <tp t="e">
        <v>#N/A</v>
        <stp/>
        <stp>BDH|17637403859202104051</stp>
        <tr r="Y27" s="26"/>
        <tr r="V14" s="9"/>
      </tp>
      <tp t="e">
        <v>#N/A</v>
        <stp/>
        <stp>BDH|15958446678074713690</stp>
        <tr r="V41" s="22"/>
      </tp>
      <tp t="e">
        <v>#N/A</v>
        <stp/>
        <stp>BDH|17590206326350191397</stp>
        <tr r="T72" s="24"/>
      </tp>
      <tp t="e">
        <v>#N/A</v>
        <stp/>
        <stp>BDH|10656973625126760983</stp>
        <tr r="J40" s="24"/>
      </tp>
      <tp t="e">
        <v>#N/A</v>
        <stp/>
        <stp>BDH|11999328791256736961</stp>
        <tr r="X36" s="10"/>
        <tr r="X30" s="11"/>
        <tr r="Z39" s="13"/>
      </tp>
      <tp t="e">
        <v>#N/A</v>
        <stp/>
        <stp>BDH|14819004504683502323</stp>
        <tr r="I55" s="18"/>
      </tp>
      <tp t="e">
        <v>#N/A</v>
        <stp/>
        <stp>BDH|13780759891130904917</stp>
        <tr r="T82" s="18"/>
      </tp>
      <tp t="e">
        <v>#N/A</v>
        <stp/>
        <stp>BDH|15908378563955770111</stp>
        <tr r="K38" s="4"/>
        <tr r="K59" s="11"/>
        <tr r="M13" s="23"/>
      </tp>
      <tp t="e">
        <v>#N/A</v>
        <stp/>
        <stp>BDH|16591885573545568808</stp>
        <tr r="O63" s="10"/>
      </tp>
      <tp t="e">
        <v>#N/A</v>
        <stp/>
        <stp>BDH|10078541868625304247</stp>
        <tr r="T77" s="17"/>
      </tp>
      <tp t="e">
        <v>#N/A</v>
        <stp/>
        <stp>BDH|11916164066855390712</stp>
        <tr r="J18" s="29"/>
        <tr r="J38" s="29"/>
      </tp>
      <tp t="e">
        <v>#N/A</v>
        <stp/>
        <stp>BDH|13873659626671743279</stp>
        <tr r="G34" s="24"/>
      </tp>
      <tp t="e">
        <v>#N/A</v>
        <stp/>
        <stp>BDH|11261486756306779200</stp>
        <tr r="F38" s="22"/>
      </tp>
      <tp t="e">
        <v>#N/A</v>
        <stp/>
        <stp>BDH|12952144227716728360</stp>
        <tr r="P82" s="18"/>
      </tp>
      <tp t="e">
        <v>#N/A</v>
        <stp/>
        <stp>BDH|16175543132256466284</stp>
        <tr r="C13" s="23"/>
      </tp>
      <tp t="e">
        <v>#N/A</v>
        <stp/>
        <stp>BDH|17374403351032984008</stp>
        <tr r="X6" s="15"/>
        <tr r="X12" s="2"/>
        <tr r="X11" s="4"/>
        <tr r="X6" s="10"/>
      </tp>
      <tp t="e">
        <v>#N/A</v>
        <stp/>
        <stp>BDH|13179642753190484498</stp>
        <tr r="M9" s="12"/>
      </tp>
      <tp t="e">
        <v>#N/A</v>
        <stp/>
        <stp>BDH|15187917271048236796</stp>
        <tr r="Q23" s="2"/>
        <tr r="S18" s="21"/>
        <tr r="S23" s="3"/>
      </tp>
      <tp t="e">
        <v>#N/A</v>
        <stp/>
        <stp>BDH|12400410669754373059</stp>
        <tr r="Q15" s="26"/>
      </tp>
      <tp t="e">
        <v>#N/A</v>
        <stp/>
        <stp>BDH|11643912766648288290</stp>
        <tr r="T57" s="11"/>
      </tp>
      <tp t="e">
        <v>#N/A</v>
        <stp/>
        <stp>BDH|17009553249656796414</stp>
        <tr r="X75" s="18"/>
      </tp>
      <tp t="e">
        <v>#N/A</v>
        <stp/>
        <stp>BDH|12435878837485630883</stp>
        <tr r="V42" s="18"/>
      </tp>
      <tp t="e">
        <v>#N/A</v>
        <stp/>
        <stp>BDH|14217249846771808720</stp>
        <tr r="H26" s="6"/>
      </tp>
      <tp t="e">
        <v>#N/A</v>
        <stp/>
        <stp>BDH|16516554808074191332</stp>
        <tr r="Y16" s="17"/>
        <tr r="Y19" s="28"/>
      </tp>
      <tp t="e">
        <v>#N/A</v>
        <stp/>
        <stp>BDH|13451429212543724195</stp>
        <tr r="N17" s="21"/>
      </tp>
      <tp t="e">
        <v>#N/A</v>
        <stp/>
        <stp>BDH|14549794920364383156</stp>
        <tr r="P66" s="24"/>
      </tp>
      <tp t="e">
        <v>#N/A</v>
        <stp/>
        <stp>BDH|17166999281614520666</stp>
        <tr r="U54" s="18"/>
      </tp>
      <tp t="e">
        <v>#N/A</v>
        <stp/>
        <stp>BDH|13710073414750886660</stp>
        <tr r="M9" s="13"/>
      </tp>
      <tp t="e">
        <v>#N/A</v>
        <stp/>
        <stp>BDH|11520993933166254979</stp>
        <tr r="Y9" s="13"/>
      </tp>
      <tp t="e">
        <v>#N/A</v>
        <stp/>
        <stp>BDH|11019354654194803738</stp>
        <tr r="F18" s="17"/>
      </tp>
      <tp t="e">
        <v>#N/A</v>
        <stp/>
        <stp>BDH|12900339087198485533</stp>
        <tr r="W64" s="17"/>
      </tp>
      <tp t="e">
        <v>#N/A</v>
        <stp/>
        <stp>BDH|11504041790744238897</stp>
        <tr r="K17" s="10"/>
      </tp>
      <tp t="e">
        <v>#N/A</v>
        <stp/>
        <stp>BDH|11568796054334519370</stp>
        <tr r="F78" s="18"/>
      </tp>
      <tp t="e">
        <v>#N/A</v>
        <stp/>
        <stp>BDH|16407544710801382795</stp>
        <tr r="O106" s="18"/>
        <tr r="M6" s="20"/>
      </tp>
      <tp t="e">
        <v>#N/A</v>
        <stp/>
        <stp>BDH|14004176918445535501</stp>
        <tr r="W28" s="4"/>
      </tp>
      <tp t="e">
        <v>#N/A</v>
        <stp/>
        <stp>BDH|16580497036643991697</stp>
        <tr r="Q59" s="21"/>
        <tr r="O56" s="11"/>
      </tp>
      <tp t="e">
        <v>#N/A</v>
        <stp/>
        <stp>BDH|13044690522161646277</stp>
        <tr r="AA57" s="12"/>
      </tp>
      <tp t="e">
        <v>#N/A</v>
        <stp/>
        <stp>BDH|11953597709309577960</stp>
        <tr r="D46" s="10"/>
        <tr r="D40" s="11"/>
      </tp>
      <tp t="e">
        <v>#N/A</v>
        <stp/>
        <stp>BDH|14311100301641831001</stp>
        <tr r="F27" s="7"/>
      </tp>
      <tp t="e">
        <v>#N/A</v>
        <stp/>
        <stp>BDH|10672658040795949309</stp>
        <tr r="L16" s="14"/>
      </tp>
      <tp t="e">
        <v>#N/A</v>
        <stp/>
        <stp>BDH|12219682324435745737</stp>
        <tr r="I26" s="29"/>
      </tp>
      <tp t="e">
        <v>#N/A</v>
        <stp/>
        <stp>BDH|13842144026256767270</stp>
        <tr r="L41" s="22"/>
      </tp>
      <tp t="e">
        <v>#N/A</v>
        <stp/>
        <stp>BDH|18095240990937030099</stp>
        <tr r="K24" s="4"/>
        <tr r="K58" s="11"/>
      </tp>
      <tp t="e">
        <v>#N/A</v>
        <stp/>
        <stp>BDH|10042597224230988393</stp>
        <tr r="H27" s="10"/>
        <tr r="J32" s="13"/>
      </tp>
      <tp t="e">
        <v>#N/A</v>
        <stp/>
        <stp>BDH|17808590134050985511</stp>
        <tr r="U39" s="22"/>
      </tp>
      <tp t="e">
        <v>#N/A</v>
        <stp/>
        <stp>BDH|17026235900574827568</stp>
        <tr r="T15" s="10"/>
      </tp>
      <tp t="e">
        <v>#N/A</v>
        <stp/>
        <stp>BDH|13177758976427857071</stp>
        <tr r="H151" s="18"/>
      </tp>
      <tp t="e">
        <v>#N/A</v>
        <stp/>
        <stp>BDH|14842909289528966950</stp>
        <tr r="Z118" s="18"/>
      </tp>
      <tp t="e">
        <v>#N/A</v>
        <stp/>
        <stp>BDH|14204928588749262877</stp>
        <tr r="J25" s="17"/>
      </tp>
      <tp t="e">
        <v>#N/A</v>
        <stp/>
        <stp>BDH|16892029658566681193</stp>
        <tr r="M59" s="17"/>
      </tp>
      <tp t="e">
        <v>#N/A</v>
        <stp/>
        <stp>BDH|16441031857000502788</stp>
        <tr r="W8" s="11"/>
      </tp>
      <tp t="e">
        <v>#N/A</v>
        <stp/>
        <stp>BDH|18390374584126869156</stp>
        <tr r="O63" s="17"/>
      </tp>
      <tp t="e">
        <v>#N/A</v>
        <stp/>
        <stp>BDH|15912848664029547611</stp>
        <tr r="T52" s="21"/>
      </tp>
      <tp t="e">
        <v>#N/A</v>
        <stp/>
        <stp>BDH|11660389200974735249</stp>
        <tr r="I28" s="9"/>
      </tp>
      <tp t="e">
        <v>#N/A</v>
        <stp/>
        <stp>BDH|10638090057158617930</stp>
        <tr r="S28" s="10"/>
        <tr r="U33" s="13"/>
      </tp>
      <tp t="e">
        <v>#N/A</v>
        <stp/>
        <stp>BDH|13501548424940802002</stp>
        <tr r="J78" s="18"/>
      </tp>
      <tp t="e">
        <v>#N/A</v>
        <stp/>
        <stp>BDH|13508670721202722192</stp>
        <tr r="N24" s="25"/>
        <tr r="N14" s="27"/>
      </tp>
      <tp t="e">
        <v>#N/A</v>
        <stp/>
        <stp>BDH|10168080676171477262</stp>
        <tr r="E92" s="18"/>
      </tp>
      <tp t="e">
        <v>#N/A</v>
        <stp/>
        <stp>BDH|17750873052418764686</stp>
        <tr r="X29" s="10"/>
        <tr r="Z34" s="13"/>
      </tp>
      <tp t="e">
        <v>#N/A</v>
        <stp/>
        <stp>BDH|16282545631050895426</stp>
        <tr r="E52" s="4"/>
        <tr r="G8" s="3"/>
        <tr r="E43" s="10"/>
        <tr r="E37" s="11"/>
        <tr r="G38" s="13"/>
      </tp>
      <tp t="e">
        <v>#N/A</v>
        <stp/>
        <stp>BDH|10573404708151081108</stp>
        <tr r="AA35" s="17"/>
      </tp>
      <tp t="e">
        <v>#N/A</v>
        <stp/>
        <stp>BDH|12157929796390184696</stp>
        <tr r="D65" s="18"/>
      </tp>
      <tp t="e">
        <v>#N/A</v>
        <stp/>
        <stp>BDH|17099098032079623902</stp>
        <tr r="G78" s="18"/>
      </tp>
      <tp t="e">
        <v>#N/A</v>
        <stp/>
        <stp>BDH|17021284464765128202</stp>
        <tr r="AA52" s="17"/>
      </tp>
      <tp t="e">
        <v>#N/A</v>
        <stp/>
        <stp>BDH|14673409609784390017</stp>
        <tr r="Z92" s="17"/>
      </tp>
      <tp t="e">
        <v>#N/A</v>
        <stp/>
        <stp>BDH|15834080048555019050</stp>
        <tr r="N19" s="20"/>
      </tp>
      <tp t="e">
        <v>#N/A</v>
        <stp/>
        <stp>BDH|10125261111586207191</stp>
        <tr r="N77" s="17"/>
      </tp>
      <tp t="e">
        <v>#N/A</v>
        <stp/>
        <stp>BDH|10441514778244208225</stp>
        <tr r="T73" s="12"/>
      </tp>
      <tp t="e">
        <v>#N/A</v>
        <stp/>
        <stp>BDH|12906815750349190248</stp>
        <tr r="G66" s="18"/>
      </tp>
      <tp t="e">
        <v>#N/A</v>
        <stp/>
        <stp>BDH|13176596225374606465</stp>
        <tr r="F14" s="29"/>
        <tr r="F23" s="29"/>
        <tr r="F34" s="29"/>
      </tp>
      <tp t="e">
        <v>#N/A</v>
        <stp/>
        <stp>BDH|10526792531818665869</stp>
        <tr r="S23" s="25"/>
        <tr r="S13" s="27"/>
      </tp>
      <tp t="e">
        <v>#N/A</v>
        <stp/>
        <stp>BDH|12536494953813698441</stp>
        <tr r="S14" s="18"/>
      </tp>
      <tp t="e">
        <v>#N/A</v>
        <stp/>
        <stp>BDH|11006253847561719280</stp>
        <tr r="D37" s="10"/>
        <tr r="D31" s="11"/>
        <tr r="F40" s="13"/>
      </tp>
      <tp t="e">
        <v>#N/A</v>
        <stp/>
        <stp>BDH|16223033405574050696</stp>
        <tr r="Y54" s="13"/>
      </tp>
      <tp t="e">
        <v>#N/A</v>
        <stp/>
        <stp>BDH|16588154433212690281</stp>
        <tr r="Q14" s="6"/>
      </tp>
      <tp t="e">
        <v>#N/A</v>
        <stp/>
        <stp>BDH|17847065841764327311</stp>
        <tr r="T77" s="18"/>
      </tp>
      <tp t="e">
        <v>#N/A</v>
        <stp/>
        <stp>BDH|10046597464670540754</stp>
        <tr r="V11" s="3"/>
        <tr r="T49" s="10"/>
        <tr r="T43" s="11"/>
        <tr r="T8" s="7"/>
      </tp>
      <tp t="e">
        <v>#N/A</v>
        <stp/>
        <stp>BDH|13949232776583742162</stp>
        <tr r="D10" s="18"/>
      </tp>
      <tp t="e">
        <v>#N/A</v>
        <stp/>
        <stp>BDH|10148265974540973176</stp>
        <tr r="S25" s="13"/>
      </tp>
      <tp t="e">
        <v>#N/A</v>
        <stp/>
        <stp>BDH|14538497310600128505</stp>
        <tr r="J132" s="18"/>
      </tp>
      <tp t="e">
        <v>#N/A</v>
        <stp/>
        <stp>BDH|15566454677106839424</stp>
        <tr r="C18" s="24"/>
      </tp>
      <tp t="e">
        <v>#N/A</v>
        <stp/>
        <stp>BDH|10051603759160343777</stp>
        <tr r="X16" s="10"/>
      </tp>
      <tp t="e">
        <v>#N/A</v>
        <stp/>
        <stp>BDH|12991634801432388255</stp>
        <tr r="D20" s="11"/>
      </tp>
      <tp t="e">
        <v>#N/A</v>
        <stp/>
        <stp>BDH|15503221266912829751</stp>
        <tr r="Z21" s="30"/>
        <tr r="Z24" s="23"/>
      </tp>
      <tp t="e">
        <v>#N/A</v>
        <stp/>
        <stp>BDH|10933514651900620437</stp>
        <tr r="O148" s="18"/>
      </tp>
      <tp t="e">
        <v>#N/A</v>
        <stp/>
        <stp>BDH|11865330407724895283</stp>
        <tr r="O6" s="28"/>
      </tp>
      <tp t="e">
        <v>#N/A</v>
        <stp/>
        <stp>BDH|16379045005222739098</stp>
        <tr r="Q30" s="21"/>
      </tp>
      <tp t="e">
        <v>#N/A</v>
        <stp/>
        <stp>BDH|16587371359592420637</stp>
        <tr r="G30" s="18"/>
      </tp>
      <tp t="e">
        <v>#N/A</v>
        <stp/>
        <stp>BDH|15440462991938957462</stp>
        <tr r="W68" s="10"/>
      </tp>
      <tp t="e">
        <v>#N/A</v>
        <stp/>
        <stp>BDH|17099676141164233585</stp>
        <tr r="R33" s="17"/>
      </tp>
      <tp t="e">
        <v>#N/A</v>
        <stp/>
        <stp>BDH|17516938245998683697</stp>
        <tr r="S11" s="28"/>
      </tp>
      <tp t="e">
        <v>#N/A</v>
        <stp/>
        <stp>BDH|12514819782800286686</stp>
        <tr r="P23" s="10"/>
      </tp>
      <tp t="e">
        <v>#N/A</v>
        <stp/>
        <stp>BDH|11835437059156686283</stp>
        <tr r="F73" s="10"/>
        <tr r="F67" s="11"/>
      </tp>
      <tp t="e">
        <v>#N/A</v>
        <stp/>
        <stp>BDH|16461224936594811748</stp>
        <tr r="K9" s="28"/>
      </tp>
      <tp t="e">
        <v>#N/A</v>
        <stp/>
        <stp>BDH|17745563632771864478</stp>
        <tr r="J29" s="4"/>
      </tp>
      <tp t="e">
        <v>#N/A</v>
        <stp/>
        <stp>BDH|12126227965867904530</stp>
        <tr r="M52" s="4"/>
        <tr r="O8" s="3"/>
        <tr r="M43" s="10"/>
        <tr r="M37" s="11"/>
        <tr r="O38" s="13"/>
      </tp>
      <tp t="e">
        <v>#N/A</v>
        <stp/>
        <stp>BDH|14454030928415580764</stp>
        <tr r="C14" s="25"/>
      </tp>
      <tp t="e">
        <v>#N/A</v>
        <stp/>
        <stp>BDH|10071538072747952140</stp>
        <tr r="H23" s="13"/>
      </tp>
      <tp t="e">
        <v>#N/A</v>
        <stp/>
        <stp>BDH|11247706150645695280</stp>
        <tr r="J65" s="12"/>
      </tp>
      <tp t="e">
        <v>#N/A</v>
        <stp/>
        <stp>BDH|14930030183741607939</stp>
        <tr r="J13" s="24"/>
      </tp>
      <tp t="e">
        <v>#N/A</v>
        <stp/>
        <stp>BDH|12752019852036000580</stp>
        <tr r="F88" s="18"/>
      </tp>
      <tp t="e">
        <v>#N/A</v>
        <stp/>
        <stp>BDH|11946756302433290103</stp>
        <tr r="N92" s="17"/>
      </tp>
      <tp t="e">
        <v>#N/A</v>
        <stp/>
        <stp>BDH|10166329778691785102</stp>
        <tr r="H46" s="18"/>
      </tp>
      <tp t="e">
        <v>#N/A</v>
        <stp/>
        <stp>BDH|14943771732873982796</stp>
        <tr r="X10" s="4"/>
        <tr r="W6" s="16"/>
        <tr r="Z6" s="3"/>
        <tr r="X6" s="11"/>
      </tp>
      <tp t="e">
        <v>#N/A</v>
        <stp/>
        <stp>BDH|16597500479056683663</stp>
        <tr r="K12" s="12"/>
      </tp>
      <tp t="e">
        <v>#N/A</v>
        <stp/>
        <stp>BDH|17765903933690960917</stp>
        <tr r="D21" s="9"/>
      </tp>
      <tp t="e">
        <v>#N/A</v>
        <stp/>
        <stp>BDH|14315169040855859014</stp>
        <tr r="P27" s="6"/>
      </tp>
      <tp t="e">
        <v>#N/A</v>
        <stp/>
        <stp>BDH|11770220366063871271</stp>
        <tr r="U25" s="22"/>
      </tp>
      <tp t="e">
        <v>#N/A</v>
        <stp/>
        <stp>BDH|15992327413121178258</stp>
        <tr r="Y7" s="30"/>
      </tp>
      <tp t="e">
        <v>#N/A</v>
        <stp/>
        <stp>BDH|14726251639040212152</stp>
        <tr r="M58" s="17"/>
      </tp>
      <tp t="e">
        <v>#N/A</v>
        <stp/>
        <stp>BDH|13310183576858848999</stp>
        <tr r="D70" s="24"/>
      </tp>
      <tp t="e">
        <v>#N/A</v>
        <stp/>
        <stp>BDH|17711820908838098317</stp>
        <tr r="V14" s="26"/>
      </tp>
      <tp t="e">
        <v>#N/A</v>
        <stp/>
        <stp>BDH|10144862179622766950</stp>
        <tr r="K23" s="11"/>
      </tp>
      <tp t="e">
        <v>#N/A</v>
        <stp/>
        <stp>BDH|13184385196305485873</stp>
        <tr r="W46" s="10"/>
        <tr r="W40" s="11"/>
      </tp>
      <tp t="e">
        <v>#N/A</v>
        <stp/>
        <stp>BDH|16418896493273194038</stp>
        <tr r="S161" s="18"/>
      </tp>
      <tp t="e">
        <v>#N/A</v>
        <stp/>
        <stp>BDH|16219044944691658782</stp>
        <tr r="Y61" s="18"/>
      </tp>
      <tp t="e">
        <v>#N/A</v>
        <stp/>
        <stp>BDH|11822327346320440246</stp>
        <tr r="O28" s="17"/>
      </tp>
      <tp t="e">
        <v>#N/A</v>
        <stp/>
        <stp>BDH|16629846230890427994</stp>
        <tr r="M60" s="12"/>
      </tp>
      <tp t="e">
        <v>#N/A</v>
        <stp/>
        <stp>BDH|17115685776655900798</stp>
        <tr r="E55" s="17"/>
      </tp>
      <tp t="e">
        <v>#N/A</v>
        <stp/>
        <stp>BDH|13751216002993226691</stp>
        <tr r="F44" s="24"/>
      </tp>
      <tp t="e">
        <v>#N/A</v>
        <stp/>
        <stp>BDH|12809600568990772687</stp>
        <tr r="N22" s="11"/>
      </tp>
      <tp t="e">
        <v>#N/A</v>
        <stp/>
        <stp>BDH|16838599273289972946</stp>
        <tr r="S8" s="24"/>
      </tp>
      <tp t="e">
        <v>#N/A</v>
        <stp/>
        <stp>BDH|15277098910463050346</stp>
        <tr r="R9" s="17"/>
      </tp>
      <tp t="e">
        <v>#N/A</v>
        <stp/>
        <stp>BDH|17241572968963176337</stp>
        <tr r="Q6" s="19"/>
        <tr r="Q37" s="17"/>
        <tr r="Q16" s="3"/>
      </tp>
      <tp t="e">
        <v>#N/A</v>
        <stp/>
        <stp>BDH|10295672628736360615</stp>
        <tr r="M60" s="24"/>
      </tp>
      <tp t="e">
        <v>#N/A</v>
        <stp/>
        <stp>BDH|17969395918013693215</stp>
        <tr r="J27" s="6"/>
      </tp>
      <tp t="e">
        <v>#N/A</v>
        <stp/>
        <stp>BDH|17265664997228861448</stp>
        <tr r="S164" s="18"/>
      </tp>
      <tp t="e">
        <v>#N/A</v>
        <stp/>
        <stp>BDH|11441907916445902849</stp>
        <tr r="U40" s="22"/>
      </tp>
      <tp t="e">
        <v>#N/A</v>
        <stp/>
        <stp>BDH|15556132558627159209</stp>
        <tr r="Q159" s="18"/>
      </tp>
      <tp t="e">
        <v>#N/A</v>
        <stp/>
        <stp>BDH|11560200418717597174</stp>
        <tr r="C162" s="18"/>
      </tp>
      <tp t="e">
        <v>#N/A</v>
        <stp/>
        <stp>BDH|14055444632192967505</stp>
        <tr r="R12" s="6"/>
      </tp>
      <tp t="e">
        <v>#N/A</v>
        <stp/>
        <stp>BDH|16061798021731636619</stp>
        <tr r="F10" s="34"/>
      </tp>
      <tp t="e">
        <v>#N/A</v>
        <stp/>
        <stp>BDH|13414197535545277057</stp>
        <tr r="F11" s="29"/>
      </tp>
      <tp t="e">
        <v>#N/A</v>
        <stp/>
        <stp>BDH|16965665875872595103</stp>
        <tr r="AA29" s="21"/>
      </tp>
      <tp t="e">
        <v>#N/A</v>
        <stp/>
        <stp>BDH|11781424518993634347</stp>
        <tr r="U36" s="21"/>
      </tp>
      <tp t="e">
        <v>#N/A</v>
        <stp/>
        <stp>BDH|12747006577217652694</stp>
        <tr r="O23" s="12"/>
      </tp>
      <tp t="e">
        <v>#N/A</v>
        <stp/>
        <stp>BDH|15126927071547415891</stp>
        <tr r="I133" s="18"/>
      </tp>
      <tp t="e">
        <v>#N/A</v>
        <stp/>
        <stp>BDH|13672657241062960746</stp>
        <tr r="T9" s="13"/>
      </tp>
      <tp t="e">
        <v>#N/A</v>
        <stp/>
        <stp>BDH|17327547287358878676</stp>
        <tr r="V25" s="6"/>
      </tp>
      <tp t="e">
        <v>#N/A</v>
        <stp/>
        <stp>BDH|17009935825648964002</stp>
        <tr r="M30" s="24"/>
      </tp>
      <tp t="e">
        <v>#N/A</v>
        <stp/>
        <stp>BDH|12153281939603709485</stp>
        <tr r="H15" s="22"/>
      </tp>
      <tp t="e">
        <v>#N/A</v>
        <stp/>
        <stp>BDH|17724670868544327743</stp>
        <tr r="R14" s="25"/>
      </tp>
      <tp t="e">
        <v>#N/A</v>
        <stp/>
        <stp>BDH|14912700957847361529</stp>
        <tr r="AA38" s="22"/>
      </tp>
      <tp t="e">
        <v>#N/A</v>
        <stp/>
        <stp>BDH|14016002715411253084</stp>
        <tr r="G59" s="24"/>
      </tp>
      <tp t="e">
        <v>#N/A</v>
        <stp/>
        <stp>BDH|15983773036802341741</stp>
        <tr r="L40" s="24"/>
      </tp>
      <tp t="e">
        <v>#N/A</v>
        <stp/>
        <stp>BDH|17808750273706036510</stp>
        <tr r="S40" s="17"/>
      </tp>
      <tp t="e">
        <v>#N/A</v>
        <stp/>
        <stp>BDH|17802595228900206448</stp>
        <tr r="W40" s="10"/>
        <tr r="W34" s="11"/>
      </tp>
      <tp t="e">
        <v>#N/A</v>
        <stp/>
        <stp>BDH|15996514532392529517</stp>
        <tr r="C63" s="12"/>
      </tp>
      <tp t="e">
        <v>#N/A</v>
        <stp/>
        <stp>BDH|11844860244481432809</stp>
        <tr r="L35" s="21"/>
      </tp>
      <tp t="e">
        <v>#N/A</v>
        <stp/>
        <stp>BDH|12328560632599083995</stp>
        <tr r="H95" s="18"/>
      </tp>
      <tp t="e">
        <v>#N/A</v>
        <stp/>
        <stp>BDH|11686598876280600718</stp>
        <tr r="W18" s="20"/>
      </tp>
      <tp t="e">
        <v>#N/A</v>
        <stp/>
        <stp>BDH|17184692621067432033</stp>
        <tr r="Y15" s="13"/>
      </tp>
      <tp t="e">
        <v>#N/A</v>
        <stp/>
        <stp>BDH|15056284063357402218</stp>
        <tr r="Z9" s="22"/>
      </tp>
      <tp t="e">
        <v>#N/A</v>
        <stp/>
        <stp>BDH|10922461154665649039</stp>
        <tr r="I42" s="22"/>
      </tp>
      <tp t="e">
        <v>#N/A</v>
        <stp/>
        <stp>BDH|10691225618575498268</stp>
        <tr r="T13" s="6"/>
      </tp>
      <tp t="e">
        <v>#N/A</v>
        <stp/>
        <stp>BDH|17137874527731719889</stp>
        <tr r="H28" s="21"/>
      </tp>
      <tp t="e">
        <v>#N/A</v>
        <stp/>
        <stp>BDH|13216138188038265650</stp>
        <tr r="W20" s="5"/>
        <tr r="W20" s="9"/>
      </tp>
      <tp t="e">
        <v>#N/A</v>
        <stp/>
        <stp>BDH|10440671547867853127</stp>
        <tr r="J39" s="12"/>
      </tp>
      <tp t="e">
        <v>#N/A</v>
        <stp/>
        <stp>BDH|10025205027864189089</stp>
        <tr r="K122" s="18"/>
      </tp>
      <tp t="e">
        <v>#N/A</v>
        <stp/>
        <stp>BDH|14885142726306468501</stp>
        <tr r="N22" s="26"/>
      </tp>
      <tp t="e">
        <v>#N/A</v>
        <stp/>
        <stp>BDH|11425006793178881413</stp>
        <tr r="V143" s="18"/>
      </tp>
      <tp t="e">
        <v>#N/A</v>
        <stp/>
        <stp>BDH|12484985107347230873</stp>
        <tr r="W54" s="13"/>
      </tp>
      <tp t="e">
        <v>#N/A</v>
        <stp/>
        <stp>BDH|14852201223074637439</stp>
        <tr r="R10" s="12"/>
      </tp>
      <tp t="e">
        <v>#N/A</v>
        <stp/>
        <stp>BDH|17289751242398339884</stp>
        <tr r="T24" s="2"/>
      </tp>
      <tp t="e">
        <v>#N/A</v>
        <stp/>
        <stp>BDH|13791240048491252075</stp>
        <tr r="I11" s="29"/>
      </tp>
      <tp t="e">
        <v>#N/A</v>
        <stp/>
        <stp>BDH|15762874403158490197</stp>
        <tr r="C41" s="10"/>
        <tr r="C35" s="11"/>
      </tp>
      <tp t="e">
        <v>#N/A</v>
        <stp/>
        <stp>BDH|13967574835912062351</stp>
        <tr r="M46" s="21"/>
      </tp>
      <tp t="e">
        <v>#N/A</v>
        <stp/>
        <stp>BDH|14539105719658694845</stp>
        <tr r="O15" s="4"/>
      </tp>
      <tp t="e">
        <v>#N/A</v>
        <stp/>
        <stp>BDH|11972200281978003762</stp>
        <tr r="M13" s="21"/>
      </tp>
      <tp t="e">
        <v>#N/A</v>
        <stp/>
        <stp>BDH|11936623247303189438</stp>
        <tr r="AA73" s="17"/>
        <tr r="X8" s="5"/>
        <tr r="X8" s="9"/>
      </tp>
      <tp t="e">
        <v>#N/A</v>
        <stp/>
        <stp>BDH|11352217308765318277</stp>
        <tr r="P18" s="9"/>
      </tp>
      <tp t="e">
        <v>#N/A</v>
        <stp/>
        <stp>BDH|18364053392317358290</stp>
        <tr r="Y10" s="18"/>
      </tp>
      <tp t="e">
        <v>#N/A</v>
        <stp/>
        <stp>BDH|11426127847253952361</stp>
        <tr r="Z68" s="12"/>
      </tp>
      <tp t="e">
        <v>#N/A</v>
        <stp/>
        <stp>BDH|15286240266474990176</stp>
        <tr r="E18" s="14"/>
      </tp>
      <tp t="e">
        <v>#N/A</v>
        <stp/>
        <stp>BDH|14428053722724950642</stp>
        <tr r="N7" s="11"/>
      </tp>
      <tp t="e">
        <v>#N/A</v>
        <stp/>
        <stp>BDH|15486143832862913153</stp>
        <tr r="Y31" s="21"/>
      </tp>
      <tp t="e">
        <v>#N/A</v>
        <stp/>
        <stp>BDH|11286543134887905453</stp>
        <tr r="M10" s="6"/>
      </tp>
      <tp t="e">
        <v>#N/A</v>
        <stp/>
        <stp>BDH|14616454152665934460</stp>
        <tr r="G30" s="34"/>
      </tp>
      <tp t="e">
        <v>#N/A</v>
        <stp/>
        <stp>BDH|10774767379352633600</stp>
        <tr r="G51" s="12"/>
      </tp>
      <tp t="e">
        <v>#N/A</v>
        <stp/>
        <stp>BDH|15402256735056813627</stp>
        <tr r="I19" s="24"/>
      </tp>
      <tp t="e">
        <v>#N/A</v>
        <stp/>
        <stp>BDH|10981048750697541665</stp>
        <tr r="N65" s="12"/>
      </tp>
      <tp t="e">
        <v>#N/A</v>
        <stp/>
        <stp>BDH|14266684293287512826</stp>
        <tr r="M16" s="14"/>
      </tp>
      <tp t="e">
        <v>#N/A</v>
        <stp/>
        <stp>BDH|16544681837397770036</stp>
        <tr r="O41" s="10"/>
        <tr r="O35" s="11"/>
      </tp>
      <tp t="e">
        <v>#N/A</v>
        <stp/>
        <stp>BDH|10564835915184815954</stp>
        <tr r="K10" s="6"/>
      </tp>
      <tp t="e">
        <v>#N/A</v>
        <stp/>
        <stp>BDH|15100306788053412930</stp>
        <tr r="Z63" s="24"/>
      </tp>
      <tp t="e">
        <v>#N/A</v>
        <stp/>
        <stp>BDH|18166243209487425965</stp>
        <tr r="M52" s="18"/>
      </tp>
      <tp t="e">
        <v>#N/A</v>
        <stp/>
        <stp>BDH|11820805265079521263</stp>
        <tr r="C69" s="10"/>
        <tr r="C63" s="11"/>
        <tr r="C20" s="7"/>
      </tp>
      <tp t="e">
        <v>#N/A</v>
        <stp/>
        <stp>BDH|11152513727146137481</stp>
        <tr r="AA81" s="18"/>
      </tp>
      <tp t="e">
        <v>#N/A</v>
        <stp/>
        <stp>BDH|14946701247661619266</stp>
        <tr r="R92" s="17"/>
      </tp>
      <tp t="e">
        <v>#N/A</v>
        <stp/>
        <stp>BDH|16441537227060601587</stp>
        <tr r="AA58" s="17"/>
      </tp>
      <tp t="e">
        <v>#N/A</v>
        <stp/>
        <stp>BDH|12864311660153052188</stp>
        <tr r="J27" s="25"/>
        <tr r="G14" s="5"/>
        <tr r="J17" s="27"/>
      </tp>
      <tp t="e">
        <v>#N/A</v>
        <stp/>
        <stp>BDH|10399355204051338704</stp>
        <tr r="X110" s="18"/>
        <tr r="V11" s="20"/>
      </tp>
      <tp t="e">
        <v>#N/A</v>
        <stp/>
        <stp>BDH|10566473023481292222</stp>
        <tr r="O12" s="3"/>
        <tr r="M54" s="10"/>
        <tr r="M48" s="11"/>
        <tr r="M7" s="7"/>
      </tp>
      <tp t="e">
        <v>#N/A</v>
        <stp/>
        <stp>BDH|14200319348592235485</stp>
        <tr r="Y8" s="8"/>
      </tp>
      <tp t="e">
        <v>#N/A</v>
        <stp/>
        <stp>BDH|16149875835498086027</stp>
        <tr r="K96" s="17"/>
      </tp>
      <tp t="e">
        <v>#N/A</v>
        <stp/>
        <stp>BDH|18160529087311303166</stp>
        <tr r="I8" s="34"/>
      </tp>
      <tp t="e">
        <v>#N/A</v>
        <stp/>
        <stp>BDH|13910545865250076598</stp>
        <tr r="H96" s="17"/>
      </tp>
      <tp t="e">
        <v>#N/A</v>
        <stp/>
        <stp>BDH|15395762443651645210</stp>
        <tr r="Q36" s="24"/>
      </tp>
      <tp t="e">
        <v>#N/A</v>
        <stp/>
        <stp>BDH|15195836281107398718</stp>
        <tr r="E16" s="26"/>
      </tp>
      <tp t="e">
        <v>#N/A</v>
        <stp/>
        <stp>BDH|10890921481395823126</stp>
        <tr r="U31" s="24"/>
      </tp>
      <tp t="e">
        <v>#N/A</v>
        <stp/>
        <stp>BDH|13663709610378755806</stp>
        <tr r="F69" s="10"/>
        <tr r="F63" s="11"/>
        <tr r="F20" s="7"/>
      </tp>
      <tp t="e">
        <v>#N/A</v>
        <stp/>
        <stp>BDH|11256848603338543415</stp>
        <tr r="L28" s="26"/>
      </tp>
      <tp t="e">
        <v>#N/A</v>
        <stp/>
        <stp>BDH|11485524517754539456</stp>
        <tr r="W23" s="18"/>
      </tp>
      <tp t="e">
        <v>#N/A</v>
        <stp/>
        <stp>BDH|17943835129038086024</stp>
        <tr r="I28" s="4"/>
      </tp>
      <tp t="e">
        <v>#N/A</v>
        <stp/>
        <stp>BDH|12312827670670054809</stp>
        <tr r="Y62" s="24"/>
      </tp>
      <tp t="e">
        <v>#N/A</v>
        <stp/>
        <stp>BDH|15890916288422437344</stp>
        <tr r="I38" s="18"/>
      </tp>
      <tp t="e">
        <v>#N/A</v>
        <stp/>
        <stp>BDH|12859224053233817301</stp>
        <tr r="I60" s="11"/>
        <tr r="K15" s="23"/>
      </tp>
      <tp t="e">
        <v>#N/A</v>
        <stp/>
        <stp>BDH|16309853752369411712</stp>
        <tr r="C15" s="13"/>
      </tp>
      <tp t="e">
        <v>#N/A</v>
        <stp/>
        <stp>BDH|17675511838135679183</stp>
        <tr r="H93" s="18"/>
      </tp>
      <tp t="e">
        <v>#N/A</v>
        <stp/>
        <stp>BDH|11364052445431632140</stp>
        <tr r="X72" s="12"/>
      </tp>
      <tp t="e">
        <v>#N/A</v>
        <stp/>
        <stp>BDH|16723576032785084039</stp>
        <tr r="H66" s="10"/>
      </tp>
      <tp t="e">
        <v>#N/A</v>
        <stp/>
        <stp>BDH|14769333436106617757</stp>
        <tr r="S47" s="17"/>
      </tp>
      <tp t="e">
        <v>#N/A</v>
        <stp/>
        <stp>BDH|14681012433835617731</stp>
        <tr r="O26" s="22"/>
      </tp>
      <tp t="e">
        <v>#N/A</v>
        <stp/>
        <stp>BDH|15222157841365009077</stp>
        <tr r="Z72" s="17"/>
        <tr r="Z18" s="3"/>
      </tp>
      <tp t="e">
        <v>#N/A</v>
        <stp/>
        <stp>BDH|14822085404338019955</stp>
        <tr r="F15" s="18"/>
      </tp>
      <tp t="e">
        <v>#N/A</v>
        <stp/>
        <stp>BDH|15471302623940684104</stp>
        <tr r="I11" s="17"/>
      </tp>
      <tp t="e">
        <v>#N/A</v>
        <stp/>
        <stp>BDH|17974591547432633101</stp>
        <tr r="I50" s="18"/>
      </tp>
      <tp t="e">
        <v>#N/A</v>
        <stp/>
        <stp>BDH|13986697280091213939</stp>
        <tr r="I34" s="6"/>
        <tr r="K10" s="8"/>
      </tp>
      <tp t="e">
        <v>#N/A</v>
        <stp/>
        <stp>BDH|10538303222084243043</stp>
        <tr r="F17" s="22"/>
      </tp>
      <tp t="e">
        <v>#N/A</v>
        <stp/>
        <stp>BDH|12565960511067656854</stp>
        <tr r="Q40" s="29"/>
      </tp>
      <tp t="e">
        <v>#N/A</v>
        <stp/>
        <stp>BDH|16165309360822497449</stp>
        <tr r="F7" s="21"/>
      </tp>
      <tp t="e">
        <v>#N/A</v>
        <stp/>
        <stp>BDH|16483044622891749046</stp>
        <tr r="E77" s="17"/>
      </tp>
      <tp t="e">
        <v>#N/A</v>
        <stp/>
        <stp>BDH|15732415234551067633</stp>
        <tr r="J43" s="12"/>
      </tp>
      <tp t="e">
        <v>#N/A</v>
        <stp/>
        <stp>BDH|15967280742501566770</stp>
        <tr r="X34" s="21"/>
      </tp>
      <tp t="e">
        <v>#N/A</v>
        <stp/>
        <stp>BDH|10642338450922265166</stp>
        <tr r="J72" s="18"/>
      </tp>
      <tp t="e">
        <v>#N/A</v>
        <stp/>
        <stp>BDH|14662281819363524132</stp>
        <tr r="N46" s="12"/>
      </tp>
      <tp t="e">
        <v>#N/A</v>
        <stp/>
        <stp>BDH|15224824096443467230</stp>
        <tr r="V54" s="24"/>
      </tp>
      <tp t="e">
        <v>#N/A</v>
        <stp/>
        <stp>BDH|14695661027455712006</stp>
        <tr r="T9" s="26"/>
      </tp>
      <tp t="e">
        <v>#N/A</v>
        <stp/>
        <stp>BDH|12479032689806950972</stp>
        <tr r="D83" s="18"/>
      </tp>
      <tp t="e">
        <v>#N/A</v>
        <stp/>
        <stp>BDH|15978068216927187684</stp>
        <tr r="Q20" s="17"/>
      </tp>
      <tp t="e">
        <v>#N/A</v>
        <stp/>
        <stp>BDH|16307689141185941436</stp>
        <tr r="AA15" s="29"/>
        <tr r="AA35" s="29"/>
      </tp>
      <tp t="e">
        <v>#N/A</v>
        <stp/>
        <stp>BDH|15446528927674272337</stp>
        <tr r="X18" s="22"/>
      </tp>
      <tp t="e">
        <v>#N/A</v>
        <stp/>
        <stp>BDH|12558140810890733767</stp>
        <tr r="M59" s="21"/>
        <tr r="K56" s="11"/>
      </tp>
      <tp t="e">
        <v>#N/A</v>
        <stp/>
        <stp>BDH|13127268307544904096</stp>
        <tr r="S9" s="6"/>
      </tp>
      <tp t="e">
        <v>#N/A</v>
        <stp/>
        <stp>BDH|16080219076804090279</stp>
        <tr r="Q9" s="3"/>
        <tr r="O50" s="10"/>
        <tr r="O44" s="11"/>
        <tr r="O14" s="7"/>
      </tp>
      <tp t="e">
        <v>#N/A</v>
        <stp/>
        <stp>BDH|10660436159076407288</stp>
        <tr r="U61" s="18"/>
      </tp>
      <tp t="e">
        <v>#N/A</v>
        <stp/>
        <stp>BDH|16624573913882245505</stp>
        <tr r="Q23" s="18"/>
      </tp>
      <tp t="e">
        <v>#N/A</v>
        <stp/>
        <stp>BDH|17267667042337697703</stp>
        <tr r="U36" s="17"/>
      </tp>
      <tp t="e">
        <v>#N/A</v>
        <stp/>
        <stp>BDH|17630942398121813329</stp>
        <tr r="K131" s="18"/>
      </tp>
      <tp t="e">
        <v>#N/A</v>
        <stp/>
        <stp>BDH|10041159655275430443</stp>
        <tr r="X81" s="18"/>
      </tp>
      <tp t="e">
        <v>#N/A</v>
        <stp/>
        <stp>BDH|13602067362943523372</stp>
        <tr r="C13" s="21"/>
      </tp>
      <tp t="e">
        <v>#N/A</v>
        <stp/>
        <stp>BDH|15471311998208585281</stp>
        <tr r="Z13" s="24"/>
      </tp>
      <tp t="e">
        <v>#N/A</v>
        <stp/>
        <stp>BDH|13447789559256051257</stp>
        <tr r="J37" s="18"/>
      </tp>
      <tp t="e">
        <v>#N/A</v>
        <stp/>
        <stp>BDH|15523686270442988344</stp>
        <tr r="N66" s="12"/>
      </tp>
      <tp t="e">
        <v>#N/A</v>
        <stp/>
        <stp>BDH|17849735258234314401</stp>
        <tr r="M11" s="13"/>
      </tp>
      <tp t="e">
        <v>#N/A</v>
        <stp/>
        <stp>BDH|12300967688297839155</stp>
        <tr r="S9" s="22"/>
      </tp>
      <tp t="e">
        <v>#N/A</v>
        <stp/>
        <stp>BDH|14793429444372809391</stp>
        <tr r="K71" s="17"/>
      </tp>
      <tp t="e">
        <v>#N/A</v>
        <stp/>
        <stp>BDH|14071747574064203522</stp>
        <tr r="M68" s="10"/>
      </tp>
      <tp t="e">
        <v>#N/A</v>
        <stp/>
        <stp>BDH|14611780926927115398</stp>
        <tr r="G8" s="26"/>
        <tr r="D10" s="9"/>
      </tp>
      <tp t="e">
        <v>#N/A</v>
        <stp/>
        <stp>BDH|10268902860682516872</stp>
        <tr r="J51" s="13"/>
      </tp>
      <tp t="e">
        <v>#N/A</v>
        <stp/>
        <stp>BDH|15036313874155311161</stp>
        <tr r="S155" s="18"/>
      </tp>
      <tp t="e">
        <v>#N/A</v>
        <stp/>
        <stp>BDH|16419471104862389540</stp>
        <tr r="U31" s="18"/>
      </tp>
      <tp t="e">
        <v>#N/A</v>
        <stp/>
        <stp>BDH|11580328464978495970</stp>
        <tr r="W112" s="18"/>
        <tr r="U13" s="20"/>
      </tp>
      <tp t="e">
        <v>#N/A</v>
        <stp/>
        <stp>BDH|18380953039865631297</stp>
        <tr r="H9" s="34"/>
      </tp>
      <tp t="e">
        <v>#N/A</v>
        <stp/>
        <stp>BDH|15803391100334331726</stp>
        <tr r="P131" s="18"/>
      </tp>
      <tp t="e">
        <v>#N/A</v>
        <stp/>
        <stp>BDH|16868542584388056685</stp>
        <tr r="P18" s="18"/>
      </tp>
      <tp t="e">
        <v>#N/A</v>
        <stp/>
        <stp>BDH|15643426853402253355</stp>
        <tr r="E38" s="6"/>
      </tp>
      <tp t="e">
        <v>#N/A</v>
        <stp/>
        <stp>BDH|10093097444988988949</stp>
        <tr r="L27" s="10"/>
        <tr r="N32" s="13"/>
      </tp>
      <tp t="e">
        <v>#N/A</v>
        <stp/>
        <stp>BDH|11700237524493813787</stp>
        <tr r="I15" s="25"/>
      </tp>
      <tp t="e">
        <v>#N/A</v>
        <stp/>
        <stp>BDH|15992952749264057959</stp>
        <tr r="R58" s="21"/>
        <tr r="R33" s="25"/>
        <tr r="P31" s="4"/>
        <tr r="P55" s="11"/>
      </tp>
      <tp t="e">
        <v>#N/A</v>
        <stp/>
        <stp>BDH|10202050667481329232</stp>
        <tr r="E21" s="12"/>
      </tp>
      <tp t="e">
        <v>#N/A</v>
        <stp/>
        <stp>BDH|10131452084870980995</stp>
        <tr r="P30" s="26"/>
      </tp>
      <tp t="e">
        <v>#N/A</v>
        <stp/>
        <stp>BDH|10887552960062684489</stp>
        <tr r="R23" s="20"/>
      </tp>
      <tp t="e">
        <v>#N/A</v>
        <stp/>
        <stp>BDH|15191523952210660045</stp>
        <tr r="P7" s="8"/>
      </tp>
      <tp t="e">
        <v>#N/A</v>
        <stp/>
        <stp>BDH|14393100341147721361</stp>
        <tr r="H22" s="10"/>
      </tp>
      <tp t="e">
        <v>#N/A</v>
        <stp/>
        <stp>BDH|12719436749853729496</stp>
        <tr r="N24" s="21"/>
      </tp>
      <tp t="e">
        <v>#N/A</v>
        <stp/>
        <stp>BDH|14447654961956714742</stp>
        <tr r="E18" s="18"/>
      </tp>
      <tp t="e">
        <v>#N/A</v>
        <stp/>
        <stp>BDH|13241159254521269324</stp>
        <tr r="L37" s="18"/>
      </tp>
      <tp t="e">
        <v>#N/A</v>
        <stp/>
        <stp>BDH|17817664361094493685</stp>
        <tr r="U44" s="24"/>
      </tp>
      <tp t="e">
        <v>#N/A</v>
        <stp/>
        <stp>BDH|17343689246756860662</stp>
        <tr r="Z28" s="12"/>
      </tp>
      <tp t="e">
        <v>#N/A</v>
        <stp/>
        <stp>BDH|10792756241191139713</stp>
        <tr r="H23" s="24"/>
      </tp>
      <tp t="e">
        <v>#N/A</v>
        <stp/>
        <stp>BDH|14494241931526533673</stp>
        <tr r="S106" s="18"/>
        <tr r="Q6" s="20"/>
      </tp>
      <tp t="e">
        <v>#N/A</v>
        <stp/>
        <stp>BDH|11239305364835076454</stp>
        <tr r="J26" s="6"/>
      </tp>
      <tp t="e">
        <v>#N/A</v>
        <stp/>
        <stp>BDH|18345106411845253833</stp>
        <tr r="F47" s="24"/>
      </tp>
      <tp t="e">
        <v>#N/A</v>
        <stp/>
        <stp>BDH|13806299549142388281</stp>
        <tr r="K26" s="26"/>
      </tp>
      <tp t="e">
        <v>#N/A</v>
        <stp/>
        <stp>BDH|16082478736404031026</stp>
        <tr r="AA20" s="23"/>
      </tp>
      <tp t="e">
        <v>#N/A</v>
        <stp/>
        <stp>BDH|15217478052009201868</stp>
        <tr r="O125" s="18"/>
      </tp>
      <tp t="e">
        <v>#N/A</v>
        <stp/>
        <stp>BDH|13321354423472544536</stp>
        <tr r="G160" s="18"/>
      </tp>
      <tp t="e">
        <v>#N/A</v>
        <stp/>
        <stp>BDH|17165340723211340260</stp>
        <tr r="P35" s="26"/>
      </tp>
      <tp t="e">
        <v>#N/A</v>
        <stp/>
        <stp>BDH|14710061701174668550</stp>
        <tr r="C43" s="17"/>
      </tp>
      <tp t="e">
        <v>#N/A</v>
        <stp/>
        <stp>BDH|15038249612736495513</stp>
        <tr r="Z61" s="12"/>
      </tp>
      <tp t="e">
        <v>#N/A</v>
        <stp/>
        <stp>BDH|13221195221965110088</stp>
        <tr r="W131" s="18"/>
      </tp>
      <tp t="e">
        <v>#N/A</v>
        <stp/>
        <stp>BDH|15052265750145333265</stp>
        <tr r="O50" s="4"/>
      </tp>
      <tp t="e">
        <v>#N/A</v>
        <stp/>
        <stp>BDH|12113305631935786243</stp>
        <tr r="E91" s="18"/>
      </tp>
      <tp t="e">
        <v>#N/A</v>
        <stp/>
        <stp>BDH|14787171458116870339</stp>
        <tr r="O75" s="17"/>
      </tp>
      <tp t="e">
        <v>#N/A</v>
        <stp/>
        <stp>BDH|13952022521353817710</stp>
        <tr r="R21" s="5"/>
      </tp>
      <tp t="e">
        <v>#N/A</v>
        <stp/>
        <stp>BDH|17790412423031487526</stp>
        <tr r="O16" s="24"/>
      </tp>
      <tp t="e">
        <v>#N/A</v>
        <stp/>
        <stp>BDH|18270783285823503199</stp>
        <tr r="M97" s="17"/>
        <tr r="M7" s="27"/>
      </tp>
      <tp t="e">
        <v>#N/A</v>
        <stp/>
        <stp>BDH|12261132842812896081</stp>
        <tr r="T19" s="17"/>
      </tp>
      <tp t="e">
        <v>#N/A</v>
        <stp/>
        <stp>BDH|14618073255667032373</stp>
        <tr r="Z48" s="18"/>
      </tp>
      <tp t="e">
        <v>#N/A</v>
        <stp/>
        <stp>BDH|15352572224584712347</stp>
        <tr r="N168" s="18"/>
      </tp>
      <tp t="e">
        <v>#N/A</v>
        <stp/>
        <stp>BDH|16003608351628326818</stp>
        <tr r="J56" s="10"/>
        <tr r="J50" s="11"/>
        <tr r="J18" s="7"/>
        <tr r="L52" s="13"/>
      </tp>
      <tp t="e">
        <v>#N/A</v>
        <stp/>
        <stp>BDH|17145873287727167532</stp>
        <tr r="C16" s="30"/>
      </tp>
      <tp t="e">
        <v>#N/A</v>
        <stp/>
        <stp>BDH|12316303102881306501</stp>
        <tr r="I85" s="18"/>
      </tp>
      <tp t="e">
        <v>#N/A</v>
        <stp/>
        <stp>BDH|10167140725515317319</stp>
        <tr r="W120" s="18"/>
      </tp>
      <tp t="e">
        <v>#N/A</v>
        <stp/>
        <stp>BDH|11754735911672596025</stp>
        <tr r="V152" s="18"/>
      </tp>
      <tp t="e">
        <v>#N/A</v>
        <stp/>
        <stp>BDH|16037932581952345036</stp>
        <tr r="X31" s="12"/>
      </tp>
      <tp t="e">
        <v>#N/A</v>
        <stp/>
        <stp>BDH|16540483328812751703</stp>
        <tr r="AA11" s="21"/>
      </tp>
      <tp t="e">
        <v>#N/A</v>
        <stp/>
        <stp>BDH|11426922439257422998</stp>
        <tr r="I9" s="6"/>
      </tp>
      <tp t="e">
        <v>#N/A</v>
        <stp/>
        <stp>BDH|13885420104157997558</stp>
        <tr r="V36" s="21"/>
      </tp>
      <tp t="e">
        <v>#N/A</v>
        <stp/>
        <stp>BDH|17695382672443788598</stp>
        <tr r="U26" s="29"/>
      </tp>
      <tp t="e">
        <v>#N/A</v>
        <stp/>
        <stp>BDH|12885340848181553132</stp>
        <tr r="W25" s="3"/>
      </tp>
      <tp t="e">
        <v>#N/A</v>
        <stp/>
        <stp>BDH|15926434933145220298</stp>
        <tr r="H26" s="12"/>
      </tp>
      <tp t="e">
        <v>#N/A</v>
        <stp/>
        <stp>BDH|14416845495380650011</stp>
        <tr r="F43" s="17"/>
      </tp>
      <tp t="e">
        <v>#N/A</v>
        <stp/>
        <stp>BDH|13559076560242957296</stp>
        <tr r="X27" s="25"/>
        <tr r="U14" s="5"/>
        <tr r="X17" s="27"/>
      </tp>
      <tp t="e">
        <v>#N/A</v>
        <stp/>
        <stp>BDH|12931720268047603171</stp>
        <tr r="P13" s="2"/>
      </tp>
      <tp t="e">
        <v>#N/A</v>
        <stp/>
        <stp>BDH|12728286909541442407</stp>
        <tr r="I21" s="17"/>
      </tp>
      <tp t="e">
        <v>#N/A</v>
        <stp/>
        <stp>BDH|11610775350635336303</stp>
        <tr r="E49" s="18"/>
      </tp>
      <tp t="e">
        <v>#N/A</v>
        <stp/>
        <stp>BDH|11186368945340564354</stp>
        <tr r="H23" s="25"/>
        <tr r="H13" s="27"/>
      </tp>
      <tp t="e">
        <v>#N/A</v>
        <stp/>
        <stp>BDH|11689038368263663194</stp>
        <tr r="U49" s="12"/>
      </tp>
      <tp t="e">
        <v>#N/A</v>
        <stp/>
        <stp>BDH|16673312318675808453</stp>
        <tr r="Y23" s="20"/>
      </tp>
      <tp t="e">
        <v>#N/A</v>
        <stp/>
        <stp>BDH|11062560658684429082</stp>
        <tr r="V64" s="17"/>
      </tp>
      <tp t="e">
        <v>#N/A</v>
        <stp/>
        <stp>BDH|14460029721540497313</stp>
        <tr r="M13" s="11"/>
      </tp>
      <tp t="e">
        <v>#N/A</v>
        <stp/>
        <stp>BDH|15722221348101950767</stp>
        <tr r="O7" s="8"/>
      </tp>
      <tp t="e">
        <v>#N/A</v>
        <stp/>
        <stp>BDH|12321962026388622476</stp>
        <tr r="V21" s="25"/>
        <tr r="V10" s="27"/>
      </tp>
      <tp t="e">
        <v>#N/A</v>
        <stp/>
        <stp>BDH|13074266720050653623</stp>
        <tr r="O73" s="17"/>
        <tr r="L8" s="5"/>
        <tr r="L8" s="9"/>
      </tp>
      <tp t="e">
        <v>#N/A</v>
        <stp/>
        <stp>BDH|15136262055255451241</stp>
        <tr r="F43" s="18"/>
      </tp>
      <tp t="e">
        <v>#N/A</v>
        <stp/>
        <stp>BDH|14198102103024256428</stp>
        <tr r="U9" s="28"/>
      </tp>
      <tp t="e">
        <v>#N/A</v>
        <stp/>
        <stp>BDH|16753759744021624128</stp>
        <tr r="N8" s="10"/>
      </tp>
      <tp t="e">
        <v>#N/A</v>
        <stp/>
        <stp>BDH|16167101092282991989</stp>
        <tr r="W19" s="25"/>
        <tr r="U21" s="11"/>
      </tp>
      <tp t="e">
        <v>#N/A</v>
        <stp/>
        <stp>BDH|18022083424416642984</stp>
        <tr r="G34" s="6"/>
        <tr r="I10" s="8"/>
      </tp>
      <tp t="e">
        <v>#N/A</v>
        <stp/>
        <stp>BDH|15011160064913489444</stp>
        <tr r="U70" s="24"/>
      </tp>
      <tp t="e">
        <v>#N/A</v>
        <stp/>
        <stp>BDH|16331524160248290867</stp>
        <tr r="Y73" s="10"/>
        <tr r="Y67" s="11"/>
      </tp>
      <tp t="e">
        <v>#N/A</v>
        <stp/>
        <stp>BDH|17909574717137945158</stp>
        <tr r="U55" s="12"/>
      </tp>
      <tp t="e">
        <v>#N/A</v>
        <stp/>
        <stp>BDH|14297782056257866416</stp>
        <tr r="N46" s="10"/>
        <tr r="N40" s="11"/>
      </tp>
      <tp t="e">
        <v>#N/A</v>
        <stp/>
        <stp>BDH|13576493279947426246</stp>
        <tr r="Y17" s="10"/>
      </tp>
      <tp t="e">
        <v>#N/A</v>
        <stp/>
        <stp>BDH|16856738639893141469</stp>
        <tr r="K16" s="23"/>
      </tp>
      <tp t="e">
        <v>#N/A</v>
        <stp/>
        <stp>BDH|14291175881521910980</stp>
        <tr r="AA21" s="20"/>
      </tp>
      <tp t="e">
        <v>#N/A</v>
        <stp/>
        <stp>BDH|10748652221840657104</stp>
        <tr r="I80" s="18"/>
      </tp>
      <tp t="e">
        <v>#N/A</v>
        <stp/>
        <stp>BDH|10412064650845571525</stp>
        <tr r="T15" s="5"/>
      </tp>
      <tp t="e">
        <v>#N/A</v>
        <stp/>
        <stp>BDH|11606041670724589720</stp>
        <tr r="K105" s="18"/>
      </tp>
      <tp t="e">
        <v>#N/A</v>
        <stp/>
        <stp>BDH|17314115260282381743</stp>
        <tr r="Z45" s="12"/>
      </tp>
      <tp t="e">
        <v>#N/A</v>
        <stp/>
        <stp>BDH|16900672735260699684</stp>
        <tr r="N36" s="21"/>
      </tp>
      <tp t="e">
        <v>#N/A</v>
        <stp/>
        <stp>BDH|15968320463461496497</stp>
        <tr r="C28" s="9"/>
      </tp>
      <tp t="e">
        <v>#N/A</v>
        <stp/>
        <stp>BDH|12578348279661555280</stp>
        <tr r="M29" s="5"/>
      </tp>
      <tp t="e">
        <v>#N/A</v>
        <stp/>
        <stp>BDH|14571084279200651678</stp>
        <tr r="F32" s="21"/>
      </tp>
      <tp t="e">
        <v>#N/A</v>
        <stp/>
        <stp>BDH|12353078834510624439</stp>
        <tr r="N18" s="14"/>
      </tp>
      <tp t="e">
        <v>#N/A</v>
        <stp/>
        <stp>BDH|14043287614464017695</stp>
        <tr r="N8" s="8"/>
      </tp>
      <tp t="e">
        <v>#N/A</v>
        <stp/>
        <stp>BDH|13127608676913641444</stp>
        <tr r="F164" s="18"/>
      </tp>
      <tp t="e">
        <v>#N/A</v>
        <stp/>
        <stp>BDH|16434159815986779566</stp>
        <tr r="C18" s="21"/>
        <tr r="C23" s="3"/>
      </tp>
      <tp t="e">
        <v>#N/A</v>
        <stp/>
        <stp>BDH|14750230890052204837</stp>
        <tr r="L19" s="24"/>
      </tp>
      <tp t="e">
        <v>#N/A</v>
        <stp/>
        <stp>BDH|15498342517875616743</stp>
        <tr r="Z63" s="21"/>
      </tp>
      <tp t="e">
        <v>#N/A</v>
        <stp/>
        <stp>BDH|16293109979910813569</stp>
        <tr r="E71" s="17"/>
      </tp>
      <tp t="e">
        <v>#N/A</v>
        <stp/>
        <stp>BDH|16058031458255719396</stp>
        <tr r="H18" s="29"/>
        <tr r="H38" s="29"/>
      </tp>
      <tp t="e">
        <v>#N/A</v>
        <stp/>
        <stp>BDH|10770777608756416496</stp>
        <tr r="S10" s="23"/>
      </tp>
      <tp t="e">
        <v>#N/A</v>
        <stp/>
        <stp>BDH|16570564734724365112</stp>
        <tr r="Z84" s="18"/>
      </tp>
      <tp t="e">
        <v>#N/A</v>
        <stp/>
        <stp>BDH|17587150825453896282</stp>
        <tr r="M35" s="17"/>
      </tp>
      <tp t="e">
        <v>#N/A</v>
        <stp/>
        <stp>BDH|14974014519347236764</stp>
        <tr r="E15" s="13"/>
      </tp>
      <tp t="e">
        <v>#N/A</v>
        <stp/>
        <stp>BDH|11729656257000117713</stp>
        <tr r="O8" s="28"/>
      </tp>
      <tp t="e">
        <v>#N/A</v>
        <stp/>
        <stp>BDH|15310626577270636150</stp>
        <tr r="Q69" s="10"/>
        <tr r="Q63" s="11"/>
        <tr r="Q20" s="7"/>
      </tp>
      <tp t="e">
        <v>#N/A</v>
        <stp/>
        <stp>BDH|15801079698850575970</stp>
        <tr r="F71" s="24"/>
      </tp>
      <tp t="e">
        <v>#N/A</v>
        <stp/>
        <stp>BDH|13952659564842561484</stp>
        <tr r="F15" s="22"/>
      </tp>
      <tp t="e">
        <v>#N/A</v>
        <stp/>
        <stp>BDH|11710778751914349271</stp>
        <tr r="S62" s="17"/>
      </tp>
      <tp t="e">
        <v>#N/A</v>
        <stp/>
        <stp>BDH|13508333352696728662</stp>
        <tr r="C59" s="18"/>
      </tp>
      <tp t="e">
        <v>#N/A</v>
        <stp/>
        <stp>BDH|13335365055411778121</stp>
        <tr r="R41" s="21"/>
      </tp>
      <tp t="e">
        <v>#N/A</v>
        <stp/>
        <stp>BDH|13115343144233502214</stp>
        <tr r="X7" s="24"/>
      </tp>
      <tp t="e">
        <v>#N/A</v>
        <stp/>
        <stp>BDH|10777641143574311378</stp>
        <tr r="AA25" s="24"/>
      </tp>
      <tp t="e">
        <v>#N/A</v>
        <stp/>
        <stp>BDH|12071772543540633469</stp>
        <tr r="E15" s="4"/>
      </tp>
      <tp t="e">
        <v>#N/A</v>
        <stp/>
        <stp>BDH|10782679455866119001</stp>
        <tr r="G62" s="12"/>
      </tp>
      <tp t="e">
        <v>#N/A</v>
        <stp/>
        <stp>BDH|15172766272258235839</stp>
        <tr r="J12" s="6"/>
      </tp>
      <tp t="e">
        <v>#N/A</v>
        <stp/>
        <stp>BDH|10528479337240120203</stp>
        <tr r="V12" s="6"/>
      </tp>
      <tp t="e">
        <v>#N/A</v>
        <stp/>
        <stp>BDH|16805228906462855301</stp>
        <tr r="L11" s="17"/>
      </tp>
      <tp t="e">
        <v>#N/A</v>
        <stp/>
        <stp>BDH|15680781619192709440</stp>
        <tr r="P13" s="13"/>
      </tp>
      <tp t="e">
        <v>#N/A</v>
        <stp/>
        <stp>BDH|14218962855868127541</stp>
        <tr r="X18" s="17"/>
      </tp>
      <tp t="e">
        <v>#N/A</v>
        <stp/>
        <stp>BDH|10804722360744740099</stp>
        <tr r="G11" s="29"/>
      </tp>
      <tp t="e">
        <v>#N/A</v>
        <stp/>
        <stp>BDH|11082193931597447185</stp>
        <tr r="W38" s="10"/>
        <tr r="W32" s="11"/>
      </tp>
      <tp t="e">
        <v>#N/A</v>
        <stp/>
        <stp>BDH|11415988541649190089</stp>
        <tr r="V96" s="17"/>
      </tp>
      <tp t="e">
        <v>#N/A</v>
        <stp/>
        <stp>BDH|14436364547366886093</stp>
        <tr r="R68" s="17"/>
      </tp>
      <tp t="e">
        <v>#N/A</v>
        <stp/>
        <stp>BDH|15248838351294011940</stp>
        <tr r="T18" s="23"/>
      </tp>
      <tp t="e">
        <v>#N/A</v>
        <stp/>
        <stp>BDH|15526320277894325076</stp>
        <tr r="U39" s="6"/>
      </tp>
      <tp t="e">
        <v>#N/A</v>
        <stp/>
        <stp>BDH|17732598227200444593</stp>
        <tr r="I7" s="23"/>
      </tp>
      <tp t="e">
        <v>#N/A</v>
        <stp/>
        <stp>BDH|11292602805542618051</stp>
        <tr r="W81" s="18"/>
      </tp>
      <tp t="e">
        <v>#N/A</v>
        <stp/>
        <stp>BDH|11621480574803838464</stp>
        <tr r="U54" s="21"/>
      </tp>
      <tp t="e">
        <v>#N/A</v>
        <stp/>
        <stp>BDH|17049648336043516430</stp>
        <tr r="O44" s="21"/>
      </tp>
      <tp t="e">
        <v>#N/A</v>
        <stp/>
        <stp>BDH|13292285815723333685</stp>
        <tr r="P97" s="17"/>
        <tr r="P7" s="27"/>
      </tp>
      <tp t="e">
        <v>#N/A</v>
        <stp/>
        <stp>BDH|13864079169929323919</stp>
        <tr r="T13" s="21"/>
      </tp>
      <tp t="e">
        <v>#N/A</v>
        <stp/>
        <stp>BDH|11452660344375597373</stp>
        <tr r="W9" s="10"/>
      </tp>
      <tp t="e">
        <v>#N/A</v>
        <stp/>
        <stp>BDH|17938368669000701758</stp>
        <tr r="X20" s="22"/>
      </tp>
      <tp t="e">
        <v>#N/A</v>
        <stp/>
        <stp>BDH|17922763978264635653</stp>
        <tr r="G15" s="5"/>
      </tp>
      <tp t="e">
        <v>#N/A</v>
        <stp/>
        <stp>BDH|14141321615854083726</stp>
        <tr r="I12" s="13"/>
      </tp>
      <tp t="e">
        <v>#N/A</v>
        <stp/>
        <stp>BDH|11199949280707664273</stp>
        <tr r="K108" s="18"/>
        <tr r="I8" s="20"/>
      </tp>
      <tp t="e">
        <v>#N/A</v>
        <stp/>
        <stp>BDH|18299973070922853194</stp>
        <tr r="G18" s="14"/>
      </tp>
      <tp t="e">
        <v>#N/A</v>
        <stp/>
        <stp>BDH|10199904440939335165</stp>
        <tr r="O81" s="18"/>
      </tp>
      <tp t="e">
        <v>#N/A</v>
        <stp/>
        <stp>BDH|15518916532162751851</stp>
        <tr r="S26" s="7"/>
      </tp>
      <tp t="e">
        <v>#N/A</v>
        <stp/>
        <stp>BDH|15942480983305622904</stp>
        <tr r="J8" s="11"/>
      </tp>
      <tp t="e">
        <v>#N/A</v>
        <stp/>
        <stp>BDH|15685494269564695641</stp>
        <tr r="L157" s="18"/>
      </tp>
      <tp t="e">
        <v>#N/A</v>
        <stp/>
        <stp>BDH|14031312152416156161</stp>
        <tr r="J25" s="3"/>
      </tp>
      <tp t="e">
        <v>#N/A</v>
        <stp/>
        <stp>BDH|17780548141697024464</stp>
        <tr r="U21" s="17"/>
      </tp>
      <tp t="e">
        <v>#N/A</v>
        <stp/>
        <stp>BDH|17574072497549778260</stp>
        <tr r="U27" s="17"/>
      </tp>
      <tp t="e">
        <v>#N/A</v>
        <stp/>
        <stp>BDH|16378410140214007762</stp>
        <tr r="H55" s="24"/>
      </tp>
      <tp t="e">
        <v>#N/A</v>
        <stp/>
        <stp>BDH|15854523455995890531</stp>
        <tr r="L14" s="14"/>
      </tp>
      <tp t="e">
        <v>#N/A</v>
        <stp/>
        <stp>BDH|10399657650924325212</stp>
        <tr r="E54" s="18"/>
      </tp>
      <tp t="e">
        <v>#N/A</v>
        <stp/>
        <stp>BDH|14761364571283479601</stp>
        <tr r="M68" s="18"/>
      </tp>
      <tp t="e">
        <v>#N/A</v>
        <stp/>
        <stp>BDH|10880124619130094572</stp>
        <tr r="AA43" s="22"/>
      </tp>
      <tp t="e">
        <v>#N/A</v>
        <stp/>
        <stp>BDH|16352619444120537178</stp>
        <tr r="H20" s="23"/>
      </tp>
      <tp t="e">
        <v>#N/A</v>
        <stp/>
        <stp>BDH|17079455531307825286</stp>
        <tr r="N16" s="24"/>
      </tp>
      <tp t="e">
        <v>#N/A</v>
        <stp/>
        <stp>BDH|10061600942145121271</stp>
        <tr r="C43" s="24"/>
      </tp>
      <tp t="e">
        <v>#N/A</v>
        <stp/>
        <stp>BDH|10972370887277401991</stp>
        <tr r="Q14" s="22"/>
      </tp>
      <tp t="e">
        <v>#N/A</v>
        <stp/>
        <stp>BDH|17048212480039476115</stp>
        <tr r="G70" s="18"/>
      </tp>
      <tp t="e">
        <v>#N/A</v>
        <stp/>
        <stp>BDH|12899152359567674452</stp>
        <tr r="X82" s="17"/>
        <tr r="X19" s="3"/>
      </tp>
      <tp t="e">
        <v>#N/A</v>
        <stp/>
        <stp>BDH|16699843682866199560</stp>
        <tr r="R40" s="24"/>
      </tp>
      <tp t="e">
        <v>#N/A</v>
        <stp/>
        <stp>BDH|16342774319013929638</stp>
        <tr r="I50" s="4"/>
      </tp>
      <tp t="e">
        <v>#N/A</v>
        <stp/>
        <stp>BDH|16934771346692989265</stp>
        <tr r="L10" s="11"/>
      </tp>
      <tp t="e">
        <v>#N/A</v>
        <stp/>
        <stp>BDH|11266677445993728502</stp>
        <tr r="G38" s="10"/>
        <tr r="G32" s="11"/>
      </tp>
      <tp t="e">
        <v>#N/A</v>
        <stp/>
        <stp>BDH|16221187976544998126</stp>
        <tr r="H168" s="18"/>
      </tp>
      <tp t="e">
        <v>#N/A</v>
        <stp/>
        <stp>BDH|10250633153850653634</stp>
        <tr r="K61" s="24"/>
      </tp>
      <tp t="e">
        <v>#N/A</v>
        <stp/>
        <stp>BDH|14107379137058535935</stp>
        <tr r="O73" s="18"/>
      </tp>
      <tp t="e">
        <v>#N/A</v>
        <stp/>
        <stp>BDH|12148699601838632988</stp>
        <tr r="P64" s="21"/>
      </tp>
      <tp t="e">
        <v>#N/A</v>
        <stp/>
        <stp>BDH|13099253802735686168</stp>
        <tr r="E27" s="22"/>
      </tp>
      <tp t="e">
        <v>#N/A</v>
        <stp/>
        <stp>BDH|12942850202528082794</stp>
        <tr r="L63" s="10"/>
      </tp>
      <tp t="e">
        <v>#N/A</v>
        <stp/>
        <stp>BDH|16788064971480559420</stp>
        <tr r="E45" s="4"/>
        <tr r="E30" s="10"/>
        <tr r="E24" s="11"/>
        <tr r="G30" s="13"/>
      </tp>
      <tp t="e">
        <v>#N/A</v>
        <stp/>
        <stp>BDH|17196897961339968577</stp>
        <tr r="L73" s="24"/>
      </tp>
      <tp t="e">
        <v>#N/A</v>
        <stp/>
        <stp>BDH|10398175494865646813</stp>
        <tr r="G21" s="30"/>
        <tr r="G24" s="23"/>
      </tp>
      <tp t="e">
        <v>#N/A</v>
        <stp/>
        <stp>BDH|16445222505892147359</stp>
        <tr r="G13" s="14"/>
      </tp>
      <tp t="e">
        <v>#N/A</v>
        <stp/>
        <stp>BDH|10968481717739165905</stp>
        <tr r="Y56" s="17"/>
        <tr r="Y17" s="3"/>
      </tp>
      <tp t="e">
        <v>#N/A</v>
        <stp/>
        <stp>BDH|16865087043046651127</stp>
        <tr r="H90" s="17"/>
      </tp>
      <tp t="e">
        <v>#N/A</v>
        <stp/>
        <stp>BDH|10243291872253847361</stp>
        <tr r="Q35" s="12"/>
      </tp>
      <tp t="e">
        <v>#N/A</v>
        <stp/>
        <stp>BDH|16677009435560210068</stp>
        <tr r="C31" s="17"/>
      </tp>
      <tp t="e">
        <v>#N/A</v>
        <stp/>
        <stp>BDH|12136647802718269927</stp>
        <tr r="I63" s="18"/>
      </tp>
      <tp t="e">
        <v>#N/A</v>
        <stp/>
        <stp>BDH|11100759470805015132</stp>
        <tr r="S16" s="23"/>
      </tp>
      <tp t="e">
        <v>#N/A</v>
        <stp/>
        <stp>BDH|10510444708632735390</stp>
        <tr r="Z22" s="26"/>
      </tp>
      <tp t="e">
        <v>#N/A</v>
        <stp/>
        <stp>BDH|10142450259196955237</stp>
        <tr r="H33" s="22"/>
      </tp>
      <tp t="e">
        <v>#N/A</v>
        <stp/>
        <stp>BDH|12061440316261471314</stp>
        <tr r="W13" s="13"/>
      </tp>
      <tp t="e">
        <v>#N/A</v>
        <stp/>
        <stp>BDH|15749893089837214728</stp>
        <tr r="Q16" s="18"/>
      </tp>
      <tp t="e">
        <v>#N/A</v>
        <stp/>
        <stp>BDH|15770826112718796179</stp>
        <tr r="P16" s="21"/>
      </tp>
      <tp t="e">
        <v>#N/A</v>
        <stp/>
        <stp>BDH|11964605808965777718</stp>
        <tr r="T16" s="22"/>
      </tp>
      <tp t="e">
        <v>#N/A</v>
        <stp/>
        <stp>BDH|11212265426431060553</stp>
        <tr r="R15" s="12"/>
      </tp>
      <tp t="e">
        <v>#N/A</v>
        <stp/>
        <stp>BDH|14326158127165297747</stp>
        <tr r="W52" s="12"/>
      </tp>
      <tp t="e">
        <v>#N/A</v>
        <stp/>
        <stp>BDH|12361750925674321676</stp>
        <tr r="Q54" s="18"/>
      </tp>
      <tp t="e">
        <v>#N/A</v>
        <stp/>
        <stp>BDH|15580866120953612922</stp>
        <tr r="AA77" s="17"/>
      </tp>
      <tp t="e">
        <v>#N/A</v>
        <stp/>
        <stp>BDH|14135143523864565655</stp>
        <tr r="E25" s="17"/>
      </tp>
      <tp t="e">
        <v>#N/A</v>
        <stp/>
        <stp>BDH|14587734848150849203</stp>
        <tr r="K9" s="22"/>
      </tp>
      <tp t="e">
        <v>#N/A</v>
        <stp/>
        <stp>BDH|12096485003345420697</stp>
        <tr r="P27" s="18"/>
      </tp>
      <tp t="e">
        <v>#N/A</v>
        <stp/>
        <stp>BDH|18326302797034790353</stp>
        <tr r="Z53" s="13"/>
      </tp>
      <tp t="e">
        <v>#N/A</v>
        <stp/>
        <stp>BDH|13839218366370068296</stp>
        <tr r="W10" s="6"/>
      </tp>
      <tp t="e">
        <v>#N/A</v>
        <stp/>
        <stp>BDH|17653332064405394242</stp>
        <tr r="I21" s="3"/>
      </tp>
      <tp t="e">
        <v>#N/A</v>
        <stp/>
        <stp>BDH|12572444830891141167</stp>
        <tr r="I10" s="26"/>
      </tp>
      <tp t="e">
        <v>#N/A</v>
        <stp/>
        <stp>BDH|17979687387064961899</stp>
        <tr r="D139" s="18"/>
      </tp>
      <tp t="e">
        <v>#N/A</v>
        <stp/>
        <stp>BDH|15937315048040312758</stp>
        <tr r="M6" s="15"/>
        <tr r="M12" s="2"/>
        <tr r="M11" s="4"/>
        <tr r="M6" s="10"/>
      </tp>
      <tp t="e">
        <v>#N/A</v>
        <stp/>
        <stp>BDH|12892570262431814532</stp>
        <tr r="F148" s="18"/>
      </tp>
      <tp t="e">
        <v>#N/A</v>
        <stp/>
        <stp>BDH|12892216690468833476</stp>
        <tr r="G20" s="12"/>
      </tp>
      <tp t="e">
        <v>#N/A</v>
        <stp/>
        <stp>BDH|15803663736544982170</stp>
        <tr r="J7" s="28"/>
      </tp>
      <tp t="e">
        <v>#N/A</v>
        <stp/>
        <stp>BDH|16735148456512465575</stp>
        <tr r="H35" s="10"/>
        <tr r="H47" s="10"/>
        <tr r="H29" s="11"/>
        <tr r="H41" s="11"/>
      </tp>
      <tp t="e">
        <v>#N/A</v>
        <stp/>
        <stp>BDH|14065639430423062750</stp>
        <tr r="Q79" s="12"/>
      </tp>
      <tp t="e">
        <v>#N/A</v>
        <stp/>
        <stp>BDH|16654872863448383577</stp>
        <tr r="O35" s="12"/>
      </tp>
      <tp t="e">
        <v>#N/A</v>
        <stp/>
        <stp>BDH|15555872013529472039</stp>
        <tr r="R48" s="18"/>
      </tp>
      <tp t="e">
        <v>#N/A</v>
        <stp/>
        <stp>BDH|15161135339943951143</stp>
        <tr r="S65" s="18"/>
      </tp>
      <tp t="e">
        <v>#N/A</v>
        <stp/>
        <stp>BDH|12273729416054311533</stp>
        <tr r="R11" s="7"/>
      </tp>
      <tp t="e">
        <v>#N/A</v>
        <stp/>
        <stp>BDH|12201204816072526675</stp>
        <tr r="Y20" s="24"/>
      </tp>
      <tp t="e">
        <v>#N/A</v>
        <stp/>
        <stp>BDH|14280403466084411768</stp>
        <tr r="C14" s="21"/>
      </tp>
      <tp t="e">
        <v>#N/A</v>
        <stp/>
        <stp>BDH|11654764041494151362</stp>
        <tr r="N15" s="18"/>
      </tp>
      <tp t="e">
        <v>#N/A</v>
        <stp/>
        <stp>BDH|16644053033677328751</stp>
        <tr r="Q14" s="25"/>
      </tp>
      <tp t="e">
        <v>#N/A</v>
        <stp/>
        <stp>BDH|14250153274272749521</stp>
        <tr r="U28" s="10"/>
        <tr r="W33" s="13"/>
      </tp>
      <tp t="e">
        <v>#N/A</v>
        <stp/>
        <stp>BDH|12540293229620073737</stp>
        <tr r="W119" s="18"/>
      </tp>
      <tp t="e">
        <v>#N/A</v>
        <stp/>
        <stp>BDH|11287377012866968081</stp>
        <tr r="K29" s="10"/>
        <tr r="M34" s="13"/>
      </tp>
      <tp t="e">
        <v>#N/A</v>
        <stp/>
        <stp>BDH|16246029683509518209</stp>
        <tr r="Y81" s="17"/>
        <tr r="V9" s="5"/>
        <tr r="V9" s="9"/>
      </tp>
      <tp t="e">
        <v>#N/A</v>
        <stp/>
        <stp>BDH|13057154605671043663</stp>
        <tr r="Y50" s="17"/>
      </tp>
      <tp t="e">
        <v>#N/A</v>
        <stp/>
        <stp>BDH|15619466957609324823</stp>
        <tr r="C65" s="17"/>
      </tp>
      <tp t="e">
        <v>#N/A</v>
        <stp/>
        <stp>BDH|17043622572141451222</stp>
        <tr r="Y23" s="17"/>
        <tr r="Y15" s="3"/>
      </tp>
      <tp t="e">
        <v>#N/A</v>
        <stp/>
        <stp>BDH|12706249843912211346</stp>
        <tr r="I12" s="17"/>
      </tp>
      <tp t="e">
        <v>#N/A</v>
        <stp/>
        <stp>BDH|16838144239981585061</stp>
        <tr r="W93" s="18"/>
      </tp>
      <tp t="e">
        <v>#N/A</v>
        <stp/>
        <stp>BDH|16813408501217747088</stp>
        <tr r="N22" s="4"/>
      </tp>
      <tp t="e">
        <v>#N/A</v>
        <stp/>
        <stp>BDH|15611489687185762989</stp>
        <tr r="D11" s="14"/>
      </tp>
      <tp t="e">
        <v>#N/A</v>
        <stp/>
        <stp>BDH|17662516288378900707</stp>
        <tr r="H8" s="2"/>
      </tp>
      <tp t="e">
        <v>#N/A</v>
        <stp/>
        <stp>BDH|18077913755754567571</stp>
        <tr r="X71" s="10"/>
        <tr r="X65" s="11"/>
      </tp>
      <tp t="e">
        <v>#N/A</v>
        <stp/>
        <stp>BDH|11863626376896025351</stp>
        <tr r="S34" s="21"/>
      </tp>
      <tp t="e">
        <v>#N/A</v>
        <stp/>
        <stp>BDH|15772886930969166275</stp>
        <tr r="C31" s="13"/>
      </tp>
      <tp t="e">
        <v>#N/A</v>
        <stp/>
        <stp>BDH|15585078116915866455</stp>
        <tr r="P23" s="13"/>
      </tp>
      <tp t="e">
        <v>#N/A</v>
        <stp/>
        <stp>BDH|11223193341479456879</stp>
        <tr r="I17" s="17"/>
        <tr r="I20" s="28"/>
      </tp>
      <tp t="e">
        <v>#N/A</v>
        <stp/>
        <stp>BDH|10208513760821871724</stp>
        <tr r="W27" s="22"/>
      </tp>
      <tp t="e">
        <v>#N/A</v>
        <stp/>
        <stp>BDH|10578946087311820578</stp>
        <tr r="D47" s="12"/>
      </tp>
      <tp t="e">
        <v>#N/A</v>
        <stp/>
        <stp>BDH|15063303832891375185</stp>
        <tr r="D50" s="4"/>
      </tp>
      <tp t="e">
        <v>#N/A</v>
        <stp/>
        <stp>BDH|17103061277546032398</stp>
        <tr r="T15" s="22"/>
      </tp>
      <tp t="e">
        <v>#N/A</v>
        <stp/>
        <stp>BDH|12904253051737788732</stp>
        <tr r="J44" s="13"/>
      </tp>
      <tp t="e">
        <v>#N/A</v>
        <stp/>
        <stp>BDH|10932544375522748568</stp>
        <tr r="I8" s="12"/>
      </tp>
      <tp t="e">
        <v>#N/A</v>
        <stp/>
        <stp>BDH|11302253248964623616</stp>
        <tr r="E73" s="24"/>
      </tp>
      <tp t="e">
        <v>#N/A</v>
        <stp/>
        <stp>BDH|13274988592575253331</stp>
        <tr r="W44" s="18"/>
      </tp>
      <tp t="e">
        <v>#N/A</v>
        <stp/>
        <stp>BDH|17332089409405810731</stp>
        <tr r="Q16" s="17"/>
        <tr r="Q19" s="28"/>
      </tp>
      <tp t="e">
        <v>#N/A</v>
        <stp/>
        <stp>BDH|11008999634177278961</stp>
        <tr r="Z166" s="18"/>
      </tp>
      <tp t="e">
        <v>#N/A</v>
        <stp/>
        <stp>BDH|11502579374692601492</stp>
        <tr r="I10" s="2"/>
        <tr r="H11" s="5"/>
        <tr r="H36" s="6"/>
        <tr r="K31" s="29"/>
        <tr r="K39" s="29"/>
      </tp>
      <tp t="e">
        <v>#N/A</v>
        <stp/>
        <stp>BDH|10370972187711883527</stp>
        <tr r="N23" s="18"/>
      </tp>
      <tp t="e">
        <v>#N/A</v>
        <stp/>
        <stp>BDH|10878064857140972099</stp>
        <tr r="Y22" s="26"/>
      </tp>
      <tp t="e">
        <v>#N/A</v>
        <stp/>
        <stp>BDH|12069727638964321709</stp>
        <tr r="U65" s="24"/>
      </tp>
      <tp t="e">
        <v>#N/A</v>
        <stp/>
        <stp>BDH|12412493582602361950</stp>
        <tr r="S63" s="10"/>
      </tp>
      <tp t="e">
        <v>#N/A</v>
        <stp/>
        <stp>BDH|17541281193621721803</stp>
        <tr r="G21" s="2"/>
      </tp>
      <tp t="e">
        <v>#N/A</v>
        <stp/>
        <stp>BDH|10839625322263904285</stp>
        <tr r="P21" s="21"/>
      </tp>
      <tp t="e">
        <v>#N/A</v>
        <stp/>
        <stp>BDH|10855050642368646903</stp>
        <tr r="T23" s="18"/>
      </tp>
      <tp t="e">
        <v>#N/A</v>
        <stp/>
        <stp>BDH|15438167823776124590</stp>
        <tr r="H61" s="18"/>
      </tp>
      <tp t="e">
        <v>#N/A</v>
        <stp/>
        <stp>BDH|18262958765384282695</stp>
        <tr r="P15" s="24"/>
      </tp>
      <tp t="e">
        <v>#N/A</v>
        <stp/>
        <stp>BDH|18361696990754332603</stp>
        <tr r="X22" s="24"/>
      </tp>
      <tp t="e">
        <v>#N/A</v>
        <stp/>
        <stp>BDH|14841834403769725062</stp>
        <tr r="E51" s="18"/>
      </tp>
      <tp t="e">
        <v>#N/A</v>
        <stp/>
        <stp>BDH|16338680362174625765</stp>
        <tr r="Y55" s="13"/>
      </tp>
      <tp t="e">
        <v>#N/A</v>
        <stp/>
        <stp>BDH|10241244752232531084</stp>
        <tr r="L69" s="10"/>
        <tr r="L63" s="11"/>
        <tr r="L20" s="7"/>
      </tp>
      <tp t="e">
        <v>#N/A</v>
        <stp/>
        <stp>BDH|11341641009367326541</stp>
        <tr r="L38" s="24"/>
      </tp>
      <tp t="e">
        <v>#N/A</v>
        <stp/>
        <stp>BDH|11794472647750817468</stp>
        <tr r="H33" s="6"/>
        <tr r="J9" s="8"/>
      </tp>
      <tp t="e">
        <v>#N/A</v>
        <stp/>
        <stp>BDH|12474461632861893113</stp>
        <tr r="W21" s="4"/>
      </tp>
      <tp t="e">
        <v>#N/A</v>
        <stp/>
        <stp>BDH|13649197187018278730</stp>
        <tr r="F41" s="24"/>
      </tp>
      <tp t="e">
        <v>#N/A</v>
        <stp/>
        <stp>BDH|16168224563016886101</stp>
        <tr r="L8" s="28"/>
      </tp>
      <tp t="e">
        <v>#N/A</v>
        <stp/>
        <stp>BDH|16829468914656555072</stp>
        <tr r="G45" s="18"/>
      </tp>
      <tp t="e">
        <v>#N/A</v>
        <stp/>
        <stp>BDH|17037155156256887036</stp>
        <tr r="V21" s="27"/>
      </tp>
      <tp t="e">
        <v>#N/A</v>
        <stp/>
        <stp>BDH|15352189765977382057</stp>
        <tr r="R67" s="17"/>
      </tp>
      <tp t="e">
        <v>#N/A</v>
        <stp/>
        <stp>BDH|12460144135550898557</stp>
        <tr r="H38" s="6"/>
      </tp>
      <tp t="e">
        <v>#N/A</v>
        <stp/>
        <stp>BDH|14059195757057793210</stp>
        <tr r="M8" s="27"/>
      </tp>
      <tp t="e">
        <v>#N/A</v>
        <stp/>
        <stp>BDH|17256648260950751298</stp>
        <tr r="X131" s="18"/>
      </tp>
      <tp t="e">
        <v>#N/A</v>
        <stp/>
        <stp>BDH|10277336013726978139</stp>
        <tr r="AA9" s="26"/>
      </tp>
      <tp t="e">
        <v>#N/A</v>
        <stp/>
        <stp>BDH|12428022054943291188</stp>
        <tr r="T21" s="21"/>
      </tp>
      <tp t="e">
        <v>#N/A</v>
        <stp/>
        <stp>BDH|15148450378093493005</stp>
        <tr r="D69" s="18"/>
      </tp>
      <tp t="e">
        <v>#N/A</v>
        <stp/>
        <stp>BDH|17602839979749082449</stp>
        <tr r="S71" s="18"/>
      </tp>
      <tp t="e">
        <v>#N/A</v>
        <stp/>
        <stp>BDH|11977647976160783546</stp>
        <tr r="AA152" s="18"/>
      </tp>
      <tp t="e">
        <v>#N/A</v>
        <stp/>
        <stp>BDH|14943969867706671862</stp>
        <tr r="R33" s="12"/>
      </tp>
      <tp t="e">
        <v>#N/A</v>
        <stp/>
        <stp>BDH|18140696007713385843</stp>
        <tr r="U109" s="18"/>
        <tr r="S9" s="20"/>
      </tp>
      <tp t="e">
        <v>#N/A</v>
        <stp/>
        <stp>BDH|16784023260010940542</stp>
        <tr r="Y27" s="10"/>
        <tr r="AA32" s="13"/>
      </tp>
      <tp t="e">
        <v>#N/A</v>
        <stp/>
        <stp>BDH|15743403400794998064</stp>
        <tr r="D17" s="21"/>
      </tp>
      <tp t="e">
        <v>#N/A</v>
        <stp/>
        <stp>BDH|13090438885693922978</stp>
        <tr r="Q11" s="18"/>
      </tp>
      <tp t="e">
        <v>#N/A</v>
        <stp/>
        <stp>BDH|11995671077571906481</stp>
        <tr r="N18" s="13"/>
      </tp>
      <tp t="e">
        <v>#N/A</v>
        <stp/>
        <stp>BDH|11286687711251088236</stp>
        <tr r="E50" s="4"/>
      </tp>
      <tp t="e">
        <v>#N/A</v>
        <stp/>
        <stp>BDH|15564040521382107096</stp>
        <tr r="AA88" s="17"/>
      </tp>
      <tp t="e">
        <v>#N/A</v>
        <stp/>
        <stp>BDH|13249212999354541972</stp>
        <tr r="L57" s="24"/>
      </tp>
      <tp t="e">
        <v>#N/A</v>
        <stp/>
        <stp>BDH|16942008214412423019</stp>
        <tr r="K112" s="18"/>
        <tr r="I13" s="20"/>
      </tp>
      <tp t="e">
        <v>#N/A</v>
        <stp/>
        <stp>BDH|18354812217797930341</stp>
        <tr r="K34" s="21"/>
      </tp>
      <tp t="e">
        <v>#N/A</v>
        <stp/>
        <stp>BDH|10954479367860250733</stp>
        <tr r="U21" s="24"/>
      </tp>
      <tp t="e">
        <v>#N/A</v>
        <stp/>
        <stp>BDH|11873317022073239612</stp>
        <tr r="V8" s="2"/>
      </tp>
      <tp t="e">
        <v>#N/A</v>
        <stp/>
        <stp>BDH|15018523149376206710</stp>
        <tr r="P36" s="24"/>
      </tp>
      <tp t="e">
        <v>#N/A</v>
        <stp/>
        <stp>BDH|15122363976936004298</stp>
        <tr r="G10" s="18"/>
      </tp>
      <tp t="e">
        <v>#N/A</v>
        <stp/>
        <stp>BDH|17020705340551069084</stp>
        <tr r="T121" s="18"/>
      </tp>
      <tp t="e">
        <v>#N/A</v>
        <stp/>
        <stp>BDH|16098094727868465924</stp>
        <tr r="N49" s="21"/>
      </tp>
      <tp t="e">
        <v>#N/A</v>
        <stp/>
        <stp>BDH|13711783667343865480</stp>
        <tr r="X13" s="10"/>
      </tp>
      <tp t="e">
        <v>#N/A</v>
        <stp/>
        <stp>BDH|18215022852140269883</stp>
        <tr r="R53" s="24"/>
      </tp>
      <tp t="e">
        <v>#N/A</v>
        <stp/>
        <stp>BDH|15975851182051743115</stp>
        <tr r="U8" s="17"/>
      </tp>
      <tp t="e">
        <v>#N/A</v>
        <stp/>
        <stp>BDH|13057770819528368850</stp>
        <tr r="V23" s="22"/>
      </tp>
      <tp t="e">
        <v>#N/A</v>
        <stp/>
        <stp>BDH|10925989396180694597</stp>
        <tr r="L12" s="24"/>
      </tp>
      <tp t="e">
        <v>#N/A</v>
        <stp/>
        <stp>BDH|14833282348802895584</stp>
        <tr r="N32" s="6"/>
        <tr r="P6" s="8"/>
      </tp>
      <tp t="e">
        <v>#N/A</v>
        <stp/>
        <stp>BDH|13843697119642977396</stp>
        <tr r="I16" s="22"/>
      </tp>
      <tp t="e">
        <v>#N/A</v>
        <stp/>
        <stp>BDH|11415365826855944063</stp>
        <tr r="T25" s="13"/>
      </tp>
      <tp t="e">
        <v>#N/A</v>
        <stp/>
        <stp>BDH|17142593454765086773</stp>
        <tr r="V62" s="17"/>
      </tp>
      <tp t="e">
        <v>#N/A</v>
        <stp/>
        <stp>BDH|13742189227712392709</stp>
        <tr r="Y156" s="18"/>
      </tp>
      <tp t="e">
        <v>#N/A</v>
        <stp/>
        <stp>BDH|10427941660748347288</stp>
        <tr r="M26" s="17"/>
      </tp>
      <tp t="e">
        <v>#N/A</v>
        <stp/>
        <stp>BDH|14781150849223302735</stp>
        <tr r="D59" s="21"/>
      </tp>
      <tp t="e">
        <v>#N/A</v>
        <stp/>
        <stp>BDH|17232616811030120588</stp>
        <tr r="V11" s="18"/>
      </tp>
      <tp t="e">
        <v>#N/A</v>
        <stp/>
        <stp>BDH|12364708273410833736</stp>
        <tr r="T71" s="24"/>
      </tp>
      <tp t="e">
        <v>#N/A</v>
        <stp/>
        <stp>BDH|14905272526912675353</stp>
        <tr r="K61" s="21"/>
      </tp>
      <tp t="e">
        <v>#N/A</v>
        <stp/>
        <stp>BDH|14160665833675622199</stp>
        <tr r="G117" s="18"/>
      </tp>
      <tp t="e">
        <v>#N/A</v>
        <stp/>
        <stp>BDH|12886019471443188323</stp>
        <tr r="W29" s="24"/>
      </tp>
      <tp t="e">
        <v>#N/A</v>
        <stp/>
        <stp>BDH|11795190054782965286</stp>
        <tr r="I10" s="22"/>
      </tp>
      <tp t="e">
        <v>#N/A</v>
        <stp/>
        <stp>BDH|13971252447492367239</stp>
        <tr r="O72" s="12"/>
      </tp>
      <tp t="e">
        <v>#N/A</v>
        <stp/>
        <stp>BDH|15713373745237885066</stp>
        <tr r="C117" s="18"/>
      </tp>
      <tp t="e">
        <v>#N/A</v>
        <stp/>
        <stp>BDH|14630374812960818302</stp>
        <tr r="D15" s="26"/>
      </tp>
      <tp t="e">
        <v>#N/A</v>
        <stp/>
        <stp>BDH|17331205608717995795</stp>
        <tr r="O87" s="18"/>
      </tp>
      <tp t="e">
        <v>#N/A</v>
        <stp/>
        <stp>BDH|16318525311661863638</stp>
        <tr r="L18" s="10"/>
        <tr r="N16" s="13"/>
        <tr r="N27" s="13"/>
      </tp>
      <tp t="e">
        <v>#N/A</v>
        <stp/>
        <stp>BDH|14221574009316770201</stp>
        <tr r="E8" s="12"/>
      </tp>
      <tp t="e">
        <v>#N/A</v>
        <stp/>
        <stp>BDH|15884659626733517755</stp>
        <tr r="J26" s="12"/>
      </tp>
      <tp t="e">
        <v>#N/A</v>
        <stp/>
        <stp>BDH|17918492196039507682</stp>
        <tr r="I72" s="12"/>
      </tp>
      <tp t="e">
        <v>#N/A</v>
        <stp/>
        <stp>BDH|13415961115766438885</stp>
        <tr r="K9" s="10"/>
      </tp>
      <tp t="e">
        <v>#N/A</v>
        <stp/>
        <stp>BDH|13434014250803792096</stp>
        <tr r="N48" s="18"/>
      </tp>
      <tp t="e">
        <v>#N/A</v>
        <stp/>
        <stp>BDH|15060166101538457987</stp>
        <tr r="S14" s="23"/>
      </tp>
      <tp t="e">
        <v>#N/A</v>
        <stp/>
        <stp>BDH|15374878212128411199</stp>
        <tr r="Q145" s="18"/>
      </tp>
      <tp t="e">
        <v>#N/A</v>
        <stp/>
        <stp>BDH|14801007705730152173</stp>
        <tr r="Z19" s="22"/>
      </tp>
      <tp t="e">
        <v>#N/A</v>
        <stp/>
        <stp>BDH|13206553602706804560</stp>
        <tr r="N129" s="18"/>
      </tp>
      <tp t="e">
        <v>#N/A</v>
        <stp/>
        <stp>BDH|12476020988768658731</stp>
        <tr r="L34" s="26"/>
      </tp>
      <tp t="e">
        <v>#N/A</v>
        <stp/>
        <stp>BDH|11885558430022333057</stp>
        <tr r="Q13" s="18"/>
      </tp>
      <tp t="e">
        <v>#N/A</v>
        <stp/>
        <stp>BDH|12056210591635389990</stp>
        <tr r="S25" s="21"/>
      </tp>
      <tp t="e">
        <v>#N/A</v>
        <stp/>
        <stp>BDH|16567341490408828138</stp>
        <tr r="T70" s="24"/>
      </tp>
      <tp t="e">
        <v>#N/A</v>
        <stp/>
        <stp>BDH|13024718428733223016</stp>
        <tr r="J124" s="18"/>
      </tp>
      <tp t="e">
        <v>#N/A</v>
        <stp/>
        <stp>BDH|17631017562957972363</stp>
        <tr r="S150" s="18"/>
      </tp>
      <tp t="e">
        <v>#N/A</v>
        <stp/>
        <stp>BDH|15972743320886105363</stp>
        <tr r="Q37" s="18"/>
      </tp>
      <tp t="e">
        <v>#N/A</v>
        <stp/>
        <stp>BDH|10966426094471129949</stp>
        <tr r="D106" s="18"/>
      </tp>
      <tp t="e">
        <v>#N/A</v>
        <stp/>
        <stp>BDH|17764794754380076008</stp>
        <tr r="Z22" s="12"/>
      </tp>
      <tp t="e">
        <v>#N/A</v>
        <stp/>
        <stp>BDH|13973509970322657656</stp>
        <tr r="X43" s="18"/>
      </tp>
      <tp t="e">
        <v>#N/A</v>
        <stp/>
        <stp>BDH|14401853965659617688</stp>
        <tr r="Z14" s="23"/>
      </tp>
      <tp t="e">
        <v>#N/A</v>
        <stp/>
        <stp>BDH|15064582744816305750</stp>
        <tr r="Y30" s="18"/>
      </tp>
      <tp t="e">
        <v>#N/A</v>
        <stp/>
        <stp>BDH|10088785897069716220</stp>
        <tr r="Q13" s="5"/>
      </tp>
      <tp t="e">
        <v>#N/A</v>
        <stp/>
        <stp>BDH|13482164438116584259</stp>
        <tr r="AA63" s="12"/>
      </tp>
      <tp t="e">
        <v>#N/A</v>
        <stp/>
        <stp>BDH|12379463150646772086</stp>
        <tr r="AA41" s="22"/>
      </tp>
      <tp t="e">
        <v>#N/A</v>
        <stp/>
        <stp>BDH|15630992846338274517</stp>
        <tr r="R23" s="2"/>
        <tr r="T18" s="21"/>
        <tr r="T23" s="3"/>
      </tp>
      <tp t="e">
        <v>#N/A</v>
        <stp/>
        <stp>BDH|13478428424224942418</stp>
        <tr r="AA63" s="24"/>
      </tp>
      <tp t="e">
        <v>#N/A</v>
        <stp/>
        <stp>BDH|14639188356827074225</stp>
        <tr r="U25" s="3"/>
      </tp>
      <tp t="e">
        <v>#N/A</v>
        <stp/>
        <stp>BDH|13630226284095914934</stp>
        <tr r="AA21" s="17"/>
      </tp>
      <tp t="e">
        <v>#N/A</v>
        <stp/>
        <stp>BDH|13386758690408929056</stp>
        <tr r="H34" s="24"/>
      </tp>
      <tp t="e">
        <v>#N/A</v>
        <stp/>
        <stp>BDH|10371563335712800123</stp>
        <tr r="J10" s="18"/>
      </tp>
      <tp t="e">
        <v>#N/A</v>
        <stp/>
        <stp>BDH|12560127315615889208</stp>
        <tr r="Y39" s="12"/>
      </tp>
      <tp t="e">
        <v>#N/A</v>
        <stp/>
        <stp>BDH|11786476348865456164</stp>
        <tr r="L25" s="6"/>
      </tp>
      <tp t="e">
        <v>#N/A</v>
        <stp/>
        <stp>BDH|13520487166645234137</stp>
        <tr r="S66" s="10"/>
      </tp>
      <tp t="e">
        <v>#N/A</v>
        <stp/>
        <stp>BDH|11434484625690547263</stp>
        <tr r="P28" s="21"/>
      </tp>
      <tp t="e">
        <v>#N/A</v>
        <stp/>
        <stp>BDH|14965085474223644593</stp>
        <tr r="Y24" s="18"/>
      </tp>
      <tp t="e">
        <v>#N/A</v>
        <stp/>
        <stp>BDH|11650532427372001182</stp>
        <tr r="Z33" s="21"/>
      </tp>
      <tp t="e">
        <v>#N/A</v>
        <stp/>
        <stp>BDH|17635315825695078682</stp>
        <tr r="L33" s="12"/>
      </tp>
      <tp t="e">
        <v>#N/A</v>
        <stp/>
        <stp>BDH|12909553728899962978</stp>
        <tr r="X51" s="10"/>
        <tr r="X45" s="11"/>
        <tr r="X15" s="7"/>
      </tp>
      <tp t="e">
        <v>#N/A</v>
        <stp/>
        <stp>BDH|13184862601959572791</stp>
        <tr r="K19" s="26"/>
      </tp>
      <tp t="e">
        <v>#N/A</v>
        <stp/>
        <stp>BDH|17659141776597923376</stp>
        <tr r="AA29" s="24"/>
      </tp>
      <tp t="e">
        <v>#N/A</v>
        <stp/>
        <stp>BDH|12176331471705174682</stp>
        <tr r="X23" s="17"/>
        <tr r="X15" s="3"/>
      </tp>
      <tp t="e">
        <v>#N/A</v>
        <stp/>
        <stp>BDH|10371652001143535083</stp>
        <tr r="U121" s="18"/>
      </tp>
      <tp t="e">
        <v>#N/A</v>
        <stp/>
        <stp>BDH|12673672059590029426</stp>
        <tr r="M15" s="11"/>
      </tp>
      <tp t="e">
        <v>#N/A</v>
        <stp/>
        <stp>BDH|18127285429475892851</stp>
        <tr r="U42" s="17"/>
      </tp>
      <tp t="e">
        <v>#N/A</v>
        <stp/>
        <stp>BDH|11358522667157380084</stp>
        <tr r="V38" s="22"/>
      </tp>
      <tp t="e">
        <v>#N/A</v>
        <stp/>
        <stp>BDH|13189097573948789914</stp>
        <tr r="G167" s="18"/>
      </tp>
      <tp t="e">
        <v>#N/A</v>
        <stp/>
        <stp>BDH|11183452452960989522</stp>
        <tr r="M35" s="18"/>
      </tp>
      <tp t="e">
        <v>#N/A</v>
        <stp/>
        <stp>BDH|15940335479042718699</stp>
        <tr r="F21" s="10"/>
      </tp>
      <tp t="e">
        <v>#N/A</v>
        <stp/>
        <stp>BDH|15116479396719917447</stp>
        <tr r="J24" s="12"/>
      </tp>
      <tp t="e">
        <v>#N/A</v>
        <stp/>
        <stp>BDH|12711668218451702135</stp>
        <tr r="N63" s="10"/>
      </tp>
      <tp t="e">
        <v>#N/A</v>
        <stp/>
        <stp>BDH|14051740819345389231</stp>
        <tr r="U165" s="18"/>
      </tp>
      <tp t="e">
        <v>#N/A</v>
        <stp/>
        <stp>BDH|15488831495234641591</stp>
        <tr r="Q116" s="18"/>
      </tp>
      <tp t="e">
        <v>#N/A</v>
        <stp/>
        <stp>BDH|17093285477804392313</stp>
        <tr r="M56" s="12"/>
      </tp>
      <tp t="e">
        <v>#N/A</v>
        <stp/>
        <stp>BDH|14342641478168130839</stp>
        <tr r="O69" s="17"/>
      </tp>
      <tp t="e">
        <v>#N/A</v>
        <stp/>
        <stp>BDH|11813746067544355159</stp>
        <tr r="G36" s="10"/>
        <tr r="G30" s="11"/>
        <tr r="I39" s="13"/>
      </tp>
      <tp t="e">
        <v>#N/A</v>
        <stp/>
        <stp>BDH|10865648761585073001</stp>
        <tr r="S36" s="17"/>
      </tp>
      <tp t="e">
        <v>#N/A</v>
        <stp/>
        <stp>BDH|13255811621315720988</stp>
        <tr r="L19" s="20"/>
      </tp>
      <tp t="e">
        <v>#N/A</v>
        <stp/>
        <stp>BDH|14969845690917577751</stp>
        <tr r="R8" s="4"/>
      </tp>
      <tp t="e">
        <v>#N/A</v>
        <stp/>
        <stp>BDH|13313608513352406396</stp>
        <tr r="D13" s="9"/>
      </tp>
      <tp t="e">
        <v>#N/A</v>
        <stp/>
        <stp>BDH|13662822848903467958</stp>
        <tr r="S13" s="5"/>
      </tp>
      <tp t="e">
        <v>#N/A</v>
        <stp/>
        <stp>BDH|17163105216693971131</stp>
        <tr r="J147" s="18"/>
      </tp>
      <tp t="e">
        <v>#N/A</v>
        <stp/>
        <stp>BDH|17458628160335395785</stp>
        <tr r="D8" s="2"/>
      </tp>
      <tp t="e">
        <v>#N/A</v>
        <stp/>
        <stp>BDH|10452070056160176091</stp>
        <tr r="N38" s="24"/>
      </tp>
      <tp t="e">
        <v>#N/A</v>
        <stp/>
        <stp>BDH|12418093540231731272</stp>
        <tr r="S21" s="27"/>
      </tp>
      <tp t="e">
        <v>#N/A</v>
        <stp/>
        <stp>BDH|13016095495538820792</stp>
        <tr r="J9" s="29"/>
      </tp>
      <tp t="e">
        <v>#N/A</v>
        <stp/>
        <stp>BDH|10547300047261849372</stp>
        <tr r="F15" s="13"/>
      </tp>
      <tp t="e">
        <v>#N/A</v>
        <stp/>
        <stp>BDH|17515470166580167082</stp>
        <tr r="Z57" s="18"/>
      </tp>
      <tp t="e">
        <v>#N/A</v>
        <stp/>
        <stp>BDH|12223381047150143016</stp>
        <tr r="W56" s="13"/>
      </tp>
      <tp t="e">
        <v>#N/A</v>
        <stp/>
        <stp>BDH|14925321045072667455</stp>
        <tr r="I10" s="12"/>
      </tp>
      <tp t="e">
        <v>#N/A</v>
        <stp/>
        <stp>BDH|14811730757066354524</stp>
        <tr r="O19" s="25"/>
        <tr r="M21" s="11"/>
      </tp>
      <tp t="e">
        <v>#N/A</v>
        <stp/>
        <stp>BDH|12194152398378813799</stp>
        <tr r="Z14" s="8"/>
      </tp>
      <tp t="e">
        <v>#N/A</v>
        <stp/>
        <stp>BDH|16939439524976036337</stp>
        <tr r="S28" s="25"/>
        <tr r="S18" s="27"/>
      </tp>
      <tp t="e">
        <v>#N/A</v>
        <stp/>
        <stp>BDH|10077372588186675844</stp>
        <tr r="W95" s="18"/>
      </tp>
      <tp t="e">
        <v>#N/A</v>
        <stp/>
        <stp>BDH|13072765354894897074</stp>
        <tr r="M18" s="10"/>
        <tr r="O16" s="13"/>
        <tr r="O27" s="13"/>
      </tp>
      <tp t="e">
        <v>#N/A</v>
        <stp/>
        <stp>BDH|16068290067224139321</stp>
        <tr r="L40" s="18"/>
      </tp>
      <tp t="e">
        <v>#N/A</v>
        <stp/>
        <stp>BDH|10884259031595702161</stp>
        <tr r="X106" s="18"/>
        <tr r="V6" s="20"/>
      </tp>
      <tp t="e">
        <v>#N/A</v>
        <stp/>
        <stp>BDH|14553017813571355197</stp>
        <tr r="P22" s="27"/>
      </tp>
      <tp t="e">
        <v>#N/A</v>
        <stp/>
        <stp>BDH|12215036166537846623</stp>
        <tr r="D7" s="24"/>
      </tp>
      <tp t="e">
        <v>#N/A</v>
        <stp/>
        <stp>BDH|14617374992149673298</stp>
        <tr r="Z113" s="18"/>
        <tr r="Y14" s="20"/>
      </tp>
      <tp t="e">
        <v>#N/A</v>
        <stp/>
        <stp>BDH|14753397270900421562</stp>
        <tr r="P13" s="9"/>
      </tp>
      <tp t="e">
        <v>#N/A</v>
        <stp/>
        <stp>BDH|11861435724673464179</stp>
        <tr r="W60" s="24"/>
      </tp>
      <tp t="e">
        <v>#N/A</v>
        <stp/>
        <stp>BDH|12473720529910006237</stp>
        <tr r="K7" s="28"/>
      </tp>
      <tp t="e">
        <v>#N/A</v>
        <stp/>
        <stp>BDH|15649095290490240918</stp>
        <tr r="G56" s="13"/>
      </tp>
      <tp t="e">
        <v>#N/A</v>
        <stp/>
        <stp>BDH|11545402469031583751</stp>
        <tr r="Q58" s="21"/>
        <tr r="Q33" s="25"/>
        <tr r="O31" s="4"/>
        <tr r="O55" s="11"/>
      </tp>
      <tp t="e">
        <v>#N/A</v>
        <stp/>
        <stp>BDH|13535018038773823681</stp>
        <tr r="L43" s="24"/>
      </tp>
      <tp t="e">
        <v>#N/A</v>
        <stp/>
        <stp>BDH|13932364693609790576</stp>
        <tr r="L61" s="17"/>
      </tp>
      <tp t="e">
        <v>#N/A</v>
        <stp/>
        <stp>BDH|11993086017545808027</stp>
        <tr r="D26" s="26"/>
      </tp>
      <tp t="e">
        <v>#N/A</v>
        <stp/>
        <stp>BDH|13926507216385538768</stp>
        <tr r="U71" s="17"/>
      </tp>
      <tp t="e">
        <v>#N/A</v>
        <stp/>
        <stp>BDH|17691331468013930486</stp>
        <tr r="O13" s="22"/>
      </tp>
      <tp t="e">
        <v>#N/A</v>
        <stp/>
        <stp>BDH|15648588453122119201</stp>
        <tr r="I33" s="21"/>
      </tp>
      <tp t="e">
        <v>#N/A</v>
        <stp/>
        <stp>BDH|17349364242692380783</stp>
        <tr r="F51" s="17"/>
      </tp>
      <tp t="e">
        <v>#N/A</v>
        <stp/>
        <stp>BDH|15742504260043950029</stp>
        <tr r="G34" s="21"/>
      </tp>
      <tp t="e">
        <v>#N/A</v>
        <stp/>
        <stp>BDH|11986013435287218034</stp>
        <tr r="F48" s="18"/>
      </tp>
      <tp t="e">
        <v>#N/A</v>
        <stp/>
        <stp>BDH|13316473069015524143</stp>
        <tr r="K7" s="21"/>
      </tp>
      <tp t="e">
        <v>#N/A</v>
        <stp/>
        <stp>BDH|14364390738767968675</stp>
        <tr r="I61" s="11"/>
        <tr r="K19" s="23"/>
      </tp>
      <tp t="e">
        <v>#N/A</v>
        <stp/>
        <stp>BDH|10023693459213822543</stp>
        <tr r="V15" s="29"/>
        <tr r="V35" s="29"/>
      </tp>
      <tp t="e">
        <v>#N/A</v>
        <stp/>
        <stp>BDH|14996099938245244767</stp>
        <tr r="H79" s="12"/>
      </tp>
      <tp t="e">
        <v>#N/A</v>
        <stp/>
        <stp>BDH|16618797236205176243</stp>
        <tr r="P57" s="18"/>
      </tp>
      <tp t="e">
        <v>#N/A</v>
        <stp/>
        <stp>BDH|14869015868610913744</stp>
        <tr r="H37" s="12"/>
      </tp>
      <tp t="e">
        <v>#N/A</v>
        <stp/>
        <stp>BDH|15064182890591579911</stp>
        <tr r="X8" s="26"/>
        <tr r="U10" s="9"/>
      </tp>
      <tp t="e">
        <v>#N/A</v>
        <stp/>
        <stp>BDH|18351992616662913797</stp>
        <tr r="Q45" s="17"/>
        <tr r="Q9" s="25"/>
      </tp>
      <tp t="e">
        <v>#N/A</v>
        <stp/>
        <stp>BDH|11811170074562100062</stp>
        <tr r="R35" s="22"/>
      </tp>
      <tp t="e">
        <v>#N/A</v>
        <stp/>
        <stp>BDH|17471628303835033192</stp>
        <tr r="R10" s="2"/>
        <tr r="Q11" s="5"/>
        <tr r="Q36" s="6"/>
        <tr r="T31" s="29"/>
        <tr r="T39" s="29"/>
      </tp>
      <tp t="e">
        <v>#N/A</v>
        <stp/>
        <stp>BDH|10127196066593526176</stp>
        <tr r="N64" s="12"/>
      </tp>
      <tp t="e">
        <v>#N/A</v>
        <stp/>
        <stp>BDH|14984256027233179250</stp>
        <tr r="J28" s="17"/>
      </tp>
      <tp t="e">
        <v>#N/A</v>
        <stp/>
        <stp>BDH|10912425264883104416</stp>
        <tr r="V23" s="2"/>
        <tr r="X18" s="21"/>
        <tr r="X23" s="3"/>
      </tp>
      <tp t="e">
        <v>#N/A</v>
        <stp/>
        <stp>BDH|14378271558610333609</stp>
        <tr r="V12" s="3"/>
        <tr r="T54" s="10"/>
        <tr r="T48" s="11"/>
        <tr r="T7" s="7"/>
      </tp>
      <tp t="e">
        <v>#N/A</v>
        <stp/>
        <stp>BDH|17901165483743198821</stp>
        <tr r="Q50" s="18"/>
      </tp>
      <tp t="e">
        <v>#N/A</v>
        <stp/>
        <stp>BDH|12826436927000585166</stp>
        <tr r="D56" s="13"/>
      </tp>
      <tp t="e">
        <v>#N/A</v>
        <stp/>
        <stp>BDH|17348188074977782374</stp>
        <tr r="O57" s="12"/>
      </tp>
      <tp t="e">
        <v>#N/A</v>
        <stp/>
        <stp>BDH|15310508148188232963</stp>
        <tr r="L60" s="12"/>
      </tp>
      <tp t="e">
        <v>#N/A</v>
        <stp/>
        <stp>BDH|15548545531381924768</stp>
        <tr r="I7" s="34"/>
      </tp>
      <tp t="e">
        <v>#N/A</v>
        <stp/>
        <stp>BDH|17221625421644884266</stp>
        <tr r="AA37" s="18"/>
      </tp>
      <tp t="e">
        <v>#N/A</v>
        <stp/>
        <stp>BDH|15939165716866519630</stp>
        <tr r="C64" s="17"/>
      </tp>
      <tp t="e">
        <v>#N/A</v>
        <stp/>
        <stp>BDH|14216848299935077508</stp>
        <tr r="F74" s="12"/>
      </tp>
      <tp t="e">
        <v>#N/A</v>
        <stp/>
        <stp>BDH|16116991182405284773</stp>
        <tr r="U133" s="18"/>
      </tp>
      <tp t="e">
        <v>#N/A</v>
        <stp/>
        <stp>BDH|13005021437575324099</stp>
        <tr r="G8" s="24"/>
      </tp>
      <tp t="e">
        <v>#N/A</v>
        <stp/>
        <stp>BDH|15092505526017996008</stp>
        <tr r="I14" s="28"/>
      </tp>
      <tp t="e">
        <v>#N/A</v>
        <stp/>
        <stp>BDH|14062179500093070384</stp>
        <tr r="J101" s="18"/>
      </tp>
      <tp t="e">
        <v>#N/A</v>
        <stp/>
        <stp>BDH|18428139906968722493</stp>
        <tr r="V22" s="9"/>
      </tp>
      <tp t="e">
        <v>#N/A</v>
        <stp/>
        <stp>BDH|12297093404081319639</stp>
        <tr r="N11" s="21"/>
      </tp>
      <tp t="e">
        <v>#N/A</v>
        <stp/>
        <stp>BDH|17910989235570886834</stp>
        <tr r="Z11" s="12"/>
      </tp>
      <tp t="e">
        <v>#N/A</v>
        <stp/>
        <stp>BDH|17916551872863083310</stp>
        <tr r="K147" s="18"/>
      </tp>
      <tp t="e">
        <v>#N/A</v>
        <stp/>
        <stp>BDH|10467065469654533716</stp>
        <tr r="F93" s="18"/>
      </tp>
      <tp t="e">
        <v>#N/A</v>
        <stp/>
        <stp>BDH|14793636205947902076</stp>
        <tr r="O21" s="20"/>
      </tp>
      <tp t="e">
        <v>#N/A</v>
        <stp/>
        <stp>BDH|17720839598841566265</stp>
        <tr r="N52" s="10"/>
        <tr r="N46" s="11"/>
        <tr r="N16" s="7"/>
      </tp>
      <tp t="e">
        <v>#N/A</v>
        <stp/>
        <stp>BDH|14988472907844723110</stp>
        <tr r="M62" s="10"/>
      </tp>
      <tp t="e">
        <v>#N/A</v>
        <stp/>
        <stp>BDH|17967033117064346711</stp>
        <tr r="J24" s="26"/>
      </tp>
      <tp t="e">
        <v>#N/A</v>
        <stp/>
        <stp>BDH|10860151289515923920</stp>
        <tr r="U11" s="12"/>
      </tp>
      <tp t="e">
        <v>#N/A</v>
        <stp/>
        <stp>BDH|14730045850593532790</stp>
        <tr r="Y28" s="10"/>
        <tr r="AA33" s="13"/>
      </tp>
      <tp t="e">
        <v>#N/A</v>
        <stp/>
        <stp>BDH|11118355770535874531</stp>
        <tr r="S15" s="18"/>
      </tp>
      <tp t="e">
        <v>#N/A</v>
        <stp/>
        <stp>BDH|17001485093077001842</stp>
        <tr r="J20" s="29"/>
      </tp>
      <tp t="e">
        <v>#N/A</v>
        <stp/>
        <stp>BDH|11296613645400927609</stp>
        <tr r="T19" s="10"/>
      </tp>
      <tp t="e">
        <v>#N/A</v>
        <stp/>
        <stp>BDH|10325012826185863232</stp>
        <tr r="G17" s="29"/>
        <tr r="G37" s="29"/>
      </tp>
      <tp t="e">
        <v>#N/A</v>
        <stp/>
        <stp>BDH|11194442743041961508</stp>
        <tr r="F104" s="18"/>
      </tp>
      <tp t="e">
        <v>#N/A</v>
        <stp/>
        <stp>BDH|13700213858004708566</stp>
        <tr r="V18" s="12"/>
      </tp>
      <tp t="e">
        <v>#N/A</v>
        <stp/>
        <stp>BDH|18297505996971813030</stp>
        <tr r="L22" s="24"/>
      </tp>
      <tp t="e">
        <v>#N/A</v>
        <stp/>
        <stp>BDH|17932097576962045782</stp>
        <tr r="V8" s="23"/>
      </tp>
      <tp t="e">
        <v>#N/A</v>
        <stp/>
        <stp>BDH|15640107535210536289</stp>
        <tr r="J30" s="29"/>
        <tr r="J8" s="29"/>
      </tp>
      <tp t="e">
        <v>#N/A</v>
        <stp/>
        <stp>BDH|14545522443967254780</stp>
        <tr r="W35" s="10"/>
        <tr r="W47" s="10"/>
        <tr r="W29" s="11"/>
        <tr r="W41" s="11"/>
      </tp>
      <tp t="e">
        <v>#N/A</v>
        <stp/>
        <stp>BDH|12051989786330226624</stp>
        <tr r="T8" s="18"/>
      </tp>
      <tp t="e">
        <v>#N/A</v>
        <stp/>
        <stp>BDH|16989804688301601297</stp>
        <tr r="K9" s="26"/>
      </tp>
      <tp t="e">
        <v>#N/A</v>
        <stp/>
        <stp>BDH|15144180561882132577</stp>
        <tr r="R14" s="11"/>
      </tp>
      <tp t="e">
        <v>#N/A</v>
        <stp/>
        <stp>BDH|11704085882829404575</stp>
        <tr r="C16" s="29"/>
        <tr r="C36" s="29"/>
      </tp>
      <tp t="e">
        <v>#N/A</v>
        <stp/>
        <stp>BDH|15514534133852333486</stp>
        <tr r="X22" s="4"/>
      </tp>
      <tp t="e">
        <v>#N/A</v>
        <stp/>
        <stp>BDH|14185194946205560157</stp>
        <tr r="F33" s="34"/>
      </tp>
      <tp t="e">
        <v>#N/A</v>
        <stp/>
        <stp>BDH|17909413622210585416</stp>
        <tr r="M30" s="18"/>
      </tp>
      <tp t="e">
        <v>#N/A</v>
        <stp/>
        <stp>BDH|10987038301386054358</stp>
        <tr r="C7" s="28"/>
      </tp>
      <tp t="e">
        <v>#N/A</v>
        <stp/>
        <stp>BDH|13754301022713369488</stp>
        <tr r="N109" s="18"/>
        <tr r="L9" s="20"/>
      </tp>
      <tp t="e">
        <v>#N/A</v>
        <stp/>
        <stp>BDH|17208533645236255589</stp>
        <tr r="U21" s="20"/>
      </tp>
      <tp t="e">
        <v>#N/A</v>
        <stp/>
        <stp>BDH|15363714712131897767</stp>
        <tr r="N93" s="18"/>
      </tp>
      <tp t="e">
        <v>#N/A</v>
        <stp/>
        <stp>BDH|11794599475657222178</stp>
        <tr r="AA30" s="26"/>
      </tp>
      <tp t="e">
        <v>#N/A</v>
        <stp/>
        <stp>BDH|14300318500070893242</stp>
        <tr r="X71" s="17"/>
      </tp>
      <tp t="e">
        <v>#N/A</v>
        <stp/>
        <stp>BDH|12905160595229372676</stp>
        <tr r="M38" s="24"/>
      </tp>
      <tp t="e">
        <v>#N/A</v>
        <stp/>
        <stp>BDH|16359859188127273428</stp>
        <tr r="N73" s="10"/>
        <tr r="N67" s="11"/>
      </tp>
      <tp t="e">
        <v>#N/A</v>
        <stp/>
        <stp>BDH|13101712809802211359</stp>
        <tr r="K167" s="18"/>
      </tp>
      <tp t="e">
        <v>#N/A</v>
        <stp/>
        <stp>BDH|12014010708155738202</stp>
        <tr r="D19" s="26"/>
      </tp>
      <tp t="e">
        <v>#N/A</v>
        <stp/>
        <stp>BDH|12891136450917466411</stp>
        <tr r="M89" s="18"/>
      </tp>
      <tp t="e">
        <v>#N/A</v>
        <stp/>
        <stp>BDH|15707557785598965503</stp>
        <tr r="D23" s="25"/>
        <tr r="D13" s="27"/>
      </tp>
      <tp t="e">
        <v>#N/A</v>
        <stp/>
        <stp>BDH|16688663928231061668</stp>
        <tr r="X65" s="21"/>
        <tr r="V23" s="7"/>
      </tp>
      <tp t="e">
        <v>#N/A</v>
        <stp/>
        <stp>BDH|15508149283618895140</stp>
        <tr r="X10" s="18"/>
      </tp>
      <tp t="e">
        <v>#N/A</v>
        <stp/>
        <stp>BDH|14588282897878022246</stp>
        <tr r="U25" s="6"/>
      </tp>
      <tp t="e">
        <v>#N/A</v>
        <stp/>
        <stp>BDH|12073141969131679155</stp>
        <tr r="F32" s="17"/>
      </tp>
      <tp t="e">
        <v>#N/A</v>
        <stp/>
        <stp>BDH|15270456538652720560</stp>
        <tr r="V77" s="12"/>
      </tp>
      <tp t="e">
        <v>#N/A</v>
        <stp/>
        <stp>BDH|15206057090418058192</stp>
        <tr r="Z21" s="3"/>
      </tp>
      <tp t="e">
        <v>#N/A</v>
        <stp/>
        <stp>BDH|17762598624551664429</stp>
        <tr r="E27" s="6"/>
      </tp>
      <tp t="e">
        <v>#N/A</v>
        <stp/>
        <stp>BDH|10171270006385849264</stp>
        <tr r="L61" s="18"/>
      </tp>
      <tp t="e">
        <v>#N/A</v>
        <stp/>
        <stp>BDH|17161064391152954912</stp>
        <tr r="J72" s="24"/>
      </tp>
      <tp t="e">
        <v>#N/A</v>
        <stp/>
        <stp>BDH|18406680041138407775</stp>
        <tr r="AA142" s="18"/>
      </tp>
    </main>
    <main first="bofaddin.rtdserver">
      <tp t="e">
        <v>#N/A</v>
        <stp/>
        <stp>BDH|4312549052171995</stp>
        <tr r="M9" s="29"/>
      </tp>
      <tp t="e">
        <v>#N/A</v>
        <stp/>
        <stp>BDH|4884804167341362</stp>
        <tr r="H159" s="18"/>
      </tp>
      <tp t="e">
        <v>#N/A</v>
        <stp/>
        <stp>BDH|4451984904173816</stp>
        <tr r="G42" s="4"/>
      </tp>
      <tp t="e">
        <v>#N/A</v>
        <stp/>
        <stp>BDH|9392127375724436</stp>
        <tr r="G13" s="17"/>
        <tr r="G16" s="28"/>
      </tp>
      <tp t="e">
        <v>#N/A</v>
        <stp/>
        <stp>BDH|8788088040442708225</stp>
        <tr r="S8" s="12"/>
      </tp>
      <tp t="e">
        <v>#N/A</v>
        <stp/>
        <stp>BDH|6556897822482400207</stp>
        <tr r="C12" s="3"/>
      </tp>
      <tp t="e">
        <v>#N/A</v>
        <stp/>
        <stp>BDH|5457585357950201938</stp>
        <tr r="AA75" s="17"/>
      </tp>
      <tp t="e">
        <v>#N/A</v>
        <stp/>
        <stp>BDH|2283199092333571564</stp>
        <tr r="AA11" s="3"/>
        <tr r="Y49" s="10"/>
        <tr r="Y43" s="11"/>
        <tr r="Y8" s="7"/>
      </tp>
      <tp t="e">
        <v>#N/A</v>
        <stp/>
        <stp>BDH|3654456133970933838</stp>
        <tr r="D22" s="12"/>
      </tp>
      <tp t="e">
        <v>#N/A</v>
        <stp/>
        <stp>BDH|7334325038793060836</stp>
        <tr r="V73" s="18"/>
      </tp>
      <tp t="e">
        <v>#N/A</v>
        <stp/>
        <stp>BDH|3316964103201963751</stp>
        <tr r="R9" s="23"/>
      </tp>
      <tp t="e">
        <v>#N/A</v>
        <stp/>
        <stp>BDH|6797339059829219559</stp>
        <tr r="P18" s="10"/>
        <tr r="R16" s="13"/>
        <tr r="R27" s="13"/>
      </tp>
      <tp t="e">
        <v>#N/A</v>
        <stp/>
        <stp>BDH|4409426938468102751</stp>
        <tr r="S21" s="2"/>
      </tp>
      <tp t="e">
        <v>#N/A</v>
        <stp/>
        <stp>BDH|7316394081209453951</stp>
        <tr r="C50" s="4"/>
      </tp>
      <tp t="e">
        <v>#N/A</v>
        <stp/>
        <stp>BDH|4453429209988373461</stp>
        <tr r="AA90" s="18"/>
      </tp>
      <tp t="e">
        <v>#N/A</v>
        <stp/>
        <stp>BDH|6746223158108543527</stp>
        <tr r="D18" s="2"/>
        <tr r="D53" s="4"/>
        <tr r="D45" s="10"/>
        <tr r="D39" s="11"/>
        <tr r="F46" s="13"/>
      </tp>
      <tp t="e">
        <v>#N/A</v>
        <stp/>
        <stp>BDH|8845188410855970136</stp>
        <tr r="AA67" s="12"/>
      </tp>
      <tp t="e">
        <v>#N/A</v>
        <stp/>
        <stp>BDH|6083446606298102699</stp>
        <tr r="C49" s="12"/>
      </tp>
      <tp t="e">
        <v>#N/A</v>
        <stp/>
        <stp>BDH|5213012820759810211</stp>
        <tr r="P9" s="34"/>
      </tp>
      <tp t="e">
        <v>#N/A</v>
        <stp/>
        <stp>BDH|9605742833402975325</stp>
        <tr r="W6" s="28"/>
      </tp>
      <tp t="e">
        <v>#N/A</v>
        <stp/>
        <stp>BDH|7739818969644420118</stp>
        <tr r="W23" s="23"/>
      </tp>
      <tp t="e">
        <v>#N/A</v>
        <stp/>
        <stp>BDH|4542260629921220928</stp>
        <tr r="I18" s="2"/>
        <tr r="I53" s="4"/>
        <tr r="I45" s="10"/>
        <tr r="I39" s="11"/>
        <tr r="K46" s="13"/>
      </tp>
      <tp t="e">
        <v>#N/A</v>
        <stp/>
        <stp>BDH|2021511644488948764</stp>
        <tr r="L11" s="13"/>
      </tp>
      <tp t="e">
        <v>#N/A</v>
        <stp/>
        <stp>BDH|9109219162227981614</stp>
        <tr r="D45" s="12"/>
      </tp>
      <tp t="e">
        <v>#N/A</v>
        <stp/>
        <stp>BDH|4583494973128733328</stp>
        <tr r="H21" s="3"/>
      </tp>
      <tp t="e">
        <v>#N/A</v>
        <stp/>
        <stp>BDH|2982012574108224140</stp>
        <tr r="H28" s="26"/>
      </tp>
      <tp t="e">
        <v>#N/A</v>
        <stp/>
        <stp>BDH|2303855664718827808</stp>
        <tr r="U22" s="11"/>
      </tp>
      <tp t="e">
        <v>#N/A</v>
        <stp/>
        <stp>BDH|6828153612972303860</stp>
        <tr r="U33" s="22"/>
      </tp>
      <tp t="e">
        <v>#N/A</v>
        <stp/>
        <stp>BDH|1693986357238576961</stp>
        <tr r="Z132" s="18"/>
      </tp>
      <tp t="e">
        <v>#N/A</v>
        <stp/>
        <stp>BDH|5725717761441996943</stp>
        <tr r="N51" s="13"/>
      </tp>
      <tp t="e">
        <v>#N/A</v>
        <stp/>
        <stp>BDH|2079022998333842489</stp>
        <tr r="L64" s="18"/>
      </tp>
      <tp t="e">
        <v>#N/A</v>
        <stp/>
        <stp>BDH|5562781688012854479</stp>
        <tr r="U28" s="24"/>
      </tp>
      <tp t="e">
        <v>#N/A</v>
        <stp/>
        <stp>BDH|7148882287323277869</stp>
        <tr r="AA24" s="29"/>
      </tp>
      <tp t="e">
        <v>#N/A</v>
        <stp/>
        <stp>BDH|1684674564454760984</stp>
        <tr r="X21" s="20"/>
      </tp>
      <tp t="e">
        <v>#N/A</v>
        <stp/>
        <stp>BDH|3476419319702304853</stp>
        <tr r="I41" s="34"/>
      </tp>
      <tp t="e">
        <v>#N/A</v>
        <stp/>
        <stp>BDH|8475638261375441182</stp>
        <tr r="I13" s="22"/>
      </tp>
      <tp t="e">
        <v>#N/A</v>
        <stp/>
        <stp>BDH|9225480066152588531</stp>
        <tr r="T67" s="24"/>
      </tp>
      <tp t="e">
        <v>#N/A</v>
        <stp/>
        <stp>BDH|1245382791684690373</stp>
        <tr r="W53" s="18"/>
      </tp>
      <tp t="e">
        <v>#N/A</v>
        <stp/>
        <stp>BDH|2366195886556681104</stp>
        <tr r="Z74" s="12"/>
      </tp>
      <tp t="e">
        <v>#N/A</v>
        <stp/>
        <stp>BDH|1764931817797850218</stp>
        <tr r="X31" s="17"/>
      </tp>
      <tp t="e">
        <v>#N/A</v>
        <stp/>
        <stp>BDH|6698356218139418152</stp>
        <tr r="U7" s="14"/>
      </tp>
      <tp t="e">
        <v>#N/A</v>
        <stp/>
        <stp>BDH|1470012592501547589</stp>
        <tr r="J38" s="4"/>
        <tr r="J59" s="11"/>
        <tr r="L13" s="23"/>
      </tp>
      <tp t="e">
        <v>#N/A</v>
        <stp/>
        <stp>BDH|2867782121032280990</stp>
        <tr r="V39" s="4"/>
        <tr r="V65" s="10"/>
      </tp>
      <tp t="e">
        <v>#N/A</v>
        <stp/>
        <stp>BDH|3151903167020425088</stp>
        <tr r="T31" s="12"/>
      </tp>
      <tp t="e">
        <v>#N/A</v>
        <stp/>
        <stp>BDH|6846922366745275048</stp>
        <tr r="S25" s="18"/>
      </tp>
      <tp t="e">
        <v>#N/A</v>
        <stp/>
        <stp>BDH|9172701332808825912</stp>
        <tr r="O28" s="24"/>
      </tp>
      <tp t="e">
        <v>#N/A</v>
        <stp/>
        <stp>BDH|2567340373533923900</stp>
        <tr r="R24" s="24"/>
      </tp>
      <tp t="e">
        <v>#N/A</v>
        <stp/>
        <stp>BDH|8166206175435662493</stp>
        <tr r="Z149" s="18"/>
      </tp>
      <tp t="e">
        <v>#N/A</v>
        <stp/>
        <stp>BDH|8428293541150059274</stp>
        <tr r="V63" s="12"/>
      </tp>
      <tp t="e">
        <v>#N/A</v>
        <stp/>
        <stp>BDH|5212210199401057313</stp>
        <tr r="E36" s="12"/>
      </tp>
      <tp t="e">
        <v>#N/A</v>
        <stp/>
        <stp>BDH|6943313238323330984</stp>
        <tr r="Q12" s="30"/>
      </tp>
      <tp t="e">
        <v>#N/A</v>
        <stp/>
        <stp>BDH|5950963214158779973</stp>
        <tr r="P15" s="5"/>
      </tp>
      <tp t="e">
        <v>#N/A</v>
        <stp/>
        <stp>BDH|4791469859611410874</stp>
        <tr r="AA26" s="29"/>
      </tp>
      <tp t="e">
        <v>#N/A</v>
        <stp/>
        <stp>BDH|5701211449007157851</stp>
        <tr r="R61" s="24"/>
      </tp>
      <tp t="e">
        <v>#N/A</v>
        <stp/>
        <stp>BDH|4557334996465298798</stp>
        <tr r="D61" s="18"/>
      </tp>
      <tp t="e">
        <v>#N/A</v>
        <stp/>
        <stp>BDH|8793247858700884385</stp>
        <tr r="H66" s="24"/>
      </tp>
      <tp t="e">
        <v>#N/A</v>
        <stp/>
        <stp>BDH|1323289277471288950</stp>
        <tr r="L10" s="22"/>
      </tp>
      <tp t="e">
        <v>#N/A</v>
        <stp/>
        <stp>BDH|4910965066316007121</stp>
        <tr r="K15" s="29"/>
        <tr r="K35" s="29"/>
      </tp>
      <tp t="e">
        <v>#N/A</v>
        <stp/>
        <stp>BDH|7120314679298148739</stp>
        <tr r="Y9" s="2"/>
        <tr r="AA8" s="25"/>
        <tr r="X10" s="5"/>
      </tp>
      <tp t="e">
        <v>#N/A</v>
        <stp/>
        <stp>BDH|8997175571655670724</stp>
        <tr r="X10" s="17"/>
      </tp>
      <tp t="e">
        <v>#N/A</v>
        <stp/>
        <stp>BDH|6833674611319448419</stp>
        <tr r="K24" s="17"/>
      </tp>
      <tp t="e">
        <v>#N/A</v>
        <stp/>
        <stp>BDH|2310051093972863567</stp>
        <tr r="S59" s="17"/>
      </tp>
      <tp t="e">
        <v>#N/A</v>
        <stp/>
        <stp>BDH|3576137397270915738</stp>
        <tr r="AA70" s="18"/>
      </tp>
      <tp t="e">
        <v>#N/A</v>
        <stp/>
        <stp>BDH|1791665807388953341</stp>
        <tr r="F25" s="12"/>
      </tp>
      <tp t="e">
        <v>#N/A</v>
        <stp/>
        <stp>BDH|7700684496704688040</stp>
        <tr r="R58" s="17"/>
      </tp>
      <tp t="e">
        <v>#N/A</v>
        <stp/>
        <stp>BDH|7647248698599672975</stp>
        <tr r="W10" s="10"/>
      </tp>
      <tp t="e">
        <v>#N/A</v>
        <stp/>
        <stp>BDH|2891696452124147997</stp>
        <tr r="Y22" s="21"/>
      </tp>
      <tp t="e">
        <v>#N/A</v>
        <stp/>
        <stp>BDH|7030359035143324884</stp>
        <tr r="U19" s="24"/>
      </tp>
      <tp t="e">
        <v>#N/A</v>
        <stp/>
        <stp>BDH|4679258308333540954</stp>
        <tr r="I22" s="10"/>
      </tp>
      <tp t="e">
        <v>#N/A</v>
        <stp/>
        <stp>BDH|4162009992472856302</stp>
        <tr r="W17" s="23"/>
      </tp>
      <tp t="e">
        <v>#N/A</v>
        <stp/>
        <stp>BDH|7692999474025888086</stp>
        <tr r="N48" s="17"/>
      </tp>
      <tp t="e">
        <v>#N/A</v>
        <stp/>
        <stp>BDH|1427343919047375818</stp>
        <tr r="V50" s="13"/>
      </tp>
      <tp t="e">
        <v>#N/A</v>
        <stp/>
        <stp>BDH|2361267959811126865</stp>
        <tr r="F13" s="17"/>
        <tr r="F16" s="28"/>
      </tp>
      <tp t="e">
        <v>#N/A</v>
        <stp/>
        <stp>BDH|1403007760538530390</stp>
        <tr r="J18" s="23"/>
      </tp>
      <tp t="e">
        <v>#N/A</v>
        <stp/>
        <stp>BDH|1350054583383852656</stp>
        <tr r="J40" s="17"/>
      </tp>
      <tp t="e">
        <v>#N/A</v>
        <stp/>
        <stp>BDH|8063508808507727679</stp>
        <tr r="Z14" s="28"/>
      </tp>
      <tp t="e">
        <v>#N/A</v>
        <stp/>
        <stp>BDH|6323689531829744654</stp>
        <tr r="U27" s="22"/>
      </tp>
      <tp t="e">
        <v>#N/A</v>
        <stp/>
        <stp>BDH|6977154325509336026</stp>
        <tr r="L17" s="6"/>
      </tp>
      <tp t="e">
        <v>#N/A</v>
        <stp/>
        <stp>BDH|7724321709129324172</stp>
        <tr r="W28" s="12"/>
      </tp>
      <tp t="e">
        <v>#N/A</v>
        <stp/>
        <stp>BDH|8747234684038837606</stp>
        <tr r="J15" s="29"/>
        <tr r="J35" s="29"/>
      </tp>
      <tp t="e">
        <v>#N/A</v>
        <stp/>
        <stp>BDH|7453482381270371767</stp>
        <tr r="AA49" s="17"/>
      </tp>
      <tp t="e">
        <v>#N/A</v>
        <stp/>
        <stp>BDH|6137049991602519198</stp>
        <tr r="W14" s="23"/>
      </tp>
      <tp t="e">
        <v>#N/A</v>
        <stp/>
        <stp>BDH|3945901515686727134</stp>
        <tr r="N89" s="18"/>
      </tp>
      <tp t="e">
        <v>#N/A</v>
        <stp/>
        <stp>BDH|9676145660681942335</stp>
        <tr r="P37" s="24"/>
      </tp>
      <tp t="e">
        <v>#N/A</v>
        <stp/>
        <stp>BDH|3889051662261698816</stp>
        <tr r="Z60" s="17"/>
      </tp>
      <tp t="e">
        <v>#N/A</v>
        <stp/>
        <stp>BDH|9882565445840263417</stp>
        <tr r="O26" s="18"/>
      </tp>
      <tp t="e">
        <v>#N/A</v>
        <stp/>
        <stp>BDH|1268648476045187992</stp>
        <tr r="N43" s="4"/>
      </tp>
      <tp t="e">
        <v>#N/A</v>
        <stp/>
        <stp>BDH|9134607940185912203</stp>
        <tr r="W77" s="12"/>
      </tp>
      <tp t="e">
        <v>#N/A</v>
        <stp/>
        <stp>BDH|7063410398560268632</stp>
        <tr r="U13" s="12"/>
      </tp>
      <tp t="e">
        <v>#N/A</v>
        <stp/>
        <stp>BDH|2518737158379265544</stp>
        <tr r="P45" s="24"/>
      </tp>
      <tp t="e">
        <v>#N/A</v>
        <stp/>
        <stp>BDH|2890936144722779109</stp>
        <tr r="M104" s="18"/>
      </tp>
      <tp t="e">
        <v>#N/A</v>
        <stp/>
        <stp>BDH|8470124896009143591</stp>
        <tr r="V102" s="18"/>
      </tp>
      <tp t="e">
        <v>#N/A</v>
        <stp/>
        <stp>BDH|4438946258966104215</stp>
        <tr r="C58" s="24"/>
      </tp>
      <tp t="e">
        <v>#N/A</v>
        <stp/>
        <stp>BDH|4867440484541126519</stp>
        <tr r="M55" s="18"/>
      </tp>
      <tp t="e">
        <v>#N/A</v>
        <stp/>
        <stp>BDH|1737742157469862648</stp>
        <tr r="M14" s="11"/>
      </tp>
      <tp t="e">
        <v>#N/A</v>
        <stp/>
        <stp>BDH|2346502288905477672</stp>
        <tr r="S134" s="18"/>
      </tp>
      <tp t="e">
        <v>#N/A</v>
        <stp/>
        <stp>BDH|6595455718359030600</stp>
        <tr r="AA12" s="12"/>
      </tp>
      <tp t="e">
        <v>#N/A</v>
        <stp/>
        <stp>BDH|7088175295082233182</stp>
        <tr r="R24" s="26"/>
      </tp>
      <tp t="e">
        <v>#N/A</v>
        <stp/>
        <stp>BDH|3987686614111405990</stp>
        <tr r="J21" s="10"/>
      </tp>
      <tp t="e">
        <v>#N/A</v>
        <stp/>
        <stp>BDH|2842880621462175688</stp>
        <tr r="K11" s="28"/>
      </tp>
      <tp t="e">
        <v>#N/A</v>
        <stp/>
        <stp>BDH|2632186120848124570</stp>
        <tr r="AA60" s="17"/>
      </tp>
      <tp t="e">
        <v>#N/A</v>
        <stp/>
        <stp>BDH|5327189080292752243</stp>
        <tr r="K31" s="22"/>
      </tp>
      <tp t="e">
        <v>#N/A</v>
        <stp/>
        <stp>BDH|1637121348538599011</stp>
        <tr r="W23" s="17"/>
        <tr r="W15" s="3"/>
      </tp>
      <tp t="e">
        <v>#N/A</v>
        <stp/>
        <stp>BDH|3579680092550656018</stp>
        <tr r="AA54" s="24"/>
      </tp>
      <tp t="e">
        <v>#N/A</v>
        <stp/>
        <stp>BDH|8205418309371547171</stp>
        <tr r="V51" s="17"/>
      </tp>
      <tp t="e">
        <v>#N/A</v>
        <stp/>
        <stp>BDH|1562375560980372893</stp>
        <tr r="U50" s="13"/>
      </tp>
      <tp t="e">
        <v>#N/A</v>
        <stp/>
        <stp>BDH|7016017794873873148</stp>
        <tr r="W40" s="22"/>
      </tp>
      <tp t="e">
        <v>#N/A</v>
        <stp/>
        <stp>BDH|3962726050245631840</stp>
        <tr r="S26" s="6"/>
      </tp>
      <tp t="e">
        <v>#N/A</v>
        <stp/>
        <stp>BDH|7483835648843719415</stp>
        <tr r="O18" s="14"/>
      </tp>
      <tp t="e">
        <v>#N/A</v>
        <stp/>
        <stp>BDH|1227286855449462327</stp>
        <tr r="Y48" s="12"/>
      </tp>
      <tp t="e">
        <v>#N/A</v>
        <stp/>
        <stp>BDH|3500375286696810253</stp>
        <tr r="V18" s="9"/>
      </tp>
      <tp t="e">
        <v>#N/A</v>
        <stp/>
        <stp>BDH|4144549227018853738</stp>
        <tr r="R37" s="18"/>
      </tp>
      <tp t="e">
        <v>#N/A</v>
        <stp/>
        <stp>BDH|8531687772123660603</stp>
        <tr r="S22" s="27"/>
      </tp>
      <tp t="e">
        <v>#N/A</v>
        <stp/>
        <stp>BDH|8274211264441818163</stp>
        <tr r="Y8" s="4"/>
      </tp>
      <tp t="e">
        <v>#N/A</v>
        <stp/>
        <stp>BDH|5923233456367617930</stp>
        <tr r="C41" s="17"/>
      </tp>
      <tp t="e">
        <v>#N/A</v>
        <stp/>
        <stp>BDH|7639989884349621359</stp>
        <tr r="V65" s="21"/>
        <tr r="T23" s="7"/>
      </tp>
      <tp t="e">
        <v>#N/A</v>
        <stp/>
        <stp>BDH|9097173032707489087</stp>
        <tr r="P111" s="18"/>
        <tr r="N12" s="20"/>
      </tp>
      <tp t="e">
        <v>#N/A</v>
        <stp/>
        <stp>BDH|7949140937579767042</stp>
        <tr r="M49" s="4"/>
      </tp>
      <tp t="e">
        <v>#N/A</v>
        <stp/>
        <stp>BDH|6673072290162926113</stp>
        <tr r="L81" s="17"/>
        <tr r="I9" s="5"/>
        <tr r="I9" s="9"/>
      </tp>
      <tp t="e">
        <v>#N/A</v>
        <stp/>
        <stp>BDH|6138948277394880035</stp>
        <tr r="P30" s="18"/>
      </tp>
      <tp t="e">
        <v>#N/A</v>
        <stp/>
        <stp>BDH|6261155814578852226</stp>
        <tr r="K45" s="12"/>
      </tp>
      <tp t="e">
        <v>#N/A</v>
        <stp/>
        <stp>BDH|8731107741072749385</stp>
        <tr r="W11" s="12"/>
      </tp>
      <tp t="e">
        <v>#N/A</v>
        <stp/>
        <stp>BDH|8274296545094332647</stp>
        <tr r="E37" s="22"/>
      </tp>
      <tp t="e">
        <v>#N/A</v>
        <stp/>
        <stp>BDH|6198606293090232598</stp>
        <tr r="M34" s="22"/>
      </tp>
      <tp t="e">
        <v>#N/A</v>
        <stp/>
        <stp>BDH|9539724303026516482</stp>
        <tr r="T80" s="18"/>
      </tp>
      <tp t="e">
        <v>#N/A</v>
        <stp/>
        <stp>BDH|8044600052897328089</stp>
        <tr r="AA112" s="18"/>
        <tr r="Z13" s="20"/>
      </tp>
      <tp t="e">
        <v>#N/A</v>
        <stp/>
        <stp>BDH|8937297200106937001</stp>
        <tr r="T26" s="12"/>
      </tp>
      <tp t="e">
        <v>#N/A</v>
        <stp/>
        <stp>BDH|3105767924089355394</stp>
        <tr r="W22" s="5"/>
      </tp>
      <tp t="e">
        <v>#N/A</v>
        <stp/>
        <stp>BDH|3915124732925905895</stp>
        <tr r="AA10" s="28"/>
      </tp>
      <tp t="e">
        <v>#N/A</v>
        <stp/>
        <stp>BDH|2546484664814237822</stp>
        <tr r="Q121" s="18"/>
      </tp>
      <tp t="e">
        <v>#N/A</v>
        <stp/>
        <stp>BDH|5883126470166302906</stp>
        <tr r="N76" s="17"/>
      </tp>
      <tp t="e">
        <v>#N/A</v>
        <stp/>
        <stp>BDH|5121276561294869968</stp>
        <tr r="M26" s="13"/>
      </tp>
      <tp t="e">
        <v>#N/A</v>
        <stp/>
        <stp>BDH|2285430284134578696</stp>
        <tr r="L19" s="10"/>
      </tp>
      <tp t="e">
        <v>#N/A</v>
        <stp/>
        <stp>BDH|1852635086340429309</stp>
        <tr r="U7" s="21"/>
      </tp>
      <tp t="e">
        <v>#N/A</v>
        <stp/>
        <stp>BDH|3212167677999864021</stp>
        <tr r="I45" s="13"/>
      </tp>
      <tp t="e">
        <v>#N/A</v>
        <stp/>
        <stp>BDH|3759238910724862857</stp>
        <tr r="F50" s="12"/>
      </tp>
      <tp t="e">
        <v>#N/A</v>
        <stp/>
        <stp>BDH|6140318492339874933</stp>
        <tr r="V25" s="3"/>
      </tp>
      <tp t="e">
        <v>#N/A</v>
        <stp/>
        <stp>BDH|1941916061147800589</stp>
        <tr r="D46" s="17"/>
      </tp>
      <tp t="e">
        <v>#N/A</v>
        <stp/>
        <stp>BDH|7675830854011144799</stp>
        <tr r="E75" s="12"/>
      </tp>
      <tp t="e">
        <v>#N/A</v>
        <stp/>
        <stp>BDH|6666880234862675354</stp>
        <tr r="J15" s="4"/>
      </tp>
      <tp t="e">
        <v>#N/A</v>
        <stp/>
        <stp>BDH|9456341088948342624</stp>
        <tr r="R11" s="28"/>
      </tp>
      <tp t="e">
        <v>#N/A</v>
        <stp/>
        <stp>BDH|8294590502482818381</stp>
        <tr r="S36" s="21"/>
      </tp>
      <tp t="e">
        <v>#N/A</v>
        <stp/>
        <stp>BDH|1279384862321241939</stp>
        <tr r="O19" s="10"/>
      </tp>
      <tp t="e">
        <v>#N/A</v>
        <stp/>
        <stp>BDH|5306590712804620975</stp>
        <tr r="V35" s="4"/>
      </tp>
      <tp t="e">
        <v>#N/A</v>
        <stp/>
        <stp>BDH|3894994955304971746</stp>
        <tr r="L47" s="17"/>
      </tp>
      <tp t="e">
        <v>#N/A</v>
        <stp/>
        <stp>BDH|8596277680909318789</stp>
        <tr r="X16" s="30"/>
      </tp>
      <tp t="e">
        <v>#N/A</v>
        <stp/>
        <stp>BDH|4080789241269753278</stp>
        <tr r="P9" s="13"/>
      </tp>
      <tp t="e">
        <v>#N/A</v>
        <stp/>
        <stp>BDH|5228741879019457057</stp>
        <tr r="O43" s="21"/>
      </tp>
      <tp t="e">
        <v>#N/A</v>
        <stp/>
        <stp>BDH|8556964697867290381</stp>
        <tr r="J73" s="10"/>
        <tr r="J67" s="11"/>
      </tp>
      <tp t="e">
        <v>#N/A</v>
        <stp/>
        <stp>BDH|5442891600759701842</stp>
        <tr r="P6" s="28"/>
      </tp>
      <tp t="e">
        <v>#N/A</v>
        <stp/>
        <stp>BDH|5418148817769052099</stp>
        <tr r="AA117" s="18"/>
      </tp>
      <tp t="e">
        <v>#N/A</v>
        <stp/>
        <stp>BDH|2822660901499307123</stp>
        <tr r="J69" s="18"/>
      </tp>
      <tp t="e">
        <v>#N/A</v>
        <stp/>
        <stp>BDH|6641818478127893290</stp>
        <tr r="G118" s="18"/>
      </tp>
      <tp t="e">
        <v>#N/A</v>
        <stp/>
        <stp>BDH|2276405723750714880</stp>
        <tr r="K66" s="12"/>
      </tp>
      <tp t="e">
        <v>#N/A</v>
        <stp/>
        <stp>BDH|3697810789318170719</stp>
        <tr r="Z60" s="24"/>
      </tp>
      <tp t="e">
        <v>#N/A</v>
        <stp/>
        <stp>BDH|3930442242066609975</stp>
        <tr r="O98" s="17"/>
        <tr r="O13" s="28"/>
      </tp>
      <tp t="e">
        <v>#N/A</v>
        <stp/>
        <stp>BDH|2840627482657204742</stp>
        <tr r="S36" s="4"/>
      </tp>
      <tp t="e">
        <v>#N/A</v>
        <stp/>
        <stp>BDH|8262147407556755386</stp>
        <tr r="O88" s="17"/>
      </tp>
      <tp t="e">
        <v>#N/A</v>
        <stp/>
        <stp>BDH|9626715018352775164</stp>
        <tr r="N128" s="18"/>
      </tp>
      <tp t="e">
        <v>#N/A</v>
        <stp/>
        <stp>BDH|9965279034310394472</stp>
        <tr r="V51" s="10"/>
        <tr r="V45" s="11"/>
        <tr r="V15" s="7"/>
      </tp>
      <tp t="e">
        <v>#N/A</v>
        <stp/>
        <stp>BDH|9814336003112397458</stp>
        <tr r="Q57" s="11"/>
      </tp>
      <tp t="e">
        <v>#N/A</v>
        <stp/>
        <stp>BDH|9866438735626186416</stp>
        <tr r="K6" s="2"/>
        <tr r="J6" s="5"/>
        <tr r="J6" s="9"/>
        <tr r="L12" s="8"/>
        <tr r="M10" s="29"/>
        <tr r="M19" s="29"/>
        <tr r="M25" s="29"/>
      </tp>
      <tp t="e">
        <v>#N/A</v>
        <stp/>
        <stp>BDH|2594195381646444178</stp>
        <tr r="K20" s="23"/>
      </tp>
      <tp t="e">
        <v>#N/A</v>
        <stp/>
        <stp>BDH|4823341269985874834</stp>
        <tr r="Z105" s="18"/>
      </tp>
      <tp t="e">
        <v>#N/A</v>
        <stp/>
        <stp>BDH|2120981407270109718</stp>
        <tr r="M46" s="17"/>
      </tp>
      <tp t="e">
        <v>#N/A</v>
        <stp/>
        <stp>BDH|2400338368898689370</stp>
        <tr r="G9" s="24"/>
      </tp>
      <tp t="e">
        <v>#N/A</v>
        <stp/>
        <stp>BDH|6498398545809522433</stp>
        <tr r="H69" s="17"/>
      </tp>
      <tp t="e">
        <v>#N/A</v>
        <stp/>
        <stp>BDH|5945882147950857501</stp>
        <tr r="S18" s="2"/>
        <tr r="S53" s="4"/>
        <tr r="S45" s="10"/>
        <tr r="S39" s="11"/>
        <tr r="U46" s="13"/>
      </tp>
      <tp t="e">
        <v>#N/A</v>
        <stp/>
        <stp>BDH|9917129516274609151</stp>
        <tr r="C70" s="17"/>
      </tp>
      <tp t="e">
        <v>#N/A</v>
        <stp/>
        <stp>BDH|3695491981522326134</stp>
        <tr r="J15" s="13"/>
      </tp>
      <tp t="e">
        <v>#N/A</v>
        <stp/>
        <stp>BDH|8096213237725030083</stp>
        <tr r="L9" s="21"/>
      </tp>
      <tp t="e">
        <v>#N/A</v>
        <stp/>
        <stp>BDH|6592371979299011756</stp>
        <tr r="R67" s="12"/>
      </tp>
      <tp t="e">
        <v>#N/A</v>
        <stp/>
        <stp>BDH|6063496774989771043</stp>
        <tr r="E22" s="27"/>
      </tp>
      <tp t="e">
        <v>#N/A</v>
        <stp/>
        <stp>BDH|2287045445723474991</stp>
        <tr r="P15" s="11"/>
      </tp>
      <tp t="e">
        <v>#N/A</v>
        <stp/>
        <stp>BDH|2997101751608755217</stp>
        <tr r="Q26" s="24"/>
      </tp>
      <tp t="e">
        <v>#N/A</v>
        <stp/>
        <stp>BDH|6640670290916784389</stp>
        <tr r="V18" s="23"/>
      </tp>
      <tp t="e">
        <v>#N/A</v>
        <stp/>
        <stp>BDH|9510794615885401631</stp>
        <tr r="T17" s="14"/>
      </tp>
      <tp t="e">
        <v>#N/A</v>
        <stp/>
        <stp>BDH|5762152150065825849</stp>
        <tr r="P15" s="4"/>
      </tp>
      <tp t="e">
        <v>#N/A</v>
        <stp/>
        <stp>BDH|9281069457924971441</stp>
        <tr r="G14" s="11"/>
      </tp>
      <tp t="e">
        <v>#N/A</v>
        <stp/>
        <stp>BDH|4140616093887934047</stp>
        <tr r="D16" s="17"/>
        <tr r="D19" s="28"/>
      </tp>
      <tp t="e">
        <v>#N/A</v>
        <stp/>
        <stp>BDH|4050856752840118584</stp>
        <tr r="C9" s="18"/>
      </tp>
      <tp t="e">
        <v>#N/A</v>
        <stp/>
        <stp>BDH|5917425360669566215</stp>
        <tr r="V46" s="18"/>
      </tp>
      <tp t="e">
        <v>#N/A</v>
        <stp/>
        <stp>BDH|5081039576116887829</stp>
        <tr r="N17" s="5"/>
        <tr r="N24" s="6"/>
      </tp>
      <tp t="e">
        <v>#N/A</v>
        <stp/>
        <stp>BDH|1142069854109852148</stp>
        <tr r="AA9" s="29"/>
      </tp>
      <tp t="e">
        <v>#N/A</v>
        <stp/>
        <stp>BDH|5099947246027567388</stp>
        <tr r="M15" s="29"/>
        <tr r="M35" s="29"/>
      </tp>
      <tp t="e">
        <v>#N/A</v>
        <stp/>
        <stp>BDH|6904881857966124189</stp>
        <tr r="L18" s="23"/>
      </tp>
      <tp t="e">
        <v>#N/A</v>
        <stp/>
        <stp>BDH|6988369626799473223</stp>
        <tr r="E47" s="12"/>
      </tp>
      <tp t="e">
        <v>#N/A</v>
        <stp/>
        <stp>BDH|4749046475039958605</stp>
        <tr r="E36" s="10"/>
        <tr r="E30" s="11"/>
        <tr r="G39" s="13"/>
      </tp>
      <tp t="e">
        <v>#N/A</v>
        <stp/>
        <stp>BDH|8018735983963868879</stp>
        <tr r="F50" s="4"/>
      </tp>
      <tp t="e">
        <v>#N/A</v>
        <stp/>
        <stp>BDH|9753176307943879708</stp>
        <tr r="C59" s="12"/>
      </tp>
      <tp t="e">
        <v>#N/A</v>
        <stp/>
        <stp>BDH|7374638279353287940</stp>
        <tr r="T58" s="18"/>
      </tp>
      <tp t="e">
        <v>#N/A</v>
        <stp/>
        <stp>BDH|8074475272533850426</stp>
        <tr r="G86" s="18"/>
      </tp>
      <tp t="e">
        <v>#N/A</v>
        <stp/>
        <stp>BDH|1953306490333509434</stp>
        <tr r="I25" s="3"/>
      </tp>
      <tp t="e">
        <v>#N/A</v>
        <stp/>
        <stp>BDH|7494625686002836778</stp>
        <tr r="G32" s="6"/>
        <tr r="I6" s="8"/>
      </tp>
      <tp t="e">
        <v>#N/A</v>
        <stp/>
        <stp>BDH|1413875135722857410</stp>
        <tr r="Y129" s="18"/>
      </tp>
      <tp t="e">
        <v>#N/A</v>
        <stp/>
        <stp>BDH|5902120900261213965</stp>
        <tr r="H9" s="6"/>
      </tp>
      <tp t="e">
        <v>#N/A</v>
        <stp/>
        <stp>BDH|6924288728348078268</stp>
        <tr r="V94" s="17"/>
      </tp>
      <tp t="e">
        <v>#N/A</v>
        <stp/>
        <stp>BDH|6846759625709098675</stp>
        <tr r="P76" s="12"/>
      </tp>
      <tp t="e">
        <v>#N/A</v>
        <stp/>
        <stp>BDH|5151248951938862634</stp>
        <tr r="U62" s="10"/>
      </tp>
      <tp t="e">
        <v>#N/A</v>
        <stp/>
        <stp>BDH|5860034735073825999</stp>
        <tr r="N12" s="24"/>
      </tp>
      <tp t="e">
        <v>#N/A</v>
        <stp/>
        <stp>BDH|4588925549801090415</stp>
        <tr r="J24" s="24"/>
      </tp>
      <tp t="e">
        <v>#N/A</v>
        <stp/>
        <stp>BDH|4945013236889961281</stp>
        <tr r="P9" s="29"/>
      </tp>
      <tp t="e">
        <v>#N/A</v>
        <stp/>
        <stp>BDH|8483367278514756425</stp>
        <tr r="J118" s="18"/>
      </tp>
      <tp t="e">
        <v>#N/A</v>
        <stp/>
        <stp>BDH|8923026395889219437</stp>
        <tr r="G10" s="30"/>
      </tp>
      <tp t="e">
        <v>#N/A</v>
        <stp/>
        <stp>BDH|5678605042933227894</stp>
        <tr r="V16" s="25"/>
      </tp>
      <tp t="e">
        <v>#N/A</v>
        <stp/>
        <stp>BDH|2233543944938957741</stp>
        <tr r="Q32" s="21"/>
      </tp>
      <tp t="e">
        <v>#N/A</v>
        <stp/>
        <stp>BDH|9222221154116894437</stp>
        <tr r="V24" s="20"/>
      </tp>
      <tp t="e">
        <v>#N/A</v>
        <stp/>
        <stp>BDH|2136949221562312782</stp>
        <tr r="K23" s="18"/>
      </tp>
      <tp t="e">
        <v>#N/A</v>
        <stp/>
        <stp>BDH|2368590773559597536</stp>
        <tr r="AA34" s="25"/>
      </tp>
      <tp t="e">
        <v>#N/A</v>
        <stp/>
        <stp>BDH|5856858355596511225</stp>
        <tr r="O33" s="17"/>
      </tp>
      <tp t="e">
        <v>#N/A</v>
        <stp/>
        <stp>BDH|9130070895428994452</stp>
        <tr r="L7" s="4"/>
      </tp>
      <tp t="e">
        <v>#N/A</v>
        <stp/>
        <stp>BDH|1308152519819344432</stp>
        <tr r="H27" s="5"/>
        <tr r="H27" s="9"/>
      </tp>
      <tp t="e">
        <v>#N/A</v>
        <stp/>
        <stp>BDH|3394665297208872868</stp>
        <tr r="D56" s="10"/>
        <tr r="D50" s="11"/>
        <tr r="D18" s="7"/>
        <tr r="F52" s="13"/>
      </tp>
      <tp t="e">
        <v>#N/A</v>
        <stp/>
        <stp>BDH|5962548548309140188</stp>
        <tr r="T58" s="17"/>
      </tp>
      <tp t="e">
        <v>#N/A</v>
        <stp/>
        <stp>BDH|3070887605477029017</stp>
        <tr r="C6" s="27"/>
      </tp>
      <tp t="e">
        <v>#N/A</v>
        <stp/>
        <stp>BDH|9619473252781608594</stp>
        <tr r="V145" s="18"/>
      </tp>
      <tp t="e">
        <v>#N/A</v>
        <stp/>
        <stp>BDH|6836122587152069116</stp>
        <tr r="Y41" s="12"/>
      </tp>
      <tp t="e">
        <v>#N/A</v>
        <stp/>
        <stp>BDH|2073851169657673764</stp>
        <tr r="R49" s="12"/>
      </tp>
      <tp t="e">
        <v>#N/A</v>
        <stp/>
        <stp>BDH|9302584323435678724</stp>
        <tr r="L60" s="11"/>
        <tr r="N15" s="23"/>
      </tp>
      <tp t="e">
        <v>#N/A</v>
        <stp/>
        <stp>BDH|2442470837140025984</stp>
        <tr r="M36" s="21"/>
      </tp>
      <tp t="e">
        <v>#N/A</v>
        <stp/>
        <stp>BDH|6961320235529535375</stp>
        <tr r="J23" s="21"/>
      </tp>
      <tp t="e">
        <v>#N/A</v>
        <stp/>
        <stp>BDH|6773625979692905991</stp>
        <tr r="I8" s="21"/>
      </tp>
      <tp t="e">
        <v>#N/A</v>
        <stp/>
        <stp>BDH|2343260531198088788</stp>
        <tr r="X37" s="21"/>
        <tr r="X24" s="3"/>
      </tp>
      <tp t="e">
        <v>#N/A</v>
        <stp/>
        <stp>BDH|1063080023877524829</stp>
        <tr r="W57" s="12"/>
      </tp>
      <tp t="e">
        <v>#N/A</v>
        <stp/>
        <stp>BDH|9514391252337547473</stp>
        <tr r="U73" s="10"/>
        <tr r="U67" s="11"/>
      </tp>
      <tp t="e">
        <v>#N/A</v>
        <stp/>
        <stp>BDH|2498797082911209010</stp>
        <tr r="X42" s="24"/>
      </tp>
      <tp t="e">
        <v>#N/A</v>
        <stp/>
        <stp>BDH|5741958325085885733</stp>
        <tr r="D95" s="18"/>
      </tp>
      <tp t="e">
        <v>#N/A</v>
        <stp/>
        <stp>BDH|5000794121565271960</stp>
        <tr r="C24" s="4"/>
        <tr r="C58" s="11"/>
      </tp>
      <tp t="e">
        <v>#N/A</v>
        <stp/>
        <stp>BDH|6366594287726515142</stp>
        <tr r="N61" s="11"/>
        <tr r="P19" s="23"/>
      </tp>
      <tp t="e">
        <v>#N/A</v>
        <stp/>
        <stp>BDH|8464950838167126943</stp>
        <tr r="Q74" s="17"/>
      </tp>
      <tp t="e">
        <v>#N/A</v>
        <stp/>
        <stp>BDH|8131102728975115240</stp>
        <tr r="Y11" s="17"/>
      </tp>
      <tp t="e">
        <v>#N/A</v>
        <stp/>
        <stp>BDH|2132389988192474794</stp>
        <tr r="Z119" s="18"/>
      </tp>
      <tp t="e">
        <v>#N/A</v>
        <stp/>
        <stp>BDH|9358538444795956117</stp>
        <tr r="Y155" s="18"/>
      </tp>
      <tp t="e">
        <v>#N/A</v>
        <stp/>
        <stp>BDH|9914479912902200229</stp>
        <tr r="Q73" s="10"/>
        <tr r="Q67" s="11"/>
      </tp>
      <tp t="e">
        <v>#N/A</v>
        <stp/>
        <stp>BDH|5811059435529109355</stp>
        <tr r="R100" s="18"/>
      </tp>
      <tp t="e">
        <v>#N/A</v>
        <stp/>
        <stp>BDH|1994854928490824700</stp>
        <tr r="T21" s="24"/>
      </tp>
      <tp t="e">
        <v>#N/A</v>
        <stp/>
        <stp>BDH|9693576717305833425</stp>
        <tr r="P58" s="21"/>
        <tr r="P33" s="25"/>
        <tr r="N31" s="4"/>
        <tr r="N55" s="11"/>
      </tp>
      <tp t="e">
        <v>#N/A</v>
        <stp/>
        <stp>BDH|7807850874254277078</stp>
        <tr r="F71" s="10"/>
        <tr r="F65" s="11"/>
      </tp>
      <tp t="e">
        <v>#N/A</v>
        <stp/>
        <stp>BDH|2815909915621960785</stp>
        <tr r="I18" s="29"/>
        <tr r="I38" s="29"/>
      </tp>
      <tp t="e">
        <v>#N/A</v>
        <stp/>
        <stp>BDH|2875481759529385667</stp>
        <tr r="I146" s="18"/>
      </tp>
      <tp t="e">
        <v>#N/A</v>
        <stp/>
        <stp>BDH|6160971614147682581</stp>
        <tr r="M9" s="6"/>
      </tp>
      <tp t="e">
        <v>#N/A</v>
        <stp/>
        <stp>BDH|9152039562644553790</stp>
        <tr r="N68" s="10"/>
      </tp>
      <tp t="e">
        <v>#N/A</v>
        <stp/>
        <stp>BDH|1531677454326285880</stp>
        <tr r="Y17" s="23"/>
      </tp>
      <tp t="e">
        <v>#N/A</v>
        <stp/>
        <stp>BDH|7701415296954809242</stp>
        <tr r="C64" s="24"/>
      </tp>
      <tp t="e">
        <v>#N/A</v>
        <stp/>
        <stp>BDH|2761389954108100060</stp>
        <tr r="K24" s="20"/>
      </tp>
      <tp t="e">
        <v>#N/A</v>
        <stp/>
        <stp>BDH|7138886462820326541</stp>
        <tr r="V69" s="12"/>
      </tp>
      <tp t="e">
        <v>#N/A</v>
        <stp/>
        <stp>BDH|9288269348085146605</stp>
        <tr r="T28" s="17"/>
      </tp>
      <tp t="e">
        <v>#N/A</v>
        <stp/>
        <stp>BDH|5365515839068677704</stp>
        <tr r="U75" s="17"/>
      </tp>
      <tp t="e">
        <v>#N/A</v>
        <stp/>
        <stp>BDH|9036567475630756794</stp>
        <tr r="I76" s="12"/>
      </tp>
      <tp t="e">
        <v>#N/A</v>
        <stp/>
        <stp>BDH|3356803488056334956</stp>
        <tr r="L39" s="22"/>
      </tp>
      <tp t="e">
        <v>#N/A</v>
        <stp/>
        <stp>BDH|3849771391718623953</stp>
        <tr r="K32" s="21"/>
      </tp>
      <tp t="e">
        <v>#N/A</v>
        <stp/>
        <stp>BDH|3620910971556978722</stp>
        <tr r="Z15" s="25"/>
      </tp>
      <tp t="e">
        <v>#N/A</v>
        <stp/>
        <stp>BDH|9100655266430739580</stp>
        <tr r="T54" s="17"/>
      </tp>
      <tp t="e">
        <v>#N/A</v>
        <stp/>
        <stp>BDH|2879318406994250906</stp>
        <tr r="F29" s="17"/>
      </tp>
      <tp t="e">
        <v>#N/A</v>
        <stp/>
        <stp>BDH|1948486189562470315</stp>
        <tr r="J26" s="17"/>
      </tp>
      <tp t="e">
        <v>#N/A</v>
        <stp/>
        <stp>BDH|8718137460033155086</stp>
        <tr r="R20" s="5"/>
        <tr r="R20" s="9"/>
      </tp>
      <tp t="e">
        <v>#N/A</v>
        <stp/>
        <stp>BDH|2006433768504375855</stp>
        <tr r="H32" s="10"/>
        <tr r="H26" s="11"/>
      </tp>
      <tp t="e">
        <v>#N/A</v>
        <stp/>
        <stp>BDH|1733787736179092048</stp>
        <tr r="Y71" s="17"/>
      </tp>
      <tp t="e">
        <v>#N/A</v>
        <stp/>
        <stp>BDH|5220557728009388719</stp>
        <tr r="Q17" s="13"/>
      </tp>
      <tp t="e">
        <v>#N/A</v>
        <stp/>
        <stp>BDH|4731485655669377040</stp>
        <tr r="N108" s="18"/>
        <tr r="L8" s="20"/>
      </tp>
      <tp t="e">
        <v>#N/A</v>
        <stp/>
        <stp>BDH|5856944141791718570</stp>
        <tr r="X122" s="18"/>
      </tp>
      <tp t="e">
        <v>#N/A</v>
        <stp/>
        <stp>BDH|9967142453261002031</stp>
        <tr r="M101" s="18"/>
      </tp>
      <tp t="e">
        <v>#N/A</v>
        <stp/>
        <stp>BDH|3555664371627966966</stp>
        <tr r="V51" s="24"/>
      </tp>
      <tp t="e">
        <v>#N/A</v>
        <stp/>
        <stp>BDH|4107307599652505006</stp>
        <tr r="Y21" s="18"/>
      </tp>
      <tp t="e">
        <v>#N/A</v>
        <stp/>
        <stp>BDH|5539761262611432980</stp>
        <tr r="K19" s="10"/>
      </tp>
      <tp t="e">
        <v>#N/A</v>
        <stp/>
        <stp>BDH|1083694736281786951</stp>
        <tr r="G23" s="11"/>
      </tp>
      <tp t="e">
        <v>#N/A</v>
        <stp/>
        <stp>BDH|8606397470126724652</stp>
        <tr r="X24" s="17"/>
      </tp>
      <tp t="e">
        <v>#N/A</v>
        <stp/>
        <stp>BDH|8229753578397512375</stp>
        <tr r="D48" s="21"/>
      </tp>
      <tp t="e">
        <v>#N/A</v>
        <stp/>
        <stp>BDH|4732313326859974049</stp>
        <tr r="L32" s="6"/>
        <tr r="N6" s="8"/>
      </tp>
      <tp t="e">
        <v>#N/A</v>
        <stp/>
        <stp>BDH|7205885107421814286</stp>
        <tr r="G62" s="10"/>
      </tp>
      <tp t="e">
        <v>#N/A</v>
        <stp/>
        <stp>BDH|1508631303248813304</stp>
        <tr r="V78" s="17"/>
      </tp>
      <tp t="e">
        <v>#N/A</v>
        <stp/>
        <stp>BDH|6143848601294113689</stp>
        <tr r="F92" s="18"/>
      </tp>
      <tp t="e">
        <v>#N/A</v>
        <stp/>
        <stp>BDH|6860506490194657232</stp>
        <tr r="K11" s="21"/>
      </tp>
      <tp t="e">
        <v>#N/A</v>
        <stp/>
        <stp>BDH|7689210625929719289</stp>
        <tr r="X21" s="12"/>
      </tp>
      <tp t="e">
        <v>#N/A</v>
        <stp/>
        <stp>BDH|6395676574392931946</stp>
        <tr r="Z92" s="18"/>
      </tp>
      <tp t="e">
        <v>#N/A</v>
        <stp/>
        <stp>BDH|5207498493012633633</stp>
        <tr r="Z82" s="18"/>
      </tp>
      <tp t="e">
        <v>#N/A</v>
        <stp/>
        <stp>BDH|4105044573638990723</stp>
        <tr r="R39" s="22"/>
      </tp>
      <tp t="e">
        <v>#N/A</v>
        <stp/>
        <stp>BDH|8751412128193195127</stp>
        <tr r="N29" s="24"/>
      </tp>
      <tp t="e">
        <v>#N/A</v>
        <stp/>
        <stp>BDH|6262738820297451882</stp>
        <tr r="Z6" s="27"/>
      </tp>
      <tp t="e">
        <v>#N/A</v>
        <stp/>
        <stp>BDH|3020872947075594683</stp>
        <tr r="E12" s="3"/>
        <tr r="C54" s="10"/>
        <tr r="C48" s="11"/>
        <tr r="C7" s="7"/>
      </tp>
      <tp t="e">
        <v>#N/A</v>
        <stp/>
        <stp>BDH|7954004385726435558</stp>
        <tr r="Y28" s="22"/>
      </tp>
      <tp t="e">
        <v>#N/A</v>
        <stp/>
        <stp>BDH|6773277285199892905</stp>
        <tr r="L75" s="17"/>
      </tp>
      <tp t="e">
        <v>#N/A</v>
        <stp/>
        <stp>BDH|8016311109515490210</stp>
        <tr r="T59" s="24"/>
      </tp>
      <tp t="e">
        <v>#N/A</v>
        <stp/>
        <stp>BDH|5916693502029961668</stp>
        <tr r="I163" s="18"/>
      </tp>
      <tp t="e">
        <v>#N/A</v>
        <stp/>
        <stp>BDH|2053918647320398388</stp>
        <tr r="V9" s="2"/>
        <tr r="X8" s="25"/>
        <tr r="U10" s="5"/>
      </tp>
      <tp t="e">
        <v>#N/A</v>
        <stp/>
        <stp>BDH|9661591811308323909</stp>
        <tr r="O38" s="22"/>
      </tp>
      <tp t="e">
        <v>#N/A</v>
        <stp/>
        <stp>BDH|6886514142943528838</stp>
        <tr r="F29" s="5"/>
      </tp>
      <tp t="e">
        <v>#N/A</v>
        <stp/>
        <stp>BDH|4966636804868201616</stp>
        <tr r="G108" s="18"/>
        <tr r="E8" s="20"/>
      </tp>
      <tp t="e">
        <v>#N/A</v>
        <stp/>
        <stp>BDH|9677978291223354619</stp>
        <tr r="D17" s="29"/>
        <tr r="D37" s="29"/>
      </tp>
      <tp t="e">
        <v>#N/A</v>
        <stp/>
        <stp>BDH|8700536303637399668</stp>
        <tr r="C63" s="10"/>
      </tp>
      <tp t="e">
        <v>#N/A</v>
        <stp/>
        <stp>BDH|1224298339824967894</stp>
        <tr r="P78" s="17"/>
      </tp>
      <tp t="e">
        <v>#N/A</v>
        <stp/>
        <stp>BDH|9431829136489646749</stp>
        <tr r="R48" s="21"/>
      </tp>
      <tp t="e">
        <v>#N/A</v>
        <stp/>
        <stp>BDH|6704177196485774737</stp>
        <tr r="E59" s="18"/>
      </tp>
      <tp t="e">
        <v>#N/A</v>
        <stp/>
        <stp>BDH|8338927512609334522</stp>
        <tr r="O136" s="18"/>
      </tp>
      <tp t="e">
        <v>#N/A</v>
        <stp/>
        <stp>BDH|1401398314328375789</stp>
        <tr r="H57" s="12"/>
      </tp>
      <tp t="e">
        <v>#N/A</v>
        <stp/>
        <stp>BDH|3562636381486489719</stp>
        <tr r="W96" s="17"/>
      </tp>
      <tp t="e">
        <v>#N/A</v>
        <stp/>
        <stp>BDH|4742634350298278340</stp>
        <tr r="O64" s="17"/>
      </tp>
      <tp t="e">
        <v>#N/A</v>
        <stp/>
        <stp>BDH|5188442334866145823</stp>
        <tr r="S8" s="17"/>
      </tp>
      <tp t="e">
        <v>#N/A</v>
        <stp/>
        <stp>BDH|2206495072089905420</stp>
        <tr r="H38" s="18"/>
      </tp>
      <tp t="e">
        <v>#N/A</v>
        <stp/>
        <stp>BDH|3431516651227510832</stp>
        <tr r="K23" s="17"/>
        <tr r="K15" s="3"/>
      </tp>
      <tp t="e">
        <v>#N/A</v>
        <stp/>
        <stp>BDH|4424949487100166948</stp>
        <tr r="L134" s="18"/>
      </tp>
      <tp t="e">
        <v>#N/A</v>
        <stp/>
        <stp>BDH|7322545447858395212</stp>
        <tr r="O34" s="12"/>
      </tp>
      <tp t="e">
        <v>#N/A</v>
        <stp/>
        <stp>BDH|9612344891237428851</stp>
        <tr r="X59" s="12"/>
      </tp>
      <tp t="e">
        <v>#N/A</v>
        <stp/>
        <stp>BDH|1783095729179225679</stp>
        <tr r="G13" s="21"/>
      </tp>
      <tp t="e">
        <v>#N/A</v>
        <stp/>
        <stp>BDH|8210327652623822185</stp>
        <tr r="K27" s="5"/>
        <tr r="K27" s="9"/>
      </tp>
      <tp t="e">
        <v>#N/A</v>
        <stp/>
        <stp>BDH|2544315661129703207</stp>
        <tr r="Z79" s="17"/>
      </tp>
      <tp t="e">
        <v>#N/A</v>
        <stp/>
        <stp>BDH|5591914756982301733</stp>
        <tr r="F33" s="26"/>
      </tp>
      <tp t="e">
        <v>#N/A</v>
        <stp/>
        <stp>BDH|9945992436487071842</stp>
        <tr r="L42" s="4"/>
      </tp>
      <tp t="e">
        <v>#N/A</v>
        <stp/>
        <stp>BDH|4207235132090227931</stp>
        <tr r="N76" s="18"/>
      </tp>
      <tp t="e">
        <v>#N/A</v>
        <stp/>
        <stp>BDH|9374952934147230821</stp>
        <tr r="P105" s="18"/>
      </tp>
      <tp t="e">
        <v>#N/A</v>
        <stp/>
        <stp>BDH|9330945391743611628</stp>
        <tr r="F25" s="3"/>
      </tp>
      <tp t="e">
        <v>#N/A</v>
        <stp/>
        <stp>BDH|4594372282030179334</stp>
        <tr r="G31" s="12"/>
      </tp>
      <tp t="e">
        <v>#N/A</v>
        <stp/>
        <stp>BDH|1591233019067573986</stp>
        <tr r="E16" s="17"/>
        <tr r="E19" s="28"/>
      </tp>
      <tp t="e">
        <v>#N/A</v>
        <stp/>
        <stp>BDH|9755231311835375340</stp>
        <tr r="AA44" s="17"/>
      </tp>
      <tp t="e">
        <v>#N/A</v>
        <stp/>
        <stp>BDH|9704726111870701315</stp>
        <tr r="R19" s="25"/>
        <tr r="P21" s="11"/>
      </tp>
      <tp t="e">
        <v>#N/A</v>
        <stp/>
        <stp>BDH|6434941447585644238</stp>
        <tr r="R17" s="14"/>
      </tp>
      <tp t="e">
        <v>#N/A</v>
        <stp/>
        <stp>BDH|8667718026229070831</stp>
        <tr r="J19" s="10"/>
      </tp>
      <tp t="e">
        <v>#N/A</v>
        <stp/>
        <stp>BDH|9515098189265313840</stp>
        <tr r="T61" s="17"/>
      </tp>
      <tp t="e">
        <v>#N/A</v>
        <stp/>
        <stp>BDH|1571509815298167137</stp>
        <tr r="I19" s="20"/>
      </tp>
      <tp t="e">
        <v>#N/A</v>
        <stp/>
        <stp>BDH|9328662576867010314</stp>
        <tr r="K31" s="34"/>
      </tp>
      <tp t="e">
        <v>#N/A</v>
        <stp/>
        <stp>BDH|5608745883653161529</stp>
        <tr r="C76" s="18"/>
      </tp>
      <tp t="e">
        <v>#N/A</v>
        <stp/>
        <stp>BDH|1915618862478050584</stp>
        <tr r="E28" s="4"/>
      </tp>
      <tp t="e">
        <v>#N/A</v>
        <stp/>
        <stp>BDH|9716686107950248386</stp>
        <tr r="W13" s="6"/>
      </tp>
      <tp t="e">
        <v>#N/A</v>
        <stp/>
        <stp>BDH|3537573351119185607</stp>
        <tr r="H15" s="6"/>
      </tp>
      <tp t="e">
        <v>#N/A</v>
        <stp/>
        <stp>BDH|8209095897089696482</stp>
        <tr r="Y16" s="10"/>
      </tp>
      <tp t="e">
        <v>#N/A</v>
        <stp/>
        <stp>BDH|7434256384696487735</stp>
        <tr r="AA11" s="17"/>
      </tp>
      <tp t="e">
        <v>#N/A</v>
        <stp/>
        <stp>BDH|9285450375165708368</stp>
        <tr r="I66" s="21"/>
      </tp>
      <tp t="e">
        <v>#N/A</v>
        <stp/>
        <stp>BDH|6077694937666442990</stp>
        <tr r="L62" s="17"/>
      </tp>
      <tp t="e">
        <v>#N/A</v>
        <stp/>
        <stp>BDH|9658152633620147724</stp>
        <tr r="O23" s="25"/>
        <tr r="O13" s="27"/>
      </tp>
      <tp t="e">
        <v>#N/A</v>
        <stp/>
        <stp>BDH|2903828958174399733</stp>
        <tr r="M20" s="30"/>
      </tp>
      <tp t="e">
        <v>#N/A</v>
        <stp/>
        <stp>BDH|7012800385229417221</stp>
        <tr r="C22" s="10"/>
      </tp>
      <tp t="e">
        <v>#N/A</v>
        <stp/>
        <stp>BDH|8582867191515681071</stp>
        <tr r="R143" s="18"/>
      </tp>
      <tp t="e">
        <v>#N/A</v>
        <stp/>
        <stp>BDH|3679467017203654924</stp>
        <tr r="U27" s="10"/>
        <tr r="W32" s="13"/>
      </tp>
      <tp t="e">
        <v>#N/A</v>
        <stp/>
        <stp>BDH|9917644969043275651</stp>
        <tr r="G71" s="10"/>
        <tr r="G65" s="11"/>
      </tp>
      <tp t="e">
        <v>#N/A</v>
        <stp/>
        <stp>BDH|6367621789005208194</stp>
        <tr r="I52" s="17"/>
      </tp>
      <tp t="e">
        <v>#N/A</v>
        <stp/>
        <stp>BDH|7700922164562173632</stp>
        <tr r="L33" s="22"/>
      </tp>
      <tp t="e">
        <v>#N/A</v>
        <stp/>
        <stp>BDH|5184349745638630656</stp>
        <tr r="M19" s="17"/>
      </tp>
      <tp t="e">
        <v>#N/A</v>
        <stp/>
        <stp>BDH|9155719868856248292</stp>
        <tr r="H26" s="17"/>
      </tp>
      <tp t="e">
        <v>#N/A</v>
        <stp/>
        <stp>BDH|9413084747027172697</stp>
        <tr r="N23" s="10"/>
      </tp>
      <tp t="e">
        <v>#N/A</v>
        <stp/>
        <stp>BDH|9679805405939868488</stp>
        <tr r="P14" s="14"/>
      </tp>
      <tp t="e">
        <v>#N/A</v>
        <stp/>
        <stp>BDH|9770739954973319403</stp>
        <tr r="P8" s="8"/>
      </tp>
      <tp t="e">
        <v>#N/A</v>
        <stp/>
        <stp>BDH|6016988334084843478</stp>
        <tr r="H160" s="18"/>
      </tp>
      <tp t="e">
        <v>#N/A</v>
        <stp/>
        <stp>BDH|3329110793241705655</stp>
        <tr r="N35" s="26"/>
      </tp>
      <tp t="e">
        <v>#N/A</v>
        <stp/>
        <stp>BDH|2300047687180259617</stp>
        <tr r="T18" s="14"/>
      </tp>
      <tp t="e">
        <v>#N/A</v>
        <stp/>
        <stp>BDH|6520535380452102544</stp>
        <tr r="J79" s="17"/>
      </tp>
      <tp t="e">
        <v>#N/A</v>
        <stp/>
        <stp>BDH|1831031375733466994</stp>
        <tr r="Z31" s="21"/>
      </tp>
      <tp t="e">
        <v>#N/A</v>
        <stp/>
        <stp>BDH|9522512372717431013</stp>
        <tr r="K14" s="13"/>
      </tp>
      <tp t="e">
        <v>#N/A</v>
        <stp/>
        <stp>BDH|5662775983652230431</stp>
        <tr r="P62" s="18"/>
      </tp>
      <tp t="e">
        <v>#N/A</v>
        <stp/>
        <stp>BDH|4865568685413151699</stp>
        <tr r="J14" s="25"/>
      </tp>
      <tp t="e">
        <v>#N/A</v>
        <stp/>
        <stp>BDH|8358611248524841213</stp>
        <tr r="J16" s="14"/>
      </tp>
      <tp t="e">
        <v>#N/A</v>
        <stp/>
        <stp>BDH|1207397250688006387</stp>
        <tr r="X24" s="24"/>
      </tp>
      <tp t="e">
        <v>#N/A</v>
        <stp/>
        <stp>BDH|5137403677849466317</stp>
        <tr r="T25" s="3"/>
      </tp>
      <tp t="e">
        <v>#N/A</v>
        <stp/>
        <stp>BDH|7747812264842154703</stp>
        <tr r="G8" s="13"/>
      </tp>
      <tp t="e">
        <v>#N/A</v>
        <stp/>
        <stp>BDH|9476553165362086477</stp>
        <tr r="Z83" s="18"/>
      </tp>
      <tp t="e">
        <v>#N/A</v>
        <stp/>
        <stp>BDH|1714140298013986612</stp>
        <tr r="V108" s="18"/>
        <tr r="T8" s="20"/>
      </tp>
      <tp t="e">
        <v>#N/A</v>
        <stp/>
        <stp>BDH|3168485526920834942</stp>
        <tr r="D15" s="11"/>
      </tp>
      <tp t="e">
        <v>#N/A</v>
        <stp/>
        <stp>BDH|8980641037356121785</stp>
        <tr r="E28" s="17"/>
      </tp>
      <tp t="e">
        <v>#N/A</v>
        <stp/>
        <stp>BDH|9478088819902430628</stp>
        <tr r="C61" s="11"/>
        <tr r="E19" s="23"/>
      </tp>
      <tp t="e">
        <v>#N/A</v>
        <stp/>
        <stp>BDH|4270606691837876083</stp>
        <tr r="I31" s="26"/>
      </tp>
      <tp t="e">
        <v>#N/A</v>
        <stp/>
        <stp>BDH|7920832125294495586</stp>
        <tr r="W111" s="18"/>
        <tr r="U12" s="20"/>
      </tp>
      <tp t="e">
        <v>#N/A</v>
        <stp/>
        <stp>BDH|9583443701753241214</stp>
        <tr r="X12" s="14"/>
      </tp>
      <tp t="e">
        <v>#N/A</v>
        <stp/>
        <stp>BDH|4561981654922229680</stp>
        <tr r="S16" s="17"/>
        <tr r="S19" s="28"/>
      </tp>
      <tp t="e">
        <v>#N/A</v>
        <stp/>
        <stp>BDH|4979271560479575589</stp>
        <tr r="T34" s="17"/>
      </tp>
      <tp t="e">
        <v>#N/A</v>
        <stp/>
        <stp>BDH|4872983080510172929</stp>
        <tr r="I50" s="21"/>
      </tp>
      <tp t="e">
        <v>#N/A</v>
        <stp/>
        <stp>BDH|5565810617280198012</stp>
        <tr r="R31" s="22"/>
      </tp>
      <tp t="e">
        <v>#N/A</v>
        <stp/>
        <stp>BDH|6499583647953153899</stp>
        <tr r="L7" s="8"/>
      </tp>
      <tp t="e">
        <v>#N/A</v>
        <stp/>
        <stp>BDH|1801150884923959732</stp>
        <tr r="E8" s="22"/>
      </tp>
      <tp t="e">
        <v>#N/A</v>
        <stp/>
        <stp>BDH|8793987588551141451</stp>
        <tr r="E51" s="10"/>
        <tr r="E45" s="11"/>
        <tr r="E15" s="7"/>
      </tp>
      <tp t="e">
        <v>#N/A</v>
        <stp/>
        <stp>BDH|9779926242128297067</stp>
        <tr r="Q52" s="10"/>
        <tr r="Q46" s="11"/>
        <tr r="Q16" s="7"/>
      </tp>
      <tp t="e">
        <v>#N/A</v>
        <stp/>
        <stp>BDH|8628913913594466803</stp>
        <tr r="V55" s="17"/>
      </tp>
      <tp t="e">
        <v>#N/A</v>
        <stp/>
        <stp>BDH|9297180575644769789</stp>
        <tr r="V10" s="24"/>
      </tp>
      <tp t="e">
        <v>#N/A</v>
        <stp/>
        <stp>BDH|2662445552737206827</stp>
        <tr r="U51" s="18"/>
      </tp>
      <tp t="e">
        <v>#N/A</v>
        <stp/>
        <stp>BDH|6148899475921863451</stp>
        <tr r="N9" s="10"/>
      </tp>
      <tp t="e">
        <v>#N/A</v>
        <stp/>
        <stp>BDH|3126816703131746643</stp>
        <tr r="V26" s="13"/>
      </tp>
      <tp t="e">
        <v>#N/A</v>
        <stp/>
        <stp>BDH|3025861132655333174</stp>
        <tr r="S9" s="2"/>
        <tr r="U8" s="25"/>
        <tr r="R10" s="5"/>
      </tp>
      <tp t="e">
        <v>#N/A</v>
        <stp/>
        <stp>BDH|8317826723096457860</stp>
        <tr r="H82" s="17"/>
        <tr r="H19" s="3"/>
      </tp>
      <tp t="e">
        <v>#N/A</v>
        <stp/>
        <stp>BDH|2303172939588812453</stp>
        <tr r="N19" s="25"/>
        <tr r="L21" s="11"/>
      </tp>
      <tp t="e">
        <v>#N/A</v>
        <stp/>
        <stp>BDH|9452374277120252160</stp>
        <tr r="W14" s="2"/>
        <tr r="W11" s="10"/>
      </tp>
      <tp t="e">
        <v>#N/A</v>
        <stp/>
        <stp>BDH|8378206908426850035</stp>
        <tr r="C11" s="11"/>
      </tp>
      <tp t="e">
        <v>#N/A</v>
        <stp/>
        <stp>BDH|1051673344187531861</stp>
        <tr r="C19" s="13"/>
      </tp>
      <tp t="e">
        <v>#N/A</v>
        <stp/>
        <stp>BDH|7566430292522273460</stp>
        <tr r="C8" s="25"/>
      </tp>
      <tp t="e">
        <v>#N/A</v>
        <stp/>
        <stp>BDH|4873001730343802801</stp>
        <tr r="I37" s="18"/>
      </tp>
      <tp t="e">
        <v>#N/A</v>
        <stp/>
        <stp>BDH|4004932555705592138</stp>
        <tr r="P39" s="4"/>
        <tr r="P65" s="10"/>
      </tp>
      <tp t="e">
        <v>#N/A</v>
        <stp/>
        <stp>BDH|4403540680655153017</stp>
        <tr r="Z56" s="17"/>
        <tr r="Z17" s="3"/>
      </tp>
      <tp t="e">
        <v>#N/A</v>
        <stp/>
        <stp>BDH|1217989839840635757</stp>
        <tr r="P35" s="4"/>
      </tp>
      <tp t="e">
        <v>#N/A</v>
        <stp/>
        <stp>BDH|7824690935246677823</stp>
        <tr r="P117" s="18"/>
      </tp>
      <tp t="e">
        <v>#N/A</v>
        <stp/>
        <stp>BDH|9679921627056375805</stp>
        <tr r="L71" s="17"/>
      </tp>
      <tp t="e">
        <v>#N/A</v>
        <stp/>
        <stp>BDH|6611652355079333057</stp>
        <tr r="Z42" s="18"/>
      </tp>
      <tp t="e">
        <v>#N/A</v>
        <stp/>
        <stp>BDH|6739910066182076703</stp>
        <tr r="Z47" s="21"/>
      </tp>
      <tp t="e">
        <v>#N/A</v>
        <stp/>
        <stp>BDH|7607401532114542812</stp>
        <tr r="T23" s="24"/>
      </tp>
      <tp t="e">
        <v>#N/A</v>
        <stp/>
        <stp>BDH|3703915304044146237</stp>
        <tr r="D31" s="22"/>
      </tp>
      <tp t="e">
        <v>#N/A</v>
        <stp/>
        <stp>BDH|5970459168102514916</stp>
        <tr r="E15" s="12"/>
      </tp>
      <tp t="e">
        <v>#N/A</v>
        <stp/>
        <stp>BDH|3363895133105187181</stp>
        <tr r="W39" s="10"/>
        <tr r="W33" s="11"/>
      </tp>
      <tp t="e">
        <v>#N/A</v>
        <stp/>
        <stp>BDH|5386310251769700644</stp>
        <tr r="M70" s="24"/>
      </tp>
      <tp t="e">
        <v>#N/A</v>
        <stp/>
        <stp>BDH|2422311570493649939</stp>
        <tr r="R93" s="17"/>
      </tp>
      <tp t="e">
        <v>#N/A</v>
        <stp/>
        <stp>BDH|8631469085311012955</stp>
        <tr r="P30" s="17"/>
      </tp>
      <tp t="e">
        <v>#N/A</v>
        <stp/>
        <stp>BDH|6446439127128806481</stp>
        <tr r="F17" s="5"/>
        <tr r="F24" s="6"/>
      </tp>
      <tp t="e">
        <v>#N/A</v>
        <stp/>
        <stp>BDH|1392701856566548905</stp>
        <tr r="Z8" s="22"/>
      </tp>
      <tp t="e">
        <v>#N/A</v>
        <stp/>
        <stp>BDH|8619375274278290873</stp>
        <tr r="W122" s="18"/>
      </tp>
      <tp t="e">
        <v>#N/A</v>
        <stp/>
        <stp>BDH|3529162384405585320</stp>
        <tr r="T15" s="11"/>
      </tp>
      <tp t="e">
        <v>#N/A</v>
        <stp/>
        <stp>BDH|8901926536886865854</stp>
        <tr r="G46" s="17"/>
      </tp>
      <tp t="e">
        <v>#N/A</v>
        <stp/>
        <stp>BDH|8342552259866889279</stp>
        <tr r="S34" s="25"/>
      </tp>
      <tp t="e">
        <v>#N/A</v>
        <stp/>
        <stp>BDH|7524409601438049744</stp>
        <tr r="T24" s="25"/>
        <tr r="T14" s="27"/>
      </tp>
      <tp t="e">
        <v>#N/A</v>
        <stp/>
        <stp>BDH|4918855418653692224</stp>
        <tr r="D52" s="10"/>
        <tr r="D46" s="11"/>
        <tr r="D16" s="7"/>
      </tp>
      <tp t="e">
        <v>#N/A</v>
        <stp/>
        <stp>BDH|1535975026323028549</stp>
        <tr r="AA14" s="30"/>
      </tp>
      <tp t="e">
        <v>#N/A</v>
        <stp/>
        <stp>BDH|6097247636738618346</stp>
        <tr r="K30" s="26"/>
      </tp>
      <tp t="e">
        <v>#N/A</v>
        <stp/>
        <stp>BDH|6420945016266132467</stp>
        <tr r="H49" s="17"/>
      </tp>
      <tp t="e">
        <v>#N/A</v>
        <stp/>
        <stp>BDH|8985514758946768262</stp>
        <tr r="F46" s="12"/>
      </tp>
      <tp t="e">
        <v>#N/A</v>
        <stp/>
        <stp>BDH|9911657600452859156</stp>
        <tr r="J23" s="26"/>
      </tp>
      <tp t="e">
        <v>#N/A</v>
        <stp/>
        <stp>BDH|4432846316316766700</stp>
        <tr r="J12" s="21"/>
      </tp>
      <tp t="e">
        <v>#N/A</v>
        <stp/>
        <stp>BDH|8115611503015337713</stp>
        <tr r="U53" s="24"/>
      </tp>
      <tp t="e">
        <v>#N/A</v>
        <stp/>
        <stp>BDH|2948453966345303987</stp>
        <tr r="O20" s="17"/>
      </tp>
      <tp t="e">
        <v>#N/A</v>
        <stp/>
        <stp>BDH|1606476934223115956</stp>
        <tr r="C38" s="24"/>
      </tp>
      <tp t="e">
        <v>#N/A</v>
        <stp/>
        <stp>BDH|6404640290746923380</stp>
        <tr r="G35" s="21"/>
      </tp>
      <tp t="e">
        <v>#N/A</v>
        <stp/>
        <stp>BDH|1294069684756423351</stp>
        <tr r="L50" s="13"/>
      </tp>
      <tp t="e">
        <v>#N/A</v>
        <stp/>
        <stp>BDH|8323015941220788059</stp>
        <tr r="N14" s="30"/>
      </tp>
      <tp t="e">
        <v>#N/A</v>
        <stp/>
        <stp>BDH|1242647965209712454</stp>
        <tr r="R57" s="24"/>
      </tp>
      <tp t="e">
        <v>#N/A</v>
        <stp/>
        <stp>BDH|5968873342551417495</stp>
        <tr r="Y56" s="13"/>
      </tp>
      <tp t="e">
        <v>#N/A</v>
        <stp/>
        <stp>BDH|8134435875101777614</stp>
        <tr r="X24" s="13"/>
      </tp>
      <tp t="e">
        <v>#N/A</v>
        <stp/>
        <stp>BDH|9816721266136970240</stp>
        <tr r="AA18" s="29"/>
        <tr r="AA38" s="29"/>
      </tp>
      <tp t="e">
        <v>#N/A</v>
        <stp/>
        <stp>BDH|9989668808231271243</stp>
        <tr r="E57" s="17"/>
        <tr r="E10" s="25"/>
      </tp>
      <tp t="e">
        <v>#N/A</v>
        <stp/>
        <stp>BDH|3787923810957144050</stp>
        <tr r="U40" s="18"/>
      </tp>
      <tp t="e">
        <v>#N/A</v>
        <stp/>
        <stp>BDH|4594865339711262294</stp>
        <tr r="C17" s="9"/>
      </tp>
      <tp t="e">
        <v>#N/A</v>
        <stp/>
        <stp>BDH|6328766876733426968</stp>
        <tr r="E8" s="23"/>
      </tp>
      <tp t="e">
        <v>#N/A</v>
        <stp/>
        <stp>BDH|8164262925797132329</stp>
        <tr r="R60" s="21"/>
      </tp>
      <tp t="e">
        <v>#N/A</v>
        <stp/>
        <stp>BDH|9528719106985282713</stp>
        <tr r="H63" s="18"/>
      </tp>
      <tp t="e">
        <v>#N/A</v>
        <stp/>
        <stp>BDH|3016225598511306589</stp>
        <tr r="D21" s="27"/>
      </tp>
      <tp t="e">
        <v>#N/A</v>
        <stp/>
        <stp>BDH|3132958755390391339</stp>
        <tr r="T41" s="10"/>
        <tr r="T35" s="11"/>
      </tp>
      <tp t="e">
        <v>#N/A</v>
        <stp/>
        <stp>BDH|5295747583383421507</stp>
        <tr r="I9" s="12"/>
      </tp>
      <tp t="e">
        <v>#N/A</v>
        <stp/>
        <stp>BDH|6316800952411868688</stp>
        <tr r="G31" s="22"/>
      </tp>
      <tp t="e">
        <v>#N/A</v>
        <stp/>
        <stp>BDH|7025610658808884009</stp>
        <tr r="I23" s="24"/>
      </tp>
      <tp t="e">
        <v>#N/A</v>
        <stp/>
        <stp>BDH|3999296455548149055</stp>
        <tr r="L71" s="24"/>
      </tp>
      <tp t="e">
        <v>#N/A</v>
        <stp/>
        <stp>BDH|9921886767948451333</stp>
        <tr r="W22" s="18"/>
      </tp>
      <tp t="e">
        <v>#N/A</v>
        <stp/>
        <stp>BDH|6342439871749883089</stp>
        <tr r="F146" s="18"/>
      </tp>
      <tp t="e">
        <v>#N/A</v>
        <stp/>
        <stp>BDH|7482372680374444467</stp>
        <tr r="Q113" s="18"/>
        <tr r="O14" s="20"/>
      </tp>
      <tp t="e">
        <v>#N/A</v>
        <stp/>
        <stp>BDH|2425141660951194809</stp>
        <tr r="I94" s="18"/>
      </tp>
      <tp t="e">
        <v>#N/A</v>
        <stp/>
        <stp>BDH|1132076779338788294</stp>
        <tr r="F58" s="24"/>
      </tp>
      <tp t="e">
        <v>#N/A</v>
        <stp/>
        <stp>BDH|6024000052898453775</stp>
        <tr r="I10" s="28"/>
      </tp>
      <tp t="e">
        <v>#N/A</v>
        <stp/>
        <stp>BDH|2349862116872319513</stp>
        <tr r="V9" s="29"/>
      </tp>
      <tp t="e">
        <v>#N/A</v>
        <stp/>
        <stp>BDH|2773864827977026377</stp>
        <tr r="G15" s="17"/>
        <tr r="G18" s="28"/>
      </tp>
      <tp t="e">
        <v>#N/A</v>
        <stp/>
        <stp>BDH|6744722938877926952</stp>
        <tr r="C46" s="4"/>
        <tr r="C24" s="10"/>
        <tr r="E35" s="13"/>
      </tp>
      <tp t="e">
        <v>#N/A</v>
        <stp/>
        <stp>BDH|9738859436567740925</stp>
        <tr r="N66" s="24"/>
      </tp>
      <tp t="e">
        <v>#N/A</v>
        <stp/>
        <stp>BDH|8216119032075792300</stp>
        <tr r="M30" s="22"/>
      </tp>
      <tp t="e">
        <v>#N/A</v>
        <stp/>
        <stp>BDH|5141656592964586253</stp>
        <tr r="G23" s="22"/>
      </tp>
      <tp t="e">
        <v>#N/A</v>
        <stp/>
        <stp>BDH|6159364515031598918</stp>
        <tr r="U111" s="18"/>
        <tr r="S12" s="20"/>
      </tp>
      <tp t="e">
        <v>#N/A</v>
        <stp/>
        <stp>BDH|8134173538364955216</stp>
        <tr r="W19" s="17"/>
      </tp>
      <tp t="e">
        <v>#N/A</v>
        <stp/>
        <stp>BDH|1184923973684156778</stp>
        <tr r="G20" s="27"/>
      </tp>
      <tp t="e">
        <v>#N/A</v>
        <stp/>
        <stp>BDH|7827978385482462888</stp>
        <tr r="W21" s="18"/>
      </tp>
      <tp t="e">
        <v>#N/A</v>
        <stp/>
        <stp>BDH|4240613293413720412</stp>
        <tr r="E90" s="18"/>
      </tp>
      <tp t="e">
        <v>#N/A</v>
        <stp/>
        <stp>BDH|3433400286482203164</stp>
        <tr r="G55" s="17"/>
      </tp>
      <tp t="e">
        <v>#N/A</v>
        <stp/>
        <stp>BDH|5446921511516535741</stp>
        <tr r="D134" s="18"/>
      </tp>
      <tp t="e">
        <v>#N/A</v>
        <stp/>
        <stp>BDH|3577833235620284478</stp>
        <tr r="Y42" s="24"/>
      </tp>
      <tp t="e">
        <v>#N/A</v>
        <stp/>
        <stp>BDH|8114511310584340453</stp>
        <tr r="J138" s="18"/>
      </tp>
      <tp t="e">
        <v>#N/A</v>
        <stp/>
        <stp>BDH|9472083288149136433</stp>
        <tr r="C35" s="25"/>
        <tr r="C7" s="3"/>
        <tr r="C22" s="13"/>
        <tr r="C7" s="13"/>
      </tp>
      <tp t="e">
        <v>#N/A</v>
        <stp/>
        <stp>BDH|4535422021729048706</stp>
        <tr r="H61" s="24"/>
      </tp>
      <tp t="e">
        <v>#N/A</v>
        <stp/>
        <stp>BDH|6380049634998780124</stp>
        <tr r="E53" s="18"/>
      </tp>
      <tp t="e">
        <v>#N/A</v>
        <stp/>
        <stp>BDH|6523316222128806382</stp>
        <tr r="G32" s="34"/>
      </tp>
      <tp t="e">
        <v>#N/A</v>
        <stp/>
        <stp>BDH|8720616061147773365</stp>
        <tr r="W13" s="24"/>
      </tp>
      <tp t="e">
        <v>#N/A</v>
        <stp/>
        <stp>BDH|8408520474137770131</stp>
        <tr r="Q20" s="5"/>
        <tr r="Q20" s="9"/>
      </tp>
      <tp t="e">
        <v>#N/A</v>
        <stp/>
        <stp>BDH|9670097028677445054</stp>
        <tr r="O95" s="17"/>
        <tr r="O30" s="25"/>
      </tp>
      <tp t="e">
        <v>#N/A</v>
        <stp/>
        <stp>BDH|6667825376632744737</stp>
        <tr r="O149" s="18"/>
      </tp>
      <tp t="e">
        <v>#N/A</v>
        <stp/>
        <stp>BDH|1306829743490583113</stp>
        <tr r="E24" s="18"/>
      </tp>
      <tp t="e">
        <v>#N/A</v>
        <stp/>
        <stp>BDH|1682363736194069905</stp>
        <tr r="S35" s="12"/>
      </tp>
      <tp t="e">
        <v>#N/A</v>
        <stp/>
        <stp>BDH|9827293252331626339</stp>
        <tr r="K114" s="18"/>
      </tp>
      <tp t="e">
        <v>#N/A</v>
        <stp/>
        <stp>BDH|5713761075899157034</stp>
        <tr r="Q91" s="17"/>
      </tp>
      <tp t="e">
        <v>#N/A</v>
        <stp/>
        <stp>BDH|6035825665747498351</stp>
        <tr r="P141" s="18"/>
      </tp>
      <tp t="e">
        <v>#N/A</v>
        <stp/>
        <stp>BDH|4029928416261737153</stp>
        <tr r="M28" s="12"/>
      </tp>
      <tp t="e">
        <v>#N/A</v>
        <stp/>
        <stp>BDH|6473632081993408747</stp>
        <tr r="U38" s="4"/>
        <tr r="U59" s="11"/>
        <tr r="W13" s="23"/>
      </tp>
      <tp t="e">
        <v>#N/A</v>
        <stp/>
        <stp>BDH|7623931464887466337</stp>
        <tr r="T153" s="18"/>
      </tp>
      <tp t="e">
        <v>#N/A</v>
        <stp/>
        <stp>BDH|8744059029772918441</stp>
        <tr r="P63" s="18"/>
      </tp>
      <tp t="e">
        <v>#N/A</v>
        <stp/>
        <stp>BDH|5797844267105066227</stp>
        <tr r="X14" s="25"/>
      </tp>
      <tp t="e">
        <v>#N/A</v>
        <stp/>
        <stp>BDH|8590850194945396015</stp>
        <tr r="F121" s="18"/>
      </tp>
      <tp t="e">
        <v>#N/A</v>
        <stp/>
        <stp>BDH|9561315994939557631</stp>
        <tr r="J98" s="17"/>
        <tr r="J13" s="28"/>
      </tp>
      <tp t="e">
        <v>#N/A</v>
        <stp/>
        <stp>BDH|4101869451670559554</stp>
        <tr r="J69" s="17"/>
      </tp>
      <tp t="e">
        <v>#N/A</v>
        <stp/>
        <stp>BDH|5723883306227777695</stp>
        <tr r="K19" s="25"/>
        <tr r="I21" s="11"/>
      </tp>
      <tp t="e">
        <v>#N/A</v>
        <stp/>
        <stp>BDH|5001514002609137550</stp>
        <tr r="C163" s="18"/>
      </tp>
      <tp t="e">
        <v>#N/A</v>
        <stp/>
        <stp>BDH|8131389314175938339</stp>
        <tr r="T159" s="18"/>
      </tp>
      <tp t="e">
        <v>#N/A</v>
        <stp/>
        <stp>BDH|7565375326372337803</stp>
        <tr r="L9" s="3"/>
        <tr r="J50" s="10"/>
        <tr r="J44" s="11"/>
        <tr r="J14" s="7"/>
      </tp>
      <tp t="e">
        <v>#N/A</v>
        <stp/>
        <stp>BDH|5905071584513553281</stp>
        <tr r="O115" s="18"/>
      </tp>
      <tp t="e">
        <v>#N/A</v>
        <stp/>
        <stp>BDH|9263324155034279705</stp>
        <tr r="K66" s="21"/>
      </tp>
      <tp t="e">
        <v>#N/A</v>
        <stp/>
        <stp>BDH|1134845385715476835</stp>
        <tr r="Y22" s="10"/>
      </tp>
      <tp t="e">
        <v>#N/A</v>
        <stp/>
        <stp>BDH|8438509533150916298</stp>
        <tr r="M22" s="27"/>
      </tp>
      <tp t="e">
        <v>#N/A</v>
        <stp/>
        <stp>BDH|1139636507708704357</stp>
        <tr r="Z36" s="17"/>
      </tp>
      <tp t="e">
        <v>#N/A</v>
        <stp/>
        <stp>BDH|3596779895724469545</stp>
        <tr r="R22" s="12"/>
      </tp>
      <tp t="e">
        <v>#N/A</v>
        <stp/>
        <stp>BDH|3567955369731895169</stp>
        <tr r="M26" s="12"/>
      </tp>
      <tp t="e">
        <v>#N/A</v>
        <stp/>
        <stp>BDH|2526259787144294024</stp>
        <tr r="Z12" s="17"/>
      </tp>
      <tp t="e">
        <v>#N/A</v>
        <stp/>
        <stp>BDH|2763078165359626148</stp>
        <tr r="L10" s="13"/>
      </tp>
      <tp t="e">
        <v>#N/A</v>
        <stp/>
        <stp>BDH|1864464798686962685</stp>
        <tr r="F61" s="11"/>
        <tr r="H19" s="23"/>
      </tp>
      <tp t="e">
        <v>#N/A</v>
        <stp/>
        <stp>BDH|9646116002593254705</stp>
        <tr r="M16" s="25"/>
      </tp>
      <tp t="e">
        <v>#N/A</v>
        <stp/>
        <stp>BDH|8597957174552256818</stp>
        <tr r="R39" s="6"/>
      </tp>
      <tp t="e">
        <v>#N/A</v>
        <stp/>
        <stp>BDH|4699299339488303122</stp>
        <tr r="E30" s="21"/>
      </tp>
      <tp t="e">
        <v>#N/A</v>
        <stp/>
        <stp>BDH|9629809547990257941</stp>
        <tr r="H12" s="7"/>
      </tp>
      <tp t="e">
        <v>#N/A</v>
        <stp/>
        <stp>BDH|3348883452131700390</stp>
        <tr r="X46" s="10"/>
        <tr r="X40" s="11"/>
      </tp>
      <tp t="e">
        <v>#N/A</v>
        <stp/>
        <stp>BDH|9131581607494056495</stp>
        <tr r="Y50" s="24"/>
      </tp>
      <tp t="e">
        <v>#N/A</v>
        <stp/>
        <stp>BDH|6393537740492371944</stp>
        <tr r="I21" s="4"/>
      </tp>
      <tp t="e">
        <v>#N/A</v>
        <stp/>
        <stp>BDH|5517490005354897963</stp>
        <tr r="P25" s="22"/>
      </tp>
      <tp t="e">
        <v>#N/A</v>
        <stp/>
        <stp>BDH|9782311931217634260</stp>
        <tr r="Y17" s="4"/>
        <tr r="AA10" s="3"/>
        <tr r="Y55" s="10"/>
        <tr r="Y49" s="11"/>
        <tr r="Y17" s="7"/>
        <tr r="AA49" s="13"/>
      </tp>
      <tp t="e">
        <v>#N/A</v>
        <stp/>
        <stp>BDH|8565122640335257429</stp>
        <tr r="X58" s="17"/>
      </tp>
      <tp t="e">
        <v>#N/A</v>
        <stp/>
        <stp>BDH|3274506594373309029</stp>
        <tr r="U21" s="3"/>
      </tp>
      <tp t="e">
        <v>#N/A</v>
        <stp/>
        <stp>BDH|9026373433861630450</stp>
        <tr r="C19" s="25"/>
      </tp>
      <tp t="e">
        <v>#N/A</v>
        <stp/>
        <stp>BDH|4084624016298433777</stp>
        <tr r="R35" s="26"/>
      </tp>
      <tp t="e">
        <v>#N/A</v>
        <stp/>
        <stp>BDH|5689694827484832971</stp>
        <tr r="U9" s="26"/>
      </tp>
      <tp t="e">
        <v>#N/A</v>
        <stp/>
        <stp>BDH|8669705430846476651</stp>
        <tr r="S59" s="24"/>
      </tp>
      <tp t="e">
        <v>#N/A</v>
        <stp/>
        <stp>BDH|8192053142639029913</stp>
        <tr r="L23" s="25"/>
        <tr r="L13" s="27"/>
      </tp>
      <tp t="e">
        <v>#N/A</v>
        <stp/>
        <stp>BDH|4500079577967346818</stp>
        <tr r="D31" s="29"/>
        <tr r="D39" s="29"/>
      </tp>
      <tp t="e">
        <v>#N/A</v>
        <stp/>
        <stp>BDH|8205796424603050289</stp>
        <tr r="I58" s="21"/>
        <tr r="I33" s="25"/>
        <tr r="G31" s="4"/>
        <tr r="G55" s="11"/>
      </tp>
      <tp t="e">
        <v>#N/A</v>
        <stp/>
        <stp>BDH|5626929155732358755</stp>
        <tr r="U113" s="18"/>
        <tr r="S14" s="20"/>
      </tp>
      <tp t="e">
        <v>#N/A</v>
        <stp/>
        <stp>BDH|5576932960351216738</stp>
        <tr r="W50" s="24"/>
      </tp>
      <tp t="e">
        <v>#N/A</v>
        <stp/>
        <stp>BDH|5590552972028403315</stp>
        <tr r="N105" s="18"/>
      </tp>
      <tp t="e">
        <v>#N/A</v>
        <stp/>
        <stp>BDH|6211230981575126557</stp>
        <tr r="U94" s="17"/>
      </tp>
      <tp t="e">
        <v>#N/A</v>
        <stp/>
        <stp>BDH|2312033786716003025</stp>
        <tr r="F16" s="18"/>
      </tp>
      <tp t="e">
        <v>#N/A</v>
        <stp/>
        <stp>BDH|4065606316367157836</stp>
        <tr r="J29" s="24"/>
      </tp>
      <tp t="e">
        <v>#N/A</v>
        <stp/>
        <stp>BDH|6275486610918800768</stp>
        <tr r="Z24" s="25"/>
        <tr r="Z14" s="27"/>
      </tp>
      <tp t="e">
        <v>#N/A</v>
        <stp/>
        <stp>BDH|3202434130070539807</stp>
        <tr r="S15" s="26"/>
      </tp>
      <tp t="e">
        <v>#N/A</v>
        <stp/>
        <stp>BDH|8261005200387306350</stp>
        <tr r="M67" s="24"/>
      </tp>
      <tp t="e">
        <v>#N/A</v>
        <stp/>
        <stp>BDH|5535411542431564873</stp>
        <tr r="C42" s="34"/>
      </tp>
      <tp t="e">
        <v>#N/A</v>
        <stp/>
        <stp>BDH|8069021690554419920</stp>
        <tr r="E25" s="7"/>
      </tp>
      <tp t="e">
        <v>#N/A</v>
        <stp/>
        <stp>BDH|8313286975076356791</stp>
        <tr r="H166" s="18"/>
      </tp>
      <tp t="e">
        <v>#N/A</v>
        <stp/>
        <stp>BDH|3204356642149066113</stp>
        <tr r="L25" s="18"/>
      </tp>
      <tp t="e">
        <v>#N/A</v>
        <stp/>
        <stp>BDH|9832545397409789088</stp>
        <tr r="M33" s="18"/>
      </tp>
      <tp t="e">
        <v>#N/A</v>
        <stp/>
        <stp>BDH|5632444276183786979</stp>
        <tr r="J23" s="20"/>
      </tp>
      <tp t="e">
        <v>#N/A</v>
        <stp/>
        <stp>BDH|7669207309910273998</stp>
        <tr r="D63" s="18"/>
      </tp>
      <tp t="e">
        <v>#N/A</v>
        <stp/>
        <stp>BDH|2505700009971026882</stp>
        <tr r="V139" s="18"/>
      </tp>
      <tp t="e">
        <v>#N/A</v>
        <stp/>
        <stp>BDH|2770637182801735152</stp>
        <tr r="L11" s="22"/>
      </tp>
      <tp t="e">
        <v>#N/A</v>
        <stp/>
        <stp>BDH|2851316366358983321</stp>
        <tr r="J27" s="7"/>
      </tp>
      <tp t="e">
        <v>#N/A</v>
        <stp/>
        <stp>BDH|7100901500860507201</stp>
        <tr r="O24" s="25"/>
        <tr r="O14" s="27"/>
      </tp>
      <tp t="e">
        <v>#N/A</v>
        <stp/>
        <stp>BDH|5692960617616770740</stp>
        <tr r="F95" s="18"/>
      </tp>
      <tp t="e">
        <v>#N/A</v>
        <stp/>
        <stp>BDH|9559105719965977016</stp>
        <tr r="V15" s="5"/>
      </tp>
      <tp t="e">
        <v>#N/A</v>
        <stp/>
        <stp>BDH|7192936057331574640</stp>
        <tr r="H11" s="28"/>
      </tp>
      <tp t="e">
        <v>#N/A</v>
        <stp/>
        <stp>BDH|9442752340465380361</stp>
        <tr r="T19" s="6"/>
      </tp>
      <tp t="e">
        <v>#N/A</v>
        <stp/>
        <stp>BDH|7015320448599798596</stp>
        <tr r="E159" s="18"/>
      </tp>
      <tp t="e">
        <v>#N/A</v>
        <stp/>
        <stp>BDH|9465134127983144554</stp>
        <tr r="X80" s="18"/>
      </tp>
      <tp t="e">
        <v>#N/A</v>
        <stp/>
        <stp>BDH|7591102352789371601</stp>
        <tr r="T109" s="18"/>
        <tr r="R9" s="20"/>
      </tp>
      <tp t="e">
        <v>#N/A</v>
        <stp/>
        <stp>BDH|1808468199384778441</stp>
        <tr r="N115" s="18"/>
      </tp>
      <tp t="e">
        <v>#N/A</v>
        <stp/>
        <stp>BDH|6069050342298513669</stp>
        <tr r="X57" s="12"/>
      </tp>
      <tp t="e">
        <v>#N/A</v>
        <stp/>
        <stp>BDH|1977199216454711957</stp>
        <tr r="Q35" s="10"/>
        <tr r="Q47" s="10"/>
        <tr r="Q29" s="11"/>
        <tr r="Q41" s="11"/>
      </tp>
      <tp t="e">
        <v>#N/A</v>
        <stp/>
        <stp>BDH|2380833222676301252</stp>
        <tr r="Y90" s="17"/>
      </tp>
      <tp t="e">
        <v>#N/A</v>
        <stp/>
        <stp>BDH|7176615997986414275</stp>
        <tr r="J22" s="10"/>
      </tp>
      <tp t="e">
        <v>#N/A</v>
        <stp/>
        <stp>BDH|4337785263681500881</stp>
        <tr r="K10" s="34"/>
      </tp>
      <tp t="e">
        <v>#N/A</v>
        <stp/>
        <stp>BDH|8572074525567324114</stp>
        <tr r="W50" s="4"/>
      </tp>
      <tp t="e">
        <v>#N/A</v>
        <stp/>
        <stp>BDH|2944504479289118543</stp>
        <tr r="X9" s="24"/>
      </tp>
      <tp t="e">
        <v>#N/A</v>
        <stp/>
        <stp>BDH|3955763790447225680</stp>
        <tr r="E12" s="17"/>
      </tp>
      <tp t="e">
        <v>#N/A</v>
        <stp/>
        <stp>BDH|8147570946457447214</stp>
        <tr r="H29" s="21"/>
      </tp>
      <tp t="e">
        <v>#N/A</v>
        <stp/>
        <stp>BDH|1452666920279601011</stp>
        <tr r="Z106" s="18"/>
        <tr r="Y6" s="20"/>
      </tp>
      <tp t="e">
        <v>#N/A</v>
        <stp/>
        <stp>BDH|9575534913325365436</stp>
        <tr r="S12" s="22"/>
      </tp>
      <tp t="e">
        <v>#N/A</v>
        <stp/>
        <stp>BDH|2511015090451569645</stp>
        <tr r="R58" s="24"/>
      </tp>
      <tp t="e">
        <v>#N/A</v>
        <stp/>
        <stp>BDH|2984484854976676961</stp>
        <tr r="Q19" s="12"/>
      </tp>
      <tp t="e">
        <v>#N/A</v>
        <stp/>
        <stp>BDH|4656909621990242302</stp>
        <tr r="Q97" s="17"/>
        <tr r="Q7" s="27"/>
      </tp>
      <tp t="e">
        <v>#N/A</v>
        <stp/>
        <stp>BDH|8478370213195717325</stp>
        <tr r="I33" s="34"/>
      </tp>
      <tp t="e">
        <v>#N/A</v>
        <stp/>
        <stp>BDH|7774762376432621941</stp>
        <tr r="AA61" s="17"/>
      </tp>
      <tp t="e">
        <v>#N/A</v>
        <stp/>
        <stp>BDH|8424286369932861289</stp>
        <tr r="AA11" s="20"/>
      </tp>
      <tp t="e">
        <v>#N/A</v>
        <stp/>
        <stp>BDH|4680641032919636431</stp>
        <tr r="C62" s="17"/>
      </tp>
      <tp t="e">
        <v>#N/A</v>
        <stp/>
        <stp>BDH|7363171591284992799</stp>
        <tr r="E165" s="18"/>
      </tp>
      <tp t="e">
        <v>#N/A</v>
        <stp/>
        <stp>BDH|9744125434581529612</stp>
        <tr r="K16" s="2"/>
        <tr r="K32" s="4"/>
        <tr r="K61" s="10"/>
        <tr r="M19" s="13"/>
      </tp>
      <tp t="e">
        <v>#N/A</v>
        <stp/>
        <stp>BDH|9533860292043306777</stp>
        <tr r="T74" s="17"/>
      </tp>
      <tp t="e">
        <v>#N/A</v>
        <stp/>
        <stp>BDH|2673930154064649627</stp>
        <tr r="Z19" s="26"/>
      </tp>
      <tp t="e">
        <v>#N/A</v>
        <stp/>
        <stp>BDH|5886222899373669108</stp>
        <tr r="Q19" s="22"/>
      </tp>
      <tp t="e">
        <v>#N/A</v>
        <stp/>
        <stp>BDH|3818225543228400181</stp>
        <tr r="V38" s="18"/>
      </tp>
      <tp t="e">
        <v>#N/A</v>
        <stp/>
        <stp>BDH|3465165495093669443</stp>
        <tr r="H44" s="18"/>
      </tp>
      <tp t="e">
        <v>#N/A</v>
        <stp/>
        <stp>BDH|5110987816003989238</stp>
        <tr r="L32" s="18"/>
      </tp>
      <tp t="e">
        <v>#N/A</v>
        <stp/>
        <stp>BDH|9249427041360407508</stp>
        <tr r="J44" s="24"/>
      </tp>
      <tp t="e">
        <v>#N/A</v>
        <stp/>
        <stp>BDH|9943750816875653692</stp>
        <tr r="U18" s="24"/>
      </tp>
      <tp t="e">
        <v>#N/A</v>
        <stp/>
        <stp>BDH|5622118844604161871</stp>
        <tr r="P44" s="21"/>
      </tp>
      <tp t="e">
        <v>#N/A</v>
        <stp/>
        <stp>BDH|8616445679971627685</stp>
        <tr r="N70" s="10"/>
        <tr r="N64" s="11"/>
      </tp>
      <tp t="e">
        <v>#N/A</v>
        <stp/>
        <stp>BDH|3599821289746826930</stp>
        <tr r="L29" s="5"/>
      </tp>
      <tp t="e">
        <v>#N/A</v>
        <stp/>
        <stp>BDH|3049300017358699542</stp>
        <tr r="S20" s="29"/>
      </tp>
      <tp t="e">
        <v>#N/A</v>
        <stp/>
        <stp>BDH|1462511282913461364</stp>
        <tr r="Q49" s="17"/>
      </tp>
      <tp t="e">
        <v>#N/A</v>
        <stp/>
        <stp>BDH|5340011612748081056</stp>
        <tr r="S7" s="6"/>
      </tp>
      <tp t="e">
        <v>#N/A</v>
        <stp/>
        <stp>BDH|3612808146113646033</stp>
        <tr r="D46" s="4"/>
        <tr r="D24" s="10"/>
        <tr r="F35" s="13"/>
      </tp>
      <tp t="e">
        <v>#N/A</v>
        <stp/>
        <stp>BDH|1171399714708026794</stp>
        <tr r="I59" s="24"/>
      </tp>
      <tp t="e">
        <v>#N/A</v>
        <stp/>
        <stp>BDH|60035506515511467</stp>
        <tr r="X18" s="6"/>
      </tp>
      <tp t="e">
        <v>#N/A</v>
        <stp/>
        <stp>BDH|73376436334700569</stp>
        <tr r="L46" s="10"/>
        <tr r="L40" s="11"/>
      </tp>
      <tp t="e">
        <v>#N/A</v>
        <stp/>
        <stp>BDH|23316921919148919</stp>
        <tr r="AA110" s="18"/>
        <tr r="Z11" s="20"/>
      </tp>
      <tp t="e">
        <v>#N/A</v>
        <stp/>
        <stp>BDH|31381829022616281</stp>
        <tr r="C42" s="12"/>
      </tp>
      <tp t="e">
        <v>#N/A</v>
        <stp/>
        <stp>BDH|38780244765813789</stp>
        <tr r="V20" s="29"/>
      </tp>
      <tp t="e">
        <v>#N/A</v>
        <stp/>
        <stp>BDH|71194266467022142</stp>
        <tr r="O25" s="4"/>
        <tr r="O64" s="10"/>
      </tp>
      <tp t="e">
        <v>#N/A</v>
        <stp/>
        <stp>BDH|61235205810914371</stp>
        <tr r="Q34" s="17"/>
      </tp>
      <tp t="e">
        <v>#N/A</v>
        <stp/>
        <stp>BDH|40650628881724428</stp>
        <tr r="H105" s="18"/>
      </tp>
      <tp t="e">
        <v>#N/A</v>
        <stp/>
        <stp>BDH|21423994114687890</stp>
        <tr r="H43" s="4"/>
      </tp>
      <tp t="e">
        <v>#N/A</v>
        <stp/>
        <stp>BDH|18635901905333286</stp>
        <tr r="I75" s="18"/>
      </tp>
      <tp t="e">
        <v>#N/A</v>
        <stp/>
        <stp>BDH|8413451209403045221</stp>
        <tr r="M24" s="17"/>
      </tp>
      <tp t="e">
        <v>#N/A</v>
        <stp/>
        <stp>BDH|8279687882248172334</stp>
        <tr r="J75" s="18"/>
      </tp>
      <tp t="e">
        <v>#N/A</v>
        <stp/>
        <stp>BDH|5697302363414869978</stp>
        <tr r="X21" s="25"/>
        <tr r="X10" s="27"/>
      </tp>
      <tp t="e">
        <v>#N/A</v>
        <stp/>
        <stp>BDH|1004056248071408937</stp>
        <tr r="H50" s="4"/>
      </tp>
      <tp t="e">
        <v>#N/A</v>
        <stp/>
        <stp>BDH|7117204773429807601</stp>
        <tr r="C60" s="11"/>
        <tr r="E15" s="23"/>
      </tp>
      <tp t="e">
        <v>#N/A</v>
        <stp/>
        <stp>BDH|3920679241725497915</stp>
        <tr r="P32" s="34"/>
      </tp>
      <tp t="e">
        <v>#N/A</v>
        <stp/>
        <stp>BDH|6975806836492136246</stp>
        <tr r="L16" s="10"/>
      </tp>
      <tp t="e">
        <v>#N/A</v>
        <stp/>
        <stp>BDH|7989709558781952920</stp>
        <tr r="Q45" s="18"/>
      </tp>
      <tp t="e">
        <v>#N/A</v>
        <stp/>
        <stp>BDH|4000922809881903189</stp>
        <tr r="S44" s="21"/>
      </tp>
      <tp t="e">
        <v>#N/A</v>
        <stp/>
        <stp>BDH|1734183447430476961</stp>
        <tr r="V49" s="17"/>
      </tp>
      <tp t="e">
        <v>#N/A</v>
        <stp/>
        <stp>BDH|5648824378706102175</stp>
        <tr r="J13" s="29"/>
        <tr r="J22" s="29"/>
        <tr r="J33" s="29"/>
      </tp>
      <tp t="e">
        <v>#N/A</v>
        <stp/>
        <stp>BDH|5916978710664680422</stp>
        <tr r="Y69" s="18"/>
      </tp>
      <tp t="e">
        <v>#N/A</v>
        <stp/>
        <stp>BDH|6539560389415206322</stp>
        <tr r="Z77" s="12"/>
      </tp>
      <tp t="e">
        <v>#N/A</v>
        <stp/>
        <stp>BDH|3266532853369170794</stp>
        <tr r="O20" s="29"/>
      </tp>
      <tp t="e">
        <v>#N/A</v>
        <stp/>
        <stp>BDH|2102829135601887540</stp>
        <tr r="Q59" s="17"/>
      </tp>
      <tp t="e">
        <v>#N/A</v>
        <stp/>
        <stp>BDH|1776296490431536611</stp>
        <tr r="V47" s="17"/>
      </tp>
      <tp t="e">
        <v>#N/A</v>
        <stp/>
        <stp>BDH|1940587042074925907</stp>
        <tr r="X12" s="12"/>
      </tp>
      <tp t="e">
        <v>#N/A</v>
        <stp/>
        <stp>BDH|6017900246192841442</stp>
        <tr r="M98" s="17"/>
        <tr r="M13" s="28"/>
      </tp>
      <tp t="e">
        <v>#N/A</v>
        <stp/>
        <stp>BDH|6604169983916111488</stp>
        <tr r="F20" s="2"/>
        <tr r="F18" s="4"/>
        <tr r="F57" s="10"/>
        <tr r="F51" s="11"/>
        <tr r="F19" s="7"/>
        <tr r="H57" s="13"/>
      </tp>
      <tp t="e">
        <v>#N/A</v>
        <stp/>
        <stp>BDH|8625349536791634486</stp>
        <tr r="D21" s="17"/>
      </tp>
      <tp t="e">
        <v>#N/A</v>
        <stp/>
        <stp>BDH|9515185244872655352</stp>
        <tr r="D22" s="27"/>
      </tp>
      <tp t="e">
        <v>#N/A</v>
        <stp/>
        <stp>BDH|1580213738499003464</stp>
        <tr r="Q17" s="21"/>
      </tp>
      <tp t="e">
        <v>#N/A</v>
        <stp/>
        <stp>BDH|7340130958936311817</stp>
        <tr r="G37" s="18"/>
      </tp>
      <tp t="e">
        <v>#N/A</v>
        <stp/>
        <stp>BDH|5913554380801250442</stp>
        <tr r="I23" s="22"/>
      </tp>
      <tp t="e">
        <v>#N/A</v>
        <stp/>
        <stp>BDH|2687883433993409738</stp>
        <tr r="W8" s="27"/>
      </tp>
      <tp t="e">
        <v>#N/A</v>
        <stp/>
        <stp>BDH|2550978647601612397</stp>
        <tr r="I10" s="21"/>
      </tp>
      <tp t="e">
        <v>#N/A</v>
        <stp/>
        <stp>BDH|1067084375038389347</stp>
        <tr r="D62" s="11"/>
      </tp>
      <tp t="e">
        <v>#N/A</v>
        <stp/>
        <stp>BDH|7506180687702924199</stp>
        <tr r="T68" s="18"/>
      </tp>
      <tp t="e">
        <v>#N/A</v>
        <stp/>
        <stp>BDH|3581182996250962682</stp>
        <tr r="W56" s="18"/>
      </tp>
      <tp t="e">
        <v>#N/A</v>
        <stp/>
        <stp>BDH|5605193577467116939</stp>
        <tr r="Z34" s="26"/>
      </tp>
      <tp t="e">
        <v>#N/A</v>
        <stp/>
        <stp>BDH|2151016318677627948</stp>
        <tr r="C54" s="12"/>
      </tp>
      <tp t="e">
        <v>#N/A</v>
        <stp/>
        <stp>BDH|3299416059309035600</stp>
        <tr r="F11" s="22"/>
      </tp>
      <tp t="e">
        <v>#N/A</v>
        <stp/>
        <stp>BDH|1318834899858744547</stp>
        <tr r="G47" s="12"/>
      </tp>
      <tp t="e">
        <v>#N/A</v>
        <stp/>
        <stp>BDH|4753014480916511788</stp>
        <tr r="M24" s="13"/>
      </tp>
      <tp t="e">
        <v>#N/A</v>
        <stp/>
        <stp>BDH|6335535668028275011</stp>
        <tr r="N150" s="18"/>
      </tp>
      <tp t="e">
        <v>#N/A</v>
        <stp/>
        <stp>BDH|6857599816806842940</stp>
        <tr r="U45" s="4"/>
        <tr r="U30" s="10"/>
        <tr r="U24" s="11"/>
        <tr r="W30" s="13"/>
      </tp>
      <tp t="e">
        <v>#N/A</v>
        <stp/>
        <stp>BDH|9549255577529401884</stp>
        <tr r="Q22" s="9"/>
      </tp>
      <tp t="e">
        <v>#N/A</v>
        <stp/>
        <stp>BDH|1154729658286688865</stp>
        <tr r="T7" s="14"/>
      </tp>
      <tp t="e">
        <v>#N/A</v>
        <stp/>
        <stp>BDH|9921110760234606752</stp>
        <tr r="U16" s="18"/>
      </tp>
      <tp t="e">
        <v>#N/A</v>
        <stp/>
        <stp>BDH|2683813419913039554</stp>
        <tr r="L66" s="12"/>
      </tp>
      <tp t="e">
        <v>#N/A</v>
        <stp/>
        <stp>BDH|5562849919281237019</stp>
        <tr r="C12" s="12"/>
      </tp>
      <tp t="e">
        <v>#N/A</v>
        <stp/>
        <stp>BDH|1401778890275096784</stp>
        <tr r="V41" s="24"/>
      </tp>
      <tp t="e">
        <v>#N/A</v>
        <stp/>
        <stp>BDH|7055709399054405065</stp>
        <tr r="J29" s="9"/>
      </tp>
      <tp t="e">
        <v>#N/A</v>
        <stp/>
        <stp>BDH|7442375942038210589</stp>
        <tr r="I12" s="7"/>
      </tp>
      <tp t="e">
        <v>#N/A</v>
        <stp/>
        <stp>BDH|6143911473323069688</stp>
        <tr r="C84" s="18"/>
      </tp>
      <tp t="e">
        <v>#N/A</v>
        <stp/>
        <stp>BDH|8064982954179744009</stp>
        <tr r="L15" s="21"/>
      </tp>
      <tp t="e">
        <v>#N/A</v>
        <stp/>
        <stp>BDH|1654035393063422699</stp>
        <tr r="L7" s="34"/>
      </tp>
      <tp t="e">
        <v>#N/A</v>
        <stp/>
        <stp>BDH|4188900156522828744</stp>
        <tr r="D117" s="18"/>
      </tp>
      <tp t="e">
        <v>#N/A</v>
        <stp/>
        <stp>BDH|1054521407549621089</stp>
        <tr r="C51" s="10"/>
        <tr r="C45" s="11"/>
        <tr r="C15" s="7"/>
      </tp>
      <tp t="e">
        <v>#N/A</v>
        <stp/>
        <stp>BDH|2984126195244762320</stp>
        <tr r="J20" s="24"/>
      </tp>
      <tp t="e">
        <v>#N/A</v>
        <stp/>
        <stp>BDH|9796033371427674483</stp>
        <tr r="P11" s="14"/>
      </tp>
      <tp t="e">
        <v>#N/A</v>
        <stp/>
        <stp>BDH|9867563878973966540</stp>
        <tr r="L27" s="6"/>
      </tp>
      <tp t="e">
        <v>#N/A</v>
        <stp/>
        <stp>BDH|1378981734831239760</stp>
        <tr r="Z18" s="23"/>
      </tp>
      <tp t="e">
        <v>#N/A</v>
        <stp/>
        <stp>BDH|4535699374638070036</stp>
        <tr r="F102" s="18"/>
      </tp>
      <tp t="e">
        <v>#N/A</v>
        <stp/>
        <stp>BDH|2366572960108818479</stp>
        <tr r="R16" s="23"/>
      </tp>
      <tp t="e">
        <v>#N/A</v>
        <stp/>
        <stp>BDH|1415052080180383496</stp>
        <tr r="X14" s="22"/>
      </tp>
      <tp t="e">
        <v>#N/A</v>
        <stp/>
        <stp>BDH|8188177026082998429</stp>
        <tr r="D62" s="17"/>
      </tp>
      <tp t="e">
        <v>#N/A</v>
        <stp/>
        <stp>BDH|6583573846232963860</stp>
        <tr r="Z14" s="18"/>
      </tp>
      <tp t="e">
        <v>#N/A</v>
        <stp/>
        <stp>BDH|8214448666953368488</stp>
        <tr r="N63" s="18"/>
      </tp>
      <tp t="e">
        <v>#N/A</v>
        <stp/>
        <stp>BDH|2596363897415875048</stp>
        <tr r="G34" s="10"/>
        <tr r="G28" s="11"/>
      </tp>
      <tp t="e">
        <v>#N/A</v>
        <stp/>
        <stp>BDH|4136041059439675522</stp>
        <tr r="W56" s="17"/>
        <tr r="W17" s="3"/>
      </tp>
      <tp t="e">
        <v>#N/A</v>
        <stp/>
        <stp>BDH|5223664393302640592</stp>
        <tr r="U34" s="21"/>
      </tp>
      <tp t="e">
        <v>#N/A</v>
        <stp/>
        <stp>BDH|2607030151322558894</stp>
        <tr r="T14" s="4"/>
      </tp>
      <tp t="e">
        <v>#N/A</v>
        <stp/>
        <stp>BDH|9202806685641978565</stp>
        <tr r="J96" s="18"/>
      </tp>
      <tp t="e">
        <v>#N/A</v>
        <stp/>
        <stp>BDH|9040996917679367550</stp>
        <tr r="K16" s="11"/>
      </tp>
      <tp t="e">
        <v>#N/A</v>
        <stp/>
        <stp>BDH|3025840224161121594</stp>
        <tr r="L9" s="26"/>
      </tp>
      <tp t="e">
        <v>#N/A</v>
        <stp/>
        <stp>BDH|1636632360539448595</stp>
        <tr r="K7" s="4"/>
      </tp>
      <tp t="e">
        <v>#N/A</v>
        <stp/>
        <stp>BDH|8294076474505893717</stp>
        <tr r="V70" s="24"/>
      </tp>
      <tp t="e">
        <v>#N/A</v>
        <stp/>
        <stp>BDH|7546176359649147727</stp>
        <tr r="L61" s="11"/>
        <tr r="N19" s="23"/>
      </tp>
      <tp t="e">
        <v>#N/A</v>
        <stp/>
        <stp>BDH|1075091481231432540</stp>
        <tr r="G92" s="17"/>
      </tp>
      <tp t="e">
        <v>#N/A</v>
        <stp/>
        <stp>BDH|3479450199233678065</stp>
        <tr r="D52" s="12"/>
      </tp>
      <tp t="e">
        <v>#N/A</v>
        <stp/>
        <stp>BDH|2635290687157528256</stp>
        <tr r="G13" s="24"/>
      </tp>
      <tp t="e">
        <v>#N/A</v>
        <stp/>
        <stp>BDH|8523225867363812203</stp>
        <tr r="P30" s="24"/>
      </tp>
      <tp t="e">
        <v>#N/A</v>
        <stp/>
        <stp>BDH|9438447668521147713</stp>
        <tr r="G52" s="4"/>
        <tr r="I8" s="3"/>
        <tr r="G43" s="10"/>
        <tr r="G37" s="11"/>
        <tr r="I38" s="13"/>
      </tp>
      <tp t="e">
        <v>#N/A</v>
        <stp/>
        <stp>BDH|6838262587185991481</stp>
        <tr r="G74" s="18"/>
      </tp>
      <tp t="e">
        <v>#N/A</v>
        <stp/>
        <stp>BDH|1169571177338846618</stp>
        <tr r="N79" s="18"/>
      </tp>
      <tp t="e">
        <v>#N/A</v>
        <stp/>
        <stp>BDH|8209565039967535407</stp>
        <tr r="W14" s="30"/>
      </tp>
      <tp t="e">
        <v>#N/A</v>
        <stp/>
        <stp>BDH|6749289915310450861</stp>
        <tr r="R11" s="3"/>
        <tr r="P49" s="10"/>
        <tr r="P43" s="11"/>
        <tr r="P8" s="7"/>
      </tp>
      <tp t="e">
        <v>#N/A</v>
        <stp/>
        <stp>BDH|9026175276123195185</stp>
        <tr r="F23" s="13"/>
      </tp>
      <tp t="e">
        <v>#N/A</v>
        <stp/>
        <stp>BDH|7284117998282193029</stp>
        <tr r="M34" s="34"/>
      </tp>
      <tp t="e">
        <v>#N/A</v>
        <stp/>
        <stp>BDH|6896062250316235846</stp>
        <tr r="O41" s="22"/>
      </tp>
      <tp t="e">
        <v>#N/A</v>
        <stp/>
        <stp>BDH|9569669607794862642</stp>
        <tr r="E107" s="18"/>
        <tr r="C7" s="20"/>
      </tp>
      <tp t="e">
        <v>#N/A</v>
        <stp/>
        <stp>BDH|6267482927119200479</stp>
        <tr r="R11" s="11"/>
      </tp>
      <tp t="e">
        <v>#N/A</v>
        <stp/>
        <stp>BDH|8516429442253843651</stp>
        <tr r="V24" s="13"/>
      </tp>
      <tp t="e">
        <v>#N/A</v>
        <stp/>
        <stp>BDH|3310309073272829807</stp>
        <tr r="I62" s="24"/>
      </tp>
      <tp t="e">
        <v>#N/A</v>
        <stp/>
        <stp>BDH|5079971106705981407</stp>
        <tr r="I82" s="18"/>
      </tp>
      <tp t="e">
        <v>#N/A</v>
        <stp/>
        <stp>BDH|9366328826051661496</stp>
        <tr r="Z66" s="17"/>
      </tp>
      <tp t="e">
        <v>#N/A</v>
        <stp/>
        <stp>BDH|6382159668648511427</stp>
        <tr r="R79" s="18"/>
      </tp>
      <tp t="e">
        <v>#N/A</v>
        <stp/>
        <stp>BDH|8106582919669818814</stp>
        <tr r="C9" s="29"/>
      </tp>
      <tp t="e">
        <v>#N/A</v>
        <stp/>
        <stp>BDH|8259044634687261191</stp>
        <tr r="X9" s="27"/>
      </tp>
      <tp t="e">
        <v>#N/A</v>
        <stp/>
        <stp>BDH|7182093701288306239</stp>
        <tr r="C21" s="5"/>
      </tp>
      <tp t="e">
        <v>#N/A</v>
        <stp/>
        <stp>BDH|5286233248847922992</stp>
        <tr r="F48" s="12"/>
      </tp>
      <tp t="e">
        <v>#N/A</v>
        <stp/>
        <stp>BDH|8560540853276321385</stp>
        <tr r="E20" s="18"/>
      </tp>
      <tp t="e">
        <v>#N/A</v>
        <stp/>
        <stp>BDH|7788228088057364773</stp>
        <tr r="X152" s="18"/>
      </tp>
      <tp t="e">
        <v>#N/A</v>
        <stp/>
        <stp>BDH|8513962737098478790</stp>
        <tr r="P8" s="2"/>
      </tp>
      <tp t="e">
        <v>#N/A</v>
        <stp/>
        <stp>BDH|8608497821014747707</stp>
        <tr r="P63" s="10"/>
      </tp>
      <tp t="e">
        <v>#N/A</v>
        <stp/>
        <stp>BDH|3172875578555453436</stp>
        <tr r="W167" s="18"/>
      </tp>
      <tp t="e">
        <v>#N/A</v>
        <stp/>
        <stp>BDH|9296367423003983672</stp>
        <tr r="W63" s="24"/>
      </tp>
      <tp t="e">
        <v>#N/A</v>
        <stp/>
        <stp>BDH|4868688537805820960</stp>
        <tr r="L50" s="17"/>
      </tp>
      <tp t="e">
        <v>#N/A</v>
        <stp/>
        <stp>BDH|7071795222248065721</stp>
        <tr r="X27" s="10"/>
        <tr r="Z32" s="13"/>
      </tp>
      <tp t="e">
        <v>#N/A</v>
        <stp/>
        <stp>BDH|4996287788830729373</stp>
        <tr r="U25" s="13"/>
      </tp>
      <tp t="e">
        <v>#N/A</v>
        <stp/>
        <stp>BDH|9995163971561506329</stp>
        <tr r="C31" s="25"/>
      </tp>
      <tp t="e">
        <v>#N/A</v>
        <stp/>
        <stp>BDH|7516811400842498097</stp>
        <tr r="W51" s="24"/>
      </tp>
      <tp t="e">
        <v>#N/A</v>
        <stp/>
        <stp>BDH|1295484340094719845</stp>
        <tr r="R12" s="3"/>
        <tr r="P54" s="10"/>
        <tr r="P48" s="11"/>
        <tr r="P7" s="7"/>
      </tp>
      <tp t="e">
        <v>#N/A</v>
        <stp/>
        <stp>BDH|8077722418355498676</stp>
        <tr r="R35" s="25"/>
        <tr r="R7" s="3"/>
        <tr r="P18" s="11"/>
        <tr r="R22" s="13"/>
        <tr r="R7" s="13"/>
      </tp>
      <tp t="e">
        <v>#N/A</v>
        <stp/>
        <stp>BDH|6703302885955274595</stp>
        <tr r="K73" s="18"/>
      </tp>
      <tp t="e">
        <v>#N/A</v>
        <stp/>
        <stp>BDH|1649819213740943546</stp>
        <tr r="Y30" s="29"/>
        <tr r="Y8" s="29"/>
      </tp>
      <tp t="e">
        <v>#N/A</v>
        <stp/>
        <stp>BDH|4916311212999022233</stp>
        <tr r="F106" s="18"/>
        <tr r="D6" s="20"/>
      </tp>
      <tp t="e">
        <v>#N/A</v>
        <stp/>
        <stp>BDH|9904798380768925306</stp>
        <tr r="I27" s="21"/>
      </tp>
      <tp t="e">
        <v>#N/A</v>
        <stp/>
        <stp>BDH|9159388038014869000</stp>
        <tr r="J48" s="12"/>
      </tp>
      <tp t="e">
        <v>#N/A</v>
        <stp/>
        <stp>BDH|8555218384309918604</stp>
        <tr r="L55" s="24"/>
      </tp>
      <tp t="e">
        <v>#N/A</v>
        <stp/>
        <stp>BDH|2436905724963914704</stp>
        <tr r="K12" s="3"/>
        <tr r="I54" s="10"/>
        <tr r="I48" s="11"/>
        <tr r="I7" s="7"/>
      </tp>
      <tp t="e">
        <v>#N/A</v>
        <stp/>
        <stp>BDH|5704399263364643923</stp>
        <tr r="H35" s="26"/>
      </tp>
      <tp t="e">
        <v>#N/A</v>
        <stp/>
        <stp>BDH|8792366329125568145</stp>
        <tr r="D59" s="24"/>
      </tp>
      <tp t="e">
        <v>#N/A</v>
        <stp/>
        <stp>BDH|9593583229240470393</stp>
        <tr r="I66" s="17"/>
      </tp>
      <tp t="e">
        <v>#N/A</v>
        <stp/>
        <stp>BDH|8882423697230137856</stp>
        <tr r="R16" s="18"/>
      </tp>
      <tp t="e">
        <v>#N/A</v>
        <stp/>
        <stp>BDH|7191936418155503762</stp>
        <tr r="W10" s="13"/>
      </tp>
      <tp t="e">
        <v>#N/A</v>
        <stp/>
        <stp>BDH|7525920305016983525</stp>
        <tr r="I44" s="24"/>
      </tp>
      <tp t="e">
        <v>#N/A</v>
        <stp/>
        <stp>BDH|3983930292488152606</stp>
        <tr r="E78" s="18"/>
      </tp>
      <tp t="e">
        <v>#N/A</v>
        <stp/>
        <stp>BDH|9046124063991148293</stp>
        <tr r="Q66" s="24"/>
      </tp>
      <tp t="e">
        <v>#N/A</v>
        <stp/>
        <stp>BDH|8597611466804553196</stp>
        <tr r="S31" s="10"/>
        <tr r="S25" s="11"/>
      </tp>
      <tp t="e">
        <v>#N/A</v>
        <stp/>
        <stp>BDH|4922039097149097930</stp>
        <tr r="G88" s="17"/>
      </tp>
      <tp t="e">
        <v>#N/A</v>
        <stp/>
        <stp>BDH|9997168644199066855</stp>
        <tr r="AA50" s="17"/>
      </tp>
      <tp t="e">
        <v>#N/A</v>
        <stp/>
        <stp>BDH|2569235938476763873</stp>
        <tr r="D10" s="8"/>
      </tp>
      <tp t="e">
        <v>#N/A</v>
        <stp/>
        <stp>BDH|9751011942844982436</stp>
        <tr r="Y31" s="25"/>
      </tp>
      <tp t="e">
        <v>#N/A</v>
        <stp/>
        <stp>BDH|2528887582169871696</stp>
        <tr r="S59" s="21"/>
        <tr r="Q56" s="11"/>
      </tp>
      <tp t="e">
        <v>#N/A</v>
        <stp/>
        <stp>BDH|2123903501316821064</stp>
        <tr r="O29" s="12"/>
      </tp>
      <tp t="e">
        <v>#N/A</v>
        <stp/>
        <stp>BDH|1758486384462188248</stp>
        <tr r="Z16" s="17"/>
        <tr r="Z19" s="28"/>
      </tp>
      <tp t="e">
        <v>#N/A</v>
        <stp/>
        <stp>BDH|8892548578031233685</stp>
        <tr r="I21" s="5"/>
      </tp>
      <tp t="e">
        <v>#N/A</v>
        <stp/>
        <stp>BDH|7659694391342907795</stp>
        <tr r="J155" s="18"/>
      </tp>
      <tp t="e">
        <v>#N/A</v>
        <stp/>
        <stp>BDH|2835611377439030703</stp>
        <tr r="F117" s="18"/>
      </tp>
      <tp t="e">
        <v>#N/A</v>
        <stp/>
        <stp>BDH|7054806338267531634</stp>
        <tr r="P92" s="18"/>
      </tp>
      <tp t="e">
        <v>#N/A</v>
        <stp/>
        <stp>BDH|1375637867759823513</stp>
        <tr r="X35" s="21"/>
      </tp>
      <tp t="e">
        <v>#N/A</v>
        <stp/>
        <stp>BDH|1996717444516245907</stp>
        <tr r="AA23" s="25"/>
        <tr r="AA13" s="27"/>
      </tp>
      <tp t="e">
        <v>#N/A</v>
        <stp/>
        <stp>BDH|4878813065192740559</stp>
        <tr r="F10" s="10"/>
      </tp>
      <tp t="e">
        <v>#N/A</v>
        <stp/>
        <stp>BDH|5743777895542296494</stp>
        <tr r="I23" s="20"/>
      </tp>
      <tp t="e">
        <v>#N/A</v>
        <stp/>
        <stp>BDH|8559917887784880057</stp>
        <tr r="E34" s="25"/>
      </tp>
      <tp t="e">
        <v>#N/A</v>
        <stp/>
        <stp>BDH|2728686468128001798</stp>
        <tr r="R14" s="6"/>
      </tp>
      <tp t="e">
        <v>#N/A</v>
        <stp/>
        <stp>BDH|8319886599026415289</stp>
        <tr r="P59" s="18"/>
      </tp>
      <tp t="e">
        <v>#N/A</v>
        <stp/>
        <stp>BDH|5689806829190848295</stp>
        <tr r="Q18" s="30"/>
      </tp>
      <tp t="e">
        <v>#N/A</v>
        <stp/>
        <stp>BDH|8573484207620532107</stp>
        <tr r="W46" s="12"/>
      </tp>
      <tp t="e">
        <v>#N/A</v>
        <stp/>
        <stp>BDH|9555225806497621185</stp>
        <tr r="X141" s="18"/>
      </tp>
      <tp t="e">
        <v>#N/A</v>
        <stp/>
        <stp>BDH|7188976801104996714</stp>
        <tr r="T21" s="20"/>
      </tp>
      <tp t="e">
        <v>#N/A</v>
        <stp/>
        <stp>BDH|9372625772706554392</stp>
        <tr r="U36" s="4"/>
      </tp>
      <tp t="e">
        <v>#N/A</v>
        <stp/>
        <stp>BDH|9375208159782284172</stp>
        <tr r="X10" s="11"/>
      </tp>
      <tp t="e">
        <v>#N/A</v>
        <stp/>
        <stp>BDH|5831747494581619715</stp>
        <tr r="P165" s="18"/>
      </tp>
      <tp t="e">
        <v>#N/A</v>
        <stp/>
        <stp>BDH|4304933628916793406</stp>
        <tr r="L17" s="20"/>
      </tp>
      <tp t="e">
        <v>#N/A</v>
        <stp/>
        <stp>BDH|9070317304876954138</stp>
        <tr r="U36" s="18"/>
      </tp>
      <tp t="e">
        <v>#N/A</v>
        <stp/>
        <stp>BDH|8305105789534112844</stp>
        <tr r="M51" s="18"/>
      </tp>
      <tp t="e">
        <v>#N/A</v>
        <stp/>
        <stp>BDH|1169626189972193045</stp>
        <tr r="P10" s="22"/>
      </tp>
      <tp t="e">
        <v>#N/A</v>
        <stp/>
        <stp>BDH|7897069675815548819</stp>
        <tr r="E73" s="10"/>
        <tr r="E67" s="11"/>
      </tp>
      <tp t="e">
        <v>#N/A</v>
        <stp/>
        <stp>BDH|1908430248574537883</stp>
        <tr r="AA10" s="17"/>
      </tp>
      <tp t="e">
        <v>#N/A</v>
        <stp/>
        <stp>BDH|9027584609056701792</stp>
        <tr r="O8" s="10"/>
      </tp>
      <tp t="e">
        <v>#N/A</v>
        <stp/>
        <stp>BDH|5221037788502316256</stp>
        <tr r="M39" s="12"/>
      </tp>
      <tp t="e">
        <v>#N/A</v>
        <stp/>
        <stp>BDH|7896061902553238919</stp>
        <tr r="C17" s="22"/>
      </tp>
      <tp t="e">
        <v>#N/A</v>
        <stp/>
        <stp>BDH|2033098476521718978</stp>
        <tr r="G31" s="25"/>
      </tp>
      <tp t="e">
        <v>#N/A</v>
        <stp/>
        <stp>BDH|6654311389241706160</stp>
        <tr r="K10" s="30"/>
      </tp>
      <tp t="e">
        <v>#N/A</v>
        <stp/>
        <stp>BDH|8850377502367210106</stp>
        <tr r="V34" s="12"/>
      </tp>
      <tp t="e">
        <v>#N/A</v>
        <stp/>
        <stp>BDH|6400122445487579998</stp>
        <tr r="X17" s="4"/>
        <tr r="Z10" s="3"/>
        <tr r="X55" s="10"/>
        <tr r="X49" s="11"/>
        <tr r="X17" s="7"/>
        <tr r="Z49" s="13"/>
      </tp>
      <tp t="e">
        <v>#N/A</v>
        <stp/>
        <stp>BDH|7351359437488862267</stp>
        <tr r="L55" s="17"/>
      </tp>
      <tp t="e">
        <v>#N/A</v>
        <stp/>
        <stp>BDH|8780165942639800943</stp>
        <tr r="C22" s="24"/>
      </tp>
      <tp t="e">
        <v>#N/A</v>
        <stp/>
        <stp>BDH|3012968779265535553</stp>
        <tr r="Y39" s="22"/>
      </tp>
      <tp t="e">
        <v>#N/A</v>
        <stp/>
        <stp>BDH|5152252487506507499</stp>
        <tr r="P38" s="22"/>
      </tp>
      <tp t="e">
        <v>#N/A</v>
        <stp/>
        <stp>BDH|2021992897469694677</stp>
        <tr r="G13" s="11"/>
      </tp>
      <tp t="e">
        <v>#N/A</v>
        <stp/>
        <stp>BDH|8732085267067092472</stp>
        <tr r="S122" s="18"/>
      </tp>
      <tp t="e">
        <v>#N/A</v>
        <stp/>
        <stp>BDH|1743546519158174049</stp>
        <tr r="G23" s="13"/>
      </tp>
      <tp t="e">
        <v>#N/A</v>
        <stp/>
        <stp>BDH|4248184099663833248</stp>
        <tr r="R37" s="24"/>
      </tp>
      <tp t="e">
        <v>#N/A</v>
        <stp/>
        <stp>BDH|4630400355731988950</stp>
        <tr r="V36" s="10"/>
        <tr r="V30" s="11"/>
        <tr r="X39" s="13"/>
      </tp>
      <tp t="e">
        <v>#N/A</v>
        <stp/>
        <stp>BDH|7007179887756949565</stp>
        <tr r="Y6" s="28"/>
      </tp>
      <tp t="e">
        <v>#N/A</v>
        <stp/>
        <stp>BDH|3892914043941439218</stp>
        <tr r="S55" s="18"/>
      </tp>
      <tp t="e">
        <v>#N/A</v>
        <stp/>
        <stp>BDH|1034143447849940052</stp>
        <tr r="O8" s="18"/>
      </tp>
      <tp t="e">
        <v>#N/A</v>
        <stp/>
        <stp>BDH|1287431768956371859</stp>
        <tr r="S13" s="2"/>
      </tp>
      <tp t="e">
        <v>#N/A</v>
        <stp/>
        <stp>BDH|3802800427293052709</stp>
        <tr r="I140" s="18"/>
      </tp>
      <tp t="e">
        <v>#N/A</v>
        <stp/>
        <stp>BDH|4798705867410917858</stp>
        <tr r="Z27" s="26"/>
        <tr r="W14" s="9"/>
      </tp>
      <tp t="e">
        <v>#N/A</v>
        <stp/>
        <stp>BDH|4639661059392141844</stp>
        <tr r="J55" s="13"/>
      </tp>
      <tp t="e">
        <v>#N/A</v>
        <stp/>
        <stp>BDH|8262765383523220995</stp>
        <tr r="J85" s="18"/>
      </tp>
      <tp t="e">
        <v>#N/A</v>
        <stp/>
        <stp>BDH|9506495452140161532</stp>
        <tr r="P10" s="4"/>
        <tr r="O6" s="16"/>
        <tr r="R6" s="3"/>
        <tr r="P6" s="11"/>
      </tp>
      <tp t="e">
        <v>#N/A</v>
        <stp/>
        <stp>BDH|3611003948518109237</stp>
        <tr r="X127" s="18"/>
      </tp>
      <tp t="e">
        <v>#N/A</v>
        <stp/>
        <stp>BDH|9724238197419851678</stp>
        <tr r="C13" s="22"/>
      </tp>
      <tp t="e">
        <v>#N/A</v>
        <stp/>
        <stp>BDH|7044943868224968190</stp>
        <tr r="J167" s="18"/>
      </tp>
      <tp t="e">
        <v>#N/A</v>
        <stp/>
        <stp>BDH|5553450898572000743</stp>
        <tr r="C36" s="17"/>
      </tp>
      <tp t="e">
        <v>#N/A</v>
        <stp/>
        <stp>BDH|1559166614689312586</stp>
        <tr r="U17" s="11"/>
      </tp>
      <tp t="e">
        <v>#N/A</v>
        <stp/>
        <stp>BDH|3807895213650741795</stp>
        <tr r="G33" s="22"/>
      </tp>
      <tp t="e">
        <v>#N/A</v>
        <stp/>
        <stp>BDH|4734620428849485451</stp>
        <tr r="M31" s="34"/>
      </tp>
      <tp t="e">
        <v>#N/A</v>
        <stp/>
        <stp>BDH|5564456771732402995</stp>
        <tr r="P17" s="4"/>
        <tr r="R10" s="3"/>
        <tr r="P55" s="10"/>
        <tr r="P49" s="11"/>
        <tr r="P17" s="7"/>
        <tr r="R49" s="13"/>
      </tp>
      <tp t="e">
        <v>#N/A</v>
        <stp/>
        <stp>BDH|2921802468612467392</stp>
        <tr r="H52" s="24"/>
      </tp>
      <tp t="e">
        <v>#N/A</v>
        <stp/>
        <stp>BDH|9932461800307045737</stp>
        <tr r="T117" s="18"/>
      </tp>
      <tp t="e">
        <v>#N/A</v>
        <stp/>
        <stp>BDH|7535719738059865789</stp>
        <tr r="V18" s="29"/>
        <tr r="V38" s="29"/>
      </tp>
      <tp t="e">
        <v>#N/A</v>
        <stp/>
        <stp>BDH|4771382391593158030</stp>
        <tr r="O37" s="6"/>
      </tp>
      <tp t="e">
        <v>#N/A</v>
        <stp/>
        <stp>BDH|8831451347781196479</stp>
        <tr r="Q26" s="13"/>
      </tp>
      <tp t="e">
        <v>#N/A</v>
        <stp/>
        <stp>BDH|9499483244934542012</stp>
        <tr r="J50" s="4"/>
      </tp>
      <tp t="e">
        <v>#N/A</v>
        <stp/>
        <stp>BDH|7303580300436125962</stp>
        <tr r="J110" s="18"/>
        <tr r="H11" s="20"/>
      </tp>
      <tp t="e">
        <v>#N/A</v>
        <stp/>
        <stp>BDH|1958397040582901953</stp>
        <tr r="T10" s="23"/>
      </tp>
      <tp t="e">
        <v>#N/A</v>
        <stp/>
        <stp>BDH|8008164246075423581</stp>
        <tr r="I17" s="24"/>
      </tp>
      <tp t="e">
        <v>#N/A</v>
        <stp/>
        <stp>BDH|4745748194713281495</stp>
        <tr r="N12" s="18"/>
      </tp>
      <tp t="e">
        <v>#N/A</v>
        <stp/>
        <stp>BDH|2838912486498264615</stp>
        <tr r="K75" s="18"/>
      </tp>
      <tp t="e">
        <v>#N/A</v>
        <stp/>
        <stp>BDH|6197064265674783995</stp>
        <tr r="N6" s="27"/>
      </tp>
      <tp t="e">
        <v>#N/A</v>
        <stp/>
        <stp>BDH|4914387005569871302</stp>
        <tr r="W8" s="12"/>
      </tp>
      <tp t="e">
        <v>#N/A</v>
        <stp/>
        <stp>BDH|6824611185533162619</stp>
        <tr r="L25" s="4"/>
        <tr r="L64" s="10"/>
      </tp>
      <tp t="e">
        <v>#N/A</v>
        <stp/>
        <stp>BDH|7967581738579131548</stp>
        <tr r="I56" s="12"/>
      </tp>
      <tp t="e">
        <v>#N/A</v>
        <stp/>
        <stp>BDH|8091365739573792649</stp>
        <tr r="O42" s="34"/>
      </tp>
      <tp t="e">
        <v>#N/A</v>
        <stp/>
        <stp>BDH|5105108882478841971</stp>
        <tr r="X14" s="14"/>
      </tp>
      <tp t="e">
        <v>#N/A</v>
        <stp/>
        <stp>BDH|1582970120176810160</stp>
        <tr r="R8" s="13"/>
      </tp>
      <tp t="e">
        <v>#N/A</v>
        <stp/>
        <stp>BDH|9937738015704558661</stp>
        <tr r="Q7" s="8"/>
      </tp>
      <tp t="e">
        <v>#N/A</v>
        <stp/>
        <stp>BDH|4709443128468194766</stp>
        <tr r="M19" s="26"/>
      </tp>
      <tp t="e">
        <v>#N/A</v>
        <stp/>
        <stp>BDH|8548506235452984156</stp>
        <tr r="U72" s="12"/>
      </tp>
      <tp t="e">
        <v>#N/A</v>
        <stp/>
        <stp>BDH|2649862988067282865</stp>
        <tr r="P140" s="18"/>
      </tp>
      <tp t="e">
        <v>#N/A</v>
        <stp/>
        <stp>BDH|7875947447396208158</stp>
        <tr r="F21" s="26"/>
      </tp>
      <tp t="e">
        <v>#N/A</v>
        <stp/>
        <stp>BDH|4240774585142893442</stp>
        <tr r="Q99" s="18"/>
      </tp>
      <tp t="e">
        <v>#N/A</v>
        <stp/>
        <stp>BDH|3736914443172930108</stp>
        <tr r="P21" s="25"/>
        <tr r="P10" s="27"/>
      </tp>
      <tp t="e">
        <v>#N/A</v>
        <stp/>
        <stp>BDH|4995650385231727624</stp>
        <tr r="AA53" s="13"/>
      </tp>
      <tp t="e">
        <v>#N/A</v>
        <stp/>
        <stp>BDH|8247344419926123126</stp>
        <tr r="G70" s="17"/>
      </tp>
      <tp t="e">
        <v>#N/A</v>
        <stp/>
        <stp>BDH|7908183104788919308</stp>
        <tr r="I38" s="10"/>
        <tr r="I32" s="11"/>
      </tp>
      <tp t="e">
        <v>#N/A</v>
        <stp/>
        <stp>BDH|3683302138119737754</stp>
        <tr r="U14" s="25"/>
      </tp>
      <tp t="e">
        <v>#N/A</v>
        <stp/>
        <stp>BDH|2251984442943617125</stp>
        <tr r="K11" s="29"/>
      </tp>
      <tp t="e">
        <v>#N/A</v>
        <stp/>
        <stp>BDH|2496877667627054681</stp>
        <tr r="W78" s="12"/>
      </tp>
      <tp t="e">
        <v>#N/A</v>
        <stp/>
        <stp>BDH|9497413743357378391</stp>
        <tr r="R42" s="10"/>
        <tr r="R36" s="11"/>
      </tp>
      <tp t="e">
        <v>#N/A</v>
        <stp/>
        <stp>BDH|9084260802494173295</stp>
        <tr r="C25" s="6"/>
      </tp>
      <tp t="e">
        <v>#N/A</v>
        <stp/>
        <stp>BDH|1454821579774054738</stp>
        <tr r="K103" s="18"/>
      </tp>
      <tp t="e">
        <v>#N/A</v>
        <stp/>
        <stp>BDH|3182268900899949522</stp>
        <tr r="D27" s="6"/>
      </tp>
      <tp t="e">
        <v>#N/A</v>
        <stp/>
        <stp>BDH|4047932043125925144</stp>
        <tr r="S95" s="18"/>
      </tp>
      <tp t="e">
        <v>#N/A</v>
        <stp/>
        <stp>BDH|2892063086140497713</stp>
        <tr r="U125" s="18"/>
      </tp>
      <tp t="e">
        <v>#N/A</v>
        <stp/>
        <stp>BDH|1249144167053936852</stp>
        <tr r="Q24" s="22"/>
      </tp>
      <tp t="e">
        <v>#N/A</v>
        <stp/>
        <stp>BDH|2306275790673192789</stp>
        <tr r="L10" s="4"/>
        <tr r="K6" s="16"/>
        <tr r="N6" s="3"/>
        <tr r="L6" s="11"/>
      </tp>
      <tp t="e">
        <v>#N/A</v>
        <stp/>
        <stp>BDH|8470594963855509368</stp>
        <tr r="Y29" s="12"/>
      </tp>
      <tp t="e">
        <v>#N/A</v>
        <stp/>
        <stp>BDH|1406781498421941302</stp>
        <tr r="U24" s="26"/>
      </tp>
      <tp t="e">
        <v>#N/A</v>
        <stp/>
        <stp>BDH|6864943417626796518</stp>
        <tr r="K12" s="22"/>
      </tp>
      <tp t="e">
        <v>#N/A</v>
        <stp/>
        <stp>BDH|9018725209492238141</stp>
        <tr r="T120" s="18"/>
      </tp>
      <tp t="e">
        <v>#N/A</v>
        <stp/>
        <stp>BDH|8443872963463974840</stp>
        <tr r="L99" s="17"/>
      </tp>
      <tp t="e">
        <v>#N/A</v>
        <stp/>
        <stp>BDH|1812315216628565670</stp>
        <tr r="W13" s="2"/>
      </tp>
      <tp t="e">
        <v>#N/A</v>
        <stp/>
        <stp>BDH|3664066061551866947</stp>
        <tr r="AA56" s="12"/>
      </tp>
      <tp t="e">
        <v>#N/A</v>
        <stp/>
        <stp>BDH|4890276116318087243</stp>
        <tr r="U25" s="24"/>
      </tp>
      <tp t="e">
        <v>#N/A</v>
        <stp/>
        <stp>BDH|9839118450313265369</stp>
        <tr r="G14" s="21"/>
      </tp>
      <tp t="e">
        <v>#N/A</v>
        <stp/>
        <stp>BDH|1711720856578725691</stp>
        <tr r="I13" s="2"/>
      </tp>
      <tp t="e">
        <v>#N/A</v>
        <stp/>
        <stp>BDH|8335146508182519673</stp>
        <tr r="S76" s="12"/>
      </tp>
      <tp t="e">
        <v>#N/A</v>
        <stp/>
        <stp>BDH|2917952365672170254</stp>
        <tr r="J35" s="10"/>
        <tr r="J47" s="10"/>
        <tr r="J29" s="11"/>
        <tr r="J41" s="11"/>
      </tp>
      <tp t="e">
        <v>#N/A</v>
        <stp/>
        <stp>BDH|4377660994727461180</stp>
        <tr r="L101" s="18"/>
      </tp>
      <tp t="e">
        <v>#N/A</v>
        <stp/>
        <stp>BDH|8117069444357799694</stp>
        <tr r="W12" s="13"/>
      </tp>
      <tp t="e">
        <v>#N/A</v>
        <stp/>
        <stp>BDH|1835494405470097893</stp>
        <tr r="J76" s="12"/>
      </tp>
      <tp t="e">
        <v>#N/A</v>
        <stp/>
        <stp>BDH|9816331833375237179</stp>
        <tr r="S24" s="17"/>
      </tp>
      <tp t="e">
        <v>#N/A</v>
        <stp/>
        <stp>BDH|8870408955173044703</stp>
        <tr r="F37" s="21"/>
        <tr r="F24" s="3"/>
      </tp>
      <tp t="e">
        <v>#N/A</v>
        <stp/>
        <stp>BDH|3938634800801273950</stp>
        <tr r="U82" s="18"/>
      </tp>
      <tp t="e">
        <v>#N/A</v>
        <stp/>
        <stp>BDH|6588459374469080196</stp>
        <tr r="K56" s="17"/>
        <tr r="K17" s="3"/>
      </tp>
      <tp t="e">
        <v>#N/A</v>
        <stp/>
        <stp>BDH|4131308436749251083</stp>
        <tr r="P15" s="25"/>
      </tp>
      <tp t="e">
        <v>#N/A</v>
        <stp/>
        <stp>BDH|1236230112609978678</stp>
        <tr r="D6" s="28"/>
      </tp>
      <tp t="e">
        <v>#N/A</v>
        <stp/>
        <stp>BDH|4287397019699958261</stp>
        <tr r="M60" s="11"/>
        <tr r="O15" s="23"/>
      </tp>
      <tp t="e">
        <v>#N/A</v>
        <stp/>
        <stp>BDH|7857405211937153850</stp>
        <tr r="Q28" s="21"/>
      </tp>
      <tp t="e">
        <v>#N/A</v>
        <stp/>
        <stp>BDH|5366683996263694462</stp>
        <tr r="K120" s="18"/>
      </tp>
      <tp t="e">
        <v>#N/A</v>
        <stp/>
        <stp>BDH|7055285740769429519</stp>
        <tr r="R31" s="10"/>
        <tr r="R25" s="11"/>
      </tp>
      <tp t="e">
        <v>#N/A</v>
        <stp/>
        <stp>BDH|7455067074604932928</stp>
        <tr r="X59" s="17"/>
      </tp>
      <tp t="e">
        <v>#N/A</v>
        <stp/>
        <stp>BDH|6386989793948146342</stp>
        <tr r="U96" s="18"/>
      </tp>
      <tp t="e">
        <v>#N/A</v>
        <stp/>
        <stp>BDH|3234374216345373922</stp>
        <tr r="I36" s="4"/>
      </tp>
      <tp t="e">
        <v>#N/A</v>
        <stp/>
        <stp>BDH|6096423761870817992</stp>
        <tr r="J39" s="24"/>
      </tp>
      <tp t="e">
        <v>#N/A</v>
        <stp/>
        <stp>BDH|1204056585360014404</stp>
        <tr r="U62" s="12"/>
      </tp>
      <tp t="e">
        <v>#N/A</v>
        <stp/>
        <stp>BDH|9748055303034363007</stp>
        <tr r="X8" s="17"/>
      </tp>
      <tp t="e">
        <v>#N/A</v>
        <stp/>
        <stp>BDH|1885288964220111870</stp>
        <tr r="I9" s="34"/>
      </tp>
      <tp t="e">
        <v>#N/A</v>
        <stp/>
        <stp>BDH|5137655864210616846</stp>
        <tr r="N41" s="12"/>
      </tp>
      <tp t="e">
        <v>#N/A</v>
        <stp/>
        <stp>BDH|3333204583437373311</stp>
        <tr r="K24" s="25"/>
        <tr r="K14" s="27"/>
      </tp>
      <tp t="e">
        <v>#N/A</v>
        <stp/>
        <stp>BDH|2792644351128204429</stp>
        <tr r="H31" s="24"/>
      </tp>
      <tp t="e">
        <v>#N/A</v>
        <stp/>
        <stp>BDH|1327747825390832981</stp>
        <tr r="W20" s="10"/>
      </tp>
      <tp t="e">
        <v>#N/A</v>
        <stp/>
        <stp>BDH|4219440141118015155</stp>
        <tr r="P10" s="12"/>
      </tp>
      <tp t="e">
        <v>#N/A</v>
        <stp/>
        <stp>BDH|4598829004636604772</stp>
        <tr r="P44" s="13"/>
      </tp>
      <tp t="e">
        <v>#N/A</v>
        <stp/>
        <stp>BDH|8134056031640628615</stp>
        <tr r="X75" s="12"/>
      </tp>
      <tp t="e">
        <v>#N/A</v>
        <stp/>
        <stp>BDH|8882037517882659685</stp>
        <tr r="D19" s="12"/>
      </tp>
      <tp t="e">
        <v>#N/A</v>
        <stp/>
        <stp>BDH|1068969802864702111</stp>
        <tr r="N42" s="22"/>
      </tp>
      <tp t="e">
        <v>#N/A</v>
        <stp/>
        <stp>BDH|7385809024781249174</stp>
        <tr r="S22" s="9"/>
      </tp>
      <tp t="e">
        <v>#N/A</v>
        <stp/>
        <stp>BDH|2206581158858671768</stp>
        <tr r="V21" s="4"/>
      </tp>
      <tp t="e">
        <v>#N/A</v>
        <stp/>
        <stp>BDH|2418060862781374817</stp>
        <tr r="K66" s="17"/>
      </tp>
      <tp t="e">
        <v>#N/A</v>
        <stp/>
        <stp>BDH|8159385644887733582</stp>
        <tr r="P18" s="30"/>
      </tp>
      <tp t="e">
        <v>#N/A</v>
        <stp/>
        <stp>BDH|8833521626364816669</stp>
        <tr r="P62" s="24"/>
      </tp>
      <tp t="e">
        <v>#N/A</v>
        <stp/>
        <stp>BDH|6054177130578192147</stp>
        <tr r="V14" s="22"/>
      </tp>
      <tp t="e">
        <v>#N/A</v>
        <stp/>
        <stp>BDH|5540981215629321998</stp>
        <tr r="U22" s="26"/>
      </tp>
      <tp t="e">
        <v>#N/A</v>
        <stp/>
        <stp>BDH|8219276684028763749</stp>
        <tr r="I14" s="14"/>
      </tp>
      <tp t="e">
        <v>#N/A</v>
        <stp/>
        <stp>BDH|8437066541522094312</stp>
        <tr r="C21" s="9"/>
      </tp>
      <tp t="e">
        <v>#N/A</v>
        <stp/>
        <stp>BDH|7505879622605732557</stp>
        <tr r="P81" s="18"/>
      </tp>
      <tp t="e">
        <v>#N/A</v>
        <stp/>
        <stp>BDH|2030324813895673855</stp>
        <tr r="J30" s="12"/>
      </tp>
      <tp t="e">
        <v>#N/A</v>
        <stp/>
        <stp>BDH|5120046958405986865</stp>
        <tr r="H134" s="18"/>
      </tp>
      <tp t="e">
        <v>#N/A</v>
        <stp/>
        <stp>BDH|1452224594381566659</stp>
        <tr r="R66" s="17"/>
      </tp>
      <tp t="e">
        <v>#N/A</v>
        <stp/>
        <stp>BDH|8434434516725594565</stp>
        <tr r="T15" s="18"/>
      </tp>
      <tp t="e">
        <v>#N/A</v>
        <stp/>
        <stp>BDH|6320089098321232337</stp>
        <tr r="U34" s="24"/>
      </tp>
      <tp t="e">
        <v>#N/A</v>
        <stp/>
        <stp>BDH|4879376722639899171</stp>
        <tr r="D20" s="6"/>
      </tp>
      <tp t="e">
        <v>#N/A</v>
        <stp/>
        <stp>BDH|4616918431511324271</stp>
        <tr r="Z54" s="13"/>
      </tp>
      <tp t="e">
        <v>#N/A</v>
        <stp/>
        <stp>BDH|9423031242884419435</stp>
        <tr r="Y84" s="18"/>
      </tp>
      <tp t="e">
        <v>#N/A</v>
        <stp/>
        <stp>BDH|5329272060199672509</stp>
        <tr r="U42" s="10"/>
        <tr r="U36" s="11"/>
      </tp>
      <tp t="e">
        <v>#N/A</v>
        <stp/>
        <stp>BDH|8412446467204799323</stp>
        <tr r="E8" s="21"/>
      </tp>
      <tp t="e">
        <v>#N/A</v>
        <stp/>
        <stp>BDH|5495977225013766036</stp>
        <tr r="Q34" s="6"/>
        <tr r="S10" s="8"/>
      </tp>
      <tp t="e">
        <v>#N/A</v>
        <stp/>
        <stp>BDH|7102750792035509101</stp>
        <tr r="U77" s="18"/>
      </tp>
      <tp t="e">
        <v>#N/A</v>
        <stp/>
        <stp>BDH|8372942315975889895</stp>
        <tr r="R95" s="18"/>
      </tp>
      <tp t="e">
        <v>#N/A</v>
        <stp/>
        <stp>BDH|5661956619472171283</stp>
        <tr r="M11" s="14"/>
      </tp>
      <tp t="e">
        <v>#N/A</v>
        <stp/>
        <stp>BDH|6477321683621141177</stp>
        <tr r="G68" s="10"/>
      </tp>
      <tp t="e">
        <v>#N/A</v>
        <stp/>
        <stp>BDH|1102247571579441034</stp>
        <tr r="C35" s="26"/>
      </tp>
      <tp t="e">
        <v>#N/A</v>
        <stp/>
        <stp>BDH|1799761091521068339</stp>
        <tr r="Y20" s="22"/>
      </tp>
      <tp t="e">
        <v>#N/A</v>
        <stp/>
        <stp>BDH|5292484779963629864</stp>
        <tr r="M35" s="26"/>
      </tp>
      <tp t="e">
        <v>#N/A</v>
        <stp/>
        <stp>BDH|7743854414097454410</stp>
        <tr r="L58" s="17"/>
      </tp>
      <tp t="e">
        <v>#N/A</v>
        <stp/>
        <stp>BDH|1645138304835441864</stp>
        <tr r="Z17" s="18"/>
      </tp>
      <tp t="e">
        <v>#N/A</v>
        <stp/>
        <stp>BDH|4650966315524445526</stp>
        <tr r="M76" s="17"/>
      </tp>
      <tp t="e">
        <v>#N/A</v>
        <stp/>
        <stp>BDH|5858027086665899579</stp>
        <tr r="E14" s="17"/>
        <tr r="E17" s="28"/>
      </tp>
      <tp t="e">
        <v>#N/A</v>
        <stp/>
        <stp>BDH|8039072592355538935</stp>
        <tr r="M18" s="13"/>
      </tp>
      <tp t="e">
        <v>#N/A</v>
        <stp/>
        <stp>BDH|2289031847878358360</stp>
        <tr r="M61" s="24"/>
      </tp>
      <tp t="e">
        <v>#N/A</v>
        <stp/>
        <stp>BDH|5897855174297324098</stp>
        <tr r="N14" s="23"/>
      </tp>
      <tp t="e">
        <v>#N/A</v>
        <stp/>
        <stp>BDH|7581324295905738562</stp>
        <tr r="K65" s="21"/>
        <tr r="I23" s="7"/>
      </tp>
      <tp t="e">
        <v>#N/A</v>
        <stp/>
        <stp>BDH|8117951865408153236</stp>
        <tr r="O7" s="6"/>
      </tp>
      <tp t="e">
        <v>#N/A</v>
        <stp/>
        <stp>BDH|1440121232256348844</stp>
        <tr r="T60" s="12"/>
      </tp>
      <tp t="e">
        <v>#N/A</v>
        <stp/>
        <stp>BDH|5526595916598069493</stp>
        <tr r="L140" s="18"/>
      </tp>
      <tp t="e">
        <v>#N/A</v>
        <stp/>
        <stp>BDH|6512506639145726882</stp>
        <tr r="G20" s="6"/>
      </tp>
      <tp t="e">
        <v>#N/A</v>
        <stp/>
        <stp>BDH|7470970297288346247</stp>
        <tr r="K70" s="24"/>
      </tp>
      <tp t="e">
        <v>#N/A</v>
        <stp/>
        <stp>BDH|8284565331356588530</stp>
        <tr r="N36" s="22"/>
      </tp>
      <tp t="e">
        <v>#N/A</v>
        <stp/>
        <stp>BDH|1252419936398027364</stp>
        <tr r="S23" s="18"/>
      </tp>
      <tp t="e">
        <v>#N/A</v>
        <stp/>
        <stp>BDH|6121253396699572949</stp>
        <tr r="V41" s="18"/>
      </tp>
      <tp t="e">
        <v>#N/A</v>
        <stp/>
        <stp>BDH|5088833394090417902</stp>
        <tr r="T24" s="18"/>
      </tp>
      <tp t="e">
        <v>#N/A</v>
        <stp/>
        <stp>BDH|3789834476575012410</stp>
        <tr r="I34" s="34"/>
      </tp>
      <tp t="e">
        <v>#N/A</v>
        <stp/>
        <stp>BDH|9624212377845417472</stp>
        <tr r="M34" s="10"/>
        <tr r="M28" s="11"/>
      </tp>
      <tp t="e">
        <v>#N/A</v>
        <stp/>
        <stp>BDH|3739671832458284335</stp>
        <tr r="W16" s="14"/>
      </tp>
      <tp t="e">
        <v>#N/A</v>
        <stp/>
        <stp>BDH|7746877334755260459</stp>
        <tr r="I24" s="17"/>
      </tp>
      <tp t="e">
        <v>#N/A</v>
        <stp/>
        <stp>BDH|9298379753857005553</stp>
        <tr r="W51" s="17"/>
      </tp>
      <tp t="e">
        <v>#N/A</v>
        <stp/>
        <stp>BDH|5525378686591152261</stp>
        <tr r="I34" s="12"/>
      </tp>
      <tp t="e">
        <v>#N/A</v>
        <stp/>
        <stp>BDH|9261478433092179143</stp>
        <tr r="M89" s="17"/>
      </tp>
      <tp t="e">
        <v>#N/A</v>
        <stp/>
        <stp>BDH|2055981079800462160</stp>
        <tr r="S17" s="12"/>
      </tp>
      <tp t="e">
        <v>#N/A</v>
        <stp/>
        <stp>BDH|6608489332285803971</stp>
        <tr r="X85" s="18"/>
      </tp>
      <tp t="e">
        <v>#N/A</v>
        <stp/>
        <stp>BDH|9793131990829689512</stp>
        <tr r="X60" s="24"/>
      </tp>
      <tp t="e">
        <v>#N/A</v>
        <stp/>
        <stp>BDH|2905256997180056488</stp>
        <tr r="R63" s="12"/>
      </tp>
      <tp t="e">
        <v>#N/A</v>
        <stp/>
        <stp>BDH|9350413380151954988</stp>
        <tr r="K49" s="21"/>
      </tp>
      <tp t="e">
        <v>#N/A</v>
        <stp/>
        <stp>BDH|8648647082588331308</stp>
        <tr r="V20" s="2"/>
        <tr r="V18" s="4"/>
        <tr r="V57" s="10"/>
        <tr r="V51" s="11"/>
        <tr r="V19" s="7"/>
        <tr r="X57" s="13"/>
      </tp>
      <tp t="e">
        <v>#N/A</v>
        <stp/>
        <stp>BDH|3771522995506045439</stp>
        <tr r="S19" s="20"/>
      </tp>
      <tp t="e">
        <v>#N/A</v>
        <stp/>
        <stp>BDH|8485608907102382134</stp>
        <tr r="Y157" s="18"/>
      </tp>
      <tp t="e">
        <v>#N/A</v>
        <stp/>
        <stp>BDH|8363918578568936304</stp>
        <tr r="S41" s="10"/>
        <tr r="S35" s="11"/>
      </tp>
      <tp t="e">
        <v>#N/A</v>
        <stp/>
        <stp>BDH|4006951057514706168</stp>
        <tr r="R18" s="24"/>
      </tp>
      <tp t="e">
        <v>#N/A</v>
        <stp/>
        <stp>BDH|6269873325825559464</stp>
        <tr r="O30" s="12"/>
      </tp>
      <tp t="e">
        <v>#N/A</v>
        <stp/>
        <stp>BDH|1106848826745401343</stp>
        <tr r="AA30" s="18"/>
      </tp>
      <tp t="e">
        <v>#N/A</v>
        <stp/>
        <stp>BDH|3153539634059055156</stp>
        <tr r="Y68" s="24"/>
      </tp>
      <tp t="e">
        <v>#N/A</v>
        <stp/>
        <stp>BDH|1002956861897675416</stp>
        <tr r="U8" s="28"/>
      </tp>
      <tp t="e">
        <v>#N/A</v>
        <stp/>
        <stp>BDH|1732856878562187187</stp>
        <tr r="E14" s="2"/>
        <tr r="E11" s="10"/>
      </tp>
      <tp t="e">
        <v>#N/A</v>
        <stp/>
        <stp>BDH|5180457007334971895</stp>
        <tr r="I154" s="18"/>
      </tp>
      <tp t="e">
        <v>#N/A</v>
        <stp/>
        <stp>BDH|3973888240273950189</stp>
        <tr r="T46" s="10"/>
        <tr r="T40" s="11"/>
      </tp>
      <tp t="e">
        <v>#N/A</v>
        <stp/>
        <stp>BDH|5367270803408278255</stp>
        <tr r="S42" s="13"/>
      </tp>
      <tp t="e">
        <v>#N/A</v>
        <stp/>
        <stp>BDH|1319456496793404240</stp>
        <tr r="AA45" s="21"/>
      </tp>
      <tp t="e">
        <v>#N/A</v>
        <stp/>
        <stp>BDH|1984948626020310782</stp>
        <tr r="S14" s="2"/>
        <tr r="S11" s="10"/>
      </tp>
      <tp t="e">
        <v>#N/A</v>
        <stp/>
        <stp>BDH|5446260041387414975</stp>
        <tr r="F61" s="18"/>
      </tp>
      <tp t="e">
        <v>#N/A</v>
        <stp/>
        <stp>BDH|5680940374232394451</stp>
        <tr r="X9" s="11"/>
      </tp>
      <tp t="e">
        <v>#N/A</v>
        <stp/>
        <stp>BDH|3241174806789230616</stp>
        <tr r="U83" s="17"/>
      </tp>
      <tp t="e">
        <v>#N/A</v>
        <stp/>
        <stp>BDH|8236215865563035264</stp>
        <tr r="F17" s="12"/>
      </tp>
      <tp t="e">
        <v>#N/A</v>
        <stp/>
        <stp>BDH|5981070768818178673</stp>
        <tr r="Y31" s="18"/>
      </tp>
      <tp t="e">
        <v>#N/A</v>
        <stp/>
        <stp>BDH|6976947456031900627</stp>
        <tr r="V33" s="17"/>
      </tp>
      <tp t="e">
        <v>#N/A</v>
        <stp/>
        <stp>BDH|3288189819397667953</stp>
        <tr r="Z34" s="22"/>
      </tp>
      <tp t="e">
        <v>#N/A</v>
        <stp/>
        <stp>BDH|4710305530289274056</stp>
        <tr r="G6" s="19"/>
        <tr r="G37" s="17"/>
        <tr r="G16" s="3"/>
      </tp>
      <tp t="e">
        <v>#N/A</v>
        <stp/>
        <stp>BDH|3874173347168137390</stp>
        <tr r="R52" s="12"/>
      </tp>
      <tp t="e">
        <v>#N/A</v>
        <stp/>
        <stp>BDH|4235420931409750764</stp>
        <tr r="X33" s="17"/>
      </tp>
      <tp t="e">
        <v>#N/A</v>
        <stp/>
        <stp>BDH|6785800575636156232</stp>
        <tr r="G61" s="21"/>
      </tp>
      <tp t="e">
        <v>#N/A</v>
        <stp/>
        <stp>BDH|2197840360581076052</stp>
        <tr r="O14" s="13"/>
      </tp>
      <tp t="e">
        <v>#N/A</v>
        <stp/>
        <stp>BDH|8078214832717286314</stp>
        <tr r="AA41" s="17"/>
      </tp>
      <tp t="e">
        <v>#N/A</v>
        <stp/>
        <stp>BDH|2108009493651213706</stp>
        <tr r="E42" s="22"/>
      </tp>
      <tp t="e">
        <v>#N/A</v>
        <stp/>
        <stp>BDH|8500938952019092049</stp>
        <tr r="W88" s="17"/>
      </tp>
      <tp t="e">
        <v>#N/A</v>
        <stp/>
        <stp>BDH|4963311439648531149</stp>
        <tr r="X26" s="12"/>
      </tp>
      <tp t="e">
        <v>#N/A</v>
        <stp/>
        <stp>BDH|3905523898924084639</stp>
        <tr r="V97" s="18"/>
      </tp>
      <tp t="e">
        <v>#N/A</v>
        <stp/>
        <stp>BDH|9978915772588840229</stp>
        <tr r="R87" s="17"/>
        <tr r="R20" s="3"/>
        <tr r="P6" s="7"/>
      </tp>
      <tp t="e">
        <v>#N/A</v>
        <stp/>
        <stp>BDH|3729730207819058032</stp>
        <tr r="N26" s="6"/>
      </tp>
      <tp t="e">
        <v>#N/A</v>
        <stp/>
        <stp>BDH|3635216910415146868</stp>
        <tr r="G156" s="18"/>
      </tp>
      <tp t="e">
        <v>#N/A</v>
        <stp/>
        <stp>BDH|9361786942781981603</stp>
        <tr r="I51" s="10"/>
        <tr r="I45" s="11"/>
        <tr r="I15" s="7"/>
      </tp>
      <tp t="e">
        <v>#N/A</v>
        <stp/>
        <stp>BDH|2409013921258549519</stp>
        <tr r="I17" s="18"/>
      </tp>
      <tp t="e">
        <v>#N/A</v>
        <stp/>
        <stp>BDH|7786642190780261517</stp>
        <tr r="H128" s="18"/>
      </tp>
      <tp t="e">
        <v>#N/A</v>
        <stp/>
        <stp>BDH|6650749582420660461</stp>
        <tr r="R79" s="17"/>
      </tp>
      <tp t="e">
        <v>#N/A</v>
        <stp/>
        <stp>BDH|4722775380680994696</stp>
        <tr r="H9" s="3"/>
        <tr r="F50" s="10"/>
        <tr r="F44" s="11"/>
        <tr r="F14" s="7"/>
      </tp>
      <tp t="e">
        <v>#N/A</v>
        <stp/>
        <stp>BDH|6892781890913539643</stp>
        <tr r="G18" s="17"/>
      </tp>
      <tp t="e">
        <v>#N/A</v>
        <stp/>
        <stp>BDH|3220132475049552105</stp>
        <tr r="E49" s="17"/>
      </tp>
      <tp t="e">
        <v>#N/A</v>
        <stp/>
        <stp>BDH|1003713842119241606</stp>
        <tr r="Q22" s="25"/>
        <tr r="Q12" s="27"/>
      </tp>
      <tp t="e">
        <v>#N/A</v>
        <stp/>
        <stp>BDH|6218226489484136593</stp>
        <tr r="V17" s="22"/>
      </tp>
      <tp t="e">
        <v>#N/A</v>
        <stp/>
        <stp>BDH|8919616110087862513</stp>
        <tr r="D96" s="18"/>
      </tp>
      <tp t="e">
        <v>#N/A</v>
        <stp/>
        <stp>BDH|8275641817436745474</stp>
        <tr r="H36" s="24"/>
      </tp>
      <tp t="e">
        <v>#N/A</v>
        <stp/>
        <stp>BDH|9402012020067222164</stp>
        <tr r="E95" s="18"/>
      </tp>
      <tp t="e">
        <v>#N/A</v>
        <stp/>
        <stp>BDH|1859322884712907564</stp>
        <tr r="L21" s="5"/>
      </tp>
      <tp t="e">
        <v>#N/A</v>
        <stp/>
        <stp>BDH|5840281843566402864</stp>
        <tr r="M24" s="29"/>
      </tp>
      <tp t="e">
        <v>#N/A</v>
        <stp/>
        <stp>BDH|9098606135632554318</stp>
        <tr r="C14" s="11"/>
      </tp>
      <tp t="e">
        <v>#N/A</v>
        <stp/>
        <stp>BDH|3936241428376706836</stp>
        <tr r="T42" s="18"/>
      </tp>
      <tp t="e">
        <v>#N/A</v>
        <stp/>
        <stp>BDH|8180003403963311605</stp>
        <tr r="Q54" s="12"/>
      </tp>
      <tp t="e">
        <v>#N/A</v>
        <stp/>
        <stp>BDH|3570770794427728708</stp>
        <tr r="K13" s="12"/>
      </tp>
      <tp t="e">
        <v>#N/A</v>
        <stp/>
        <stp>BDH|9511219402103721503</stp>
        <tr r="V34" s="17"/>
      </tp>
      <tp t="e">
        <v>#N/A</v>
        <stp/>
        <stp>BDH|1105374799903767593</stp>
        <tr r="M79" s="18"/>
      </tp>
      <tp t="e">
        <v>#N/A</v>
        <stp/>
        <stp>BDH|2714828041646658532</stp>
        <tr r="AA14" s="20"/>
      </tp>
      <tp t="e">
        <v>#N/A</v>
        <stp/>
        <stp>BDH|3760059302316532844</stp>
        <tr r="J25" s="13"/>
      </tp>
      <tp t="e">
        <v>#N/A</v>
        <stp/>
        <stp>BDH|4602628180740725726</stp>
        <tr r="M33" s="26"/>
      </tp>
      <tp t="e">
        <v>#N/A</v>
        <stp/>
        <stp>BDH|1384660842367119971</stp>
        <tr r="Z26" s="12"/>
      </tp>
      <tp t="e">
        <v>#N/A</v>
        <stp/>
        <stp>BDH|7923168298276652407</stp>
        <tr r="AA33" s="12"/>
      </tp>
      <tp t="e">
        <v>#N/A</v>
        <stp/>
        <stp>BDH|9061574970896056065</stp>
        <tr r="O83" s="17"/>
      </tp>
      <tp t="e">
        <v>#N/A</v>
        <stp/>
        <stp>BDH|6268929546460085679</stp>
        <tr r="U100" s="18"/>
      </tp>
      <tp t="e">
        <v>#N/A</v>
        <stp/>
        <stp>BDH|3769989305963343488</stp>
        <tr r="L31" s="18"/>
      </tp>
      <tp t="e">
        <v>#N/A</v>
        <stp/>
        <stp>BDH|8216857855970271815</stp>
        <tr r="X13" s="9"/>
      </tp>
      <tp t="e">
        <v>#N/A</v>
        <stp/>
        <stp>BDH|4422620238908966461</stp>
        <tr r="E46" s="21"/>
      </tp>
      <tp t="e">
        <v>#N/A</v>
        <stp/>
        <stp>BDH|8437743000106898494</stp>
        <tr r="O36" s="24"/>
      </tp>
      <tp t="e">
        <v>#N/A</v>
        <stp/>
        <stp>BDH|2807691031949865390</stp>
        <tr r="R57" s="18"/>
      </tp>
      <tp t="e">
        <v>#N/A</v>
        <stp/>
        <stp>BDH|4473155083320697056</stp>
        <tr r="O165" s="18"/>
      </tp>
      <tp t="e">
        <v>#N/A</v>
        <stp/>
        <stp>BDH|3727281784611339598</stp>
        <tr r="C15" s="25"/>
      </tp>
      <tp t="e">
        <v>#N/A</v>
        <stp/>
        <stp>BDH|6700114560565333932</stp>
        <tr r="H34" s="10"/>
        <tr r="H28" s="11"/>
      </tp>
      <tp t="e">
        <v>#N/A</v>
        <stp/>
        <stp>BDH|2233167900667355917</stp>
        <tr r="V16" s="12"/>
      </tp>
      <tp t="e">
        <v>#N/A</v>
        <stp/>
        <stp>BDH|5084663495820627732</stp>
        <tr r="T27" s="21"/>
      </tp>
      <tp t="e">
        <v>#N/A</v>
        <stp/>
        <stp>BDH|5009973457222538631</stp>
        <tr r="Q65" s="17"/>
      </tp>
      <tp t="e">
        <v>#N/A</v>
        <stp/>
        <stp>BDH|9718921547390508910</stp>
        <tr r="N13" s="6"/>
      </tp>
      <tp t="e">
        <v>#N/A</v>
        <stp/>
        <stp>BDH|8686199199485124814</stp>
        <tr r="O8" s="27"/>
      </tp>
      <tp t="e">
        <v>#N/A</v>
        <stp/>
        <stp>BDH|3327638781738266859</stp>
        <tr r="V101" s="18"/>
      </tp>
      <tp t="e">
        <v>#N/A</v>
        <stp/>
        <stp>BDH|8862025613635876170</stp>
        <tr r="AA97" s="18"/>
      </tp>
      <tp t="e">
        <v>#N/A</v>
        <stp/>
        <stp>BDH|4493473798474495092</stp>
        <tr r="K97" s="17"/>
        <tr r="K7" s="27"/>
      </tp>
      <tp t="e">
        <v>#N/A</v>
        <stp/>
        <stp>BDH|8294620234413715359</stp>
        <tr r="Q16" s="26"/>
      </tp>
      <tp t="e">
        <v>#N/A</v>
        <stp/>
        <stp>BDH|6147333189322888259</stp>
        <tr r="M32" s="10"/>
        <tr r="M26" s="11"/>
      </tp>
      <tp t="e">
        <v>#N/A</v>
        <stp/>
        <stp>BDH|2670713884006191648</stp>
        <tr r="K12" s="24"/>
      </tp>
      <tp t="e">
        <v>#N/A</v>
        <stp/>
        <stp>BDH|3064906381239038675</stp>
        <tr r="I22" s="5"/>
      </tp>
      <tp t="e">
        <v>#N/A</v>
        <stp/>
        <stp>BDH|3208590919083709937</stp>
        <tr r="U77" s="17"/>
      </tp>
      <tp t="e">
        <v>#N/A</v>
        <stp/>
        <stp>BDH|9981023930936446191</stp>
        <tr r="T9" s="10"/>
      </tp>
      <tp t="e">
        <v>#N/A</v>
        <stp/>
        <stp>BDH|4564907123440149216</stp>
        <tr r="AA16" s="23"/>
      </tp>
      <tp t="e">
        <v>#N/A</v>
        <stp/>
        <stp>BDH|9469182767714867752</stp>
        <tr r="P26" s="18"/>
      </tp>
      <tp t="e">
        <v>#N/A</v>
        <stp/>
        <stp>BDH|6122103977488818583</stp>
        <tr r="O13" s="14"/>
      </tp>
      <tp t="e">
        <v>#N/A</v>
        <stp/>
        <stp>BDH|2726672411901572927</stp>
        <tr r="J42" s="22"/>
      </tp>
      <tp t="e">
        <v>#N/A</v>
        <stp/>
        <stp>BDH|9113811261612490836</stp>
        <tr r="J168" s="18"/>
      </tp>
      <tp t="e">
        <v>#N/A</v>
        <stp/>
        <stp>BDH|5753212075264157949</stp>
        <tr r="D82" s="18"/>
      </tp>
      <tp t="e">
        <v>#N/A</v>
        <stp/>
        <stp>BDH|7059858218586979526</stp>
        <tr r="U42" s="22"/>
      </tp>
      <tp t="e">
        <v>#N/A</v>
        <stp/>
        <stp>BDH|7433977795923734976</stp>
        <tr r="AA26" s="13"/>
      </tp>
      <tp t="e">
        <v>#N/A</v>
        <stp/>
        <stp>BDH|2294946411305273233</stp>
        <tr r="H64" s="24"/>
      </tp>
      <tp t="e">
        <v>#N/A</v>
        <stp/>
        <stp>BDH|7792466662339739124</stp>
        <tr r="F13" s="29"/>
        <tr r="F22" s="29"/>
        <tr r="F33" s="29"/>
      </tp>
      <tp t="e">
        <v>#N/A</v>
        <stp/>
        <stp>BDH|6103297788619181873</stp>
        <tr r="L18" s="20"/>
      </tp>
      <tp t="e">
        <v>#N/A</v>
        <stp/>
        <stp>BDH|8780660926181543047</stp>
        <tr r="AA79" s="12"/>
      </tp>
      <tp t="e">
        <v>#N/A</v>
        <stp/>
        <stp>BDH|9998627458621743626</stp>
        <tr r="H20" s="30"/>
      </tp>
      <tp t="e">
        <v>#N/A</v>
        <stp/>
        <stp>BDH|6469943722475730538</stp>
        <tr r="Q146" s="18"/>
      </tp>
      <tp t="e">
        <v>#N/A</v>
        <stp/>
        <stp>BDH|3785402883350575273</stp>
        <tr r="J16" s="21"/>
      </tp>
      <tp t="e">
        <v>#N/A</v>
        <stp/>
        <stp>BDH|7196172585782134142</stp>
        <tr r="W8" s="20"/>
      </tp>
      <tp t="e">
        <v>#N/A</v>
        <stp/>
        <stp>BDH|8638255102262519529</stp>
        <tr r="U27" s="26"/>
        <tr r="R14" s="9"/>
      </tp>
      <tp t="e">
        <v>#N/A</v>
        <stp/>
        <stp>BDH|9214014919655865049</stp>
        <tr r="AA31" s="26"/>
      </tp>
      <tp t="e">
        <v>#N/A</v>
        <stp/>
        <stp>BDH|1495777397431436366</stp>
        <tr r="O21" s="3"/>
      </tp>
      <tp t="e">
        <v>#N/A</v>
        <stp/>
        <stp>BDH|8031734306575699755</stp>
        <tr r="G28" s="4"/>
      </tp>
      <tp t="e">
        <v>#N/A</v>
        <stp/>
        <stp>BDH|9069402286909426141</stp>
        <tr r="U31" s="17"/>
      </tp>
      <tp t="e">
        <v>#N/A</v>
        <stp/>
        <stp>BDH|8612157826657361108</stp>
        <tr r="M42" s="13"/>
      </tp>
      <tp t="e">
        <v>#N/A</v>
        <stp/>
        <stp>BDH|8354597718663533206</stp>
        <tr r="W17" s="17"/>
        <tr r="W20" s="28"/>
      </tp>
      <tp t="e">
        <v>#N/A</v>
        <stp/>
        <stp>BDH|9633554404094608566</stp>
        <tr r="S32" s="6"/>
        <tr r="U6" s="8"/>
      </tp>
      <tp t="e">
        <v>#N/A</v>
        <stp/>
        <stp>BDH|8957485456443174712</stp>
        <tr r="W76" s="18"/>
      </tp>
      <tp t="e">
        <v>#N/A</v>
        <stp/>
        <stp>BDH|5192851244141718509</stp>
        <tr r="G29" s="17"/>
      </tp>
      <tp t="e">
        <v>#N/A</v>
        <stp/>
        <stp>BDH|4277610658548508293</stp>
        <tr r="C64" s="12"/>
      </tp>
      <tp t="e">
        <v>#N/A</v>
        <stp/>
        <stp>BDH|5901186175048236615</stp>
        <tr r="N63" s="24"/>
      </tp>
      <tp t="e">
        <v>#N/A</v>
        <stp/>
        <stp>BDH|3795731467467084844</stp>
        <tr r="R36" s="4"/>
      </tp>
      <tp t="e">
        <v>#N/A</v>
        <stp/>
        <stp>BDH|4720903794541532814</stp>
        <tr r="Q151" s="18"/>
      </tp>
      <tp t="e">
        <v>#N/A</v>
        <stp/>
        <stp>BDH|6050978315806010557</stp>
        <tr r="N31" s="17"/>
      </tp>
      <tp t="e">
        <v>#N/A</v>
        <stp/>
        <stp>BDH|9683808180260959484</stp>
        <tr r="E23" s="11"/>
      </tp>
      <tp t="e">
        <v>#N/A</v>
        <stp/>
        <stp>BDH|8577060770770308273</stp>
        <tr r="O7" s="30"/>
      </tp>
      <tp t="e">
        <v>#N/A</v>
        <stp/>
        <stp>BDH|8246875727019116642</stp>
        <tr r="H7" s="23"/>
      </tp>
      <tp t="e">
        <v>#N/A</v>
        <stp/>
        <stp>BDH|7469663546560509862</stp>
        <tr r="P25" s="3"/>
      </tp>
      <tp t="e">
        <v>#N/A</v>
        <stp/>
        <stp>BDH|8809261815652435481</stp>
        <tr r="G75" s="18"/>
      </tp>
      <tp t="e">
        <v>#N/A</v>
        <stp/>
        <stp>BDH|8352873132547275931</stp>
        <tr r="W76" s="12"/>
      </tp>
      <tp t="e">
        <v>#N/A</v>
        <stp/>
        <stp>BDH|8074677160343678661</stp>
        <tr r="C38" s="4"/>
        <tr r="C59" s="11"/>
        <tr r="E13" s="23"/>
      </tp>
      <tp t="e">
        <v>#N/A</v>
        <stp/>
        <stp>BDH|3985291204809063533</stp>
        <tr r="E60" s="21"/>
      </tp>
      <tp t="e">
        <v>#N/A</v>
        <stp/>
        <stp>BDH|7257041591044985798</stp>
        <tr r="N48" s="12"/>
      </tp>
      <tp t="e">
        <v>#N/A</v>
        <stp/>
        <stp>BDH|1789995557825653584</stp>
        <tr r="X73" s="24"/>
      </tp>
      <tp t="e">
        <v>#N/A</v>
        <stp/>
        <stp>BDH|6471186729459116133</stp>
        <tr r="D77" s="12"/>
      </tp>
      <tp t="e">
        <v>#N/A</v>
        <stp/>
        <stp>BDH|9117015377586026504</stp>
        <tr r="F25" s="4"/>
        <tr r="F64" s="10"/>
      </tp>
      <tp t="e">
        <v>#N/A</v>
        <stp/>
        <stp>BDH|9416987084722800777</stp>
        <tr r="Q26" s="22"/>
      </tp>
      <tp t="e">
        <v>#N/A</v>
        <stp/>
        <stp>BDH|7923703698603528733</stp>
        <tr r="J12" s="12"/>
      </tp>
      <tp t="e">
        <v>#N/A</v>
        <stp/>
        <stp>BDH|4185723086181314712</stp>
        <tr r="X74" s="18"/>
      </tp>
      <tp t="e">
        <v>#N/A</v>
        <stp/>
        <stp>BDH|5152188449788517522</stp>
        <tr r="M80" s="18"/>
      </tp>
      <tp t="e">
        <v>#N/A</v>
        <stp/>
        <stp>BDH|1518052203369513519</stp>
        <tr r="V34" s="21"/>
      </tp>
      <tp t="e">
        <v>#N/A</v>
        <stp/>
        <stp>BDH|1655974959536757689</stp>
        <tr r="C11" s="28"/>
      </tp>
      <tp t="e">
        <v>#N/A</v>
        <stp/>
        <stp>BDH|3032878735625753023</stp>
        <tr r="AA9" s="27"/>
      </tp>
      <tp t="e">
        <v>#N/A</v>
        <stp/>
        <stp>BDH|2708178340638772202</stp>
        <tr r="AA24" s="26"/>
      </tp>
      <tp t="e">
        <v>#N/A</v>
        <stp/>
        <stp>BDH|9910055708643691751</stp>
        <tr r="V59" s="12"/>
      </tp>
      <tp t="e">
        <v>#N/A</v>
        <stp/>
        <stp>BDH|7682640184731432551</stp>
        <tr r="V142" s="18"/>
      </tp>
      <tp t="e">
        <v>#N/A</v>
        <stp/>
        <stp>BDH|3935018009658303650</stp>
        <tr r="Q130" s="18"/>
      </tp>
      <tp t="e">
        <v>#N/A</v>
        <stp/>
        <stp>BDH|6798326793239715860</stp>
        <tr r="Y98" s="17"/>
        <tr r="Y13" s="28"/>
      </tp>
      <tp t="e">
        <v>#N/A</v>
        <stp/>
        <stp>BDH|6894855556506938056</stp>
        <tr r="I15" s="17"/>
        <tr r="I18" s="28"/>
      </tp>
      <tp t="e">
        <v>#N/A</v>
        <stp/>
        <stp>BDH|7983672978919362229</stp>
        <tr r="I52" s="24"/>
      </tp>
      <tp t="e">
        <v>#N/A</v>
        <stp/>
        <stp>BDH|2761490179338586452</stp>
        <tr r="R27" s="21"/>
      </tp>
      <tp t="e">
        <v>#N/A</v>
        <stp/>
        <stp>BDH|6829717757510082997</stp>
        <tr r="N10" s="13"/>
      </tp>
      <tp t="e">
        <v>#N/A</v>
        <stp/>
        <stp>BDH|4573975007237572779</stp>
        <tr r="S109" s="18"/>
        <tr r="Q9" s="20"/>
      </tp>
      <tp t="e">
        <v>#N/A</v>
        <stp/>
        <stp>BDH|3330054509788966618</stp>
        <tr r="N35" s="21"/>
      </tp>
      <tp t="e">
        <v>#N/A</v>
        <stp/>
        <stp>BDH|7056121499454951664</stp>
        <tr r="N40" s="17"/>
      </tp>
      <tp t="e">
        <v>#N/A</v>
        <stp/>
        <stp>BDH|7425842253004617310</stp>
        <tr r="C43" s="18"/>
      </tp>
      <tp t="e">
        <v>#N/A</v>
        <stp/>
        <stp>BDH|1612705970019514574</stp>
        <tr r="K48" s="21"/>
      </tp>
      <tp t="e">
        <v>#N/A</v>
        <stp/>
        <stp>BDH|8888250397847944975</stp>
        <tr r="K78" s="18"/>
      </tp>
      <tp t="e">
        <v>#N/A</v>
        <stp/>
        <stp>BDH|7335428474269323028</stp>
        <tr r="K35" s="10"/>
        <tr r="K47" s="10"/>
        <tr r="K29" s="11"/>
        <tr r="K41" s="11"/>
      </tp>
      <tp t="e">
        <v>#N/A</v>
        <stp/>
        <stp>BDH|4599235993503487152</stp>
        <tr r="L65" s="24"/>
      </tp>
      <tp t="e">
        <v>#N/A</v>
        <stp/>
        <stp>BDH|5282915576750883691</stp>
        <tr r="AA74" s="12"/>
      </tp>
      <tp t="e">
        <v>#N/A</v>
        <stp/>
        <stp>BDH|9487205866162185277</stp>
        <tr r="M13" s="9"/>
      </tp>
      <tp t="e">
        <v>#N/A</v>
        <stp/>
        <stp>BDH|2683384019209492475</stp>
        <tr r="C52" s="21"/>
      </tp>
      <tp t="e">
        <v>#N/A</v>
        <stp/>
        <stp>BDH|1523860832180110740</stp>
        <tr r="H66" s="21"/>
      </tp>
      <tp t="e">
        <v>#N/A</v>
        <stp/>
        <stp>BDH|1108876465734111662</stp>
        <tr r="O14" s="17"/>
        <tr r="O17" s="28"/>
      </tp>
      <tp t="e">
        <v>#N/A</v>
        <stp/>
        <stp>BDH|1140711712393574933</stp>
        <tr r="R52" s="18"/>
      </tp>
      <tp t="e">
        <v>#N/A</v>
        <stp/>
        <stp>BDH|8878740787608645297</stp>
        <tr r="T143" s="18"/>
      </tp>
      <tp t="e">
        <v>#N/A</v>
        <stp/>
        <stp>BDH|1226856463265562755</stp>
        <tr r="P14" s="22"/>
      </tp>
      <tp t="e">
        <v>#N/A</v>
        <stp/>
        <stp>BDH|8097097509305010049</stp>
        <tr r="J21" s="26"/>
      </tp>
      <tp t="e">
        <v>#N/A</v>
        <stp/>
        <stp>BDH|5638551092640173446</stp>
        <tr r="Z72" s="24"/>
      </tp>
      <tp t="e">
        <v>#N/A</v>
        <stp/>
        <stp>BDH|9397198115026831236</stp>
        <tr r="G28" s="22"/>
      </tp>
      <tp t="e">
        <v>#N/A</v>
        <stp/>
        <stp>BDH|9028357204550215775</stp>
        <tr r="O27" s="6"/>
      </tp>
      <tp t="e">
        <v>#N/A</v>
        <stp/>
        <stp>BDH|2073812602483050473</stp>
        <tr r="X94" s="17"/>
      </tp>
      <tp t="e">
        <v>#N/A</v>
        <stp/>
        <stp>BDH|1019585792493972371</stp>
        <tr r="P29" s="24"/>
      </tp>
      <tp t="e">
        <v>#N/A</v>
        <stp/>
        <stp>BDH|4238822197681743945</stp>
        <tr r="L38" s="18"/>
      </tp>
      <tp t="e">
        <v>#N/A</v>
        <stp/>
        <stp>BDH|8010334053440113359</stp>
        <tr r="P21" s="27"/>
      </tp>
      <tp t="e">
        <v>#N/A</v>
        <stp/>
        <stp>BDH|9351194730424895265</stp>
        <tr r="K22" s="22"/>
      </tp>
      <tp t="e">
        <v>#N/A</v>
        <stp/>
        <stp>BDH|9762459260774438222</stp>
        <tr r="S118" s="18"/>
      </tp>
      <tp t="e">
        <v>#N/A</v>
        <stp/>
        <stp>BDH|5785885108141765142</stp>
        <tr r="K12" s="7"/>
      </tp>
      <tp t="e">
        <v>#N/A</v>
        <stp/>
        <stp>BDH|5504828707279669924</stp>
        <tr r="O24" s="4"/>
        <tr r="O58" s="11"/>
      </tp>
      <tp t="e">
        <v>#N/A</v>
        <stp/>
        <stp>BDH|5109022292809165844</stp>
        <tr r="V82" s="18"/>
      </tp>
      <tp t="e">
        <v>#N/A</v>
        <stp/>
        <stp>BDH|9309167060550695373</stp>
        <tr r="M21" s="25"/>
        <tr r="M10" s="27"/>
      </tp>
      <tp t="e">
        <v>#N/A</v>
        <stp/>
        <stp>BDH|4083475623106232925</stp>
        <tr r="M27" s="26"/>
        <tr r="J14" s="9"/>
      </tp>
      <tp t="e">
        <v>#N/A</v>
        <stp/>
        <stp>BDH|3586399790430914419</stp>
        <tr r="Q9" s="27"/>
      </tp>
      <tp t="e">
        <v>#N/A</v>
        <stp/>
        <stp>BDH|1991004099087373277</stp>
        <tr r="P135" s="18"/>
      </tp>
      <tp t="e">
        <v>#N/A</v>
        <stp/>
        <stp>BDH|7799445734139049435</stp>
        <tr r="V23" s="11"/>
      </tp>
      <tp t="e">
        <v>#N/A</v>
        <stp/>
        <stp>BDH|6105859568140801504</stp>
        <tr r="C53" s="13"/>
      </tp>
      <tp t="e">
        <v>#N/A</v>
        <stp/>
        <stp>BDH|2071820984197632849</stp>
        <tr r="O14" s="8"/>
      </tp>
      <tp t="e">
        <v>#N/A</v>
        <stp/>
        <stp>BDH|6734716719118387583</stp>
        <tr r="J53" s="13"/>
      </tp>
      <tp t="e">
        <v>#N/A</v>
        <stp/>
        <stp>BDH|3616837565966199659</stp>
        <tr r="V15" s="24"/>
      </tp>
      <tp t="e">
        <v>#N/A</v>
        <stp/>
        <stp>BDH|3452340174802411842</stp>
        <tr r="F28" s="25"/>
        <tr r="F18" s="27"/>
      </tp>
      <tp t="e">
        <v>#N/A</v>
        <stp/>
        <stp>BDH|8439294748692493149</stp>
        <tr r="M25" s="12"/>
      </tp>
      <tp t="e">
        <v>#N/A</v>
        <stp/>
        <stp>BDH|5337090885144305493</stp>
        <tr r="Y25" s="3"/>
      </tp>
      <tp t="e">
        <v>#N/A</v>
        <stp/>
        <stp>BDH|6088100260634066859</stp>
        <tr r="R10" s="23"/>
      </tp>
      <tp t="e">
        <v>#N/A</v>
        <stp/>
        <stp>BDH|4302593095971222488</stp>
        <tr r="W11" s="3"/>
        <tr r="U49" s="10"/>
        <tr r="U43" s="11"/>
        <tr r="U8" s="7"/>
      </tp>
      <tp t="e">
        <v>#N/A</v>
        <stp/>
        <stp>BDH|9730615460230376403</stp>
        <tr r="O107" s="18"/>
        <tr r="M7" s="20"/>
      </tp>
      <tp t="e">
        <v>#N/A</v>
        <stp/>
        <stp>BDH|9552534436350411213</stp>
        <tr r="V21" s="3"/>
      </tp>
      <tp t="e">
        <v>#N/A</v>
        <stp/>
        <stp>BDH|5328108905911003833</stp>
        <tr r="D28" s="5"/>
      </tp>
      <tp t="e">
        <v>#N/A</v>
        <stp/>
        <stp>BDH|2200201825266777954</stp>
        <tr r="S48" s="18"/>
      </tp>
      <tp t="e">
        <v>#N/A</v>
        <stp/>
        <stp>BDH|7277447762218547045</stp>
        <tr r="Y136" s="18"/>
      </tp>
      <tp t="e">
        <v>#N/A</v>
        <stp/>
        <stp>BDH|4461913455757004257</stp>
        <tr r="J90" s="17"/>
      </tp>
      <tp t="e">
        <v>#N/A</v>
        <stp/>
        <stp>BDH|6447021591625545772</stp>
        <tr r="S18" s="30"/>
      </tp>
      <tp t="e">
        <v>#N/A</v>
        <stp/>
        <stp>BDH|9458207022381373503</stp>
        <tr r="F56" s="17"/>
        <tr r="F17" s="3"/>
      </tp>
      <tp t="e">
        <v>#N/A</v>
        <stp/>
        <stp>BDH|8729440659282848671</stp>
        <tr r="M23" s="17"/>
        <tr r="M15" s="3"/>
      </tp>
      <tp t="e">
        <v>#N/A</v>
        <stp/>
        <stp>BDH|6154347684600272067</stp>
        <tr r="U20" s="2"/>
        <tr r="U18" s="4"/>
        <tr r="U57" s="10"/>
        <tr r="U51" s="11"/>
        <tr r="U19" s="7"/>
        <tr r="W57" s="13"/>
      </tp>
      <tp t="e">
        <v>#N/A</v>
        <stp/>
        <stp>BDH|1609446696396905781</stp>
        <tr r="J122" s="18"/>
      </tp>
      <tp t="e">
        <v>#N/A</v>
        <stp/>
        <stp>BDH|4918564784603732794</stp>
        <tr r="R10" s="13"/>
      </tp>
      <tp t="e">
        <v>#N/A</v>
        <stp/>
        <stp>BDH|6842227384601398088</stp>
        <tr r="I41" s="18"/>
      </tp>
      <tp t="e">
        <v>#N/A</v>
        <stp/>
        <stp>BDH|8075935222276137854</stp>
        <tr r="W66" s="18"/>
      </tp>
      <tp t="e">
        <v>#N/A</v>
        <stp/>
        <stp>BDH|3955381457210475877</stp>
        <tr r="F17" s="24"/>
      </tp>
      <tp t="e">
        <v>#N/A</v>
        <stp/>
        <stp>BDH|8713446864646279100</stp>
        <tr r="R7" s="17"/>
      </tp>
      <tp t="e">
        <v>#N/A</v>
        <stp/>
        <stp>BDH|4664674901627758827</stp>
        <tr r="Z8" s="28"/>
      </tp>
      <tp t="e">
        <v>#N/A</v>
        <stp/>
        <stp>BDH|2607426999934911617</stp>
        <tr r="U36" s="10"/>
        <tr r="U30" s="11"/>
        <tr r="W39" s="13"/>
      </tp>
      <tp t="e">
        <v>#N/A</v>
        <stp/>
        <stp>BDH|5289377840767907890</stp>
        <tr r="K27" s="22"/>
      </tp>
      <tp t="e">
        <v>#N/A</v>
        <stp/>
        <stp>BDH|1073443245534288861</stp>
        <tr r="Y100" s="18"/>
      </tp>
      <tp t="e">
        <v>#N/A</v>
        <stp/>
        <stp>BDH|1764517788366201799</stp>
        <tr r="O11" s="18"/>
      </tp>
      <tp t="e">
        <v>#N/A</v>
        <stp/>
        <stp>BDH|3524815027836416225</stp>
        <tr r="C43" s="12"/>
      </tp>
      <tp t="e">
        <v>#N/A</v>
        <stp/>
        <stp>BDH|5054778235935176968</stp>
        <tr r="H30" s="34"/>
      </tp>
      <tp t="e">
        <v>#N/A</v>
        <stp/>
        <stp>BDH|6295037949516455995</stp>
        <tr r="Q41" s="13"/>
      </tp>
      <tp t="e">
        <v>#N/A</v>
        <stp/>
        <stp>BDH|5271325973044387851</stp>
        <tr r="I70" s="17"/>
      </tp>
      <tp t="e">
        <v>#N/A</v>
        <stp/>
        <stp>BDH|5557699400118826615</stp>
        <tr r="Z162" s="18"/>
      </tp>
      <tp t="e">
        <v>#N/A</v>
        <stp/>
        <stp>BDH|2904661980639889825</stp>
        <tr r="X68" s="24"/>
      </tp>
      <tp t="e">
        <v>#N/A</v>
        <stp/>
        <stp>BDH|8716173823397797112</stp>
        <tr r="H14" s="21"/>
      </tp>
      <tp t="e">
        <v>#N/A</v>
        <stp/>
        <stp>BDH|6091869950990304604</stp>
        <tr r="W8" s="17"/>
      </tp>
      <tp t="e">
        <v>#N/A</v>
        <stp/>
        <stp>BDH|4967285897620510269</stp>
        <tr r="Y31" s="22"/>
      </tp>
      <tp t="e">
        <v>#N/A</v>
        <stp/>
        <stp>BDH|7792864993718110366</stp>
        <tr r="R14" s="2"/>
        <tr r="R11" s="10"/>
      </tp>
      <tp t="e">
        <v>#N/A</v>
        <stp/>
        <stp>BDH|7555270033999109250</stp>
        <tr r="G14" s="6"/>
      </tp>
      <tp t="e">
        <v>#N/A</v>
        <stp/>
        <stp>BDH|3569554880263245078</stp>
        <tr r="I10" s="30"/>
      </tp>
      <tp t="e">
        <v>#N/A</v>
        <stp/>
        <stp>BDH|6045848807585208645</stp>
        <tr r="X16" s="21"/>
      </tp>
      <tp t="e">
        <v>#N/A</v>
        <stp/>
        <stp>BDH|2382948257947210477</stp>
        <tr r="Q59" s="18"/>
      </tp>
      <tp t="e">
        <v>#N/A</v>
        <stp/>
        <stp>BDH|8359660138098124898</stp>
        <tr r="Q97" s="18"/>
      </tp>
      <tp t="e">
        <v>#N/A</v>
        <stp/>
        <stp>BDH|6484262903631752837</stp>
        <tr r="K22" s="20"/>
      </tp>
      <tp t="e">
        <v>#N/A</v>
        <stp/>
        <stp>BDH|9492363372648748826</stp>
        <tr r="R163" s="18"/>
      </tp>
      <tp t="e">
        <v>#N/A</v>
        <stp/>
        <stp>BDH|2521609180501558055</stp>
        <tr r="K18" s="23"/>
      </tp>
      <tp t="e">
        <v>#N/A</v>
        <stp/>
        <stp>BDH|86605181276674821</stp>
        <tr r="V20" s="30"/>
      </tp>
      <tp t="e">
        <v>#N/A</v>
        <stp/>
        <stp>BDH|88975032433206922</stp>
        <tr r="E62" s="11"/>
      </tp>
      <tp t="e">
        <v>#N/A</v>
        <stp/>
        <stp>BDH|60378677514776029</stp>
        <tr r="V21" s="18"/>
      </tp>
      <tp t="e">
        <v>#N/A</v>
        <stp/>
        <stp>BDH|30464309403601797</stp>
        <tr r="AA23" s="17"/>
        <tr r="AA15" s="3"/>
      </tp>
      <tp t="e">
        <v>#N/A</v>
        <stp/>
        <stp>BDH|74679842611711334</stp>
        <tr r="I28" s="12"/>
      </tp>
      <tp t="e">
        <v>#N/A</v>
        <stp/>
        <stp>BDH|94354509627044424</stp>
        <tr r="U47" s="17"/>
      </tp>
      <tp t="e">
        <v>#N/A</v>
        <stp/>
        <stp>BDH|68250849732091436</stp>
        <tr r="W42" s="22"/>
      </tp>
      <tp t="e">
        <v>#N/A</v>
        <stp/>
        <stp>BDH|94401478247365447</stp>
        <tr r="W14" s="11"/>
      </tp>
      <tp t="e">
        <v>#N/A</v>
        <stp/>
        <stp>BDH|97397292069614314</stp>
        <tr r="R20" s="27"/>
      </tp>
      <tp t="e">
        <v>#N/A</v>
        <stp/>
        <stp>BDH|36738731171859570</stp>
        <tr r="M23" s="11"/>
      </tp>
      <tp t="e">
        <v>#N/A</v>
        <stp/>
        <stp>BDH|14149432953522187</stp>
        <tr r="D8" s="12"/>
      </tp>
      <tp t="e">
        <v>#N/A</v>
        <stp/>
        <stp>BDH|42894496869762813</stp>
        <tr r="S23" s="20"/>
      </tp>
      <tp t="e">
        <v>#N/A</v>
        <stp/>
        <stp>BDH|40480749752867200</stp>
        <tr r="X56" s="18"/>
      </tp>
      <tp t="e">
        <v>#N/A</v>
        <stp/>
        <stp>BDH|6497374433148981035</stp>
        <tr r="J58" s="21"/>
        <tr r="J33" s="25"/>
        <tr r="H31" s="4"/>
        <tr r="H55" s="11"/>
      </tp>
      <tp t="e">
        <v>#N/A</v>
        <stp/>
        <stp>BDH|8778952111379902707</stp>
        <tr r="K27" s="25"/>
        <tr r="H14" s="5"/>
        <tr r="K17" s="27"/>
      </tp>
      <tp t="e">
        <v>#N/A</v>
        <stp/>
        <stp>BDH|3098871351929943954</stp>
        <tr r="R101" s="18"/>
      </tp>
      <tp t="e">
        <v>#N/A</v>
        <stp/>
        <stp>BDH|5448852471070369490</stp>
        <tr r="W7" s="4"/>
      </tp>
      <tp t="e">
        <v>#N/A</v>
        <stp/>
        <stp>BDH|8663404454357960017</stp>
        <tr r="O30" s="29"/>
        <tr r="O8" s="29"/>
      </tp>
      <tp t="e">
        <v>#N/A</v>
        <stp/>
        <stp>BDH|5538365891106959712</stp>
        <tr r="N24" s="18"/>
      </tp>
      <tp t="e">
        <v>#N/A</v>
        <stp/>
        <stp>BDH|4333040525081131993</stp>
        <tr r="K23" s="26"/>
      </tp>
      <tp t="e">
        <v>#N/A</v>
        <stp/>
        <stp>BDH|5900925358763880418</stp>
        <tr r="O43" s="13"/>
      </tp>
      <tp t="e">
        <v>#N/A</v>
        <stp/>
        <stp>BDH|4993743997046696261</stp>
        <tr r="W124" s="18"/>
      </tp>
      <tp t="e">
        <v>#N/A</v>
        <stp/>
        <stp>BDH|2338718169964135903</stp>
        <tr r="I55" s="12"/>
      </tp>
      <tp t="e">
        <v>#N/A</v>
        <stp/>
        <stp>BDH|1178443821791863860</stp>
        <tr r="E22" s="4"/>
      </tp>
      <tp t="e">
        <v>#N/A</v>
        <stp/>
        <stp>BDH|4827835322927135729</stp>
        <tr r="V34" s="24"/>
      </tp>
      <tp t="e">
        <v>#N/A</v>
        <stp/>
        <stp>BDH|8676368962705981614</stp>
        <tr r="G12" s="21"/>
      </tp>
      <tp t="e">
        <v>#N/A</v>
        <stp/>
        <stp>BDH|2991936872980121233</stp>
        <tr r="Q13" s="8"/>
      </tp>
      <tp t="e">
        <v>#N/A</v>
        <stp/>
        <stp>BDH|3246424522113832805</stp>
        <tr r="P9" s="23"/>
      </tp>
      <tp t="e">
        <v>#N/A</v>
        <stp/>
        <stp>BDH|7389538380380346491</stp>
        <tr r="V13" s="18"/>
      </tp>
      <tp t="e">
        <v>#N/A</v>
        <stp/>
        <stp>BDH|4126906259703265503</stp>
        <tr r="F33" s="22"/>
      </tp>
      <tp t="e">
        <v>#N/A</v>
        <stp/>
        <stp>BDH|1672755582039222999</stp>
        <tr r="C63" s="24"/>
      </tp>
      <tp t="e">
        <v>#N/A</v>
        <stp/>
        <stp>BDH|6699375380964254799</stp>
        <tr r="Z97" s="17"/>
        <tr r="Z7" s="27"/>
      </tp>
      <tp t="e">
        <v>#N/A</v>
        <stp/>
        <stp>BDH|7230489362303078827</stp>
        <tr r="P34" s="17"/>
      </tp>
      <tp t="e">
        <v>#N/A</v>
        <stp/>
        <stp>BDH|2873525897987705703</stp>
        <tr r="F11" s="9"/>
      </tp>
      <tp t="e">
        <v>#N/A</v>
        <stp/>
        <stp>BDH|9985091971422820237</stp>
        <tr r="H28" s="25"/>
        <tr r="H18" s="27"/>
      </tp>
      <tp t="e">
        <v>#N/A</v>
        <stp/>
        <stp>BDH|9971286589985121831</stp>
        <tr r="O89" s="18"/>
      </tp>
      <tp t="e">
        <v>#N/A</v>
        <stp/>
        <stp>BDH|6709015169957161940</stp>
        <tr r="U7" s="28"/>
      </tp>
      <tp t="e">
        <v>#N/A</v>
        <stp/>
        <stp>BDH|8813568219545839755</stp>
        <tr r="J51" s="18"/>
      </tp>
      <tp t="e">
        <v>#N/A</v>
        <stp/>
        <stp>BDH|8765447479396376338</stp>
        <tr r="M10" s="24"/>
      </tp>
      <tp t="e">
        <v>#N/A</v>
        <stp/>
        <stp>BDH|1718908921816484285</stp>
        <tr r="Q43" s="17"/>
      </tp>
      <tp t="e">
        <v>#N/A</v>
        <stp/>
        <stp>BDH|4708895906134004628</stp>
        <tr r="W9" s="23"/>
      </tp>
      <tp t="e">
        <v>#N/A</v>
        <stp/>
        <stp>BDH|6965921710184798460</stp>
        <tr r="D20" s="22"/>
      </tp>
      <tp t="e">
        <v>#N/A</v>
        <stp/>
        <stp>BDH|5068862520708958958</stp>
        <tr r="H62" s="18"/>
      </tp>
      <tp t="e">
        <v>#N/A</v>
        <stp/>
        <stp>BDH|7784806165965105299</stp>
        <tr r="S149" s="18"/>
      </tp>
      <tp t="e">
        <v>#N/A</v>
        <stp/>
        <stp>BDH|3108161790695996040</stp>
        <tr r="O6" s="15"/>
        <tr r="O12" s="2"/>
        <tr r="O11" s="4"/>
        <tr r="O6" s="10"/>
      </tp>
      <tp t="e">
        <v>#N/A</v>
        <stp/>
        <stp>BDH|2939540547445300839</stp>
        <tr r="L16" s="26"/>
      </tp>
      <tp t="e">
        <v>#N/A</v>
        <stp/>
        <stp>BDH|9901448450247519125</stp>
        <tr r="D98" s="18"/>
      </tp>
      <tp t="e">
        <v>#N/A</v>
        <stp/>
        <stp>BDH|7446236397752829029</stp>
        <tr r="S32" s="12"/>
      </tp>
      <tp t="e">
        <v>#N/A</v>
        <stp/>
        <stp>BDH|5276755793830879563</stp>
        <tr r="Z23" s="26"/>
      </tp>
      <tp t="e">
        <v>#N/A</v>
        <stp/>
        <stp>BDH|8115413030332341384</stp>
        <tr r="D13" s="17"/>
        <tr r="D16" s="28"/>
      </tp>
      <tp t="e">
        <v>#N/A</v>
        <stp/>
        <stp>BDH|7939831607315073467</stp>
        <tr r="S6" s="15"/>
        <tr r="S12" s="2"/>
        <tr r="S11" s="4"/>
        <tr r="S6" s="10"/>
      </tp>
      <tp t="e">
        <v>#N/A</v>
        <stp/>
        <stp>BDH|9451013729482116762</stp>
        <tr r="P61" s="12"/>
      </tp>
      <tp t="e">
        <v>#N/A</v>
        <stp/>
        <stp>BDH|2453574337149653395</stp>
        <tr r="J19" s="11"/>
      </tp>
      <tp t="e">
        <v>#N/A</v>
        <stp/>
        <stp>BDH|5981614017789732538</stp>
        <tr r="G55" s="12"/>
      </tp>
      <tp t="e">
        <v>#N/A</v>
        <stp/>
        <stp>BDH|2100002285367746386</stp>
        <tr r="N36" s="24"/>
      </tp>
      <tp t="e">
        <v>#N/A</v>
        <stp/>
        <stp>BDH|8118556237660177095</stp>
        <tr r="T42" s="17"/>
      </tp>
      <tp t="e">
        <v>#N/A</v>
        <stp/>
        <stp>BDH|3637676293456159486</stp>
        <tr r="Q54" s="21"/>
      </tp>
      <tp t="e">
        <v>#N/A</v>
        <stp/>
        <stp>BDH|2218071737717045891</stp>
        <tr r="I49" s="4"/>
      </tp>
      <tp t="e">
        <v>#N/A</v>
        <stp/>
        <stp>BDH|1560869408042736579</stp>
        <tr r="H32" s="34"/>
      </tp>
      <tp t="e">
        <v>#N/A</v>
        <stp/>
        <stp>BDH|5367312125368585298</stp>
        <tr r="W61" s="12"/>
      </tp>
      <tp t="e">
        <v>#N/A</v>
        <stp/>
        <stp>BDH|9710686033695664710</stp>
        <tr r="F14" s="23"/>
      </tp>
      <tp t="e">
        <v>#N/A</v>
        <stp/>
        <stp>BDH|4137604050219911032</stp>
        <tr r="G18" s="9"/>
      </tp>
      <tp t="e">
        <v>#N/A</v>
        <stp/>
        <stp>BDH|3572430059714400806</stp>
        <tr r="G85" s="18"/>
      </tp>
      <tp t="e">
        <v>#N/A</v>
        <stp/>
        <stp>BDH|4352812370742046792</stp>
        <tr r="Z39" s="12"/>
      </tp>
      <tp t="e">
        <v>#N/A</v>
        <stp/>
        <stp>BDH|5061790702694746872</stp>
        <tr r="Q92" s="18"/>
      </tp>
      <tp t="e">
        <v>#N/A</v>
        <stp/>
        <stp>BDH|4803478818636820945</stp>
        <tr r="J60" s="17"/>
      </tp>
      <tp t="e">
        <v>#N/A</v>
        <stp/>
        <stp>BDH|6227755886953929434</stp>
        <tr r="L24" s="18"/>
      </tp>
      <tp t="e">
        <v>#N/A</v>
        <stp/>
        <stp>BDH|4084100025089631080</stp>
        <tr r="W95" s="17"/>
        <tr r="W30" s="25"/>
      </tp>
      <tp t="e">
        <v>#N/A</v>
        <stp/>
        <stp>BDH|9039540422926969646</stp>
        <tr r="K68" s="18"/>
      </tp>
      <tp t="e">
        <v>#N/A</v>
        <stp/>
        <stp>BDH|6685743895495555397</stp>
        <tr r="F30" s="18"/>
      </tp>
      <tp t="e">
        <v>#N/A</v>
        <stp/>
        <stp>BDH|4008389019098378093</stp>
        <tr r="N45" s="21"/>
      </tp>
      <tp t="e">
        <v>#N/A</v>
        <stp/>
        <stp>BDH|6461838321324433692</stp>
        <tr r="E18" s="6"/>
      </tp>
      <tp t="e">
        <v>#N/A</v>
        <stp/>
        <stp>BDH|9279104658582886191</stp>
        <tr r="G61" s="17"/>
      </tp>
      <tp t="e">
        <v>#N/A</v>
        <stp/>
        <stp>BDH|4706992210531689330</stp>
        <tr r="Z8" s="8"/>
      </tp>
      <tp t="e">
        <v>#N/A</v>
        <stp/>
        <stp>BDH|8586682536895496645</stp>
        <tr r="P32" s="10"/>
        <tr r="P26" s="11"/>
      </tp>
      <tp t="e">
        <v>#N/A</v>
        <stp/>
        <stp>BDH|6067807409623115307</stp>
        <tr r="Y14" s="2"/>
        <tr r="Y11" s="10"/>
      </tp>
      <tp t="e">
        <v>#N/A</v>
        <stp/>
        <stp>BDH|5747662792536804232</stp>
        <tr r="G15" s="18"/>
      </tp>
      <tp t="e">
        <v>#N/A</v>
        <stp/>
        <stp>BDH|7977069575026087827</stp>
        <tr r="E27" s="34"/>
      </tp>
      <tp t="e">
        <v>#N/A</v>
        <stp/>
        <stp>BDH|9201166471018966941</stp>
        <tr r="G141" s="18"/>
      </tp>
      <tp t="e">
        <v>#N/A</v>
        <stp/>
        <stp>BDH|8655496850606067172</stp>
        <tr r="L15" s="18"/>
      </tp>
      <tp t="e">
        <v>#N/A</v>
        <stp/>
        <stp>BDH|3866750344079345722</stp>
        <tr r="O18" s="5"/>
        <tr r="O30" s="6"/>
      </tp>
      <tp t="e">
        <v>#N/A</v>
        <stp/>
        <stp>BDH|3636061530509065782</stp>
        <tr r="F16" s="2"/>
        <tr r="F32" s="4"/>
        <tr r="F61" s="10"/>
        <tr r="H19" s="13"/>
      </tp>
      <tp t="e">
        <v>#N/A</v>
        <stp/>
        <stp>BDH|5425909272250923579</stp>
        <tr r="V34" s="22"/>
      </tp>
      <tp t="e">
        <v>#N/A</v>
        <stp/>
        <stp>BDH|1764756849595359902</stp>
        <tr r="H118" s="18"/>
      </tp>
      <tp t="e">
        <v>#N/A</v>
        <stp/>
        <stp>BDH|1172485354109311767</stp>
        <tr r="N117" s="18"/>
      </tp>
      <tp t="e">
        <v>#N/A</v>
        <stp/>
        <stp>BDH|4948821257204626320</stp>
        <tr r="I41" s="12"/>
      </tp>
      <tp t="e">
        <v>#N/A</v>
        <stp/>
        <stp>BDH|9165911265678979043</stp>
        <tr r="Y10" s="2"/>
        <tr r="X11" s="5"/>
        <tr r="X36" s="6"/>
        <tr r="AA31" s="29"/>
        <tr r="AA39" s="29"/>
      </tp>
      <tp t="e">
        <v>#N/A</v>
        <stp/>
        <stp>BDH|3003708796730881360</stp>
        <tr r="G29" s="24"/>
      </tp>
      <tp t="e">
        <v>#N/A</v>
        <stp/>
        <stp>BDH|5005356958464671932</stp>
        <tr r="AA89" s="18"/>
      </tp>
      <tp t="e">
        <v>#N/A</v>
        <stp/>
        <stp>BDH|5167451683275906263</stp>
        <tr r="E100" s="18"/>
      </tp>
      <tp t="e">
        <v>#N/A</v>
        <stp/>
        <stp>BDH|6395286080321699353</stp>
        <tr r="P39" s="10"/>
        <tr r="P33" s="11"/>
      </tp>
      <tp t="e">
        <v>#N/A</v>
        <stp/>
        <stp>BDH|4168008259149785671</stp>
        <tr r="T94" s="18"/>
      </tp>
      <tp t="e">
        <v>#N/A</v>
        <stp/>
        <stp>BDH|4052878401304763691</stp>
        <tr r="X36" s="21"/>
      </tp>
      <tp t="e">
        <v>#N/A</v>
        <stp/>
        <stp>BDH|4280104778774476865</stp>
        <tr r="Z61" s="17"/>
      </tp>
      <tp t="e">
        <v>#N/A</v>
        <stp/>
        <stp>BDH|6074561065702906928</stp>
        <tr r="E33" s="12"/>
      </tp>
      <tp t="e">
        <v>#N/A</v>
        <stp/>
        <stp>BDH|2865949028676943155</stp>
        <tr r="I97" s="17"/>
        <tr r="I7" s="27"/>
      </tp>
      <tp t="e">
        <v>#N/A</v>
        <stp/>
        <stp>BDH|8072821738625090822</stp>
        <tr r="AA72" s="18"/>
      </tp>
      <tp t="e">
        <v>#N/A</v>
        <stp/>
        <stp>BDH|7430897946925145022</stp>
        <tr r="J33" s="18"/>
      </tp>
      <tp t="e">
        <v>#N/A</v>
        <stp/>
        <stp>BDH|2434837276015102689</stp>
        <tr r="O22" s="30"/>
        <tr r="O25" s="23"/>
      </tp>
      <tp t="e">
        <v>#N/A</v>
        <stp/>
        <stp>BDH|8816630029984230686</stp>
        <tr r="I37" s="24"/>
      </tp>
      <tp t="e">
        <v>#N/A</v>
        <stp/>
        <stp>BDH|5805576727455461948</stp>
        <tr r="Y33" s="26"/>
      </tp>
      <tp t="e">
        <v>#N/A</v>
        <stp/>
        <stp>BDH|5400832748500487733</stp>
        <tr r="R114" s="18"/>
      </tp>
      <tp t="e">
        <v>#N/A</v>
        <stp/>
        <stp>BDH|9992546597592461960</stp>
        <tr r="T25" s="6"/>
      </tp>
      <tp t="e">
        <v>#N/A</v>
        <stp/>
        <stp>BDH|2282562440478579595</stp>
        <tr r="F8" s="22"/>
      </tp>
      <tp t="e">
        <v>#N/A</v>
        <stp/>
        <stp>BDH|8295028568947820785</stp>
        <tr r="M72" s="24"/>
      </tp>
      <tp t="e">
        <v>#N/A</v>
        <stp/>
        <stp>BDH|7560382403888670204</stp>
        <tr r="F14" s="17"/>
        <tr r="F17" s="28"/>
      </tp>
      <tp t="e">
        <v>#N/A</v>
        <stp/>
        <stp>BDH|4403815830006532789</stp>
        <tr r="K140" s="18"/>
      </tp>
      <tp t="e">
        <v>#N/A</v>
        <stp/>
        <stp>BDH|2759889006362568647</stp>
        <tr r="Q54" s="24"/>
      </tp>
      <tp t="e">
        <v>#N/A</v>
        <stp/>
        <stp>BDH|8478526430574833469</stp>
        <tr r="G14" s="13"/>
      </tp>
      <tp t="e">
        <v>#N/A</v>
        <stp/>
        <stp>BDH|2759399627588713579</stp>
        <tr r="P55" s="18"/>
      </tp>
      <tp t="e">
        <v>#N/A</v>
        <stp/>
        <stp>BDH|8448599434437085700</stp>
        <tr r="K25" s="12"/>
      </tp>
      <tp t="e">
        <v>#N/A</v>
        <stp/>
        <stp>BDH|8907316113142514676</stp>
        <tr r="O17" s="18"/>
      </tp>
      <tp t="e">
        <v>#N/A</v>
        <stp/>
        <stp>BDH|3500875443729977815</stp>
        <tr r="AA57" s="24"/>
      </tp>
      <tp t="e">
        <v>#N/A</v>
        <stp/>
        <stp>BDH|1405000513256993878</stp>
        <tr r="D52" s="13"/>
      </tp>
      <tp t="e">
        <v>#N/A</v>
        <stp/>
        <stp>BDH|7900948321510793227</stp>
        <tr r="O48" s="21"/>
      </tp>
      <tp t="e">
        <v>#N/A</v>
        <stp/>
        <stp>BDH|8473585338124574486</stp>
        <tr r="M53" s="17"/>
      </tp>
      <tp t="e">
        <v>#N/A</v>
        <stp/>
        <stp>BDH|7971317486604422636</stp>
        <tr r="W36" s="18"/>
      </tp>
      <tp t="e">
        <v>#N/A</v>
        <stp/>
        <stp>BDH|6557035389461355155</stp>
        <tr r="L45" s="18"/>
      </tp>
      <tp t="e">
        <v>#N/A</v>
        <stp/>
        <stp>BDH|9526405770691858540</stp>
        <tr r="J129" s="18"/>
      </tp>
      <tp t="e">
        <v>#N/A</v>
        <stp/>
        <stp>BDH|2479501536309314380</stp>
        <tr r="T26" s="13"/>
      </tp>
      <tp t="e">
        <v>#N/A</v>
        <stp/>
        <stp>BDH|1612766681125150595</stp>
        <tr r="P9" s="21"/>
      </tp>
      <tp t="e">
        <v>#N/A</v>
        <stp/>
        <stp>BDH|7872578751078115168</stp>
        <tr r="D40" s="22"/>
      </tp>
      <tp t="e">
        <v>#N/A</v>
        <stp/>
        <stp>BDH|2459084997230700555</stp>
        <tr r="Y14" s="10"/>
      </tp>
      <tp t="e">
        <v>#N/A</v>
        <stp/>
        <stp>BDH|8351654843211457580</stp>
        <tr r="X53" s="17"/>
      </tp>
      <tp t="e">
        <v>#N/A</v>
        <stp/>
        <stp>BDH|1778677970636987807</stp>
        <tr r="R15" s="29"/>
        <tr r="R35" s="29"/>
      </tp>
      <tp t="e">
        <v>#N/A</v>
        <stp/>
        <stp>BDH|1469849807763870466</stp>
        <tr r="L158" s="18"/>
      </tp>
      <tp t="e">
        <v>#N/A</v>
        <stp/>
        <stp>BDH|9607530639758480917</stp>
        <tr r="L15" s="9"/>
      </tp>
      <tp t="e">
        <v>#N/A</v>
        <stp/>
        <stp>BDH|6000453188903387779</stp>
        <tr r="H98" s="17"/>
        <tr r="H13" s="28"/>
      </tp>
      <tp t="e">
        <v>#N/A</v>
        <stp/>
        <stp>BDH|5425438044902882920</stp>
        <tr r="Q138" s="18"/>
      </tp>
      <tp t="e">
        <v>#N/A</v>
        <stp/>
        <stp>BDH|1433809923122902770</stp>
        <tr r="V40" s="18"/>
      </tp>
      <tp t="e">
        <v>#N/A</v>
        <stp/>
        <stp>BDH|8336845500026655889</stp>
        <tr r="D54" s="13"/>
      </tp>
      <tp t="e">
        <v>#N/A</v>
        <stp/>
        <stp>BDH|2291592951939111529</stp>
        <tr r="J20" s="23"/>
      </tp>
      <tp t="e">
        <v>#N/A</v>
        <stp/>
        <stp>BDH|8437848051692035984</stp>
        <tr r="Q162" s="18"/>
      </tp>
      <tp t="e">
        <v>#N/A</v>
        <stp/>
        <stp>BDH|6361859515309853824</stp>
        <tr r="Y8" s="14"/>
      </tp>
      <tp t="e">
        <v>#N/A</v>
        <stp/>
        <stp>BDH|6018509307139769492</stp>
        <tr r="S27" s="6"/>
      </tp>
      <tp t="e">
        <v>#N/A</v>
        <stp/>
        <stp>BDH|4408556178849953196</stp>
        <tr r="X25" s="18"/>
      </tp>
      <tp t="e">
        <v>#N/A</v>
        <stp/>
        <stp>BDH|8824423116951168243</stp>
        <tr r="L152" s="18"/>
      </tp>
      <tp t="e">
        <v>#N/A</v>
        <stp/>
        <stp>BDH|4361697437809436606</stp>
        <tr r="H46" s="17"/>
      </tp>
      <tp t="e">
        <v>#N/A</v>
        <stp/>
        <stp>BDH|8194107890637175993</stp>
        <tr r="H40" s="10"/>
        <tr r="H34" s="11"/>
      </tp>
      <tp t="e">
        <v>#N/A</v>
        <stp/>
        <stp>BDH|1083197077041005870</stp>
        <tr r="Q140" s="18"/>
      </tp>
      <tp t="e">
        <v>#N/A</v>
        <stp/>
        <stp>BDH|9086624679761779753</stp>
        <tr r="N16" s="23"/>
      </tp>
      <tp t="e">
        <v>#N/A</v>
        <stp/>
        <stp>BDH|4185338043504702984</stp>
        <tr r="N19" s="6"/>
      </tp>
      <tp t="e">
        <v>#N/A</v>
        <stp/>
        <stp>BDH|3256170633069006684</stp>
        <tr r="F58" s="18"/>
      </tp>
      <tp t="e">
        <v>#N/A</v>
        <stp/>
        <stp>BDH|1917530440607132955</stp>
        <tr r="V10" s="11"/>
      </tp>
      <tp t="e">
        <v>#N/A</v>
        <stp/>
        <stp>BDH|2725792826538642100</stp>
        <tr r="M8" s="2"/>
      </tp>
      <tp t="e">
        <v>#N/A</v>
        <stp/>
        <stp>BDH|1410541415448929327</stp>
        <tr r="D11" s="28"/>
      </tp>
      <tp t="e">
        <v>#N/A</v>
        <stp/>
        <stp>BDH|1928224511419757537</stp>
        <tr r="U19" s="22"/>
      </tp>
      <tp t="e">
        <v>#N/A</v>
        <stp/>
        <stp>BDH|9432408525699773889</stp>
        <tr r="W7" s="2"/>
        <tr r="V7" s="5"/>
        <tr r="V7" s="9"/>
        <tr r="Y14" s="3"/>
      </tp>
      <tp t="e">
        <v>#N/A</v>
        <stp/>
        <stp>BDH|4674379917029881105</stp>
        <tr r="F31" s="17"/>
      </tp>
      <tp t="e">
        <v>#N/A</v>
        <stp/>
        <stp>BDH|3121793822529350172</stp>
        <tr r="Q92" s="17"/>
      </tp>
      <tp t="e">
        <v>#N/A</v>
        <stp/>
        <stp>BDH|1430182483717433157</stp>
        <tr r="W31" s="22"/>
      </tp>
      <tp t="e">
        <v>#N/A</v>
        <stp/>
        <stp>BDH|9009094976613726362</stp>
        <tr r="R69" s="17"/>
      </tp>
      <tp t="e">
        <v>#N/A</v>
        <stp/>
        <stp>BDH|9943120433481307452</stp>
        <tr r="U19" s="12"/>
      </tp>
      <tp t="e">
        <v>#N/A</v>
        <stp/>
        <stp>BDH|7282967719714788545</stp>
        <tr r="F50" s="24"/>
      </tp>
      <tp t="e">
        <v>#N/A</v>
        <stp/>
        <stp>BDH|9107170857363675091</stp>
        <tr r="E43" s="22"/>
      </tp>
      <tp t="e">
        <v>#N/A</v>
        <stp/>
        <stp>BDH|3549552593501423094</stp>
        <tr r="Q83" s="18"/>
      </tp>
      <tp t="e">
        <v>#N/A</v>
        <stp/>
        <stp>BDH|9263492778167529382</stp>
        <tr r="E59" s="17"/>
      </tp>
      <tp t="e">
        <v>#N/A</v>
        <stp/>
        <stp>BDH|9643715788451150904</stp>
        <tr r="W13" s="14"/>
      </tp>
      <tp t="e">
        <v>#N/A</v>
        <stp/>
        <stp>BDH|2700129423326075989</stp>
        <tr r="N16" s="10"/>
      </tp>
      <tp t="e">
        <v>#N/A</v>
        <stp/>
        <stp>BDH|8083026843891639391</stp>
        <tr r="H86" s="18"/>
      </tp>
      <tp t="e">
        <v>#N/A</v>
        <stp/>
        <stp>BDH|9505785962505311326</stp>
        <tr r="G38" s="22"/>
      </tp>
      <tp t="e">
        <v>#N/A</v>
        <stp/>
        <stp>BDH|8089908721809871478</stp>
        <tr r="L35" s="10"/>
        <tr r="L47" s="10"/>
        <tr r="L29" s="11"/>
        <tr r="L41" s="11"/>
      </tp>
      <tp t="e">
        <v>#N/A</v>
        <stp/>
        <stp>BDH|3888248866931576818</stp>
        <tr r="H115" s="18"/>
      </tp>
      <tp t="e">
        <v>#N/A</v>
        <stp/>
        <stp>BDH|9885864182844658347</stp>
        <tr r="N126" s="18"/>
      </tp>
      <tp t="e">
        <v>#N/A</v>
        <stp/>
        <stp>BDH|4883204946024428847</stp>
        <tr r="V19" s="10"/>
      </tp>
      <tp t="e">
        <v>#N/A</v>
        <stp/>
        <stp>BDH|2485113691571935534</stp>
        <tr r="X43" s="4"/>
      </tp>
      <tp t="e">
        <v>#N/A</v>
        <stp/>
        <stp>BDH|5081411885080876726</stp>
        <tr r="N15" s="4"/>
      </tp>
      <tp t="e">
        <v>#N/A</v>
        <stp/>
        <stp>BDH|3269746568845234920</stp>
        <tr r="I145" s="18"/>
      </tp>
      <tp t="e">
        <v>#N/A</v>
        <stp/>
        <stp>BDH|1927917704210443669</stp>
        <tr r="Z17" s="14"/>
      </tp>
      <tp t="e">
        <v>#N/A</v>
        <stp/>
        <stp>BDH|9533098072491232126</stp>
        <tr r="M52" s="17"/>
      </tp>
      <tp t="e">
        <v>#N/A</v>
        <stp/>
        <stp>BDH|7441377535869047082</stp>
        <tr r="K34" s="6"/>
        <tr r="M10" s="8"/>
      </tp>
      <tp t="e">
        <v>#N/A</v>
        <stp/>
        <stp>BDH|8467361173294695690</stp>
        <tr r="I70" s="10"/>
        <tr r="I64" s="11"/>
      </tp>
      <tp t="e">
        <v>#N/A</v>
        <stp/>
        <stp>BDH|8587485171471172431</stp>
        <tr r="M11" s="7"/>
      </tp>
      <tp t="e">
        <v>#N/A</v>
        <stp/>
        <stp>BDH|6272958343207967235</stp>
        <tr r="W61" s="21"/>
      </tp>
      <tp t="e">
        <v>#N/A</v>
        <stp/>
        <stp>BDH|3986110284144560071</stp>
        <tr r="N96" s="17"/>
      </tp>
      <tp t="e">
        <v>#N/A</v>
        <stp/>
        <stp>BDH|1021836442387910468</stp>
        <tr r="N26" s="26"/>
      </tp>
      <tp t="e">
        <v>#N/A</v>
        <stp/>
        <stp>BDH|3324288966460256915</stp>
        <tr r="F16" s="22"/>
      </tp>
      <tp t="e">
        <v>#N/A</v>
        <stp/>
        <stp>BDH|4596788939179288799</stp>
        <tr r="Y40" s="18"/>
      </tp>
      <tp t="e">
        <v>#N/A</v>
        <stp/>
        <stp>BDH|3115724971968497594</stp>
        <tr r="Z67" s="12"/>
      </tp>
      <tp t="e">
        <v>#N/A</v>
        <stp/>
        <stp>BDH|1760691433429641347</stp>
        <tr r="D75" s="18"/>
      </tp>
      <tp t="e">
        <v>#N/A</v>
        <stp/>
        <stp>BDH|6225608092855802272</stp>
        <tr r="U26" s="17"/>
      </tp>
      <tp t="e">
        <v>#N/A</v>
        <stp/>
        <stp>BDH|1833236896716214203</stp>
        <tr r="F52" s="24"/>
      </tp>
      <tp t="e">
        <v>#N/A</v>
        <stp/>
        <stp>BDH|6907841505794626416</stp>
        <tr r="R55" s="12"/>
      </tp>
      <tp t="e">
        <v>#N/A</v>
        <stp/>
        <stp>BDH|6899699315729923627</stp>
        <tr r="F28" s="10"/>
        <tr r="H33" s="13"/>
      </tp>
      <tp t="e">
        <v>#N/A</v>
        <stp/>
        <stp>BDH|7589632789353820489</stp>
        <tr r="F15" s="29"/>
        <tr r="F35" s="29"/>
      </tp>
      <tp t="e">
        <v>#N/A</v>
        <stp/>
        <stp>BDH|8963263223640208616</stp>
        <tr r="T41" s="22"/>
      </tp>
      <tp t="e">
        <v>#N/A</v>
        <stp/>
        <stp>BDH|7411682724405211852</stp>
        <tr r="D74" s="17"/>
      </tp>
      <tp t="e">
        <v>#N/A</v>
        <stp/>
        <stp>BDH|3705639801248998336</stp>
        <tr r="X161" s="18"/>
      </tp>
      <tp t="e">
        <v>#N/A</v>
        <stp/>
        <stp>BDH|8527895738695915824</stp>
        <tr r="D55" s="18"/>
      </tp>
      <tp t="e">
        <v>#N/A</v>
        <stp/>
        <stp>BDH|9895017432076700239</stp>
        <tr r="AA67" s="18"/>
      </tp>
      <tp t="e">
        <v>#N/A</v>
        <stp/>
        <stp>BDH|5353749868008988293</stp>
        <tr r="AA12" s="21"/>
      </tp>
      <tp t="e">
        <v>#N/A</v>
        <stp/>
        <stp>BDH|9533196203010165615</stp>
        <tr r="K28" s="17"/>
      </tp>
      <tp t="e">
        <v>#N/A</v>
        <stp/>
        <stp>BDH|9198522420628599892</stp>
        <tr r="D19" s="20"/>
      </tp>
      <tp t="e">
        <v>#N/A</v>
        <stp/>
        <stp>BDH|4785235787594976456</stp>
        <tr r="Z64" s="24"/>
      </tp>
      <tp t="e">
        <v>#N/A</v>
        <stp/>
        <stp>BDH|8381112788396181948</stp>
        <tr r="Z16" s="14"/>
      </tp>
      <tp t="e">
        <v>#N/A</v>
        <stp/>
        <stp>BDH|9820051093369908789</stp>
        <tr r="L28" s="17"/>
      </tp>
      <tp t="e">
        <v>#N/A</v>
        <stp/>
        <stp>BDH|9869618967426667177</stp>
        <tr r="P21" s="9"/>
      </tp>
      <tp t="e">
        <v>#N/A</v>
        <stp/>
        <stp>BDH|7970167584825500513</stp>
        <tr r="V86" s="18"/>
      </tp>
      <tp t="e">
        <v>#N/A</v>
        <stp/>
        <stp>BDH|6685380069019815402</stp>
        <tr r="J23" s="23"/>
      </tp>
      <tp t="e">
        <v>#N/A</v>
        <stp/>
        <stp>BDH|4738550099212525419</stp>
        <tr r="P71" s="17"/>
      </tp>
      <tp t="e">
        <v>#N/A</v>
        <stp/>
        <stp>BDH|2920238917859659648</stp>
        <tr r="D23" s="26"/>
      </tp>
      <tp t="e">
        <v>#N/A</v>
        <stp/>
        <stp>BDH|9035081175877028727</stp>
        <tr r="T100" s="18"/>
      </tp>
      <tp t="e">
        <v>#N/A</v>
        <stp/>
        <stp>BDH|9077297887504531948</stp>
        <tr r="E13" s="2"/>
      </tp>
      <tp t="e">
        <v>#N/A</v>
        <stp/>
        <stp>BDH|8030699170811247677</stp>
        <tr r="Q31" s="22"/>
      </tp>
      <tp t="e">
        <v>#N/A</v>
        <stp/>
        <stp>BDH|7050359213029974238</stp>
        <tr r="D33" s="22"/>
      </tp>
      <tp t="e">
        <v>#N/A</v>
        <stp/>
        <stp>BDH|5312040638209062136</stp>
        <tr r="I42" s="24"/>
      </tp>
      <tp t="e">
        <v>#N/A</v>
        <stp/>
        <stp>BDH|4782220617580680986</stp>
        <tr r="N7" s="28"/>
      </tp>
      <tp t="e">
        <v>#N/A</v>
        <stp/>
        <stp>BDH|3034285275459448155</stp>
        <tr r="J51" s="24"/>
      </tp>
      <tp t="e">
        <v>#N/A</v>
        <stp/>
        <stp>BDH|8075012293107777896</stp>
        <tr r="X27" s="7"/>
      </tp>
      <tp t="e">
        <v>#N/A</v>
        <stp/>
        <stp>BDH|6560881572437527065</stp>
        <tr r="O38" s="34"/>
      </tp>
      <tp t="e">
        <v>#N/A</v>
        <stp/>
        <stp>BDH|1978862297378170656</stp>
        <tr r="R145" s="18"/>
      </tp>
      <tp t="e">
        <v>#N/A</v>
        <stp/>
        <stp>BDH|5776986879075837025</stp>
        <tr r="V15" s="21"/>
      </tp>
      <tp t="e">
        <v>#N/A</v>
        <stp/>
        <stp>BDH|4531575650533936979</stp>
        <tr r="D23" s="11"/>
      </tp>
      <tp t="e">
        <v>#N/A</v>
        <stp/>
        <stp>BDH|3098054089695172014</stp>
        <tr r="W50" s="17"/>
      </tp>
      <tp t="e">
        <v>#N/A</v>
        <stp/>
        <stp>BDH|7632798180104636252</stp>
        <tr r="M25" s="2"/>
        <tr r="O62" s="21"/>
      </tp>
      <tp t="e">
        <v>#N/A</v>
        <stp/>
        <stp>BDH|4978061977988605524</stp>
        <tr r="J61" s="21"/>
      </tp>
      <tp t="e">
        <v>#N/A</v>
        <stp/>
        <stp>BDH|6885906100416673727</stp>
        <tr r="W27" s="5"/>
        <tr r="W27" s="9"/>
      </tp>
      <tp t="e">
        <v>#N/A</v>
        <stp/>
        <stp>BDH|8037772119496183630</stp>
        <tr r="G8" s="17"/>
      </tp>
      <tp t="e">
        <v>#N/A</v>
        <stp/>
        <stp>BDH|5579288100679971083</stp>
        <tr r="P18" s="20"/>
      </tp>
      <tp t="e">
        <v>#N/A</v>
        <stp/>
        <stp>BDH|9873545956055298247</stp>
        <tr r="D57" s="12"/>
      </tp>
      <tp t="e">
        <v>#N/A</v>
        <stp/>
        <stp>BDH|7260899035341235303</stp>
        <tr r="X22" s="5"/>
      </tp>
      <tp t="e">
        <v>#N/A</v>
        <stp/>
        <stp>BDH|8240639737230927331</stp>
        <tr r="H66" s="18"/>
      </tp>
      <tp t="e">
        <v>#N/A</v>
        <stp/>
        <stp>BDH|7439906847873727780</stp>
        <tr r="C12" s="18"/>
      </tp>
      <tp t="e">
        <v>#N/A</v>
        <stp/>
        <stp>BDH|9960299584264101992</stp>
        <tr r="K33" s="17"/>
      </tp>
      <tp t="e">
        <v>#N/A</v>
        <stp/>
        <stp>BDH|4512214557815929860</stp>
        <tr r="C28" s="10"/>
        <tr r="E33" s="13"/>
      </tp>
      <tp t="e">
        <v>#N/A</v>
        <stp/>
        <stp>BDH|4828542540502226928</stp>
        <tr r="L62" s="10"/>
      </tp>
      <tp t="e">
        <v>#N/A</v>
        <stp/>
        <stp>BDH|6898839973905367271</stp>
        <tr r="M10" s="34"/>
      </tp>
      <tp t="e">
        <v>#N/A</v>
        <stp/>
        <stp>BDH|7782285178245315980</stp>
        <tr r="Y61" s="11"/>
        <tr r="AA19" s="23"/>
      </tp>
      <tp t="e">
        <v>#N/A</v>
        <stp/>
        <stp>BDH|7244890840802063774</stp>
        <tr r="O110" s="18"/>
        <tr r="M11" s="20"/>
      </tp>
      <tp t="e">
        <v>#N/A</v>
        <stp/>
        <stp>BDH|5752951205697878524</stp>
        <tr r="C37" s="12"/>
      </tp>
      <tp t="e">
        <v>#N/A</v>
        <stp/>
        <stp>BDH|9247605550092666696</stp>
        <tr r="G45" s="12"/>
      </tp>
      <tp t="e">
        <v>#N/A</v>
        <stp/>
        <stp>BDH|9675307636920493790</stp>
        <tr r="F26" s="7"/>
      </tp>
      <tp t="e">
        <v>#N/A</v>
        <stp/>
        <stp>BDH|6878020774187215814</stp>
        <tr r="X26" s="21"/>
      </tp>
      <tp t="e">
        <v>#N/A</v>
        <stp/>
        <stp>BDH|9503899862961503862</stp>
        <tr r="AA26" s="18"/>
      </tp>
      <tp t="e">
        <v>#N/A</v>
        <stp/>
        <stp>BDH|7865846777362004466</stp>
        <tr r="Q17" s="29"/>
        <tr r="Q37" s="29"/>
      </tp>
      <tp t="e">
        <v>#N/A</v>
        <stp/>
        <stp>BDH|6903435314014763946</stp>
        <tr r="J23" s="25"/>
        <tr r="J13" s="27"/>
      </tp>
      <tp t="e">
        <v>#N/A</v>
        <stp/>
        <stp>BDH|3458452788164004543</stp>
        <tr r="T134" s="18"/>
      </tp>
      <tp t="e">
        <v>#N/A</v>
        <stp/>
        <stp>BDH|8342267606430719493</stp>
        <tr r="D61" s="12"/>
      </tp>
      <tp t="e">
        <v>#N/A</v>
        <stp/>
        <stp>BDH|2218406299656028764</stp>
        <tr r="C19" s="17"/>
      </tp>
      <tp t="e">
        <v>#N/A</v>
        <stp/>
        <stp>BDH|6257276723178842030</stp>
        <tr r="D46" s="21"/>
      </tp>
      <tp t="e">
        <v>#N/A</v>
        <stp/>
        <stp>BDH|3287034344071084882</stp>
        <tr r="F17" s="10"/>
      </tp>
      <tp t="e">
        <v>#N/A</v>
        <stp/>
        <stp>BDH|5970156312548379305</stp>
        <tr r="L57" s="11"/>
      </tp>
      <tp t="e">
        <v>#N/A</v>
        <stp/>
        <stp>BDH|3013459985478542980</stp>
        <tr r="L8" s="10"/>
      </tp>
      <tp t="e">
        <v>#N/A</v>
        <stp/>
        <stp>BDH|9321421135951081199</stp>
        <tr r="D18" s="30"/>
      </tp>
      <tp t="e">
        <v>#N/A</v>
        <stp/>
        <stp>BDH|1278354052661989817</stp>
        <tr r="P51" s="17"/>
      </tp>
      <tp t="e">
        <v>#N/A</v>
        <stp/>
        <stp>BDH|8637119429170683559</stp>
        <tr r="C75" s="12"/>
      </tp>
      <tp t="e">
        <v>#N/A</v>
        <stp/>
        <stp>BDH|9805515615007393426</stp>
        <tr r="AA23" s="20"/>
      </tp>
      <tp t="e">
        <v>#N/A</v>
        <stp/>
        <stp>BDH|2154430908000463839</stp>
        <tr r="H14" s="6"/>
      </tp>
      <tp t="e">
        <v>#N/A</v>
        <stp/>
        <stp>BDH|9307530379900679523</stp>
        <tr r="I118" s="18"/>
      </tp>
      <tp t="e">
        <v>#N/A</v>
        <stp/>
        <stp>BDH|2405019198797363235</stp>
        <tr r="P16" s="30"/>
      </tp>
      <tp t="e">
        <v>#N/A</v>
        <stp/>
        <stp>BDH|9188261159079074933</stp>
        <tr r="N54" s="24"/>
      </tp>
      <tp t="e">
        <v>#N/A</v>
        <stp/>
        <stp>BDH|2193525438259370355</stp>
        <tr r="E49" s="12"/>
      </tp>
      <tp t="e">
        <v>#N/A</v>
        <stp/>
        <stp>BDH|7527279985435245687</stp>
        <tr r="U64" s="24"/>
      </tp>
      <tp t="e">
        <v>#N/A</v>
        <stp/>
        <stp>BDH|2514786912828354216</stp>
        <tr r="R29" s="17"/>
      </tp>
      <tp t="e">
        <v>#N/A</v>
        <stp/>
        <stp>BDH|3753100485841656596</stp>
        <tr r="J62" s="24"/>
      </tp>
      <tp t="e">
        <v>#N/A</v>
        <stp/>
        <stp>BDH|7593961832743916050</stp>
        <tr r="G37" s="22"/>
      </tp>
      <tp t="e">
        <v>#N/A</v>
        <stp/>
        <stp>BDH|2558300065568778156</stp>
        <tr r="K22" s="25"/>
        <tr r="K12" s="27"/>
      </tp>
      <tp t="e">
        <v>#N/A</v>
        <stp/>
        <stp>BDH|4263268594126082726</stp>
        <tr r="F29" s="21"/>
      </tp>
      <tp t="e">
        <v>#N/A</v>
        <stp/>
        <stp>BDH|7284744682695435328</stp>
        <tr r="X8" s="22"/>
      </tp>
      <tp t="e">
        <v>#N/A</v>
        <stp/>
        <stp>BDH|4081500496046416009</stp>
        <tr r="H13" s="2"/>
      </tp>
      <tp t="e">
        <v>#N/A</v>
        <stp/>
        <stp>BDH|2715545196866553629</stp>
        <tr r="N72" s="17"/>
        <tr r="N18" s="3"/>
      </tp>
      <tp t="e">
        <v>#N/A</v>
        <stp/>
        <stp>BDH|2871889162866175412</stp>
        <tr r="T75" s="12"/>
      </tp>
      <tp t="e">
        <v>#N/A</v>
        <stp/>
        <stp>BDH|6259168491442621219</stp>
        <tr r="M136" s="18"/>
      </tp>
      <tp t="e">
        <v>#N/A</v>
        <stp/>
        <stp>BDH|3570654413723180909</stp>
        <tr r="L42" s="13"/>
      </tp>
      <tp t="e">
        <v>#N/A</v>
        <stp/>
        <stp>BDH|5940782183345654165</stp>
        <tr r="U8" s="22"/>
      </tp>
      <tp t="e">
        <v>#N/A</v>
        <stp/>
        <stp>BDH|5249068485953376007</stp>
        <tr r="S22" s="20"/>
      </tp>
      <tp t="e">
        <v>#N/A</v>
        <stp/>
        <stp>BDH|2720326986157673077</stp>
        <tr r="Q36" s="22"/>
      </tp>
      <tp t="e">
        <v>#N/A</v>
        <stp/>
        <stp>BDH|9085290217652539698</stp>
        <tr r="T33" s="26"/>
      </tp>
      <tp t="e">
        <v>#N/A</v>
        <stp/>
        <stp>BDH|2673445355538363565</stp>
        <tr r="E14" s="14"/>
      </tp>
      <tp t="e">
        <v>#N/A</v>
        <stp/>
        <stp>BDH|4557944732517902780</stp>
        <tr r="I149" s="18"/>
      </tp>
      <tp t="e">
        <v>#N/A</v>
        <stp/>
        <stp>BDH|3275618081595970699</stp>
        <tr r="P16" s="18"/>
      </tp>
      <tp t="e">
        <v>#N/A</v>
        <stp/>
        <stp>BDH|9271211540557518646</stp>
        <tr r="S36" s="12"/>
      </tp>
      <tp t="e">
        <v>#N/A</v>
        <stp/>
        <stp>BDH|6342775417728292639</stp>
        <tr r="S24" s="18"/>
      </tp>
      <tp t="e">
        <v>#N/A</v>
        <stp/>
        <stp>BDH|1262509478038818508</stp>
        <tr r="I19" s="12"/>
      </tp>
      <tp t="e">
        <v>#N/A</v>
        <stp/>
        <stp>BDH|6748961443245006001</stp>
        <tr r="T31" s="22"/>
      </tp>
      <tp t="e">
        <v>#N/A</v>
        <stp/>
        <stp>BDH|1594868963062273300</stp>
        <tr r="J16" s="18"/>
      </tp>
      <tp t="e">
        <v>#N/A</v>
        <stp/>
        <stp>BDH|8691324976450742274</stp>
        <tr r="P31" s="18"/>
      </tp>
      <tp t="e">
        <v>#N/A</v>
        <stp/>
        <stp>BDH|9112159630717625205</stp>
        <tr r="D16" s="2"/>
        <tr r="D32" s="4"/>
        <tr r="D61" s="10"/>
        <tr r="F19" s="13"/>
      </tp>
      <tp t="e">
        <v>#N/A</v>
        <stp/>
        <stp>BDH|1876285872433092904</stp>
        <tr r="Y144" s="18"/>
      </tp>
      <tp t="e">
        <v>#N/A</v>
        <stp/>
        <stp>BDH|2036269497677426074</stp>
        <tr r="M16" s="11"/>
      </tp>
      <tp t="e">
        <v>#N/A</v>
        <stp/>
        <stp>BDH|2332960983884330975</stp>
        <tr r="H89" s="18"/>
      </tp>
      <tp t="e">
        <v>#N/A</v>
        <stp/>
        <stp>BDH|2738708216358758243</stp>
        <tr r="K42" s="24"/>
      </tp>
      <tp t="e">
        <v>#N/A</v>
        <stp/>
        <stp>BDH|2034856770965564624</stp>
        <tr r="P75" s="17"/>
      </tp>
      <tp t="e">
        <v>#N/A</v>
        <stp/>
        <stp>BDH|3844471979276281861</stp>
        <tr r="AA35" s="22"/>
      </tp>
      <tp t="e">
        <v>#N/A</v>
        <stp/>
        <stp>BDH|7067411682427557257</stp>
        <tr r="G51" s="18"/>
      </tp>
      <tp t="e">
        <v>#N/A</v>
        <stp/>
        <stp>BDH|7573906805783627355</stp>
        <tr r="Q10" s="12"/>
      </tp>
      <tp t="e">
        <v>#N/A</v>
        <stp/>
        <stp>BDH|7399168427958091211</stp>
        <tr r="N31" s="34"/>
      </tp>
      <tp t="e">
        <v>#N/A</v>
        <stp/>
        <stp>BDH|3333665536059978191</stp>
        <tr r="J14" s="17"/>
        <tr r="J17" s="28"/>
      </tp>
      <tp t="e">
        <v>#N/A</v>
        <stp/>
        <stp>BDH|7338809787630086977</stp>
        <tr r="T28" s="9"/>
      </tp>
      <tp t="e">
        <v>#N/A</v>
        <stp/>
        <stp>BDH|1104328583542061639</stp>
        <tr r="O9" s="2"/>
        <tr r="Q8" s="25"/>
        <tr r="N10" s="5"/>
      </tp>
      <tp t="e">
        <v>#N/A</v>
        <stp/>
        <stp>BDH|3191131434496468918</stp>
        <tr r="T36" s="24"/>
      </tp>
      <tp t="e">
        <v>#N/A</v>
        <stp/>
        <stp>BDH|7253253154347921995</stp>
        <tr r="D60" s="12"/>
      </tp>
      <tp t="e">
        <v>#N/A</v>
        <stp/>
        <stp>BDH|9133257225381708655</stp>
        <tr r="X16" s="2"/>
        <tr r="X32" s="4"/>
        <tr r="X61" s="10"/>
        <tr r="Z19" s="13"/>
      </tp>
      <tp t="e">
        <v>#N/A</v>
        <stp/>
        <stp>BDH|6244505582551063437</stp>
        <tr r="C80" s="17"/>
      </tp>
      <tp t="e">
        <v>#N/A</v>
        <stp/>
        <stp>BDH|7550662840838121319</stp>
        <tr r="W20" s="27"/>
      </tp>
      <tp t="e">
        <v>#N/A</v>
        <stp/>
        <stp>BDH|6164944686130375933</stp>
        <tr r="N60" s="12"/>
      </tp>
      <tp t="e">
        <v>#N/A</v>
        <stp/>
        <stp>BDH|8875010228760718456</stp>
        <tr r="G27" s="34"/>
      </tp>
      <tp t="e">
        <v>#N/A</v>
        <stp/>
        <stp>BDH|3274058688290937558</stp>
        <tr r="C52" s="18"/>
      </tp>
      <tp t="e">
        <v>#N/A</v>
        <stp/>
        <stp>BDH|9166427746407750018</stp>
        <tr r="P55" s="17"/>
      </tp>
      <tp t="e">
        <v>#N/A</v>
        <stp/>
        <stp>BDH|8598337531847275169</stp>
        <tr r="N152" s="18"/>
      </tp>
      <tp t="e">
        <v>#N/A</v>
        <stp/>
        <stp>BDH|1968413116663822959</stp>
        <tr r="V27" s="25"/>
        <tr r="S14" s="5"/>
        <tr r="V17" s="27"/>
      </tp>
      <tp t="e">
        <v>#N/A</v>
        <stp/>
        <stp>BDH|9191420264386603322</stp>
        <tr r="P14" s="23"/>
      </tp>
      <tp t="e">
        <v>#N/A</v>
        <stp/>
        <stp>BDH|6695100088420867150</stp>
        <tr r="I14" s="22"/>
      </tp>
      <tp t="e">
        <v>#N/A</v>
        <stp/>
        <stp>BDH|3035548365038192638</stp>
        <tr r="S17" s="29"/>
        <tr r="S37" s="29"/>
      </tp>
      <tp t="e">
        <v>#N/A</v>
        <stp/>
        <stp>BDH|9630427917882042002</stp>
        <tr r="L21" s="2"/>
      </tp>
      <tp t="e">
        <v>#N/A</v>
        <stp/>
        <stp>BDH|9191672920097138442</stp>
        <tr r="T55" s="13"/>
      </tp>
      <tp t="e">
        <v>#N/A</v>
        <stp/>
        <stp>BDH|1535061600996670961</stp>
        <tr r="H62" s="11"/>
      </tp>
      <tp t="e">
        <v>#N/A</v>
        <stp/>
        <stp>BDH|9132544352406464109</stp>
        <tr r="U9" s="12"/>
      </tp>
      <tp t="e">
        <v>#N/A</v>
        <stp/>
        <stp>BDH|8028265997154032929</stp>
        <tr r="F9" s="28"/>
      </tp>
      <tp t="e">
        <v>#N/A</v>
        <stp/>
        <stp>BDH|3213770356426831989</stp>
        <tr r="M8" s="34"/>
      </tp>
      <tp t="e">
        <v>#N/A</v>
        <stp/>
        <stp>BDH|9269874338519700599</stp>
        <tr r="S157" s="18"/>
      </tp>
      <tp t="e">
        <v>#N/A</v>
        <stp/>
        <stp>BDH|9193278957349849996</stp>
        <tr r="L88" s="18"/>
      </tp>
      <tp t="e">
        <v>#N/A</v>
        <stp/>
        <stp>BDH|8011116866725558425</stp>
        <tr r="V10" s="13"/>
      </tp>
      <tp t="e">
        <v>#N/A</v>
        <stp/>
        <stp>BDH|1598778864278271647</stp>
        <tr r="H72" s="10"/>
        <tr r="H66" s="11"/>
      </tp>
      <tp t="e">
        <v>#N/A</v>
        <stp/>
        <stp>BDH|2951220893595837200</stp>
        <tr r="V12" s="21"/>
      </tp>
      <tp t="e">
        <v>#N/A</v>
        <stp/>
        <stp>BDH|5003464986490813782</stp>
        <tr r="Y140" s="18"/>
      </tp>
      <tp t="e">
        <v>#N/A</v>
        <stp/>
        <stp>BDH|5385781178553383807</stp>
        <tr r="W71" s="10"/>
        <tr r="W65" s="11"/>
      </tp>
      <tp t="e">
        <v>#N/A</v>
        <stp/>
        <stp>BDH|3879833358005606557</stp>
        <tr r="R27" s="18"/>
      </tp>
      <tp t="e">
        <v>#N/A</v>
        <stp/>
        <stp>BDH|7132059263878770707</stp>
        <tr r="F14" s="14"/>
      </tp>
      <tp t="e">
        <v>#N/A</v>
        <stp/>
        <stp>BDH|5632562681364070217</stp>
        <tr r="T57" s="17"/>
        <tr r="T10" s="25"/>
      </tp>
      <tp t="e">
        <v>#N/A</v>
        <stp/>
        <stp>BDH|5538022990342335045</stp>
        <tr r="K16" s="14"/>
      </tp>
      <tp t="e">
        <v>#N/A</v>
        <stp/>
        <stp>BDH|7220907086751269960</stp>
        <tr r="C13" s="14"/>
      </tp>
      <tp t="e">
        <v>#N/A</v>
        <stp/>
        <stp>BDH|8245081628137648344</stp>
        <tr r="P13" s="12"/>
      </tp>
      <tp t="e">
        <v>#N/A</v>
        <stp/>
        <stp>BDH|6815886771674131305</stp>
        <tr r="O20" s="6"/>
      </tp>
      <tp t="e">
        <v>#N/A</v>
        <stp/>
        <stp>BDH|5552907512243050072</stp>
        <tr r="R57" s="17"/>
        <tr r="R10" s="25"/>
      </tp>
      <tp t="e">
        <v>#N/A</v>
        <stp/>
        <stp>BDH|9136018174596103659</stp>
        <tr r="M27" s="5"/>
        <tr r="M27" s="9"/>
      </tp>
      <tp t="e">
        <v>#N/A</v>
        <stp/>
        <stp>BDH|3287169744081035904</stp>
        <tr r="P96" s="18"/>
      </tp>
      <tp t="e">
        <v>#N/A</v>
        <stp/>
        <stp>BDH|1870710409538308034</stp>
        <tr r="I39" s="24"/>
      </tp>
      <tp t="e">
        <v>#N/A</v>
        <stp/>
        <stp>BDH|6179815612558695948</stp>
        <tr r="N55" s="13"/>
      </tp>
      <tp t="e">
        <v>#N/A</v>
        <stp/>
        <stp>BDH|5102443721075487802</stp>
        <tr r="Z34" s="17"/>
      </tp>
      <tp t="e">
        <v>#N/A</v>
        <stp/>
        <stp>BDH|5911975974486910338</stp>
        <tr r="P66" s="18"/>
      </tp>
      <tp t="e">
        <v>#N/A</v>
        <stp/>
        <stp>BDH|3883171080675829174</stp>
        <tr r="E153" s="18"/>
      </tp>
      <tp t="e">
        <v>#N/A</v>
        <stp/>
        <stp>BDH|5184881365236409382</stp>
        <tr r="P57" s="17"/>
        <tr r="P10" s="25"/>
      </tp>
      <tp t="e">
        <v>#N/A</v>
        <stp/>
        <stp>BDH|9889593586142121861</stp>
        <tr r="Q14" s="17"/>
        <tr r="Q17" s="28"/>
      </tp>
      <tp t="e">
        <v>#N/A</v>
        <stp/>
        <stp>BDH|3124333896676488107</stp>
        <tr r="K37" s="34"/>
      </tp>
      <tp t="e">
        <v>#N/A</v>
        <stp/>
        <stp>BDH|4159173197244252639</stp>
        <tr r="U15" s="26"/>
      </tp>
      <tp t="e">
        <v>#N/A</v>
        <stp/>
        <stp>BDH|5295445925015576863</stp>
        <tr r="AA129" s="18"/>
      </tp>
      <tp t="e">
        <v>#N/A</v>
        <stp/>
        <stp>BDH|9809489047953325448</stp>
        <tr r="X11" s="14"/>
      </tp>
      <tp t="e">
        <v>#N/A</v>
        <stp/>
        <stp>BDH|4883003758789227624</stp>
        <tr r="I25" s="12"/>
      </tp>
      <tp t="e">
        <v>#N/A</v>
        <stp/>
        <stp>BDH|7739046555624387856</stp>
        <tr r="P23" s="25"/>
        <tr r="P13" s="27"/>
      </tp>
      <tp t="e">
        <v>#N/A</v>
        <stp/>
        <stp>BDH|8410347145340686131</stp>
        <tr r="S26" s="18"/>
      </tp>
      <tp t="e">
        <v>#N/A</v>
        <stp/>
        <stp>BDH|8098023614632433523</stp>
        <tr r="S9" s="18"/>
      </tp>
      <tp t="e">
        <v>#N/A</v>
        <stp/>
        <stp>BDH|7145680349703769879</stp>
        <tr r="N24" s="2"/>
      </tp>
      <tp t="e">
        <v>#N/A</v>
        <stp/>
        <stp>BDH|8338468967247574371</stp>
        <tr r="D8" s="10"/>
      </tp>
      <tp t="e">
        <v>#N/A</v>
        <stp/>
        <stp>BDH|5194262207998290124</stp>
        <tr r="J42" s="18"/>
      </tp>
      <tp t="e">
        <v>#N/A</v>
        <stp/>
        <stp>BDH|9000078676187646772</stp>
        <tr r="Z65" s="12"/>
      </tp>
      <tp t="e">
        <v>#N/A</v>
        <stp/>
        <stp>BDH|8194264682634269873</stp>
        <tr r="Q52" s="4"/>
        <tr r="S8" s="3"/>
        <tr r="Q43" s="10"/>
        <tr r="Q37" s="11"/>
        <tr r="S38" s="13"/>
      </tp>
      <tp t="e">
        <v>#N/A</v>
        <stp/>
        <stp>BDH|9616722364394188209</stp>
        <tr r="N11" s="22"/>
      </tp>
      <tp t="e">
        <v>#N/A</v>
        <stp/>
        <stp>BDH|2549653327008001066</stp>
        <tr r="J77" s="12"/>
      </tp>
      <tp t="e">
        <v>#N/A</v>
        <stp/>
        <stp>BDH|2950983400582587758</stp>
        <tr r="O15" s="18"/>
      </tp>
      <tp t="e">
        <v>#N/A</v>
        <stp/>
        <stp>BDH|4761266799439951803</stp>
        <tr r="I56" s="13"/>
      </tp>
      <tp t="e">
        <v>#N/A</v>
        <stp/>
        <stp>BDH|9823931208138703650</stp>
        <tr r="J8" s="2"/>
      </tp>
      <tp t="e">
        <v>#N/A</v>
        <stp/>
        <stp>BDH|9998728500064945437</stp>
        <tr r="U13" s="10"/>
      </tp>
      <tp t="e">
        <v>#N/A</v>
        <stp/>
        <stp>BDH|2658556182421711073</stp>
        <tr r="X155" s="18"/>
      </tp>
      <tp t="e">
        <v>#N/A</v>
        <stp/>
        <stp>BDH|7750415090202405636</stp>
        <tr r="R160" s="18"/>
      </tp>
      <tp t="e">
        <v>#N/A</v>
        <stp/>
        <stp>BDH|2004479694429482861</stp>
        <tr r="L34" s="24"/>
      </tp>
      <tp t="e">
        <v>#N/A</v>
        <stp/>
        <stp>BDH|1246108091925007221</stp>
        <tr r="C10" s="6"/>
      </tp>
      <tp t="e">
        <v>#N/A</v>
        <stp/>
        <stp>BDH|1601333692894491126</stp>
        <tr r="O131" s="18"/>
      </tp>
      <tp t="e">
        <v>#N/A</v>
        <stp/>
        <stp>BDH|5068901347833727519</stp>
        <tr r="Q22" s="10"/>
      </tp>
      <tp t="e">
        <v>#N/A</v>
        <stp/>
        <stp>BDH|3247740995600030326</stp>
        <tr r="AA65" s="24"/>
      </tp>
      <tp t="e">
        <v>#N/A</v>
        <stp/>
        <stp>BDH|1328766783031216152</stp>
        <tr r="J79" s="18"/>
      </tp>
      <tp t="e">
        <v>#N/A</v>
        <stp/>
        <stp>BDH|5610238294052972298</stp>
        <tr r="E9" s="18"/>
      </tp>
      <tp t="e">
        <v>#N/A</v>
        <stp/>
        <stp>BDH|7379059281122395350</stp>
        <tr r="D127" s="18"/>
      </tp>
      <tp t="e">
        <v>#N/A</v>
        <stp/>
        <stp>BDH|8808051336772885728</stp>
        <tr r="F12" s="22"/>
      </tp>
      <tp t="e">
        <v>#N/A</v>
        <stp/>
        <stp>BDH|9619146630655313006</stp>
        <tr r="O23" s="24"/>
      </tp>
      <tp t="e">
        <v>#N/A</v>
        <stp/>
        <stp>BDH|4536508694024673265</stp>
        <tr r="K68" s="17"/>
      </tp>
      <tp t="e">
        <v>#N/A</v>
        <stp/>
        <stp>BDH|6113221804933364956</stp>
        <tr r="K78" s="12"/>
      </tp>
      <tp t="e">
        <v>#N/A</v>
        <stp/>
        <stp>BDH|8056683319455338438</stp>
        <tr r="G14" s="25"/>
      </tp>
      <tp t="e">
        <v>#N/A</v>
        <stp/>
        <stp>BDH|2923708051138846617</stp>
        <tr r="T38" s="24"/>
      </tp>
      <tp t="e">
        <v>#N/A</v>
        <stp/>
        <stp>BDH|5596569734809762415</stp>
        <tr r="J90" s="18"/>
      </tp>
      <tp t="e">
        <v>#N/A</v>
        <stp/>
        <stp>BDH|9261430961107985284</stp>
        <tr r="M84" s="18"/>
      </tp>
      <tp t="e">
        <v>#N/A</v>
        <stp/>
        <stp>BDH|7970348988946652428</stp>
        <tr r="G29" s="29"/>
        <tr r="G7" s="29"/>
      </tp>
      <tp t="e">
        <v>#N/A</v>
        <stp/>
        <stp>BDH|1867989721205074100</stp>
        <tr r="AA47" s="21"/>
      </tp>
      <tp t="e">
        <v>#N/A</v>
        <stp/>
        <stp>BDH|1936866589018081777</stp>
        <tr r="F42" s="4"/>
      </tp>
      <tp t="e">
        <v>#N/A</v>
        <stp/>
        <stp>BDH|5270847541610358759</stp>
        <tr r="V17" s="13"/>
      </tp>
      <tp t="e">
        <v>#N/A</v>
        <stp/>
        <stp>BDH|9380450932666759626</stp>
        <tr r="T67" s="17"/>
      </tp>
      <tp t="e">
        <v>#N/A</v>
        <stp/>
        <stp>BDH|8027891170011065888</stp>
        <tr r="T43" s="18"/>
      </tp>
      <tp t="e">
        <v>#N/A</v>
        <stp/>
        <stp>BDH|3751966163266358409</stp>
        <tr r="K17" s="22"/>
      </tp>
      <tp t="e">
        <v>#N/A</v>
        <stp/>
        <stp>BDH|8949572567121936419</stp>
        <tr r="D26" s="13"/>
      </tp>
      <tp t="e">
        <v>#N/A</v>
        <stp/>
        <stp>BDH|7490121691156459721</stp>
        <tr r="Q43" s="22"/>
      </tp>
      <tp t="e">
        <v>#N/A</v>
        <stp/>
        <stp>BDH|5478403487932279506</stp>
        <tr r="C41" s="34"/>
      </tp>
      <tp t="e">
        <v>#N/A</v>
        <stp/>
        <stp>BDH|8609576411990037210</stp>
        <tr r="Z40" s="29"/>
      </tp>
      <tp t="e">
        <v>#N/A</v>
        <stp/>
        <stp>BDH|3627251923375884894</stp>
        <tr r="N46" s="21"/>
      </tp>
      <tp t="e">
        <v>#N/A</v>
        <stp/>
        <stp>BDH|3366571495796553759</stp>
        <tr r="L56" s="13"/>
      </tp>
      <tp t="e">
        <v>#N/A</v>
        <stp/>
        <stp>BDH|9448086258900303267</stp>
        <tr r="F27" s="21"/>
      </tp>
      <tp t="e">
        <v>#N/A</v>
        <stp/>
        <stp>BDH|9793634302192342344</stp>
        <tr r="P33" s="21"/>
      </tp>
      <tp t="e">
        <v>#N/A</v>
        <stp/>
        <stp>BDH|8213007890098791740</stp>
        <tr r="C15" s="6"/>
      </tp>
      <tp t="e">
        <v>#N/A</v>
        <stp/>
        <stp>BDH|5733677260418040365</stp>
        <tr r="P14" s="26"/>
      </tp>
      <tp t="e">
        <v>#N/A</v>
        <stp/>
        <stp>BDH|5713448463900796918</stp>
        <tr r="P26" s="17"/>
      </tp>
      <tp t="e">
        <v>#N/A</v>
        <stp/>
        <stp>BDH|3632555011191157853</stp>
        <tr r="E45" s="18"/>
      </tp>
      <tp t="e">
        <v>#N/A</v>
        <stp/>
        <stp>BDH|3192991249986242654</stp>
        <tr r="T132" s="18"/>
      </tp>
      <tp t="e">
        <v>#N/A</v>
        <stp/>
        <stp>BDH|4721656071662125940</stp>
        <tr r="Y122" s="18"/>
      </tp>
      <tp t="e">
        <v>#N/A</v>
        <stp/>
        <stp>BDH|6079119418860768880</stp>
        <tr r="H20" s="5"/>
        <tr r="H20" s="9"/>
      </tp>
      <tp t="e">
        <v>#N/A</v>
        <stp/>
        <stp>BDH|9202787332940782395</stp>
        <tr r="Q115" s="18"/>
      </tp>
      <tp t="e">
        <v>#N/A</v>
        <stp/>
        <stp>BDH|8916099524822531670</stp>
        <tr r="I35" s="25"/>
        <tr r="I7" s="3"/>
        <tr r="G18" s="11"/>
        <tr r="I22" s="13"/>
        <tr r="I7" s="13"/>
      </tp>
      <tp t="e">
        <v>#N/A</v>
        <stp/>
        <stp>BDH|3827815536490815611</stp>
        <tr r="P20" s="29"/>
      </tp>
      <tp t="e">
        <v>#N/A</v>
        <stp/>
        <stp>BDH|9496722537714464738</stp>
        <tr r="M9" s="27"/>
      </tp>
      <tp t="e">
        <v>#N/A</v>
        <stp/>
        <stp>BDH|1517965938736531382</stp>
        <tr r="K13" s="21"/>
      </tp>
      <tp t="e">
        <v>#N/A</v>
        <stp/>
        <stp>BDH|2104364763460608942</stp>
        <tr r="C148" s="18"/>
      </tp>
      <tp t="e">
        <v>#N/A</v>
        <stp/>
        <stp>BDH|7556330685545263773</stp>
        <tr r="H37" s="18"/>
      </tp>
      <tp t="e">
        <v>#N/A</v>
        <stp/>
        <stp>BDH|5363925535567662645</stp>
        <tr r="V22" s="25"/>
        <tr r="V12" s="27"/>
      </tp>
      <tp t="e">
        <v>#N/A</v>
        <stp/>
        <stp>BDH|3708092599242070612</stp>
        <tr r="T47" s="24"/>
      </tp>
      <tp t="e">
        <v>#N/A</v>
        <stp/>
        <stp>BDH|2333651233651002830</stp>
        <tr r="S85" s="18"/>
      </tp>
      <tp t="e">
        <v>#N/A</v>
        <stp/>
        <stp>BDH|2161240430234341904</stp>
        <tr r="D52" s="17"/>
      </tp>
      <tp t="e">
        <v>#N/A</v>
        <stp/>
        <stp>BDH|7438777803319260745</stp>
        <tr r="K134" s="18"/>
      </tp>
      <tp t="e">
        <v>#N/A</v>
        <stp/>
        <stp>BDH|8361213224561137717</stp>
        <tr r="L24" s="25"/>
        <tr r="L14" s="27"/>
      </tp>
      <tp t="e">
        <v>#N/A</v>
        <stp/>
        <stp>BDH|1271480134058950015</stp>
        <tr r="T25" s="7"/>
      </tp>
      <tp t="e">
        <v>#N/A</v>
        <stp/>
        <stp>BDH|4970010789106346445</stp>
        <tr r="Y72" s="17"/>
        <tr r="Y18" s="3"/>
      </tp>
      <tp t="e">
        <v>#N/A</v>
        <stp/>
        <stp>BDH|5244517400579595708</stp>
        <tr r="C66" s="18"/>
      </tp>
      <tp t="e">
        <v>#N/A</v>
        <stp/>
        <stp>BDH|9607882719196224836</stp>
        <tr r="E9" s="12"/>
      </tp>
      <tp t="e">
        <v>#N/A</v>
        <stp/>
        <stp>BDH|2721824193285056806</stp>
        <tr r="X73" s="17"/>
        <tr r="U8" s="5"/>
        <tr r="U8" s="9"/>
      </tp>
      <tp t="e">
        <v>#N/A</v>
        <stp/>
        <stp>BDH|2738364907758410747</stp>
        <tr r="O45" s="13"/>
      </tp>
      <tp t="e">
        <v>#N/A</v>
        <stp/>
        <stp>BDH|9973127290648543784</stp>
        <tr r="AA39" s="24"/>
      </tp>
      <tp t="e">
        <v>#N/A</v>
        <stp/>
        <stp>BDH|2506971165707019411</stp>
        <tr r="V133" s="18"/>
      </tp>
      <tp t="e">
        <v>#N/A</v>
        <stp/>
        <stp>BDH|3443652847058175717</stp>
        <tr r="Y50" s="12"/>
      </tp>
      <tp t="e">
        <v>#N/A</v>
        <stp/>
        <stp>BDH|9753759472722034561</stp>
        <tr r="P22" s="30"/>
        <tr r="P25" s="23"/>
      </tp>
      <tp t="e">
        <v>#N/A</v>
        <stp/>
        <stp>BDH|9627088347455810677</stp>
        <tr r="L35" s="4"/>
      </tp>
      <tp t="e">
        <v>#N/A</v>
        <stp/>
        <stp>BDH|8892769967861630693</stp>
        <tr r="R23" s="17"/>
        <tr r="R15" s="3"/>
      </tp>
      <tp t="e">
        <v>#N/A</v>
        <stp/>
        <stp>BDH|6038861175955152246</stp>
        <tr r="D78" s="17"/>
      </tp>
      <tp t="e">
        <v>#N/A</v>
        <stp/>
        <stp>BDH|6363034583522483215</stp>
        <tr r="H29" s="5"/>
      </tp>
      <tp t="e">
        <v>#N/A</v>
        <stp/>
        <stp>BDH|9654857660151180841</stp>
        <tr r="E9" s="29"/>
      </tp>
      <tp t="e">
        <v>#N/A</v>
        <stp/>
        <stp>BDH|9360309326341277711</stp>
        <tr r="J18" s="9"/>
      </tp>
      <tp t="e">
        <v>#N/A</v>
        <stp/>
        <stp>BDH|7511946773647139058</stp>
        <tr r="V26" s="18"/>
      </tp>
      <tp t="e">
        <v>#N/A</v>
        <stp/>
        <stp>BDH|3366913943899117961</stp>
        <tr r="J32" s="18"/>
      </tp>
      <tp t="e">
        <v>#N/A</v>
        <stp/>
        <stp>BDH|8991090386219242722</stp>
        <tr r="T102" s="18"/>
      </tp>
      <tp t="e">
        <v>#N/A</v>
        <stp/>
        <stp>BDH|2197761390486110400</stp>
        <tr r="Z73" s="18"/>
      </tp>
      <tp t="e">
        <v>#N/A</v>
        <stp/>
        <stp>BDH|5249618721308656727</stp>
        <tr r="N17" s="24"/>
      </tp>
      <tp t="e">
        <v>#N/A</v>
        <stp/>
        <stp>BDH|2505945207564941198</stp>
        <tr r="C39" s="12"/>
      </tp>
      <tp t="e">
        <v>#N/A</v>
        <stp/>
        <stp>BDH|5694995152700241790</stp>
        <tr r="Y36" s="12"/>
      </tp>
      <tp t="e">
        <v>#N/A</v>
        <stp/>
        <stp>BDH|9275779249783869720</stp>
        <tr r="U42" s="24"/>
      </tp>
      <tp t="e">
        <v>#N/A</v>
        <stp/>
        <stp>BDH|9225066323914868194</stp>
        <tr r="Y83" s="17"/>
      </tp>
      <tp t="e">
        <v>#N/A</v>
        <stp/>
        <stp>BDH|5699131163529028501</stp>
        <tr r="O16" s="30"/>
      </tp>
      <tp t="e">
        <v>#N/A</v>
        <stp/>
        <stp>BDH|1121044892250030619</stp>
        <tr r="O13" s="24"/>
      </tp>
      <tp t="e">
        <v>#N/A</v>
        <stp/>
        <stp>BDH|2143350494415009371</stp>
        <tr r="X42" s="22"/>
      </tp>
      <tp t="e">
        <v>#N/A</v>
        <stp/>
        <stp>BDH|4742350604518380129</stp>
        <tr r="V43" s="12"/>
      </tp>
      <tp t="e">
        <v>#N/A</v>
        <stp/>
        <stp>BDH|1280557783046282417</stp>
        <tr r="P98" s="18"/>
      </tp>
      <tp t="e">
        <v>#N/A</v>
        <stp/>
        <stp>BDH|2638855917743757646</stp>
        <tr r="W152" s="18"/>
      </tp>
      <tp t="e">
        <v>#N/A</v>
        <stp/>
        <stp>BDH|1207878462092387332</stp>
        <tr r="Y113" s="18"/>
        <tr r="X14" s="20"/>
      </tp>
      <tp t="e">
        <v>#N/A</v>
        <stp/>
        <stp>BDH|4055440893700745774</stp>
        <tr r="L16" s="23"/>
      </tp>
      <tp t="e">
        <v>#N/A</v>
        <stp/>
        <stp>BDH|2060439297848078935</stp>
        <tr r="H54" s="18"/>
      </tp>
      <tp t="e">
        <v>#N/A</v>
        <stp/>
        <stp>BDH|1279619383208111968</stp>
        <tr r="Y26" s="29"/>
      </tp>
      <tp t="e">
        <v>#N/A</v>
        <stp/>
        <stp>BDH|1178050627984581912</stp>
        <tr r="S45" s="12"/>
      </tp>
      <tp t="e">
        <v>#N/A</v>
        <stp/>
        <stp>BDH|7570238080542194107</stp>
        <tr r="Q7" s="24"/>
      </tp>
      <tp t="e">
        <v>#N/A</v>
        <stp/>
        <stp>BDH|6320419126867148923</stp>
        <tr r="G18" s="23"/>
      </tp>
      <tp t="e">
        <v>#N/A</v>
        <stp/>
        <stp>BDH|8637020440085631754</stp>
        <tr r="G76" s="18"/>
      </tp>
      <tp t="e">
        <v>#N/A</v>
        <stp/>
        <stp>BDH|3910985201303386748</stp>
        <tr r="C15" s="11"/>
      </tp>
      <tp t="e">
        <v>#N/A</v>
        <stp/>
        <stp>BDH|2522744564124210901</stp>
        <tr r="I67" s="17"/>
      </tp>
      <tp t="e">
        <v>#N/A</v>
        <stp/>
        <stp>BDH|7372976554581642419</stp>
        <tr r="F11" s="11"/>
      </tp>
      <tp t="e">
        <v>#N/A</v>
        <stp/>
        <stp>BDH|8275655042837415363</stp>
        <tr r="O47" s="17"/>
      </tp>
      <tp t="e">
        <v>#N/A</v>
        <stp/>
        <stp>BDH|7390720833594748920</stp>
        <tr r="Q52" s="17"/>
      </tp>
      <tp t="e">
        <v>#N/A</v>
        <stp/>
        <stp>BDH|4721803320906658665</stp>
        <tr r="N14" s="11"/>
      </tp>
      <tp t="e">
        <v>#N/A</v>
        <stp/>
        <stp>BDH|9139685915115381585</stp>
        <tr r="V37" s="24"/>
      </tp>
      <tp t="e">
        <v>#N/A</v>
        <stp/>
        <stp>BDH|9641290066881709296</stp>
        <tr r="T35" s="12"/>
      </tp>
      <tp t="e">
        <v>#N/A</v>
        <stp/>
        <stp>BDH|7852771406467654988</stp>
        <tr r="U70" s="18"/>
      </tp>
      <tp t="e">
        <v>#N/A</v>
        <stp/>
        <stp>BDH|2932120565173976808</stp>
        <tr r="V14" s="30"/>
      </tp>
      <tp t="e">
        <v>#N/A</v>
        <stp/>
        <stp>BDH|8673784227153673088</stp>
        <tr r="C38" s="18"/>
      </tp>
      <tp t="e">
        <v>#N/A</v>
        <stp/>
        <stp>BDH|6205424360993285958</stp>
        <tr r="L113" s="18"/>
        <tr r="J14" s="20"/>
      </tp>
      <tp t="e">
        <v>#N/A</v>
        <stp/>
        <stp>BDH|2627800724915661331</stp>
        <tr r="AA76" s="17"/>
      </tp>
      <tp t="e">
        <v>#N/A</v>
        <stp/>
        <stp>BDH|6251950850070612468</stp>
        <tr r="D167" s="18"/>
      </tp>
      <tp t="e">
        <v>#N/A</v>
        <stp/>
        <stp>BDH|7705608881687334022</stp>
        <tr r="F140" s="18"/>
      </tp>
      <tp t="e">
        <v>#N/A</v>
        <stp/>
        <stp>BDH|5033698985663336681</stp>
        <tr r="O16" s="23"/>
      </tp>
      <tp t="e">
        <v>#N/A</v>
        <stp/>
        <stp>BDH|6780226202912640852</stp>
        <tr r="M22" s="20"/>
      </tp>
      <tp t="e">
        <v>#N/A</v>
        <stp/>
        <stp>BDH|7945951817248854973</stp>
        <tr r="N9" s="23"/>
      </tp>
      <tp t="e">
        <v>#N/A</v>
        <stp/>
        <stp>BDH|3351873006607059264</stp>
        <tr r="J83" s="18"/>
      </tp>
      <tp t="e">
        <v>#N/A</v>
        <stp/>
        <stp>BDH|8674378265912445142</stp>
        <tr r="R12" s="22"/>
      </tp>
      <tp t="e">
        <v>#N/A</v>
        <stp/>
        <stp>BDH|5095134636140863999</stp>
        <tr r="N21" s="9"/>
      </tp>
      <tp t="e">
        <v>#N/A</v>
        <stp/>
        <stp>BDH|7230635349922455989</stp>
        <tr r="Q28" s="18"/>
      </tp>
      <tp t="e">
        <v>#N/A</v>
        <stp/>
        <stp>BDH|8351164515711707734</stp>
        <tr r="S121" s="18"/>
      </tp>
      <tp t="e">
        <v>#N/A</v>
        <stp/>
        <stp>BDH|8326714287898342128</stp>
        <tr r="N52" s="17"/>
      </tp>
      <tp t="e">
        <v>#N/A</v>
        <stp/>
        <stp>BDH|9857752304818536889</stp>
        <tr r="F12" s="10"/>
      </tp>
      <tp t="e">
        <v>#N/A</v>
        <stp/>
        <stp>BDH|3720271822114542933</stp>
        <tr r="P54" s="12"/>
      </tp>
      <tp t="e">
        <v>#N/A</v>
        <stp/>
        <stp>BDH|2787038097544406131</stp>
        <tr r="F90" s="18"/>
      </tp>
      <tp t="e">
        <v>#N/A</v>
        <stp/>
        <stp>BDH|5272807640580660707</stp>
        <tr r="F9" s="26"/>
      </tp>
      <tp t="e">
        <v>#N/A</v>
        <stp/>
        <stp>BDH|3779866003743478626</stp>
        <tr r="O28" s="22"/>
      </tp>
      <tp t="e">
        <v>#N/A</v>
        <stp/>
        <stp>BDH|7014907540455205165</stp>
        <tr r="T50" s="24"/>
      </tp>
      <tp t="e">
        <v>#N/A</v>
        <stp/>
        <stp>BDH|3846760062939987512</stp>
        <tr r="S65" s="17"/>
      </tp>
      <tp t="e">
        <v>#N/A</v>
        <stp/>
        <stp>BDH|3099710294855621674</stp>
        <tr r="L28" s="21"/>
      </tp>
      <tp t="e">
        <v>#N/A</v>
        <stp/>
        <stp>BDH|5456728711194027939</stp>
        <tr r="F12" s="30"/>
      </tp>
      <tp t="e">
        <v>#N/A</v>
        <stp/>
        <stp>BDH|8834218829474091241</stp>
        <tr r="R54" s="13"/>
      </tp>
      <tp t="e">
        <v>#N/A</v>
        <stp/>
        <stp>BDH|6362316783081429214</stp>
        <tr r="M12" s="18"/>
      </tp>
      <tp t="e">
        <v>#N/A</v>
        <stp/>
        <stp>BDH|8231632727032077020</stp>
        <tr r="U8" s="18"/>
      </tp>
      <tp t="e">
        <v>#N/A</v>
        <stp/>
        <stp>BDH|9310097203511441691</stp>
        <tr r="G10" s="26"/>
      </tp>
      <tp t="e">
        <v>#N/A</v>
        <stp/>
        <stp>BDH|8352338927710167725</stp>
        <tr r="C34" s="22"/>
      </tp>
      <tp t="e">
        <v>#N/A</v>
        <stp/>
        <stp>BDH|9372697767884934303</stp>
        <tr r="G18" s="10"/>
        <tr r="I16" s="13"/>
        <tr r="I27" s="13"/>
      </tp>
      <tp t="e">
        <v>#N/A</v>
        <stp/>
        <stp>BDH|3578406226363619819</stp>
        <tr r="E77" s="12"/>
      </tp>
      <tp t="e">
        <v>#N/A</v>
        <stp/>
        <stp>BDH|9178240947736632709</stp>
        <tr r="T96" s="17"/>
      </tp>
      <tp t="e">
        <v>#N/A</v>
        <stp/>
        <stp>BDH|8780382958370253016</stp>
        <tr r="F84" s="18"/>
      </tp>
      <tp t="e">
        <v>#N/A</v>
        <stp/>
        <stp>BDH|4431755984040692575</stp>
        <tr r="W100" s="18"/>
      </tp>
      <tp t="e">
        <v>#N/A</v>
        <stp/>
        <stp>BDH|9416275920740702709</stp>
        <tr r="Q56" s="10"/>
        <tr r="Q50" s="11"/>
        <tr r="Q18" s="7"/>
        <tr r="S52" s="13"/>
      </tp>
      <tp t="e">
        <v>#N/A</v>
        <stp/>
        <stp>BDH|4906071887242592087</stp>
        <tr r="U35" s="21"/>
      </tp>
      <tp t="e">
        <v>#N/A</v>
        <stp/>
        <stp>BDH|5256657803595492842</stp>
        <tr r="F65" s="24"/>
      </tp>
      <tp t="e">
        <v>#N/A</v>
        <stp/>
        <stp>BDH|8690861486127537176</stp>
        <tr r="I51" s="18"/>
      </tp>
      <tp t="e">
        <v>#N/A</v>
        <stp/>
        <stp>BDH|3297510931049167270</stp>
        <tr r="I15" s="9"/>
      </tp>
      <tp t="e">
        <v>#N/A</v>
        <stp/>
        <stp>BDH|5553147345408217629</stp>
        <tr r="Q48" s="21"/>
      </tp>
      <tp t="e">
        <v>#N/A</v>
        <stp/>
        <stp>BDH|7181204373805195973</stp>
        <tr r="D27" s="26"/>
      </tp>
      <tp t="e">
        <v>#N/A</v>
        <stp/>
        <stp>BDH|7575776571268786105</stp>
        <tr r="Q29" s="29"/>
        <tr r="Q7" s="29"/>
      </tp>
      <tp t="e">
        <v>#N/A</v>
        <stp/>
        <stp>BDH|1735802522130972589</stp>
        <tr r="F81" s="18"/>
      </tp>
      <tp t="e">
        <v>#N/A</v>
        <stp/>
        <stp>BDH|8027852225689507518</stp>
        <tr r="AA10" s="21"/>
      </tp>
      <tp t="e">
        <v>#N/A</v>
        <stp/>
        <stp>BDH|4264567664768659132</stp>
        <tr r="Q48" s="12"/>
      </tp>
      <tp t="e">
        <v>#N/A</v>
        <stp/>
        <stp>BDH|6833666074188945161</stp>
        <tr r="I54" s="21"/>
      </tp>
      <tp t="e">
        <v>#N/A</v>
        <stp/>
        <stp>BDH|7810422893593879740</stp>
        <tr r="L25" s="3"/>
      </tp>
      <tp t="e">
        <v>#N/A</v>
        <stp/>
        <stp>BDH|7807390406403635947</stp>
        <tr r="R104" s="18"/>
      </tp>
      <tp t="e">
        <v>#N/A</v>
        <stp/>
        <stp>BDH|9063042816603507522</stp>
        <tr r="X34" s="22"/>
      </tp>
      <tp t="e">
        <v>#N/A</v>
        <stp/>
        <stp>BDH|7005207391810496205</stp>
        <tr r="D36" s="12"/>
      </tp>
      <tp t="e">
        <v>#N/A</v>
        <stp/>
        <stp>BDH|3221592974439363691</stp>
        <tr r="H104" s="18"/>
      </tp>
      <tp t="e">
        <v>#N/A</v>
        <stp/>
        <stp>BDH|4596102992025789751</stp>
        <tr r="H32" s="18"/>
      </tp>
      <tp t="e">
        <v>#N/A</v>
        <stp/>
        <stp>BDH|5666197599223119020</stp>
        <tr r="I21" s="27"/>
      </tp>
      <tp t="e">
        <v>#N/A</v>
        <stp/>
        <stp>BDH|5350296058424374845</stp>
        <tr r="V33" s="6"/>
        <tr r="X9" s="8"/>
      </tp>
      <tp t="e">
        <v>#N/A</v>
        <stp/>
        <stp>BDH|8026360514137121364</stp>
        <tr r="Q27" s="25"/>
        <tr r="N14" s="5"/>
        <tr r="Q17" s="27"/>
      </tp>
      <tp t="e">
        <v>#N/A</v>
        <stp/>
        <stp>BDH|7663843357870905498</stp>
        <tr r="N13" s="2"/>
      </tp>
      <tp t="e">
        <v>#N/A</v>
        <stp/>
        <stp>BDH|5913655788421220436</stp>
        <tr r="K159" s="18"/>
      </tp>
      <tp t="e">
        <v>#N/A</v>
        <stp/>
        <stp>BDH|2190839791585158874</stp>
        <tr r="H7" s="34"/>
      </tp>
      <tp t="e">
        <v>#N/A</v>
        <stp/>
        <stp>BDH|9310744866096166057</stp>
        <tr r="E24" s="21"/>
      </tp>
      <tp t="e">
        <v>#N/A</v>
        <stp/>
        <stp>BDH|5925811007445971634</stp>
        <tr r="I18" s="14"/>
      </tp>
      <tp t="e">
        <v>#N/A</v>
        <stp/>
        <stp>BDH|8572270715346561376</stp>
        <tr r="Y67" s="12"/>
      </tp>
      <tp t="e">
        <v>#N/A</v>
        <stp/>
        <stp>BDH|4612837734206472704</stp>
        <tr r="N64" s="17"/>
      </tp>
      <tp t="e">
        <v>#N/A</v>
        <stp/>
        <stp>BDH|4987261453608111589</stp>
        <tr r="R14" s="10"/>
      </tp>
      <tp t="e">
        <v>#N/A</v>
        <stp/>
        <stp>BDH|8081765143847046206</stp>
        <tr r="L51" s="10"/>
        <tr r="L45" s="11"/>
        <tr r="L15" s="7"/>
      </tp>
      <tp t="e">
        <v>#N/A</v>
        <stp/>
        <stp>BDH|6995456890872869716</stp>
        <tr r="U150" s="18"/>
      </tp>
      <tp t="e">
        <v>#N/A</v>
        <stp/>
        <stp>BDH|1966994013757571034</stp>
        <tr r="Y22" s="18"/>
      </tp>
      <tp t="e">
        <v>#N/A</v>
        <stp/>
        <stp>BDH|3080688408592701923</stp>
        <tr r="J160" s="18"/>
      </tp>
      <tp t="e">
        <v>#N/A</v>
        <stp/>
        <stp>BDH|2476152425626094913</stp>
        <tr r="J23" s="22"/>
      </tp>
      <tp t="e">
        <v>#N/A</v>
        <stp/>
        <stp>BDH|6937592764092213939</stp>
        <tr r="H19" s="11"/>
      </tp>
      <tp t="e">
        <v>#N/A</v>
        <stp/>
        <stp>BDH|4654478255638111302</stp>
        <tr r="S26" s="21"/>
      </tp>
      <tp t="e">
        <v>#N/A</v>
        <stp/>
        <stp>BDH|1211987928302184666</stp>
        <tr r="O13" s="21"/>
      </tp>
      <tp t="e">
        <v>#N/A</v>
        <stp/>
        <stp>BDH|7204899721755934667</stp>
        <tr r="Y34" s="24"/>
      </tp>
      <tp t="e">
        <v>#N/A</v>
        <stp/>
        <stp>BDH|4613059801669507324</stp>
        <tr r="S95" s="17"/>
        <tr r="S30" s="25"/>
      </tp>
      <tp t="e">
        <v>#N/A</v>
        <stp/>
        <stp>BDH|3257545750329154429</stp>
        <tr r="F159" s="18"/>
      </tp>
      <tp t="e">
        <v>#N/A</v>
        <stp/>
        <stp>BDH|6086513974252429844</stp>
        <tr r="L27" s="18"/>
      </tp>
      <tp t="e">
        <v>#N/A</v>
        <stp/>
        <stp>BDH|9083525947220478646</stp>
        <tr r="I28" s="26"/>
      </tp>
      <tp t="e">
        <v>#N/A</v>
        <stp/>
        <stp>BDH|2921570931578993230</stp>
        <tr r="U51" s="12"/>
      </tp>
      <tp t="e">
        <v>#N/A</v>
        <stp/>
        <stp>BDH|83225595140970897</stp>
        <tr r="P48" s="18"/>
      </tp>
      <tp t="e">
        <v>#N/A</v>
        <stp/>
        <stp>BDH|15867491846856477</stp>
        <tr r="P130" s="18"/>
      </tp>
      <tp t="e">
        <v>#N/A</v>
        <stp/>
        <stp>BDH|9949790170747318193</stp>
        <tr r="N21" s="21"/>
      </tp>
      <tp t="e">
        <v>#N/A</v>
        <stp/>
        <stp>BDH|7998548710308262455</stp>
        <tr r="L36" s="12"/>
      </tp>
      <tp t="e">
        <v>#N/A</v>
        <stp/>
        <stp>BDH|1616249335068904748</stp>
        <tr r="U44" s="13"/>
      </tp>
      <tp t="e">
        <v>#N/A</v>
        <stp/>
        <stp>BDH|7072651795491918630</stp>
        <tr r="W34" s="22"/>
      </tp>
      <tp t="e">
        <v>#N/A</v>
        <stp/>
        <stp>BDH|1596037044169045388</stp>
        <tr r="M21" s="9"/>
      </tp>
      <tp t="e">
        <v>#N/A</v>
        <stp/>
        <stp>BDH|3584939512663870763</stp>
        <tr r="K13" s="17"/>
        <tr r="K16" s="28"/>
      </tp>
      <tp t="e">
        <v>#N/A</v>
        <stp/>
        <stp>BDH|2865376876471639854</stp>
        <tr r="T144" s="18"/>
      </tp>
      <tp t="e">
        <v>#N/A</v>
        <stp/>
        <stp>BDH|1000141659073365945</stp>
        <tr r="X53" s="13"/>
      </tp>
      <tp t="e">
        <v>#N/A</v>
        <stp/>
        <stp>BDH|9753021931126755392</stp>
        <tr r="H23" s="18"/>
      </tp>
      <tp t="e">
        <v>#N/A</v>
        <stp/>
        <stp>BDH|4034674183436842362</stp>
        <tr r="E22" s="17"/>
      </tp>
      <tp t="e">
        <v>#N/A</v>
        <stp/>
        <stp>BDH|6579775066681825963</stp>
        <tr r="D145" s="18"/>
      </tp>
      <tp t="e">
        <v>#N/A</v>
        <stp/>
        <stp>BDH|2772653194617414586</stp>
        <tr r="G50" s="21"/>
      </tp>
      <tp t="e">
        <v>#N/A</v>
        <stp/>
        <stp>BDH|3733102365073859801</stp>
        <tr r="W26" s="24"/>
      </tp>
      <tp t="e">
        <v>#N/A</v>
        <stp/>
        <stp>BDH|3902931060101326236</stp>
        <tr r="C9" s="27"/>
      </tp>
      <tp t="e">
        <v>#N/A</v>
        <stp/>
        <stp>BDH|1504976914145968355</stp>
        <tr r="O46" s="10"/>
        <tr r="O40" s="11"/>
      </tp>
      <tp t="e">
        <v>#N/A</v>
        <stp/>
        <stp>BDH|2746000106124308981</stp>
        <tr r="C15" s="18"/>
      </tp>
      <tp t="e">
        <v>#N/A</v>
        <stp/>
        <stp>BDH|3612822494414980939</stp>
        <tr r="Z9" s="3"/>
        <tr r="X50" s="10"/>
        <tr r="X44" s="11"/>
        <tr r="X14" s="7"/>
      </tp>
      <tp t="e">
        <v>#N/A</v>
        <stp/>
        <stp>BDH|8704556233464227596</stp>
        <tr r="F69" s="18"/>
      </tp>
      <tp t="e">
        <v>#N/A</v>
        <stp/>
        <stp>BDH|5100932115451484397</stp>
        <tr r="P43" s="12"/>
      </tp>
      <tp t="e">
        <v>#N/A</v>
        <stp/>
        <stp>BDH|4821529955669262273</stp>
        <tr r="G13" s="9"/>
      </tp>
      <tp t="e">
        <v>#N/A</v>
        <stp/>
        <stp>BDH|3931425873067780856</stp>
        <tr r="J68" s="17"/>
      </tp>
      <tp t="e">
        <v>#N/A</v>
        <stp/>
        <stp>BDH|7512986971900231647</stp>
        <tr r="Y18" s="22"/>
      </tp>
      <tp t="e">
        <v>#N/A</v>
        <stp/>
        <stp>BDH|5991066931290695929</stp>
        <tr r="R51" s="24"/>
      </tp>
      <tp t="e">
        <v>#N/A</v>
        <stp/>
        <stp>BDH|1826149089243912464</stp>
        <tr r="L94" s="18"/>
      </tp>
      <tp t="e">
        <v>#N/A</v>
        <stp/>
        <stp>BDH|6634179433538078384</stp>
        <tr r="G10" s="11"/>
      </tp>
      <tp t="e">
        <v>#N/A</v>
        <stp/>
        <stp>BDH|8911129604070460610</stp>
        <tr r="M13" s="13"/>
      </tp>
      <tp t="e">
        <v>#N/A</v>
        <stp/>
        <stp>BDH|9718264758402675358</stp>
        <tr r="Y114" s="18"/>
      </tp>
      <tp t="e">
        <v>#N/A</v>
        <stp/>
        <stp>BDH|4871914549604924227</stp>
        <tr r="S55" s="24"/>
      </tp>
      <tp t="e">
        <v>#N/A</v>
        <stp/>
        <stp>BDH|7934725383122114526</stp>
        <tr r="T12" s="14"/>
      </tp>
      <tp t="e">
        <v>#N/A</v>
        <stp/>
        <stp>BDH|7910901297451743923</stp>
        <tr r="K36" s="17"/>
      </tp>
      <tp t="e">
        <v>#N/A</v>
        <stp/>
        <stp>BDH|4196480918738852628</stp>
        <tr r="K21" s="2"/>
      </tp>
      <tp t="e">
        <v>#N/A</v>
        <stp/>
        <stp>BDH|7818991954317965377</stp>
        <tr r="C9" s="2"/>
        <tr r="E8" s="25"/>
      </tp>
      <tp t="e">
        <v>#N/A</v>
        <stp/>
        <stp>BDH|9832982799021102733</stp>
        <tr r="R117" s="18"/>
      </tp>
      <tp t="e">
        <v>#N/A</v>
        <stp/>
        <stp>BDH|6681992663932471431</stp>
        <tr r="R12" s="12"/>
      </tp>
      <tp t="e">
        <v>#N/A</v>
        <stp/>
        <stp>BDH|3393112071218054289</stp>
        <tr r="AA26" s="26"/>
      </tp>
      <tp t="e">
        <v>#N/A</v>
        <stp/>
        <stp>BDH|4014461978361140942</stp>
        <tr r="F10" s="4"/>
        <tr r="E6" s="16"/>
        <tr r="H6" s="3"/>
        <tr r="F6" s="11"/>
      </tp>
      <tp t="e">
        <v>#N/A</v>
        <stp/>
        <stp>BDH|5526919888588523328</stp>
        <tr r="R23" s="24"/>
      </tp>
      <tp t="e">
        <v>#N/A</v>
        <stp/>
        <stp>BDH|6493411732806522896</stp>
        <tr r="X66" s="21"/>
      </tp>
      <tp t="e">
        <v>#N/A</v>
        <stp/>
        <stp>BDH|7327096440604172801</stp>
        <tr r="P29" s="5"/>
      </tp>
      <tp t="e">
        <v>#N/A</v>
        <stp/>
        <stp>BDH|9943166323180407537</stp>
        <tr r="L43" s="17"/>
      </tp>
      <tp t="e">
        <v>#N/A</v>
        <stp/>
        <stp>BDH|3429961796085720986</stp>
        <tr r="M6" s="2"/>
        <tr r="L6" s="5"/>
        <tr r="L6" s="9"/>
        <tr r="N12" s="8"/>
        <tr r="O10" s="29"/>
        <tr r="O19" s="29"/>
        <tr r="O25" s="29"/>
      </tp>
      <tp t="e">
        <v>#N/A</v>
        <stp/>
        <stp>BDH|7903547908058626582</stp>
        <tr r="Y58" s="18"/>
      </tp>
      <tp t="e">
        <v>#N/A</v>
        <stp/>
        <stp>BDH|6316655577579265181</stp>
        <tr r="Y145" s="18"/>
      </tp>
      <tp t="e">
        <v>#N/A</v>
        <stp/>
        <stp>BDH|5600285192588712908</stp>
        <tr r="D85" s="18"/>
      </tp>
      <tp t="e">
        <v>#N/A</v>
        <stp/>
        <stp>BDH|3320898616732438736</stp>
        <tr r="N21" s="30"/>
        <tr r="N24" s="23"/>
      </tp>
      <tp t="e">
        <v>#N/A</v>
        <stp/>
        <stp>BDH|9648866880903855535</stp>
        <tr r="F20" s="10"/>
      </tp>
      <tp t="e">
        <v>#N/A</v>
        <stp/>
        <stp>BDH|9623703798979324161</stp>
        <tr r="S14" s="25"/>
      </tp>
      <tp t="e">
        <v>#N/A</v>
        <stp/>
        <stp>BDH|5689987294378005217</stp>
        <tr r="W44" s="21"/>
      </tp>
      <tp t="e">
        <v>#N/A</v>
        <stp/>
        <stp>BDH|5117073726240320888</stp>
        <tr r="Q77" s="12"/>
      </tp>
      <tp t="e">
        <v>#N/A</v>
        <stp/>
        <stp>BDH|2964035201934842984</stp>
        <tr r="H68" s="24"/>
      </tp>
      <tp t="e">
        <v>#N/A</v>
        <stp/>
        <stp>BDH|7587250488156531460</stp>
        <tr r="V72" s="10"/>
        <tr r="V66" s="11"/>
      </tp>
      <tp t="e">
        <v>#N/A</v>
        <stp/>
        <stp>BDH|1798114249749786238</stp>
        <tr r="V14" s="10"/>
      </tp>
      <tp t="e">
        <v>#N/A</v>
        <stp/>
        <stp>BDH|1246107989480229728</stp>
        <tr r="D38" s="18"/>
      </tp>
      <tp t="e">
        <v>#N/A</v>
        <stp/>
        <stp>BDH|9604236672931555296</stp>
        <tr r="R19" s="6"/>
      </tp>
      <tp t="e">
        <v>#N/A</v>
        <stp/>
        <stp>BDH|6536734462970946865</stp>
        <tr r="E121" s="18"/>
      </tp>
      <tp t="e">
        <v>#N/A</v>
        <stp/>
        <stp>BDH|3229525753064104898</stp>
        <tr r="X36" s="22"/>
      </tp>
      <tp t="e">
        <v>#N/A</v>
        <stp/>
        <stp>BDH|5496390542174328975</stp>
        <tr r="Y20" s="23"/>
      </tp>
      <tp t="e">
        <v>#N/A</v>
        <stp/>
        <stp>BDH|1489966125522834747</stp>
        <tr r="U104" s="18"/>
      </tp>
      <tp t="e">
        <v>#N/A</v>
        <stp/>
        <stp>BDH|5877290273697176889</stp>
        <tr r="AA14" s="26"/>
      </tp>
      <tp t="e">
        <v>#N/A</v>
        <stp/>
        <stp>BDH|9014149852366441490</stp>
        <tr r="I21" s="30"/>
        <tr r="I24" s="23"/>
      </tp>
      <tp t="e">
        <v>#N/A</v>
        <stp/>
        <stp>BDH|9230215365562482095</stp>
        <tr r="C24" s="22"/>
      </tp>
      <tp t="e">
        <v>#N/A</v>
        <stp/>
        <stp>BDH|5488554613666058891</stp>
        <tr r="Y42" s="22"/>
      </tp>
      <tp t="e">
        <v>#N/A</v>
        <stp/>
        <stp>BDH|4352323499042405347</stp>
        <tr r="L50" s="18"/>
      </tp>
      <tp t="e">
        <v>#N/A</v>
        <stp/>
        <stp>BDH|6124219476544983877</stp>
        <tr r="AA44" s="13"/>
      </tp>
      <tp t="e">
        <v>#N/A</v>
        <stp/>
        <stp>BDH|7135724541129840223</stp>
        <tr r="S54" s="18"/>
      </tp>
      <tp t="e">
        <v>#N/A</v>
        <stp/>
        <stp>BDH|6547253294593820141</stp>
        <tr r="S48" s="21"/>
      </tp>
      <tp t="e">
        <v>#N/A</v>
        <stp/>
        <stp>BDH|6349660838385016956</stp>
        <tr r="V21" s="24"/>
      </tp>
      <tp t="e">
        <v>#N/A</v>
        <stp/>
        <stp>BDH|8672896082684171343</stp>
        <tr r="K17" s="24"/>
      </tp>
      <tp t="e">
        <v>#N/A</v>
        <stp/>
        <stp>BDH|8477157152024940726</stp>
        <tr r="F62" s="18"/>
      </tp>
      <tp t="e">
        <v>#N/A</v>
        <stp/>
        <stp>BDH|6401456446438940164</stp>
        <tr r="L62" s="24"/>
      </tp>
      <tp t="e">
        <v>#N/A</v>
        <stp/>
        <stp>BDH|3862371137465356934</stp>
        <tr r="Q76" s="12"/>
      </tp>
      <tp t="e">
        <v>#N/A</v>
        <stp/>
        <stp>BDH|9376924528089247435</stp>
        <tr r="J136" s="18"/>
      </tp>
      <tp t="e">
        <v>#N/A</v>
        <stp/>
        <stp>BDH|1955533065684532921</stp>
        <tr r="S56" s="10"/>
        <tr r="S50" s="11"/>
        <tr r="S18" s="7"/>
        <tr r="U52" s="13"/>
      </tp>
      <tp t="e">
        <v>#N/A</v>
        <stp/>
        <stp>BDH|5804817916345442632</stp>
        <tr r="W66" s="21"/>
      </tp>
      <tp t="e">
        <v>#N/A</v>
        <stp/>
        <stp>BDH|3893716047966125971</stp>
        <tr r="X148" s="18"/>
      </tp>
      <tp t="e">
        <v>#N/A</v>
        <stp/>
        <stp>BDH|1291607498755759459</stp>
        <tr r="Y24" s="2"/>
      </tp>
      <tp t="e">
        <v>#N/A</v>
        <stp/>
        <stp>BDH|3945275360231211946</stp>
        <tr r="J57" s="12"/>
      </tp>
      <tp t="e">
        <v>#N/A</v>
        <stp/>
        <stp>BDH|7200385194054192678</stp>
        <tr r="D17" s="24"/>
      </tp>
      <tp t="e">
        <v>#N/A</v>
        <stp/>
        <stp>BDH|4434106878739748432</stp>
        <tr r="R96" s="18"/>
      </tp>
      <tp t="e">
        <v>#N/A</v>
        <stp/>
        <stp>BDH|7995850066873763553</stp>
        <tr r="P20" s="6"/>
      </tp>
      <tp t="e">
        <v>#N/A</v>
        <stp/>
        <stp>BDH|2841553777479763651</stp>
        <tr r="L38" s="4"/>
        <tr r="L59" s="11"/>
        <tr r="N13" s="23"/>
      </tp>
      <tp t="e">
        <v>#N/A</v>
        <stp/>
        <stp>BDH|8298199581479577774</stp>
        <tr r="I10" s="11"/>
      </tp>
      <tp t="e">
        <v>#N/A</v>
        <stp/>
        <stp>BDH|5472993742124713302</stp>
        <tr r="L13" s="11"/>
      </tp>
      <tp t="e">
        <v>#N/A</v>
        <stp/>
        <stp>BDH|6375366288532064054</stp>
        <tr r="Q21" s="12"/>
      </tp>
      <tp t="e">
        <v>#N/A</v>
        <stp/>
        <stp>BDH|8295900906119439782</stp>
        <tr r="D103" s="18"/>
      </tp>
      <tp t="e">
        <v>#N/A</v>
        <stp/>
        <stp>BDH|2010683757096193862</stp>
        <tr r="J80" s="18"/>
      </tp>
      <tp t="e">
        <v>#N/A</v>
        <stp/>
        <stp>BDH|5458465704906870867</stp>
        <tr r="K28" s="10"/>
        <tr r="M33" s="13"/>
      </tp>
      <tp t="e">
        <v>#N/A</v>
        <stp/>
        <stp>BDH|1913866784049592766</stp>
        <tr r="F15" s="9"/>
      </tp>
      <tp t="e">
        <v>#N/A</v>
        <stp/>
        <stp>BDH|8931281933381202789</stp>
        <tr r="J24" s="2"/>
      </tp>
      <tp t="e">
        <v>#N/A</v>
        <stp/>
        <stp>BDH|5535509186126279194</stp>
        <tr r="L43" s="22"/>
      </tp>
      <tp t="e">
        <v>#N/A</v>
        <stp/>
        <stp>BDH|1419165370689802129</stp>
        <tr r="J40" s="34"/>
      </tp>
      <tp t="e">
        <v>#N/A</v>
        <stp/>
        <stp>BDH|1179826369944366415</stp>
        <tr r="I16" s="21"/>
      </tp>
      <tp t="e">
        <v>#N/A</v>
        <stp/>
        <stp>BDH|8185546194038104383</stp>
        <tr r="V12" s="17"/>
      </tp>
      <tp t="e">
        <v>#N/A</v>
        <stp/>
        <stp>BDH|8544015323583711688</stp>
        <tr r="I42" s="21"/>
      </tp>
      <tp t="e">
        <v>#N/A</v>
        <stp/>
        <stp>BDH|1475621729172326849</stp>
        <tr r="AA34" s="26"/>
      </tp>
      <tp t="e">
        <v>#N/A</v>
        <stp/>
        <stp>BDH|9145558968745415006</stp>
        <tr r="M121" s="18"/>
      </tp>
      <tp t="e">
        <v>#N/A</v>
        <stp/>
        <stp>BDH|8970571976632952799</stp>
        <tr r="W15" s="4"/>
      </tp>
      <tp t="e">
        <v>#N/A</v>
        <stp/>
        <stp>BDH|3906729682156870590</stp>
        <tr r="T25" s="17"/>
      </tp>
      <tp t="e">
        <v>#N/A</v>
        <stp/>
        <stp>BDH|2097991922303279513</stp>
        <tr r="O93" s="18"/>
      </tp>
      <tp t="e">
        <v>#N/A</v>
        <stp/>
        <stp>BDH|6986256290887502519</stp>
        <tr r="E29" s="5"/>
      </tp>
      <tp t="e">
        <v>#N/A</v>
        <stp/>
        <stp>BDH|5608145469888474574</stp>
        <tr r="C37" s="6"/>
      </tp>
      <tp t="e">
        <v>#N/A</v>
        <stp/>
        <stp>BDH|2386695781716003534</stp>
        <tr r="Q25" s="4"/>
        <tr r="Q64" s="10"/>
      </tp>
      <tp t="e">
        <v>#N/A</v>
        <stp/>
        <stp>BDH|4848418400106930980</stp>
        <tr r="M6" s="27"/>
      </tp>
      <tp t="e">
        <v>#N/A</v>
        <stp/>
        <stp>BDH|4038074622058465181</stp>
        <tr r="S29" s="21"/>
      </tp>
      <tp t="e">
        <v>#N/A</v>
        <stp/>
        <stp>BDH|1561324124716813927</stp>
        <tr r="D51" s="17"/>
      </tp>
      <tp t="e">
        <v>#N/A</v>
        <stp/>
        <stp>BDH|3335996022196137104</stp>
        <tr r="Q14" s="2"/>
        <tr r="Q11" s="10"/>
      </tp>
      <tp t="e">
        <v>#N/A</v>
        <stp/>
        <stp>BDH|7792143493912986209</stp>
        <tr r="E34" s="22"/>
      </tp>
      <tp t="e">
        <v>#N/A</v>
        <stp/>
        <stp>BDH|7490913209818465911</stp>
        <tr r="R24" s="4"/>
        <tr r="R58" s="11"/>
      </tp>
      <tp t="e">
        <v>#N/A</v>
        <stp/>
        <stp>BDH|4618988926767927789</stp>
        <tr r="R9" s="28"/>
      </tp>
      <tp t="e">
        <v>#N/A</v>
        <stp/>
        <stp>BDH|2309956578786378543</stp>
        <tr r="H38" s="22"/>
      </tp>
      <tp t="e">
        <v>#N/A</v>
        <stp/>
        <stp>BDH|7785535009944043944</stp>
        <tr r="N18" s="29"/>
        <tr r="N38" s="29"/>
      </tp>
      <tp t="e">
        <v>#N/A</v>
        <stp/>
        <stp>BDH|2908983304146858240</stp>
        <tr r="T90" s="17"/>
      </tp>
      <tp t="e">
        <v>#N/A</v>
        <stp/>
        <stp>BDH|7560525869579448235</stp>
        <tr r="M92" s="18"/>
      </tp>
      <tp t="e">
        <v>#N/A</v>
        <stp/>
        <stp>BDH|8567222672974497682</stp>
        <tr r="F7" s="11"/>
      </tp>
      <tp t="e">
        <v>#N/A</v>
        <stp/>
        <stp>BDH|9814958408047842844</stp>
        <tr r="C28" s="24"/>
      </tp>
      <tp t="e">
        <v>#N/A</v>
        <stp/>
        <stp>BDH|7915954065381748679</stp>
        <tr r="AA91" s="18"/>
      </tp>
      <tp t="e">
        <v>#N/A</v>
        <stp/>
        <stp>BDH|7395941502773461282</stp>
        <tr r="Y138" s="18"/>
      </tp>
      <tp t="e">
        <v>#N/A</v>
        <stp/>
        <stp>BDH|2583562130632301997</stp>
        <tr r="H13" s="6"/>
      </tp>
      <tp t="e">
        <v>#N/A</v>
        <stp/>
        <stp>BDH|6887887092190947821</stp>
        <tr r="N23" s="26"/>
      </tp>
      <tp t="e">
        <v>#N/A</v>
        <stp/>
        <stp>BDH|1906330383564376138</stp>
        <tr r="S7" s="23"/>
      </tp>
      <tp t="e">
        <v>#N/A</v>
        <stp/>
        <stp>BDH|6245504422598862619</stp>
        <tr r="R70" s="24"/>
      </tp>
      <tp t="e">
        <v>#N/A</v>
        <stp/>
        <stp>BDH|7719272460285988904</stp>
        <tr r="I22" s="20"/>
      </tp>
      <tp t="e">
        <v>#N/A</v>
        <stp/>
        <stp>BDH|2325159496773113681</stp>
        <tr r="H26" s="21"/>
      </tp>
      <tp t="e">
        <v>#N/A</v>
        <stp/>
        <stp>BDH|6019995701518688875</stp>
        <tr r="W97" s="17"/>
        <tr r="W7" s="27"/>
      </tp>
      <tp t="e">
        <v>#N/A</v>
        <stp/>
        <stp>BDH|2098482730162479851</stp>
        <tr r="I40" s="18"/>
      </tp>
      <tp t="e">
        <v>#N/A</v>
        <stp/>
        <stp>BDH|1001689623003144931</stp>
        <tr r="L7" s="11"/>
      </tp>
      <tp t="e">
        <v>#N/A</v>
        <stp/>
        <stp>BDH|7795227041197509980</stp>
        <tr r="K80" s="18"/>
      </tp>
      <tp t="e">
        <v>#N/A</v>
        <stp/>
        <stp>BDH|9962682322471995336</stp>
        <tr r="F30" s="21"/>
      </tp>
      <tp t="e">
        <v>#N/A</v>
        <stp/>
        <stp>BDH|2767110092182987740</stp>
        <tr r="V34" s="18"/>
      </tp>
      <tp t="e">
        <v>#N/A</v>
        <stp/>
        <stp>BDH|4700138947146317897</stp>
        <tr r="T163" s="18"/>
      </tp>
      <tp t="e">
        <v>#N/A</v>
        <stp/>
        <stp>BDH|6059046441679890443</stp>
        <tr r="L167" s="18"/>
      </tp>
      <tp t="e">
        <v>#N/A</v>
        <stp/>
        <stp>BDH|8903101801331349728</stp>
        <tr r="F37" s="24"/>
      </tp>
      <tp t="e">
        <v>#N/A</v>
        <stp/>
        <stp>BDH|7852543185983708671</stp>
        <tr r="Y39" s="24"/>
      </tp>
      <tp t="e">
        <v>#N/A</v>
        <stp/>
        <stp>BDH|6987552901954530861</stp>
        <tr r="G38" s="34"/>
      </tp>
      <tp t="e">
        <v>#N/A</v>
        <stp/>
        <stp>BDH|8939275724652788538</stp>
        <tr r="J83" s="17"/>
      </tp>
      <tp t="e">
        <v>#N/A</v>
        <stp/>
        <stp>BDH|6742539584993810765</stp>
        <tr r="N18" s="12"/>
      </tp>
      <tp t="e">
        <v>#N/A</v>
        <stp/>
        <stp>BDH|8108398306281289522</stp>
        <tr r="W24" s="29"/>
      </tp>
      <tp t="e">
        <v>#N/A</v>
        <stp/>
        <stp>BDH|5445556728165066876</stp>
        <tr r="N14" s="13"/>
      </tp>
      <tp t="e">
        <v>#N/A</v>
        <stp/>
        <stp>BDH|8731817765660545984</stp>
        <tr r="D41" s="24"/>
      </tp>
      <tp t="e">
        <v>#N/A</v>
        <stp/>
        <stp>BDH|4234157098795006611</stp>
        <tr r="R56" s="13"/>
      </tp>
      <tp t="e">
        <v>#N/A</v>
        <stp/>
        <stp>BDH|6531542510418880579</stp>
        <tr r="O58" s="21"/>
        <tr r="O33" s="25"/>
        <tr r="M31" s="4"/>
        <tr r="M55" s="11"/>
      </tp>
      <tp t="e">
        <v>#N/A</v>
        <stp/>
        <stp>BDH|9458420097312779985</stp>
        <tr r="E10" s="30"/>
      </tp>
      <tp t="e">
        <v>#N/A</v>
        <stp/>
        <stp>BDH|4083790267392672868</stp>
        <tr r="X64" s="18"/>
      </tp>
      <tp t="e">
        <v>#N/A</v>
        <stp/>
        <stp>BDH|2683236539844516870</stp>
        <tr r="S45" s="21"/>
      </tp>
      <tp t="e">
        <v>#N/A</v>
        <stp/>
        <stp>BDH|1335560199253217107</stp>
        <tr r="V62" s="12"/>
      </tp>
      <tp t="e">
        <v>#N/A</v>
        <stp/>
        <stp>BDH|1991542268528996520</stp>
        <tr r="Q27" s="7"/>
      </tp>
      <tp t="e">
        <v>#N/A</v>
        <stp/>
        <stp>BDH|4831967293643577862</stp>
        <tr r="G28" s="21"/>
      </tp>
      <tp t="e">
        <v>#N/A</v>
        <stp/>
        <stp>BDH|6031886860780701715</stp>
        <tr r="U66" s="24"/>
      </tp>
      <tp t="e">
        <v>#N/A</v>
        <stp/>
        <stp>BDH|4297373531938362392</stp>
        <tr r="F35" s="17"/>
      </tp>
      <tp t="e">
        <v>#N/A</v>
        <stp/>
        <stp>BDH|9234083343772535022</stp>
        <tr r="S29" s="5"/>
      </tp>
      <tp t="e">
        <v>#N/A</v>
        <stp/>
        <stp>BDH|2357151285060425490</stp>
        <tr r="R36" s="12"/>
      </tp>
      <tp t="e">
        <v>#N/A</v>
        <stp/>
        <stp>BDH|8353495546075409266</stp>
        <tr r="Q10" s="26"/>
      </tp>
      <tp t="e">
        <v>#N/A</v>
        <stp/>
        <stp>BDH|7719483282587768347</stp>
        <tr r="V12" s="22"/>
      </tp>
      <tp t="e">
        <v>#N/A</v>
        <stp/>
        <stp>BDH|9188247523725097388</stp>
        <tr r="U98" s="18"/>
      </tp>
      <tp t="e">
        <v>#N/A</v>
        <stp/>
        <stp>BDH|9964074496476091967</stp>
        <tr r="Q61" s="11"/>
        <tr r="S19" s="23"/>
      </tp>
      <tp t="e">
        <v>#N/A</v>
        <stp/>
        <stp>BDH|8688510259194584359</stp>
        <tr r="L42" s="17"/>
      </tp>
      <tp t="e">
        <v>#N/A</v>
        <stp/>
        <stp>BDH|2228462726928465384</stp>
        <tr r="U10" s="10"/>
      </tp>
      <tp t="e">
        <v>#N/A</v>
        <stp/>
        <stp>BDH|2312150526858810662</stp>
        <tr r="F99" s="18"/>
      </tp>
      <tp t="e">
        <v>#N/A</v>
        <stp/>
        <stp>BDH|5408963989828121343</stp>
        <tr r="C62" s="21"/>
      </tp>
      <tp t="e">
        <v>#N/A</v>
        <stp/>
        <stp>BDH|3973832624832579450</stp>
        <tr r="Q46" s="10"/>
        <tr r="Q40" s="11"/>
      </tp>
      <tp t="e">
        <v>#N/A</v>
        <stp/>
        <stp>BDH|4055765796896935374</stp>
        <tr r="R92" s="18"/>
      </tp>
      <tp t="e">
        <v>#N/A</v>
        <stp/>
        <stp>BDH|7599059870098861769</stp>
        <tr r="R65" s="21"/>
        <tr r="P23" s="7"/>
      </tp>
      <tp t="e">
        <v>#N/A</v>
        <stp/>
        <stp>BDH|9591191575167179761</stp>
        <tr r="V14" s="17"/>
        <tr r="V17" s="28"/>
      </tp>
      <tp t="e">
        <v>#N/A</v>
        <stp/>
        <stp>BDH|6882389298961131275</stp>
        <tr r="U13" s="9"/>
      </tp>
      <tp t="e">
        <v>#N/A</v>
        <stp/>
        <stp>BDH|3320349719069730776</stp>
        <tr r="I30" s="26"/>
      </tp>
      <tp t="e">
        <v>#N/A</v>
        <stp/>
        <stp>BDH|4891040680972278109</stp>
        <tr r="X45" s="4"/>
        <tr r="X30" s="10"/>
        <tr r="X24" s="11"/>
        <tr r="Z30" s="13"/>
      </tp>
      <tp t="e">
        <v>#N/A</v>
        <stp/>
        <stp>BDH|7919351384680569321</stp>
        <tr r="Z50" s="18"/>
      </tp>
      <tp t="e">
        <v>#N/A</v>
        <stp/>
        <stp>BDH|7875746740019774246</stp>
        <tr r="AA141" s="18"/>
      </tp>
      <tp t="e">
        <v>#N/A</v>
        <stp/>
        <stp>BDH|4024542887274448286</stp>
        <tr r="U16" s="24"/>
      </tp>
      <tp t="e">
        <v>#N/A</v>
        <stp/>
        <stp>BDH|4175932871637870244</stp>
        <tr r="J24" s="21"/>
      </tp>
      <tp t="e">
        <v>#N/A</v>
        <stp/>
        <stp>BDH|4460574114307019880</stp>
        <tr r="I30" s="29"/>
        <tr r="I8" s="29"/>
      </tp>
      <tp t="e">
        <v>#N/A</v>
        <stp/>
        <stp>BDH|2984441779406370889</stp>
        <tr r="E30" s="18"/>
      </tp>
      <tp t="e">
        <v>#N/A</v>
        <stp/>
        <stp>BDH|8356722949443472737</stp>
        <tr r="I8" s="24"/>
      </tp>
      <tp t="e">
        <v>#N/A</v>
        <stp/>
        <stp>BDH|8455780642265276132</stp>
        <tr r="P12" s="11"/>
      </tp>
      <tp t="e">
        <v>#N/A</v>
        <stp/>
        <stp>BDH|8664046232695673193</stp>
        <tr r="T105" s="18"/>
      </tp>
      <tp t="e">
        <v>#N/A</v>
        <stp/>
        <stp>BDH|8661428451476319099</stp>
        <tr r="C14" s="14"/>
      </tp>
      <tp t="e">
        <v>#N/A</v>
        <stp/>
        <stp>BDH|7476429990392105788</stp>
        <tr r="N11" s="14"/>
      </tp>
      <tp t="e">
        <v>#N/A</v>
        <stp/>
        <stp>BDH|7313448573532315989</stp>
        <tr r="P34" s="25"/>
      </tp>
      <tp t="e">
        <v>#N/A</v>
        <stp/>
        <stp>BDH|8068462448563757460</stp>
        <tr r="S25" s="6"/>
      </tp>
      <tp t="e">
        <v>#N/A</v>
        <stp/>
        <stp>BDH|3175885296698049507</stp>
        <tr r="W21" s="30"/>
        <tr r="W24" s="23"/>
      </tp>
      <tp t="e">
        <v>#N/A</v>
        <stp/>
        <stp>BDH|7779196280201801094</stp>
        <tr r="D39" s="24"/>
      </tp>
      <tp t="e">
        <v>#N/A</v>
        <stp/>
        <stp>BDH|1989845127884147047</stp>
        <tr r="G14" s="8"/>
      </tp>
      <tp t="e">
        <v>#N/A</v>
        <stp/>
        <stp>BDH|5414994810061548377</stp>
        <tr r="V50" s="17"/>
      </tp>
      <tp t="e">
        <v>#N/A</v>
        <stp/>
        <stp>BDH|3488584557748545419</stp>
        <tr r="J36" s="21"/>
      </tp>
      <tp t="e">
        <v>#N/A</v>
        <stp/>
        <stp>BDH|8060386810111217456</stp>
        <tr r="P67" s="10"/>
      </tp>
      <tp t="e">
        <v>#N/A</v>
        <stp/>
        <stp>BDH|2877616924980079929</stp>
        <tr r="G26" s="13"/>
      </tp>
      <tp t="e">
        <v>#N/A</v>
        <stp/>
        <stp>BDH|9671090047884569620</stp>
        <tr r="Q106" s="18"/>
        <tr r="O6" s="20"/>
      </tp>
      <tp t="e">
        <v>#N/A</v>
        <stp/>
        <stp>BDH|8149048687437537882</stp>
        <tr r="I33" s="26"/>
      </tp>
      <tp t="e">
        <v>#N/A</v>
        <stp/>
        <stp>BDH|1946908240486061566</stp>
        <tr r="Y43" s="4"/>
      </tp>
      <tp t="e">
        <v>#N/A</v>
        <stp/>
        <stp>BDH|1880935807140055731</stp>
        <tr r="W24" s="13"/>
      </tp>
      <tp t="e">
        <v>#N/A</v>
        <stp/>
        <stp>BDH|2973187308785193976</stp>
        <tr r="H102" s="18"/>
      </tp>
      <tp t="e">
        <v>#N/A</v>
        <stp/>
        <stp>BDH|9680748518280090050</stp>
        <tr r="S26" s="22"/>
      </tp>
      <tp t="e">
        <v>#N/A</v>
        <stp/>
        <stp>BDH|8754891096545026379</stp>
        <tr r="T23" s="26"/>
      </tp>
      <tp t="e">
        <v>#N/A</v>
        <stp/>
        <stp>BDH|6066539758239271060</stp>
        <tr r="F10" s="22"/>
      </tp>
      <tp t="e">
        <v>#N/A</v>
        <stp/>
        <stp>BDH|4329605063849733281</stp>
        <tr r="U91" s="18"/>
      </tp>
      <tp t="e">
        <v>#N/A</v>
        <stp/>
        <stp>BDH|6524936100143889310</stp>
        <tr r="P15" s="9"/>
      </tp>
      <tp t="e">
        <v>#N/A</v>
        <stp/>
        <stp>BDH|4543617158609597160</stp>
        <tr r="J17" s="12"/>
      </tp>
      <tp t="e">
        <v>#N/A</v>
        <stp/>
        <stp>BDH|9362048959652549140</stp>
        <tr r="E68" s="24"/>
      </tp>
      <tp t="e">
        <v>#N/A</v>
        <stp/>
        <stp>BDH|4891995624421375193</stp>
        <tr r="C23" s="13"/>
      </tp>
      <tp t="e">
        <v>#N/A</v>
        <stp/>
        <stp>BDH|6417026738928263234</stp>
        <tr r="P34" s="34"/>
      </tp>
      <tp t="e">
        <v>#N/A</v>
        <stp/>
        <stp>BDH|1993767890424907496</stp>
        <tr r="O57" s="24"/>
      </tp>
      <tp t="e">
        <v>#N/A</v>
        <stp/>
        <stp>BDH|6998414202249430410</stp>
        <tr r="V8" s="11"/>
      </tp>
      <tp t="e">
        <v>#N/A</v>
        <stp/>
        <stp>BDH|5311081781731501308</stp>
        <tr r="Z50" s="17"/>
      </tp>
      <tp t="e">
        <v>#N/A</v>
        <stp/>
        <stp>BDH|8485810080162805526</stp>
        <tr r="C49" s="18"/>
      </tp>
      <tp t="e">
        <v>#N/A</v>
        <stp/>
        <stp>BDH|6286270696040803247</stp>
        <tr r="V9" s="13"/>
      </tp>
      <tp t="e">
        <v>#N/A</v>
        <stp/>
        <stp>BDH|9459891242722698865</stp>
        <tr r="Q20" s="30"/>
      </tp>
      <tp t="e">
        <v>#N/A</v>
        <stp/>
        <stp>BDH|2914427641335698833</stp>
        <tr r="Q21" s="2"/>
      </tp>
      <tp t="e">
        <v>#N/A</v>
        <stp/>
        <stp>BDH|2481884087414291950</stp>
        <tr r="F167" s="18"/>
      </tp>
      <tp t="e">
        <v>#N/A</v>
        <stp/>
        <stp>BDH|1330978368296218729</stp>
        <tr r="W26" s="22"/>
      </tp>
      <tp t="e">
        <v>#N/A</v>
        <stp/>
        <stp>BDH|4948865517174146655</stp>
        <tr r="E21" s="2"/>
      </tp>
      <tp t="e">
        <v>#N/A</v>
        <stp/>
        <stp>BDH|3098043398161682462</stp>
        <tr r="T13" s="5"/>
      </tp>
      <tp t="e">
        <v>#N/A</v>
        <stp/>
        <stp>BDH|2798822158973935380</stp>
        <tr r="AA9" s="17"/>
      </tp>
      <tp t="e">
        <v>#N/A</v>
        <stp/>
        <stp>BDH|7627515219465005923</stp>
        <tr r="C22" s="25"/>
        <tr r="C12" s="27"/>
      </tp>
      <tp t="e">
        <v>#N/A</v>
        <stp/>
        <stp>BDH|5420835446635940345</stp>
        <tr r="P146" s="18"/>
      </tp>
      <tp t="e">
        <v>#N/A</v>
        <stp/>
        <stp>BDH|9151413141955480394</stp>
        <tr r="F46" s="17"/>
      </tp>
      <tp t="e">
        <v>#N/A</v>
        <stp/>
        <stp>BDH|6861358406289272358</stp>
        <tr r="T36" s="12"/>
      </tp>
      <tp t="e">
        <v>#N/A</v>
        <stp/>
        <stp>BDH|8210181784399207700</stp>
        <tr r="F66" s="12"/>
      </tp>
      <tp t="e">
        <v>#N/A</v>
        <stp/>
        <stp>BDH|7878749577430314848</stp>
        <tr r="V43" s="21"/>
      </tp>
      <tp t="e">
        <v>#N/A</v>
        <stp/>
        <stp>BDH|1711435259868992787</stp>
        <tr r="Q25" s="7"/>
      </tp>
      <tp t="e">
        <v>#N/A</v>
        <stp/>
        <stp>BDH|7046846045735557185</stp>
        <tr r="AA47" s="17"/>
      </tp>
      <tp t="e">
        <v>#N/A</v>
        <stp/>
        <stp>BDH|9669160232323667786</stp>
        <tr r="V28" s="24"/>
      </tp>
      <tp t="e">
        <v>#N/A</v>
        <stp/>
        <stp>BDH|1668969341374983741</stp>
        <tr r="L11" s="9"/>
      </tp>
      <tp t="e">
        <v>#N/A</v>
        <stp/>
        <stp>BDH|3025912941285514497</stp>
        <tr r="O32" s="34"/>
      </tp>
      <tp t="e">
        <v>#N/A</v>
        <stp/>
        <stp>BDH|6504539077863952840</stp>
        <tr r="Y38" s="4"/>
        <tr r="Y59" s="11"/>
        <tr r="AA13" s="23"/>
      </tp>
      <tp t="e">
        <v>#N/A</v>
        <stp/>
        <stp>BDH|9572095284596700833</stp>
        <tr r="S100" s="18"/>
      </tp>
      <tp t="e">
        <v>#N/A</v>
        <stp/>
        <stp>BDH|4257314009169575130</stp>
        <tr r="O28" s="10"/>
        <tr r="Q33" s="13"/>
      </tp>
      <tp t="e">
        <v>#N/A</v>
        <stp/>
        <stp>BDH|7068090100040739822</stp>
        <tr r="I87" s="17"/>
        <tr r="I20" s="3"/>
        <tr r="G6" s="7"/>
      </tp>
      <tp t="e">
        <v>#N/A</v>
        <stp/>
        <stp>BDH|7374237011522523980</stp>
        <tr r="C16" s="20"/>
      </tp>
      <tp t="e">
        <v>#N/A</v>
        <stp/>
        <stp>BDH|8862335480004123866</stp>
        <tr r="L86" s="18"/>
      </tp>
      <tp t="e">
        <v>#N/A</v>
        <stp/>
        <stp>BDH|9510475492339890249</stp>
        <tr r="P22" s="12"/>
      </tp>
      <tp t="e">
        <v>#N/A</v>
        <stp/>
        <stp>BDH|4665860073304852076</stp>
        <tr r="M61" s="18"/>
      </tp>
      <tp t="e">
        <v>#N/A</v>
        <stp/>
        <stp>BDH|5677894364467366349</stp>
        <tr r="U50" s="24"/>
      </tp>
      <tp t="e">
        <v>#N/A</v>
        <stp/>
        <stp>BDH|4596811928503142212</stp>
        <tr r="D33" s="17"/>
      </tp>
      <tp t="e">
        <v>#N/A</v>
        <stp/>
        <stp>BDH|3565106757961628981</stp>
        <tr r="L45" s="21"/>
      </tp>
      <tp t="e">
        <v>#N/A</v>
        <stp/>
        <stp>BDH|6267799367178043007</stp>
        <tr r="G90" s="18"/>
      </tp>
      <tp t="e">
        <v>#N/A</v>
        <stp/>
        <stp>BDH|4495986020824780473</stp>
        <tr r="P59" s="12"/>
      </tp>
      <tp t="e">
        <v>#N/A</v>
        <stp/>
        <stp>BDH|8664893857428540219</stp>
        <tr r="G139" s="18"/>
      </tp>
      <tp t="e">
        <v>#N/A</v>
        <stp/>
        <stp>BDH|7652370189421664236</stp>
        <tr r="K22" s="17"/>
      </tp>
      <tp t="e">
        <v>#N/A</v>
        <stp/>
        <stp>BDH|2239955939042014537</stp>
        <tr r="L14" s="4"/>
      </tp>
      <tp t="e">
        <v>#N/A</v>
        <stp/>
        <stp>BDH|9320158162830941106</stp>
        <tr r="O20" s="24"/>
      </tp>
      <tp t="e">
        <v>#N/A</v>
        <stp/>
        <stp>BDH|8782688842174568154</stp>
        <tr r="T22" s="26"/>
      </tp>
      <tp t="e">
        <v>#N/A</v>
        <stp/>
        <stp>BDH|7070592267758745345</stp>
        <tr r="O90" s="18"/>
      </tp>
      <tp t="e">
        <v>#N/A</v>
        <stp/>
        <stp>BDH|5914906714013675162</stp>
        <tr r="V38" s="24"/>
      </tp>
      <tp t="e">
        <v>#N/A</v>
        <stp/>
        <stp>BDH|9376069359322484157</stp>
        <tr r="O26" s="6"/>
      </tp>
      <tp t="e">
        <v>#N/A</v>
        <stp/>
        <stp>BDH|8472341304244118087</stp>
        <tr r="Z150" s="18"/>
      </tp>
      <tp t="e">
        <v>#N/A</v>
        <stp/>
        <stp>BDH|5004585397066172036</stp>
        <tr r="W9" s="20"/>
      </tp>
      <tp t="e">
        <v>#N/A</v>
        <stp/>
        <stp>BDH|2480479478688745617</stp>
        <tr r="W71" s="12"/>
      </tp>
      <tp t="e">
        <v>#N/A</v>
        <stp/>
        <stp>BDH|6531431321979289684</stp>
        <tr r="X23" s="10"/>
      </tp>
      <tp t="e">
        <v>#N/A</v>
        <stp/>
        <stp>BDH|8424728049960011424</stp>
        <tr r="T75" s="18"/>
      </tp>
      <tp t="e">
        <v>#N/A</v>
        <stp/>
        <stp>BDH|1607084505287581938</stp>
        <tr r="G165" s="18"/>
      </tp>
      <tp t="e">
        <v>#N/A</v>
        <stp/>
        <stp>BDH|9921534246137497057</stp>
        <tr r="Q93" s="17"/>
      </tp>
      <tp t="e">
        <v>#N/A</v>
        <stp/>
        <stp>BDH|7490896861286354020</stp>
        <tr r="H20" s="18"/>
      </tp>
      <tp t="e">
        <v>#N/A</v>
        <stp/>
        <stp>BDH|1869678228679866325</stp>
        <tr r="N42" s="24"/>
      </tp>
      <tp t="e">
        <v>#N/A</v>
        <stp/>
        <stp>BDH|2470753919708383360</stp>
        <tr r="J42" s="34"/>
      </tp>
      <tp t="e">
        <v>#N/A</v>
        <stp/>
        <stp>BDH|1522407511878112386</stp>
        <tr r="J16" s="2"/>
        <tr r="J32" s="4"/>
        <tr r="J61" s="10"/>
        <tr r="L19" s="13"/>
      </tp>
      <tp t="e">
        <v>#N/A</v>
        <stp/>
        <stp>BDH|2953837045643693240</stp>
        <tr r="AA49" s="21"/>
      </tp>
      <tp t="e">
        <v>#N/A</v>
        <stp/>
        <stp>BDH|4497134426709406185</stp>
        <tr r="L81" s="18"/>
      </tp>
      <tp t="e">
        <v>#N/A</v>
        <stp/>
        <stp>BDH|8598960280562969475</stp>
        <tr r="V98" s="18"/>
      </tp>
      <tp t="e">
        <v>#N/A</v>
        <stp/>
        <stp>BDH|5003603781803522796</stp>
        <tr r="E18" s="22"/>
      </tp>
      <tp t="e">
        <v>#N/A</v>
        <stp/>
        <stp>BDH|8263109271334605583</stp>
        <tr r="T28" s="18"/>
      </tp>
      <tp t="e">
        <v>#N/A</v>
        <stp/>
        <stp>BDH|2763968461273080125</stp>
        <tr r="G65" s="18"/>
      </tp>
      <tp t="e">
        <v>#N/A</v>
        <stp/>
        <stp>BDH|7220996288001662873</stp>
        <tr r="D15" s="22"/>
      </tp>
      <tp t="e">
        <v>#N/A</v>
        <stp/>
        <stp>BDH|8295635251515294101</stp>
        <tr r="K20" s="29"/>
      </tp>
      <tp t="e">
        <v>#N/A</v>
        <stp/>
        <stp>BDH|6325364546516572845</stp>
        <tr r="P80" s="18"/>
      </tp>
      <tp t="e">
        <v>#N/A</v>
        <stp/>
        <stp>BDH|4302092236358935072</stp>
        <tr r="K55" s="17"/>
      </tp>
      <tp t="e">
        <v>#N/A</v>
        <stp/>
        <stp>BDH|8373106978227068695</stp>
        <tr r="O64" s="21"/>
      </tp>
      <tp t="e">
        <v>#N/A</v>
        <stp/>
        <stp>BDH|4405805930444304451</stp>
        <tr r="O71" s="10"/>
        <tr r="O65" s="11"/>
      </tp>
      <tp t="e">
        <v>#N/A</v>
        <stp/>
        <stp>BDH|2627280438375329973</stp>
        <tr r="O33" s="26"/>
      </tp>
      <tp t="e">
        <v>#N/A</v>
        <stp/>
        <stp>BDH|5410834577540325511</stp>
        <tr r="D88" s="18"/>
      </tp>
      <tp t="e">
        <v>#N/A</v>
        <stp/>
        <stp>BDH|7573511558451947975</stp>
        <tr r="G13" s="2"/>
      </tp>
      <tp t="e">
        <v>#N/A</v>
        <stp/>
        <stp>BDH|1434722676378117631</stp>
        <tr r="I113" s="18"/>
        <tr r="G14" s="20"/>
      </tp>
      <tp t="e">
        <v>#N/A</v>
        <stp/>
        <stp>BDH|4687138550489019677</stp>
        <tr r="I70" s="24"/>
      </tp>
      <tp t="e">
        <v>#N/A</v>
        <stp/>
        <stp>BDH|1909444109112632804</stp>
        <tr r="H14" s="28"/>
      </tp>
      <tp t="e">
        <v>#N/A</v>
        <stp/>
        <stp>BDH|5375772287716453352</stp>
        <tr r="J46" s="18"/>
      </tp>
      <tp t="e">
        <v>#N/A</v>
        <stp/>
        <stp>BDH|8346579645973380509</stp>
        <tr r="G71" s="17"/>
      </tp>
      <tp t="e">
        <v>#N/A</v>
        <stp/>
        <stp>BDH|8774451867677428237</stp>
        <tr r="K166" s="18"/>
      </tp>
      <tp t="e">
        <v>#N/A</v>
        <stp/>
        <stp>BDH|4855056916163863911</stp>
        <tr r="Q80" s="17"/>
      </tp>
      <tp t="e">
        <v>#N/A</v>
        <stp/>
        <stp>BDH|8668210856876591663</stp>
        <tr r="AA12" s="13"/>
      </tp>
      <tp t="e">
        <v>#N/A</v>
        <stp/>
        <stp>BDH|2472374139904069988</stp>
        <tr r="W9" s="22"/>
      </tp>
      <tp t="e">
        <v>#N/A</v>
        <stp/>
        <stp>BDH|3146122282824480171</stp>
        <tr r="J70" s="17"/>
      </tp>
      <tp t="e">
        <v>#N/A</v>
        <stp/>
        <stp>BDH|6466934203944082464</stp>
        <tr r="L133" s="18"/>
      </tp>
      <tp t="e">
        <v>#N/A</v>
        <stp/>
        <stp>BDH|7913892256741739430</stp>
        <tr r="V43" s="17"/>
      </tp>
      <tp t="e">
        <v>#N/A</v>
        <stp/>
        <stp>BDH|5651753225298571714</stp>
        <tr r="V70" s="18"/>
      </tp>
      <tp t="e">
        <v>#N/A</v>
        <stp/>
        <stp>BDH|9085469970801769439</stp>
        <tr r="F16" s="23"/>
      </tp>
      <tp t="e">
        <v>#N/A</v>
        <stp/>
        <stp>BDH|9931707504744963563</stp>
        <tr r="P35" s="10"/>
        <tr r="P47" s="10"/>
        <tr r="P29" s="11"/>
        <tr r="P41" s="11"/>
      </tp>
      <tp t="e">
        <v>#N/A</v>
        <stp/>
        <stp>BDH|3851981033190914682</stp>
        <tr r="D55" s="17"/>
      </tp>
      <tp t="e">
        <v>#N/A</v>
        <stp/>
        <stp>BDH|9494318449090705197</stp>
        <tr r="X48" s="17"/>
      </tp>
      <tp t="e">
        <v>#N/A</v>
        <stp/>
        <stp>BDH|7026853455191050423</stp>
        <tr r="O11" s="12"/>
      </tp>
      <tp t="e">
        <v>#N/A</v>
        <stp/>
        <stp>BDH|8566281364402339189</stp>
        <tr r="Q86" s="18"/>
      </tp>
      <tp t="e">
        <v>#N/A</v>
        <stp/>
        <stp>BDH|4427638824257713860</stp>
        <tr r="T42" s="13"/>
      </tp>
      <tp t="e">
        <v>#N/A</v>
        <stp/>
        <stp>BDH|5160242444838542460</stp>
        <tr r="F11" s="17"/>
      </tp>
      <tp t="e">
        <v>#N/A</v>
        <stp/>
        <stp>BDH|3488967177082229055</stp>
        <tr r="E16" s="30"/>
      </tp>
      <tp t="e">
        <v>#N/A</v>
        <stp/>
        <stp>BDH|4614240761949035611</stp>
        <tr r="N54" s="13"/>
      </tp>
      <tp t="e">
        <v>#N/A</v>
        <stp/>
        <stp>BDH|7682637891154247340</stp>
        <tr r="P83" s="18"/>
      </tp>
      <tp t="e">
        <v>#N/A</v>
        <stp/>
        <stp>BDH|7361534686473224669</stp>
        <tr r="V82" s="17"/>
        <tr r="V19" s="3"/>
      </tp>
      <tp t="e">
        <v>#N/A</v>
        <stp/>
        <stp>BDH|9271052377948223902</stp>
        <tr r="S88" s="17"/>
      </tp>
      <tp t="e">
        <v>#N/A</v>
        <stp/>
        <stp>BDH|6036839237627571534</stp>
        <tr r="I49" s="18"/>
      </tp>
      <tp t="e">
        <v>#N/A</v>
        <stp/>
        <stp>BDH|4695272117039737137</stp>
        <tr r="C52" s="17"/>
      </tp>
      <tp t="e">
        <v>#N/A</v>
        <stp/>
        <stp>BDH|9958437578884934196</stp>
        <tr r="G46" s="18"/>
      </tp>
      <tp t="e">
        <v>#N/A</v>
        <stp/>
        <stp>BDH|3441839241884594413</stp>
        <tr r="W60" s="21"/>
      </tp>
      <tp t="e">
        <v>#N/A</v>
        <stp/>
        <stp>BDH|3517314925525688856</stp>
        <tr r="Z11" s="13"/>
      </tp>
      <tp t="e">
        <v>#N/A</v>
        <stp/>
        <stp>BDH|9818776312204937468</stp>
        <tr r="K28" s="25"/>
        <tr r="K18" s="27"/>
      </tp>
      <tp t="e">
        <v>#N/A</v>
        <stp/>
        <stp>BDH|7393072117748458148</stp>
        <tr r="X11" s="18"/>
      </tp>
      <tp t="e">
        <v>#N/A</v>
        <stp/>
        <stp>BDH|2592298485450248781</stp>
        <tr r="U13" s="5"/>
      </tp>
      <tp t="e">
        <v>#N/A</v>
        <stp/>
        <stp>BDH|7040955767552048512</stp>
        <tr r="N58" s="24"/>
      </tp>
      <tp t="e">
        <v>#N/A</v>
        <stp/>
        <stp>BDH|2529262322165409864</stp>
        <tr r="T12" s="6"/>
      </tp>
      <tp t="e">
        <v>#N/A</v>
        <stp/>
        <stp>BDH|5723848164947756333</stp>
        <tr r="S7" s="11"/>
      </tp>
      <tp t="e">
        <v>#N/A</v>
        <stp/>
        <stp>BDH|6030073780162517314</stp>
        <tr r="S62" s="24"/>
      </tp>
      <tp t="e">
        <v>#N/A</v>
        <stp/>
        <stp>BDH|3682507587133533279</stp>
        <tr r="L15" s="24"/>
      </tp>
      <tp t="e">
        <v>#N/A</v>
        <stp/>
        <stp>BDH|7042946504514225511</stp>
        <tr r="I15" s="11"/>
      </tp>
      <tp t="e">
        <v>#N/A</v>
        <stp/>
        <stp>BDH|8865583413846096500</stp>
        <tr r="V35" s="10"/>
        <tr r="V47" s="10"/>
        <tr r="V29" s="11"/>
        <tr r="V41" s="11"/>
      </tp>
      <tp t="e">
        <v>#N/A</v>
        <stp/>
        <stp>BDH|3367597200379056090</stp>
        <tr r="Q16" s="23"/>
      </tp>
      <tp t="e">
        <v>#N/A</v>
        <stp/>
        <stp>BDH|6269021996507664733</stp>
        <tr r="L46" s="4"/>
        <tr r="L24" s="10"/>
        <tr r="N35" s="13"/>
      </tp>
      <tp t="e">
        <v>#N/A</v>
        <stp/>
        <stp>BDH|9856388302217417259</stp>
        <tr r="W28" s="25"/>
        <tr r="W18" s="27"/>
      </tp>
      <tp t="e">
        <v>#N/A</v>
        <stp/>
        <stp>BDH|3235720985834390755</stp>
        <tr r="Q7" s="21"/>
      </tp>
      <tp t="e">
        <v>#N/A</v>
        <stp/>
        <stp>BDH|7102122819401872916</stp>
        <tr r="T45" s="13"/>
      </tp>
      <tp t="e">
        <v>#N/A</v>
        <stp/>
        <stp>BDH|8839270678424464606</stp>
        <tr r="E113" s="18"/>
        <tr r="C14" s="20"/>
      </tp>
      <tp t="e">
        <v>#N/A</v>
        <stp/>
        <stp>BDH|2257809958825878515</stp>
        <tr r="Q24" s="26"/>
      </tp>
      <tp t="e">
        <v>#N/A</v>
        <stp/>
        <stp>BDH|7835889061805280303</stp>
        <tr r="Y64" s="21"/>
      </tp>
      <tp t="e">
        <v>#N/A</v>
        <stp/>
        <stp>BDH|9849899787596061057</stp>
        <tr r="I15" s="13"/>
      </tp>
      <tp t="e">
        <v>#N/A</v>
        <stp/>
        <stp>BDH|8894462351397939152</stp>
        <tr r="G43" s="12"/>
      </tp>
      <tp t="e">
        <v>#N/A</v>
        <stp/>
        <stp>BDH|5047952776457436349</stp>
        <tr r="V35" s="17"/>
      </tp>
      <tp t="e">
        <v>#N/A</v>
        <stp/>
        <stp>BDH|7119059723428026246</stp>
        <tr r="Y92" s="18"/>
      </tp>
      <tp t="e">
        <v>#N/A</v>
        <stp/>
        <stp>BDH|1261208224879645739</stp>
        <tr r="U36" s="22"/>
      </tp>
      <tp t="e">
        <v>#N/A</v>
        <stp/>
        <stp>BDH|4580601299091823570</stp>
        <tr r="C31" s="29"/>
        <tr r="C39" s="29"/>
      </tp>
      <tp t="e">
        <v>#N/A</v>
        <stp/>
        <stp>BDH|8852057231092893670</stp>
        <tr r="V10" s="6"/>
      </tp>
      <tp t="e">
        <v>#N/A</v>
        <stp/>
        <stp>BDH|5663319898021569194</stp>
        <tr r="E14" s="26"/>
      </tp>
      <tp t="e">
        <v>#N/A</v>
        <stp/>
        <stp>BDH|3411064574893254875</stp>
        <tr r="O99" s="18"/>
      </tp>
      <tp t="e">
        <v>#N/A</v>
        <stp/>
        <stp>BDH|3059801297614171958</stp>
        <tr r="W50" s="13"/>
      </tp>
      <tp t="e">
        <v>#N/A</v>
        <stp/>
        <stp>BDH|6583085196362005282</stp>
        <tr r="P25" s="24"/>
      </tp>
      <tp t="e">
        <v>#N/A</v>
        <stp/>
        <stp>BDH|1678127840222790907</stp>
        <tr r="P24" s="2"/>
      </tp>
      <tp t="e">
        <v>#N/A</v>
        <stp/>
        <stp>BDH|5461030021510298876</stp>
        <tr r="M13" s="14"/>
      </tp>
      <tp t="e">
        <v>#N/A</v>
        <stp/>
        <stp>BDH|9913642873851916646</stp>
        <tr r="L72" s="10"/>
        <tr r="L66" s="11"/>
      </tp>
      <tp t="e">
        <v>#N/A</v>
        <stp/>
        <stp>BDH|8993664129715011654</stp>
        <tr r="M58" s="21"/>
        <tr r="M33" s="25"/>
        <tr r="K31" s="4"/>
        <tr r="K55" s="11"/>
      </tp>
      <tp t="e">
        <v>#N/A</v>
        <stp/>
        <stp>BDH|1765962977917777725</stp>
        <tr r="P55" s="12"/>
      </tp>
      <tp t="e">
        <v>#N/A</v>
        <stp/>
        <stp>BDH|9140429612524437765</stp>
        <tr r="M54" s="24"/>
      </tp>
      <tp t="e">
        <v>#N/A</v>
        <stp/>
        <stp>BDH|2222343034059516471</stp>
        <tr r="Q41" s="24"/>
      </tp>
      <tp t="e">
        <v>#N/A</v>
        <stp/>
        <stp>BDH|4417228142329295462</stp>
        <tr r="F62" s="24"/>
      </tp>
      <tp t="e">
        <v>#N/A</v>
        <stp/>
        <stp>BDH|3162752421738500103</stp>
        <tr r="M126" s="18"/>
      </tp>
      <tp t="e">
        <v>#N/A</v>
        <stp/>
        <stp>BDH|1963963193339930755</stp>
        <tr r="W20" s="6"/>
      </tp>
      <tp t="e">
        <v>#N/A</v>
        <stp/>
        <stp>BDH|7991358462538859561</stp>
        <tr r="I20" s="23"/>
      </tp>
      <tp t="e">
        <v>#N/A</v>
        <stp/>
        <stp>BDH|9571122102894799327</stp>
        <tr r="M42" s="24"/>
      </tp>
      <tp t="e">
        <v>#N/A</v>
        <stp/>
        <stp>BDH|2591858660980591352</stp>
        <tr r="AA28" s="12"/>
      </tp>
      <tp t="e">
        <v>#N/A</v>
        <stp/>
        <stp>BDH|4729415376200472840</stp>
        <tr r="AA22" s="20"/>
      </tp>
      <tp t="e">
        <v>#N/A</v>
        <stp/>
        <stp>BDH|7691728568668858140</stp>
        <tr r="S52" s="12"/>
      </tp>
      <tp t="e">
        <v>#N/A</v>
        <stp/>
        <stp>BDH|9692214110805749003</stp>
        <tr r="L12" s="13"/>
      </tp>
      <tp t="e">
        <v>#N/A</v>
        <stp/>
        <stp>BDH|6325137170598776775</stp>
        <tr r="T27" s="5"/>
        <tr r="T27" s="9"/>
      </tp>
      <tp t="e">
        <v>#N/A</v>
        <stp/>
        <stp>BDH|8081158256510287318</stp>
        <tr r="D70" s="12"/>
      </tp>
      <tp t="e">
        <v>#N/A</v>
        <stp/>
        <stp>BDH|9640233609377587399</stp>
        <tr r="Z11" s="29"/>
      </tp>
      <tp t="e">
        <v>#N/A</v>
        <stp/>
        <stp>BDH|6656761586634604206</stp>
        <tr r="D22" s="18"/>
      </tp>
      <tp t="e">
        <v>#N/A</v>
        <stp/>
        <stp>BDH|5743351595562422236</stp>
        <tr r="H7" s="8"/>
      </tp>
      <tp t="e">
        <v>#N/A</v>
        <stp/>
        <stp>BDH|1670618360739448738</stp>
        <tr r="L29" s="12"/>
      </tp>
      <tp t="e">
        <v>#N/A</v>
        <stp/>
        <stp>BDH|1117856868430575093</stp>
        <tr r="I147" s="18"/>
      </tp>
      <tp t="e">
        <v>#N/A</v>
        <stp/>
        <stp>BDH|9243956496232613477</stp>
        <tr r="M10" s="28"/>
      </tp>
      <tp t="e">
        <v>#N/A</v>
        <stp/>
        <stp>BDH|6877168657275086893</stp>
        <tr r="F16" s="26"/>
      </tp>
      <tp t="e">
        <v>#N/A</v>
        <stp/>
        <stp>BDH|5224316295193555336</stp>
        <tr r="I60" s="21"/>
      </tp>
      <tp t="e">
        <v>#N/A</v>
        <stp/>
        <stp>BDH|9521418847487644153</stp>
        <tr r="S18" s="10"/>
        <tr r="U16" s="13"/>
        <tr r="U27" s="13"/>
      </tp>
      <tp t="e">
        <v>#N/A</v>
        <stp/>
        <stp>BDH|7787435841461664936</stp>
        <tr r="O30" s="21"/>
      </tp>
      <tp t="e">
        <v>#N/A</v>
        <stp/>
        <stp>BDH|5711337824219555259</stp>
        <tr r="I68" s="24"/>
      </tp>
      <tp t="e">
        <v>#N/A</v>
        <stp/>
        <stp>BDH|3018647282513498121</stp>
        <tr r="O38" s="18"/>
      </tp>
      <tp t="e">
        <v>#N/A</v>
        <stp/>
        <stp>BDH|1706123147362535979</stp>
        <tr r="Q25" s="22"/>
      </tp>
      <tp t="e">
        <v>#N/A</v>
        <stp/>
        <stp>BDH|8091474068541859470</stp>
        <tr r="G136" s="18"/>
      </tp>
      <tp t="e">
        <v>#N/A</v>
        <stp/>
        <stp>BDH|9131748161372508515</stp>
        <tr r="I14" s="18"/>
      </tp>
      <tp t="e">
        <v>#N/A</v>
        <stp/>
        <stp>BDH|7254421621357525949</stp>
        <tr r="L93" s="18"/>
      </tp>
      <tp t="e">
        <v>#N/A</v>
        <stp/>
        <stp>BDH|9649278034385512202</stp>
        <tr r="H11" s="24"/>
      </tp>
      <tp t="e">
        <v>#N/A</v>
        <stp/>
        <stp>BDH|5829430086972940443</stp>
        <tr r="Y163" s="18"/>
      </tp>
      <tp t="e">
        <v>#N/A</v>
        <stp/>
        <stp>BDH|1583293227248272691</stp>
        <tr r="L42" s="24"/>
      </tp>
      <tp t="e">
        <v>#N/A</v>
        <stp/>
        <stp>BDH|7726965916984214450</stp>
        <tr r="H145" s="18"/>
      </tp>
      <tp t="e">
        <v>#N/A</v>
        <stp/>
        <stp>BDH|8672544005245487737</stp>
        <tr r="C36" s="24"/>
      </tp>
      <tp t="e">
        <v>#N/A</v>
        <stp/>
        <stp>BDH|8377428225435114454</stp>
        <tr r="E33" s="22"/>
      </tp>
      <tp t="e">
        <v>#N/A</v>
        <stp/>
        <stp>BDH|9038830149068882225</stp>
        <tr r="E48" s="21"/>
      </tp>
      <tp t="e">
        <v>#N/A</v>
        <stp/>
        <stp>BDH|9484570636497444716</stp>
        <tr r="W14" s="22"/>
      </tp>
      <tp t="e">
        <v>#N/A</v>
        <stp/>
        <stp>BDH|9871090282927109920</stp>
        <tr r="Z15" s="13"/>
      </tp>
      <tp t="e">
        <v>#N/A</v>
        <stp/>
        <stp>BDH|4631456823668386535</stp>
        <tr r="E69" s="10"/>
        <tr r="E63" s="11"/>
        <tr r="E20" s="7"/>
      </tp>
      <tp t="e">
        <v>#N/A</v>
        <stp/>
        <stp>BDH|2795757364055568936</stp>
        <tr r="Z16" s="25"/>
      </tp>
      <tp t="e">
        <v>#N/A</v>
        <stp/>
        <stp>BDH|4115965933312638335</stp>
        <tr r="V30" s="29"/>
        <tr r="V8" s="29"/>
      </tp>
      <tp t="e">
        <v>#N/A</v>
        <stp/>
        <stp>BDH|9952409662545996130</stp>
        <tr r="N9" s="2"/>
        <tr r="P8" s="25"/>
        <tr r="M10" s="5"/>
      </tp>
      <tp t="e">
        <v>#N/A</v>
        <stp/>
        <stp>BDH|6378670736748758445</stp>
        <tr r="X8" s="6"/>
      </tp>
      <tp t="e">
        <v>#N/A</v>
        <stp/>
        <stp>BDH|2724161992213512670</stp>
        <tr r="D16" s="29"/>
        <tr r="D36" s="29"/>
      </tp>
      <tp t="e">
        <v>#N/A</v>
        <stp/>
        <stp>BDH|9539971499624330297</stp>
        <tr r="R168" s="18"/>
      </tp>
      <tp t="e">
        <v>#N/A</v>
        <stp/>
        <stp>BDH|7383392743106090981</stp>
        <tr r="M64" s="18"/>
      </tp>
      <tp t="e">
        <v>#N/A</v>
        <stp/>
        <stp>BDH|7855466245488849020</stp>
        <tr r="M119" s="18"/>
      </tp>
      <tp t="e">
        <v>#N/A</v>
        <stp/>
        <stp>BDH|8319272964711746263</stp>
        <tr r="C14" s="26"/>
      </tp>
      <tp t="e">
        <v>#N/A</v>
        <stp/>
        <stp>BDH|9538554133132468263</stp>
        <tr r="P58" s="24"/>
      </tp>
      <tp t="e">
        <v>#N/A</v>
        <stp/>
        <stp>BDH|3215550833563717926</stp>
        <tr r="J70" s="24"/>
      </tp>
      <tp t="e">
        <v>#N/A</v>
        <stp/>
        <stp>BDH|5040303895382335272</stp>
        <tr r="N11" s="28"/>
      </tp>
      <tp t="e">
        <v>#N/A</v>
        <stp/>
        <stp>BDH|9846265627627104192</stp>
        <tr r="D33" s="10"/>
        <tr r="D27" s="11"/>
      </tp>
      <tp t="e">
        <v>#N/A</v>
        <stp/>
        <stp>BDH|2354134585480229462</stp>
        <tr r="O35" s="4"/>
      </tp>
      <tp t="e">
        <v>#N/A</v>
        <stp/>
        <stp>BDH|7063057167687151927</stp>
        <tr r="I117" s="18"/>
      </tp>
      <tp t="e">
        <v>#N/A</v>
        <stp/>
        <stp>BDH|7257973194169324131</stp>
        <tr r="H25" s="21"/>
      </tp>
      <tp t="e">
        <v>#N/A</v>
        <stp/>
        <stp>BDH|3574712814288732260</stp>
        <tr r="D93" s="17"/>
      </tp>
      <tp t="e">
        <v>#N/A</v>
        <stp/>
        <stp>BDH|1249331097491307545</stp>
        <tr r="V15" s="11"/>
      </tp>
      <tp t="e">
        <v>#N/A</v>
        <stp/>
        <stp>BDH|3523614150416001956</stp>
        <tr r="C7" s="30"/>
      </tp>
      <tp t="e">
        <v>#N/A</v>
        <stp/>
        <stp>BDH|7435724786712679573</stp>
        <tr r="K110" s="18"/>
        <tr r="I11" s="20"/>
      </tp>
      <tp t="e">
        <v>#N/A</v>
        <stp/>
        <stp>BDH|2723483792496509692</stp>
        <tr r="S19" s="12"/>
      </tp>
      <tp t="e">
        <v>#N/A</v>
        <stp/>
        <stp>BDH|9912447244374904212</stp>
        <tr r="Z50" s="21"/>
      </tp>
      <tp t="e">
        <v>#N/A</v>
        <stp/>
        <stp>BDH|7583192958999367563</stp>
        <tr r="Q53" s="18"/>
      </tp>
      <tp t="e">
        <v>#N/A</v>
        <stp/>
        <stp>BDH|2917365329588300447</stp>
        <tr r="K13" s="8"/>
      </tp>
      <tp t="e">
        <v>#N/A</v>
        <stp/>
        <stp>BDH|3958288532468162539</stp>
        <tr r="M20" s="12"/>
      </tp>
      <tp t="e">
        <v>#N/A</v>
        <stp/>
        <stp>BDH|3390726783423600052</stp>
        <tr r="D6" s="15"/>
        <tr r="D12" s="2"/>
        <tr r="D11" s="4"/>
        <tr r="D6" s="10"/>
      </tp>
      <tp t="e">
        <v>#N/A</v>
        <stp/>
        <stp>BDH|9188326148048858922</stp>
        <tr r="Y14" s="22"/>
      </tp>
      <tp t="e">
        <v>#N/A</v>
        <stp/>
        <stp>BDH|1315368976678540272</stp>
        <tr r="O13" s="8"/>
      </tp>
      <tp t="e">
        <v>#N/A</v>
        <stp/>
        <stp>BDH|1402928052501439317</stp>
        <tr r="T41" s="18"/>
      </tp>
      <tp t="e">
        <v>#N/A</v>
        <stp/>
        <stp>BDH|2432395144562106899</stp>
        <tr r="L7" s="2"/>
        <tr r="K7" s="5"/>
        <tr r="K7" s="9"/>
        <tr r="N14" s="3"/>
      </tp>
      <tp t="e">
        <v>#N/A</v>
        <stp/>
        <stp>BDH|1848560599535586733</stp>
        <tr r="T52" s="24"/>
      </tp>
      <tp t="e">
        <v>#N/A</v>
        <stp/>
        <stp>BDH|8740005122611786432</stp>
        <tr r="S15" s="21"/>
      </tp>
      <tp t="e">
        <v>#N/A</v>
        <stp/>
        <stp>BDH|4115076696611546349</stp>
        <tr r="D14" s="29"/>
        <tr r="D23" s="29"/>
        <tr r="D34" s="29"/>
      </tp>
      <tp t="e">
        <v>#N/A</v>
        <stp/>
        <stp>BDH|2713229373631514923</stp>
        <tr r="S42" s="18"/>
      </tp>
      <tp t="e">
        <v>#N/A</v>
        <stp/>
        <stp>BDH|7478301774958449457</stp>
        <tr r="I16" s="12"/>
      </tp>
      <tp t="e">
        <v>#N/A</v>
        <stp/>
        <stp>BDH|2927888112880473469</stp>
        <tr r="L62" s="12"/>
      </tp>
      <tp t="e">
        <v>#N/A</v>
        <stp/>
        <stp>BDH|6239773893237199065</stp>
        <tr r="C91" s="17"/>
      </tp>
      <tp t="e">
        <v>#N/A</v>
        <stp/>
        <stp>BDH|4463868214417127519</stp>
        <tr r="W9" s="27"/>
      </tp>
      <tp t="e">
        <v>#N/A</v>
        <stp/>
        <stp>BDH|3469833124780252676</stp>
        <tr r="T26" s="21"/>
      </tp>
      <tp t="e">
        <v>#N/A</v>
        <stp/>
        <stp>BDH|4538096996385410786</stp>
        <tr r="K42" s="21"/>
      </tp>
      <tp t="e">
        <v>#N/A</v>
        <stp/>
        <stp>BDH|3209578474266621819</stp>
        <tr r="J113" s="18"/>
        <tr r="H14" s="20"/>
      </tp>
      <tp t="e">
        <v>#N/A</v>
        <stp/>
        <stp>BDH|4051600571483286958</stp>
        <tr r="V23" s="18"/>
      </tp>
      <tp t="e">
        <v>#N/A</v>
        <stp/>
        <stp>BDH|4855386651478736504</stp>
        <tr r="V14" s="29"/>
        <tr r="V23" s="29"/>
        <tr r="V34" s="29"/>
      </tp>
      <tp t="e">
        <v>#N/A</v>
        <stp/>
        <stp>BDH|9906552268051427463</stp>
        <tr r="R21" s="3"/>
      </tp>
      <tp t="e">
        <v>#N/A</v>
        <stp/>
        <stp>BDH|8136625148902858759</stp>
        <tr r="F18" s="12"/>
      </tp>
      <tp t="e">
        <v>#N/A</v>
        <stp/>
        <stp>BDH|8229641217638120865</stp>
        <tr r="R129" s="18"/>
      </tp>
      <tp t="e">
        <v>#N/A</v>
        <stp/>
        <stp>BDH|1667888028594678069</stp>
        <tr r="G14" s="28"/>
      </tp>
      <tp t="e">
        <v>#N/A</v>
        <stp/>
        <stp>BDH|5514241293778336971</stp>
        <tr r="E15" s="6"/>
      </tp>
      <tp t="e">
        <v>#N/A</v>
        <stp/>
        <stp>BDH|8605726732532956193</stp>
        <tr r="T17" s="23"/>
      </tp>
      <tp t="e">
        <v>#N/A</v>
        <stp/>
        <stp>BDH|4839955061736912235</stp>
        <tr r="T25" s="12"/>
      </tp>
      <tp t="e">
        <v>#N/A</v>
        <stp/>
        <stp>BDH|4739294715391414991</stp>
        <tr r="S18" s="18"/>
      </tp>
      <tp t="e">
        <v>#N/A</v>
        <stp/>
        <stp>BDH|3138006295103057625</stp>
        <tr r="AA53" s="24"/>
      </tp>
      <tp t="e">
        <v>#N/A</v>
        <stp/>
        <stp>BDH|3615430399235301494</stp>
        <tr r="T22" s="7"/>
      </tp>
      <tp t="e">
        <v>#N/A</v>
        <stp/>
        <stp>BDH|3503457720999408329</stp>
        <tr r="O61" s="17"/>
      </tp>
      <tp t="e">
        <v>#N/A</v>
        <stp/>
        <stp>BDH|1539150827958745568</stp>
        <tr r="L112" s="18"/>
        <tr r="J13" s="20"/>
      </tp>
      <tp t="e">
        <v>#N/A</v>
        <stp/>
        <stp>BDH|9615363605364004137</stp>
        <tr r="G8" s="10"/>
      </tp>
      <tp t="e">
        <v>#N/A</v>
        <stp/>
        <stp>BDH|1300201887830089428</stp>
        <tr r="F39" s="10"/>
        <tr r="F33" s="11"/>
      </tp>
      <tp t="e">
        <v>#N/A</v>
        <stp/>
        <stp>BDH|3414503686720752139</stp>
        <tr r="M15" s="13"/>
      </tp>
      <tp t="e">
        <v>#N/A</v>
        <stp/>
        <stp>BDH|8676647423382696113</stp>
        <tr r="I52" s="21"/>
      </tp>
      <tp t="e">
        <v>#N/A</v>
        <stp/>
        <stp>BDH|4737038454629545731</stp>
        <tr r="I59" s="12"/>
      </tp>
      <tp t="e">
        <v>#N/A</v>
        <stp/>
        <stp>BDH|6891026888248215964</stp>
        <tr r="U54" s="13"/>
      </tp>
      <tp t="e">
        <v>#N/A</v>
        <stp/>
        <stp>BDH|7950378765005942842</stp>
        <tr r="G17" s="18"/>
      </tp>
      <tp t="e">
        <v>#N/A</v>
        <stp/>
        <stp>BDH|8449315721580361619</stp>
        <tr r="N7" s="30"/>
      </tp>
      <tp t="e">
        <v>#N/A</v>
        <stp/>
        <stp>BDH|5604564556659099300</stp>
        <tr r="L44" s="18"/>
      </tp>
      <tp t="e">
        <v>#N/A</v>
        <stp/>
        <stp>BDH|4714482537784861869</stp>
        <tr r="R42" s="18"/>
      </tp>
      <tp t="e">
        <v>#N/A</v>
        <stp/>
        <stp>BDH|7243830078863611497</stp>
        <tr r="F60" s="24"/>
      </tp>
      <tp t="e">
        <v>#N/A</v>
        <stp/>
        <stp>BDH|9108327118583982740</stp>
        <tr r="X9" s="3"/>
        <tr r="V50" s="10"/>
        <tr r="V44" s="11"/>
        <tr r="V14" s="7"/>
      </tp>
      <tp t="e">
        <v>#N/A</v>
        <stp/>
        <stp>BDH|9185602410218228950</stp>
        <tr r="M8" s="4"/>
      </tp>
      <tp t="e">
        <v>#N/A</v>
        <stp/>
        <stp>BDH|5393077927539230172</stp>
        <tr r="E7" s="14"/>
      </tp>
      <tp t="e">
        <v>#N/A</v>
        <stp/>
        <stp>BDH|9139122734946603272</stp>
        <tr r="H38" s="24"/>
      </tp>
      <tp t="e">
        <v>#N/A</v>
        <stp/>
        <stp>BDH|9419665406693674348</stp>
        <tr r="M52" s="10"/>
        <tr r="M46" s="11"/>
        <tr r="M16" s="7"/>
      </tp>
      <tp t="e">
        <v>#N/A</v>
        <stp/>
        <stp>BDH|1404352389307886264</stp>
        <tr r="H16" s="26"/>
      </tp>
      <tp t="e">
        <v>#N/A</v>
        <stp/>
        <stp>BDH|4441653612608645438</stp>
        <tr r="Y104" s="18"/>
      </tp>
      <tp t="e">
        <v>#N/A</v>
        <stp/>
        <stp>BDH|5779853828431994155</stp>
        <tr r="K57" s="11"/>
      </tp>
      <tp t="e">
        <v>#N/A</v>
        <stp/>
        <stp>BDH|9151608715025149435</stp>
        <tr r="E9" s="26"/>
      </tp>
      <tp t="e">
        <v>#N/A</v>
        <stp/>
        <stp>BDH|1867698349544966872</stp>
        <tr r="S81" s="18"/>
      </tp>
      <tp t="e">
        <v>#N/A</v>
        <stp/>
        <stp>BDH|6151343582653666179</stp>
        <tr r="Q12" s="17"/>
      </tp>
      <tp t="e">
        <v>#N/A</v>
        <stp/>
        <stp>BDH|1864683898860644186</stp>
        <tr r="U20" s="11"/>
      </tp>
      <tp t="e">
        <v>#N/A</v>
        <stp/>
        <stp>BDH|6993006190398911862</stp>
        <tr r="J73" s="24"/>
      </tp>
      <tp t="e">
        <v>#N/A</v>
        <stp/>
        <stp>BDH|4179519877398626171</stp>
        <tr r="E36" s="21"/>
      </tp>
      <tp t="e">
        <v>#N/A</v>
        <stp/>
        <stp>BDH|8106053577821558100</stp>
        <tr r="Q14" s="21"/>
      </tp>
      <tp t="e">
        <v>#N/A</v>
        <stp/>
        <stp>BDH|5116850803825588751</stp>
        <tr r="J14" s="13"/>
      </tp>
      <tp t="e">
        <v>#N/A</v>
        <stp/>
        <stp>BDH|9404667455660602561</stp>
        <tr r="L28" s="5"/>
      </tp>
      <tp t="e">
        <v>#N/A</v>
        <stp/>
        <stp>BDH|3472075183102046677</stp>
        <tr r="J28" s="9"/>
      </tp>
      <tp t="e">
        <v>#N/A</v>
        <stp/>
        <stp>BDH|2983968176901685281</stp>
        <tr r="H89" s="17"/>
      </tp>
      <tp t="e">
        <v>#N/A</v>
        <stp/>
        <stp>BDH|9352440220494488449</stp>
        <tr r="Y57" s="18"/>
      </tp>
      <tp t="e">
        <v>#N/A</v>
        <stp/>
        <stp>BDH|9709216416030167560</stp>
        <tr r="U13" s="7"/>
      </tp>
      <tp t="e">
        <v>#N/A</v>
        <stp/>
        <stp>BDH|5348281390313822247</stp>
        <tr r="K72" s="17"/>
        <tr r="K18" s="3"/>
      </tp>
      <tp t="e">
        <v>#N/A</v>
        <stp/>
        <stp>BDH|5022971325365272472</stp>
        <tr r="I15" s="12"/>
      </tp>
      <tp t="e">
        <v>#N/A</v>
        <stp/>
        <stp>BDH|8919064809676206136</stp>
        <tr r="D23" s="22"/>
      </tp>
      <tp t="e">
        <v>#N/A</v>
        <stp/>
        <stp>BDH|9699936749212910929</stp>
        <tr r="Y78" s="18"/>
      </tp>
      <tp t="e">
        <v>#N/A</v>
        <stp/>
        <stp>BDH|6211358282877749551</stp>
        <tr r="U62" s="24"/>
      </tp>
      <tp t="e">
        <v>#N/A</v>
        <stp/>
        <stp>BDH|6724843866051145632</stp>
        <tr r="O25" s="21"/>
      </tp>
      <tp t="e">
        <v>#N/A</v>
        <stp/>
        <stp>BDH|3601874904865690142</stp>
        <tr r="T17" s="22"/>
      </tp>
      <tp t="e">
        <v>#N/A</v>
        <stp/>
        <stp>BDH|8362326423494735220</stp>
        <tr r="Z35" s="25"/>
        <tr r="Z7" s="3"/>
        <tr r="X18" s="11"/>
        <tr r="Z22" s="13"/>
        <tr r="Z7" s="13"/>
      </tp>
      <tp t="e">
        <v>#N/A</v>
        <stp/>
        <stp>BDH|5647484565281845940</stp>
        <tr r="Y50" s="13"/>
      </tp>
      <tp t="e">
        <v>#N/A</v>
        <stp/>
        <stp>BDH|5259954937082311246</stp>
        <tr r="G11" s="24"/>
      </tp>
      <tp t="e">
        <v>#N/A</v>
        <stp/>
        <stp>BDH|4743198714048400395</stp>
        <tr r="AA46" s="17"/>
      </tp>
      <tp t="e">
        <v>#N/A</v>
        <stp/>
        <stp>BDH|8492871471049139142</stp>
        <tr r="I14" s="26"/>
      </tp>
      <tp t="e">
        <v>#N/A</v>
        <stp/>
        <stp>BDH|6575387190976907531</stp>
        <tr r="N61" s="12"/>
      </tp>
      <tp t="e">
        <v>#N/A</v>
        <stp/>
        <stp>BDH|7143398079929583535</stp>
        <tr r="J139" s="18"/>
      </tp>
      <tp t="e">
        <v>#N/A</v>
        <stp/>
        <stp>BDH|3752278164578737043</stp>
        <tr r="Y18" s="10"/>
        <tr r="AA16" s="13"/>
        <tr r="AA27" s="13"/>
      </tp>
      <tp t="e">
        <v>#N/A</v>
        <stp/>
        <stp>BDH|8661209764500328360</stp>
        <tr r="Q35" s="25"/>
        <tr r="Q7" s="3"/>
        <tr r="O18" s="11"/>
        <tr r="Q22" s="13"/>
        <tr r="Q7" s="13"/>
      </tp>
      <tp t="e">
        <v>#N/A</v>
        <stp/>
        <stp>BDH|1639176718909816765</stp>
        <tr r="P20" s="18"/>
      </tp>
      <tp t="e">
        <v>#N/A</v>
        <stp/>
        <stp>BDH|7147723619837909947</stp>
        <tr r="Q6" s="28"/>
      </tp>
      <tp t="e">
        <v>#N/A</v>
        <stp/>
        <stp>BDH|7043556567978635333</stp>
        <tr r="Z46" s="21"/>
      </tp>
      <tp t="e">
        <v>#N/A</v>
        <stp/>
        <stp>BDH|6367521155841067832</stp>
        <tr r="C26" s="13"/>
      </tp>
      <tp t="e">
        <v>#N/A</v>
        <stp/>
        <stp>BDH|7006826124800942281</stp>
        <tr r="M28" s="21"/>
      </tp>
      <tp t="e">
        <v>#N/A</v>
        <stp/>
        <stp>BDH|8875698666126074102</stp>
        <tr r="S62" s="11"/>
      </tp>
      <tp t="e">
        <v>#N/A</v>
        <stp/>
        <stp>BDH|1122264694745733039</stp>
        <tr r="C59" s="24"/>
      </tp>
      <tp t="e">
        <v>#N/A</v>
        <stp/>
        <stp>BDH|3580867385485706960</stp>
        <tr r="R65" s="12"/>
      </tp>
      <tp t="e">
        <v>#N/A</v>
        <stp/>
        <stp>BDH|3223866075512489122</stp>
        <tr r="D73" s="12"/>
      </tp>
      <tp t="e">
        <v>#N/A</v>
        <stp/>
        <stp>BDH|4034723667602596875</stp>
        <tr r="G110" s="18"/>
        <tr r="E11" s="20"/>
      </tp>
      <tp t="e">
        <v>#N/A</v>
        <stp/>
        <stp>BDH|6582144641628740404</stp>
        <tr r="U22" s="7"/>
      </tp>
      <tp t="e">
        <v>#N/A</v>
        <stp/>
        <stp>BDH|6286005532199693318</stp>
        <tr r="V8" s="24"/>
      </tp>
      <tp t="e">
        <v>#N/A</v>
        <stp/>
        <stp>BDH|9174254477980372370</stp>
        <tr r="M40" s="29"/>
      </tp>
      <tp t="e">
        <v>#N/A</v>
        <stp/>
        <stp>BDH|2499821952189174922</stp>
        <tr r="W12" s="22"/>
      </tp>
      <tp t="e">
        <v>#N/A</v>
        <stp/>
        <stp>BDH|1185373387665607002</stp>
        <tr r="I16" s="26"/>
      </tp>
      <tp t="e">
        <v>#N/A</v>
        <stp/>
        <stp>BDH|1675139687204104343</stp>
        <tr r="U123" s="18"/>
      </tp>
      <tp t="e">
        <v>#N/A</v>
        <stp/>
        <stp>BDH|4782346295577710665</stp>
        <tr r="P63" s="21"/>
      </tp>
      <tp t="e">
        <v>#N/A</v>
        <stp/>
        <stp>BDH|3884675419253974887</stp>
        <tr r="E14" s="21"/>
      </tp>
      <tp t="e">
        <v>#N/A</v>
        <stp/>
        <stp>BDH|1311464285104620618</stp>
        <tr r="F36" s="4"/>
      </tp>
      <tp t="e">
        <v>#N/A</v>
        <stp/>
        <stp>BDH|2712932807115395175</stp>
        <tr r="W85" s="18"/>
      </tp>
      <tp t="e">
        <v>#N/A</v>
        <stp/>
        <stp>BDH|9733395450490195085</stp>
        <tr r="L30" s="21"/>
      </tp>
      <tp t="e">
        <v>#N/A</v>
        <stp/>
        <stp>BDH|8929951862310970836</stp>
        <tr r="K10" s="18"/>
      </tp>
      <tp t="e">
        <v>#N/A</v>
        <stp/>
        <stp>BDH|6399502352329381061</stp>
        <tr r="F96" s="18"/>
      </tp>
      <tp t="e">
        <v>#N/A</v>
        <stp/>
        <stp>BDH|1335165735964377878</stp>
        <tr r="V14" s="6"/>
      </tp>
      <tp t="e">
        <v>#N/A</v>
        <stp/>
        <stp>BDH|6465391953869373698</stp>
        <tr r="Q41" s="10"/>
        <tr r="Q35" s="11"/>
      </tp>
      <tp t="e">
        <v>#N/A</v>
        <stp/>
        <stp>BDH|3116911832823038568</stp>
        <tr r="W8" s="6"/>
      </tp>
      <tp t="e">
        <v>#N/A</v>
        <stp/>
        <stp>BDH|9511474735157425675</stp>
        <tr r="X87" s="17"/>
        <tr r="X20" s="3"/>
        <tr r="V6" s="7"/>
      </tp>
      <tp t="e">
        <v>#N/A</v>
        <stp/>
        <stp>BDH|5317840015261771211</stp>
        <tr r="R30" s="24"/>
      </tp>
      <tp t="e">
        <v>#N/A</v>
        <stp/>
        <stp>BDH|6255515970173317845</stp>
        <tr r="O67" s="17"/>
      </tp>
      <tp t="e">
        <v>#N/A</v>
        <stp/>
        <stp>BDH|7671887226083915154</stp>
        <tr r="G32" s="21"/>
      </tp>
      <tp t="e">
        <v>#N/A</v>
        <stp/>
        <stp>BDH|7403915148652053792</stp>
        <tr r="C12" s="8"/>
        <tr r="D10" s="29"/>
        <tr r="D19" s="29"/>
        <tr r="D25" s="29"/>
      </tp>
      <tp t="e">
        <v>#N/A</v>
        <stp/>
        <stp>BDH|2073340749728864212</stp>
        <tr r="C18" s="22"/>
      </tp>
      <tp t="e">
        <v>#N/A</v>
        <stp/>
        <stp>BDH|2372519586200191012</stp>
        <tr r="Z11" s="22"/>
      </tp>
      <tp t="e">
        <v>#N/A</v>
        <stp/>
        <stp>BDH|4643927210314076700</stp>
        <tr r="F33" s="21"/>
      </tp>
      <tp t="e">
        <v>#N/A</v>
        <stp/>
        <stp>BDH|6675833217480276040</stp>
        <tr r="R18" s="22"/>
      </tp>
      <tp t="e">
        <v>#N/A</v>
        <stp/>
        <stp>BDH|4518804440036625170</stp>
        <tr r="W72" s="10"/>
        <tr r="W66" s="11"/>
      </tp>
      <tp t="e">
        <v>#N/A</v>
        <stp/>
        <stp>BDH|2018493288794548506</stp>
        <tr r="P16" s="24"/>
      </tp>
      <tp t="e">
        <v>#N/A</v>
        <stp/>
        <stp>BDH|8882964648743131931</stp>
        <tr r="X11" s="22"/>
      </tp>
      <tp t="e">
        <v>#N/A</v>
        <stp/>
        <stp>BDH|1836498116513345803</stp>
        <tr r="K36" s="18"/>
      </tp>
      <tp t="e">
        <v>#N/A</v>
        <stp/>
        <stp>BDH|2401379663828393070</stp>
        <tr r="G38" s="6"/>
      </tp>
      <tp t="e">
        <v>#N/A</v>
        <stp/>
        <stp>BDH|8107058244250778335</stp>
        <tr r="W16" s="29"/>
        <tr r="W36" s="29"/>
      </tp>
      <tp t="e">
        <v>#N/A</v>
        <stp/>
        <stp>BDH|6355168713579453066</stp>
        <tr r="I13" s="13"/>
      </tp>
      <tp t="e">
        <v>#N/A</v>
        <stp/>
        <stp>BDH|1038458386430649210</stp>
        <tr r="K15" s="24"/>
      </tp>
      <tp t="e">
        <v>#N/A</v>
        <stp/>
        <stp>BDH|9169710179220464699</stp>
        <tr r="AA73" s="12"/>
      </tp>
      <tp t="e">
        <v>#N/A</v>
        <stp/>
        <stp>BDH|3956858550101847002</stp>
        <tr r="K75" s="17"/>
      </tp>
      <tp t="e">
        <v>#N/A</v>
        <stp/>
        <stp>BDH|7881600448833594913</stp>
        <tr r="Z154" s="18"/>
      </tp>
      <tp t="e">
        <v>#N/A</v>
        <stp/>
        <stp>BDH|8091225142499057847</stp>
        <tr r="L155" s="18"/>
      </tp>
      <tp t="e">
        <v>#N/A</v>
        <stp/>
        <stp>BDH|4903134894940234384</stp>
        <tr r="K62" s="24"/>
      </tp>
      <tp t="e">
        <v>#N/A</v>
        <stp/>
        <stp>BDH|7970803962941726785</stp>
        <tr r="K148" s="18"/>
      </tp>
      <tp t="e">
        <v>#N/A</v>
        <stp/>
        <stp>BDH|1905132898825028365</stp>
        <tr r="T20" s="22"/>
      </tp>
      <tp t="e">
        <v>#N/A</v>
        <stp/>
        <stp>BDH|6829466594410992474</stp>
        <tr r="N36" s="12"/>
      </tp>
      <tp t="e">
        <v>#N/A</v>
        <stp/>
        <stp>BDH|4845094894281771369</stp>
        <tr r="L36" s="22"/>
      </tp>
      <tp t="e">
        <v>#N/A</v>
        <stp/>
        <stp>BDH|6574929217360324173</stp>
        <tr r="U21" s="25"/>
        <tr r="U10" s="27"/>
      </tp>
      <tp t="e">
        <v>#N/A</v>
        <stp/>
        <stp>BDH|2011507368958971654</stp>
        <tr r="C19" s="20"/>
      </tp>
      <tp t="e">
        <v>#N/A</v>
        <stp/>
        <stp>BDH|6172802314099305929</stp>
        <tr r="G8" s="28"/>
      </tp>
      <tp t="e">
        <v>#N/A</v>
        <stp/>
        <stp>BDH|9884190075451201123</stp>
        <tr r="C23" s="25"/>
        <tr r="C13" s="27"/>
      </tp>
      <tp t="e">
        <v>#N/A</v>
        <stp/>
        <stp>BDH|6353717583774183243</stp>
        <tr r="K6" s="27"/>
      </tp>
      <tp t="e">
        <v>#N/A</v>
        <stp/>
        <stp>BDH|5799639017829641412</stp>
        <tr r="S70" s="17"/>
      </tp>
      <tp t="e">
        <v>#N/A</v>
        <stp/>
        <stp>BDH|1731202432396371934</stp>
        <tr r="H49" s="12"/>
      </tp>
      <tp t="e">
        <v>#N/A</v>
        <stp/>
        <stp>BDH|2368067281050280538</stp>
        <tr r="X20" s="11"/>
      </tp>
      <tp t="e">
        <v>#N/A</v>
        <stp/>
        <stp>BDH|7763805237232794128</stp>
        <tr r="N7" s="14"/>
      </tp>
      <tp t="e">
        <v>#N/A</v>
        <stp/>
        <stp>BDH|9267139076800630044</stp>
        <tr r="AA10" s="22"/>
      </tp>
      <tp t="e">
        <v>#N/A</v>
        <stp/>
        <stp>BDH|8526679500842457336</stp>
        <tr r="D51" s="10"/>
        <tr r="D45" s="11"/>
        <tr r="D15" s="7"/>
      </tp>
      <tp t="e">
        <v>#N/A</v>
        <stp/>
        <stp>BDH|1447107180621067613</stp>
        <tr r="Y30" s="12"/>
      </tp>
      <tp t="e">
        <v>#N/A</v>
        <stp/>
        <stp>BDH|3667825330514728364</stp>
        <tr r="E31" s="26"/>
      </tp>
      <tp t="e">
        <v>#N/A</v>
        <stp/>
        <stp>BDH|8338143357202465114</stp>
        <tr r="R112" s="18"/>
        <tr r="P13" s="20"/>
      </tp>
      <tp t="e">
        <v>#N/A</v>
        <stp/>
        <stp>BDH|1196663741215008938</stp>
        <tr r="G15" s="29"/>
        <tr r="G35" s="29"/>
      </tp>
      <tp t="e">
        <v>#N/A</v>
        <stp/>
        <stp>BDH|6795088982968081983</stp>
        <tr r="C68" s="10"/>
      </tp>
      <tp t="e">
        <v>#N/A</v>
        <stp/>
        <stp>BDH|1067056626954094862</stp>
        <tr r="D16" s="24"/>
      </tp>
      <tp t="e">
        <v>#N/A</v>
        <stp/>
        <stp>BDH|6624448282972351764</stp>
        <tr r="F24" s="2"/>
      </tp>
      <tp t="e">
        <v>#N/A</v>
        <stp/>
        <stp>BDH|3003800456048542966</stp>
        <tr r="W18" s="10"/>
        <tr r="Y16" s="13"/>
        <tr r="Y27" s="13"/>
      </tp>
      <tp t="e">
        <v>#N/A</v>
        <stp/>
        <stp>BDH|2067506186008109822</stp>
        <tr r="D28" s="24"/>
      </tp>
      <tp t="e">
        <v>#N/A</v>
        <stp/>
        <stp>BDH|7632819061874613256</stp>
        <tr r="M36" s="34"/>
      </tp>
      <tp t="e">
        <v>#N/A</v>
        <stp/>
        <stp>BDH|5518840135559715860</stp>
        <tr r="R166" s="18"/>
      </tp>
      <tp t="e">
        <v>#N/A</v>
        <stp/>
        <stp>BDH|9869459279007390223</stp>
        <tr r="Z6" s="28"/>
      </tp>
      <tp t="e">
        <v>#N/A</v>
        <stp/>
        <stp>BDH|6766616991182663443</stp>
        <tr r="U27" s="7"/>
      </tp>
      <tp t="e">
        <v>#N/A</v>
        <stp/>
        <stp>BDH|9987465765852630692</stp>
        <tr r="O51" s="12"/>
      </tp>
      <tp t="e">
        <v>#N/A</v>
        <stp/>
        <stp>BDH|5133814151202573516</stp>
        <tr r="M98" s="18"/>
      </tp>
      <tp t="e">
        <v>#N/A</v>
        <stp/>
        <stp>BDH|7565791809299775676</stp>
        <tr r="Q76" s="17"/>
      </tp>
      <tp t="e">
        <v>#N/A</v>
        <stp/>
        <stp>BDH|1150784081725957445</stp>
        <tr r="I14" s="10"/>
      </tp>
      <tp t="e">
        <v>#N/A</v>
        <stp/>
        <stp>BDH|1455764314619610150</stp>
        <tr r="M149" s="18"/>
      </tp>
      <tp t="e">
        <v>#N/A</v>
        <stp/>
        <stp>BDH|3020521509008855160</stp>
        <tr r="D54" s="24"/>
      </tp>
      <tp t="e">
        <v>#N/A</v>
        <stp/>
        <stp>BDH|3460941740909550802</stp>
        <tr r="E24" s="26"/>
      </tp>
      <tp t="e">
        <v>#N/A</v>
        <stp/>
        <stp>BDH|6630839824397401400</stp>
        <tr r="F67" s="17"/>
      </tp>
      <tp t="e">
        <v>#N/A</v>
        <stp/>
        <stp>BDH|2696563359279461486</stp>
        <tr r="R16" s="2"/>
        <tr r="R32" s="4"/>
        <tr r="R61" s="10"/>
        <tr r="T19" s="13"/>
      </tp>
      <tp t="e">
        <v>#N/A</v>
        <stp/>
        <stp>BDH|5407962979932730690</stp>
        <tr r="AA9" s="18"/>
      </tp>
      <tp t="e">
        <v>#N/A</v>
        <stp/>
        <stp>BDH|8336376872882469170</stp>
        <tr r="R18" s="2"/>
        <tr r="R53" s="4"/>
        <tr r="R45" s="10"/>
        <tr r="R39" s="11"/>
        <tr r="T46" s="13"/>
      </tp>
      <tp t="e">
        <v>#N/A</v>
        <stp/>
        <stp>BDH|9599631903388881888</stp>
        <tr r="P12" s="7"/>
      </tp>
      <tp t="e">
        <v>#N/A</v>
        <stp/>
        <stp>BDH|9808009270039811852</stp>
        <tr r="D79" s="18"/>
      </tp>
      <tp t="e">
        <v>#N/A</v>
        <stp/>
        <stp>BDH|3997819167645286783</stp>
        <tr r="P41" s="13"/>
      </tp>
      <tp t="e">
        <v>#N/A</v>
        <stp/>
        <stp>BDH|4119732387530696462</stp>
        <tr r="M13" s="10"/>
      </tp>
      <tp t="e">
        <v>#N/A</v>
        <stp/>
        <stp>BDH|5769723564509153259</stp>
        <tr r="V34" s="26"/>
      </tp>
      <tp t="e">
        <v>#N/A</v>
        <stp/>
        <stp>BDH|1066804257372397117</stp>
        <tr r="P13" s="29"/>
        <tr r="P22" s="29"/>
        <tr r="P33" s="29"/>
      </tp>
      <tp t="e">
        <v>#N/A</v>
        <stp/>
        <stp>BDH|4549960709800679294</stp>
        <tr r="Z75" s="12"/>
      </tp>
      <tp t="e">
        <v>#N/A</v>
        <stp/>
        <stp>BDH|1313633696135758449</stp>
        <tr r="T141" s="18"/>
      </tp>
      <tp t="e">
        <v>#N/A</v>
        <stp/>
        <stp>BDH|1515373881407301258</stp>
        <tr r="P112" s="18"/>
        <tr r="N13" s="20"/>
      </tp>
      <tp t="e">
        <v>#N/A</v>
        <stp/>
        <stp>BDH|6244510322989514712</stp>
        <tr r="T41" s="12"/>
      </tp>
      <tp t="e">
        <v>#N/A</v>
        <stp/>
        <stp>BDH|54212994718247134</stp>
        <tr r="E20" s="5"/>
        <tr r="E20" s="9"/>
      </tp>
      <tp t="e">
        <v>#N/A</v>
        <stp/>
        <stp>BDH|61711161920144334</stp>
        <tr r="Q96" s="17"/>
      </tp>
      <tp t="e">
        <v>#N/A</v>
        <stp/>
        <stp>BDH|47171797343895989</stp>
        <tr r="C27" s="26"/>
      </tp>
      <tp t="e">
        <v>#N/A</v>
        <stp/>
        <stp>BDH|69825184635853752</stp>
        <tr r="T9" s="24"/>
      </tp>
      <tp t="e">
        <v>#N/A</v>
        <stp/>
        <stp>BDH|99454229133209763</stp>
        <tr r="Z143" s="18"/>
      </tp>
      <tp t="e">
        <v>#N/A</v>
        <stp/>
        <stp>BDH|9711082733152144077</stp>
        <tr r="X52" s="21"/>
      </tp>
      <tp t="e">
        <v>#N/A</v>
        <stp/>
        <stp>BDH|9195678915596117084</stp>
        <tr r="G87" s="17"/>
        <tr r="G20" s="3"/>
        <tr r="E6" s="7"/>
      </tp>
      <tp t="e">
        <v>#N/A</v>
        <stp/>
        <stp>BDH|1132820078681731767</stp>
        <tr r="Y31" s="12"/>
      </tp>
      <tp t="e">
        <v>#N/A</v>
        <stp/>
        <stp>BDH|7609087423565516823</stp>
        <tr r="S38" s="4"/>
        <tr r="S59" s="11"/>
        <tr r="U13" s="23"/>
      </tp>
      <tp t="e">
        <v>#N/A</v>
        <stp/>
        <stp>BDH|1993615096762674429</stp>
        <tr r="X32" s="6"/>
        <tr r="Z6" s="8"/>
      </tp>
      <tp t="e">
        <v>#N/A</v>
        <stp/>
        <stp>BDH|5838600312132467841</stp>
        <tr r="D50" s="24"/>
      </tp>
      <tp t="e">
        <v>#N/A</v>
        <stp/>
        <stp>BDH|4882513483558936999</stp>
        <tr r="H11" s="18"/>
      </tp>
      <tp t="e">
        <v>#N/A</v>
        <stp/>
        <stp>BDH|4047435192364840531</stp>
        <tr r="C157" s="18"/>
      </tp>
      <tp t="e">
        <v>#N/A</v>
        <stp/>
        <stp>BDH|6579561371339137590</stp>
        <tr r="X16" s="24"/>
      </tp>
      <tp t="e">
        <v>#N/A</v>
        <stp/>
        <stp>BDH|1311442199433677729</stp>
        <tr r="T17" s="11"/>
      </tp>
      <tp t="e">
        <v>#N/A</v>
        <stp/>
        <stp>BDH|4653833917791884400</stp>
        <tr r="O27" s="5"/>
        <tr r="O27" s="9"/>
      </tp>
      <tp t="e">
        <v>#N/A</v>
        <stp/>
        <stp>BDH|5872567356885065827</stp>
        <tr r="D14" s="4"/>
      </tp>
      <tp t="e">
        <v>#N/A</v>
        <stp/>
        <stp>BDH|1931915303483521349</stp>
        <tr r="Y12" s="30"/>
      </tp>
      <tp t="e">
        <v>#N/A</v>
        <stp/>
        <stp>BDH|1722191412050492922</stp>
        <tr r="Q16" s="11"/>
      </tp>
      <tp t="e">
        <v>#N/A</v>
        <stp/>
        <stp>BDH|1462933068860267670</stp>
        <tr r="S98" s="17"/>
        <tr r="S13" s="28"/>
      </tp>
      <tp t="e">
        <v>#N/A</v>
        <stp/>
        <stp>BDH|5602615508019095257</stp>
        <tr r="Q24" s="2"/>
      </tp>
      <tp t="e">
        <v>#N/A</v>
        <stp/>
        <stp>BDH|3558641834599626798</stp>
        <tr r="E42" s="34"/>
      </tp>
      <tp t="e">
        <v>#N/A</v>
        <stp/>
        <stp>BDH|2689945202544835720</stp>
        <tr r="G17" s="24"/>
      </tp>
      <tp t="e">
        <v>#N/A</v>
        <stp/>
        <stp>BDH|1982872372232679404</stp>
        <tr r="H60" s="17"/>
      </tp>
      <tp t="e">
        <v>#N/A</v>
        <stp/>
        <stp>BDH|7912197299020085734</stp>
        <tr r="Z25" s="3"/>
      </tp>
      <tp t="e">
        <v>#N/A</v>
        <stp/>
        <stp>BDH|4190579250974577894</stp>
        <tr r="X32" s="10"/>
        <tr r="X26" s="11"/>
      </tp>
      <tp t="e">
        <v>#N/A</v>
        <stp/>
        <stp>BDH|4867187995800830470</stp>
        <tr r="D64" s="17"/>
      </tp>
      <tp t="e">
        <v>#N/A</v>
        <stp/>
        <stp>BDH|8958161310608399866</stp>
        <tr r="Z133" s="18"/>
      </tp>
      <tp t="e">
        <v>#N/A</v>
        <stp/>
        <stp>BDH|1339862804872354380</stp>
        <tr r="T14" s="26"/>
      </tp>
      <tp t="e">
        <v>#N/A</v>
        <stp/>
        <stp>BDH|6691960425133662691</stp>
        <tr r="M30" s="21"/>
      </tp>
      <tp t="e">
        <v>#N/A</v>
        <stp/>
        <stp>BDH|6709091178821958853</stp>
        <tr r="E14" s="8"/>
      </tp>
      <tp t="e">
        <v>#N/A</v>
        <stp/>
        <stp>BDH|3146033723990234992</stp>
        <tr r="I37" s="6"/>
      </tp>
      <tp t="e">
        <v>#N/A</v>
        <stp/>
        <stp>BDH|1907865373507560138</stp>
        <tr r="Y68" s="17"/>
      </tp>
      <tp t="e">
        <v>#N/A</v>
        <stp/>
        <stp>BDH|4970865723435493321</stp>
        <tr r="O13" s="17"/>
        <tr r="O16" s="28"/>
      </tp>
      <tp t="e">
        <v>#N/A</v>
        <stp/>
        <stp>BDH|8859515525155377246</stp>
        <tr r="O61" s="21"/>
      </tp>
      <tp t="e">
        <v>#N/A</v>
        <stp/>
        <stp>BDH|1769712128324052852</stp>
        <tr r="T21" s="9"/>
      </tp>
      <tp t="e">
        <v>#N/A</v>
        <stp/>
        <stp>BDH|5422939935796884117</stp>
        <tr r="Q13" s="6"/>
      </tp>
      <tp t="e">
        <v>#N/A</v>
        <stp/>
        <stp>BDH|7704160794320853765</stp>
        <tr r="Z64" s="12"/>
      </tp>
      <tp t="e">
        <v>#N/A</v>
        <stp/>
        <stp>BDH|2389815153694292381</stp>
        <tr r="E57" s="18"/>
      </tp>
      <tp t="e">
        <v>#N/A</v>
        <stp/>
        <stp>BDH|5741957259531545050</stp>
        <tr r="F48" s="17"/>
      </tp>
      <tp t="e">
        <v>#N/A</v>
        <stp/>
        <stp>BDH|9432081912583673332</stp>
        <tr r="X22" s="21"/>
      </tp>
      <tp t="e">
        <v>#N/A</v>
        <stp/>
        <stp>BDH|3355160650398614782</stp>
        <tr r="L41" s="24"/>
      </tp>
      <tp t="e">
        <v>#N/A</v>
        <stp/>
        <stp>BDH|9894138474571342674</stp>
        <tr r="P17" s="5"/>
        <tr r="P24" s="6"/>
      </tp>
      <tp t="e">
        <v>#N/A</v>
        <stp/>
        <stp>BDH|7488684104008594161</stp>
        <tr r="S138" s="18"/>
      </tp>
      <tp t="e">
        <v>#N/A</v>
        <stp/>
        <stp>BDH|3542508670141788892</stp>
        <tr r="E9" s="17"/>
      </tp>
      <tp t="e">
        <v>#N/A</v>
        <stp/>
        <stp>BDH|4006886737306538111</stp>
        <tr r="O10" s="12"/>
      </tp>
      <tp t="e">
        <v>#N/A</v>
        <stp/>
        <stp>BDH|8411870929552604873</stp>
        <tr r="D28" s="17"/>
      </tp>
      <tp t="e">
        <v>#N/A</v>
        <stp/>
        <stp>BDH|5071468186835876436</stp>
        <tr r="P41" s="10"/>
        <tr r="P35" s="11"/>
      </tp>
      <tp t="e">
        <v>#N/A</v>
        <stp/>
        <stp>BDH|1595167127648678299</stp>
        <tr r="L69" s="18"/>
      </tp>
      <tp t="e">
        <v>#N/A</v>
        <stp/>
        <stp>BDH|2241261768268473639</stp>
        <tr r="M23" s="23"/>
      </tp>
      <tp t="e">
        <v>#N/A</v>
        <stp/>
        <stp>BDH|4073234683201206799</stp>
        <tr r="W21" s="2"/>
      </tp>
      <tp t="e">
        <v>#N/A</v>
        <stp/>
        <stp>BDH|8835318242700459741</stp>
        <tr r="U76" s="18"/>
      </tp>
      <tp t="e">
        <v>#N/A</v>
        <stp/>
        <stp>BDH|5867043161178789314</stp>
        <tr r="N94" s="18"/>
      </tp>
      <tp t="e">
        <v>#N/A</v>
        <stp/>
        <stp>BDH|8499493824405412364</stp>
        <tr r="S9" s="26"/>
      </tp>
      <tp t="e">
        <v>#N/A</v>
        <stp/>
        <stp>BDH|8029958268127545835</stp>
        <tr r="O42" s="13"/>
      </tp>
      <tp t="e">
        <v>#N/A</v>
        <stp/>
        <stp>BDH|2927953623596466708</stp>
        <tr r="R55" s="17"/>
      </tp>
      <tp t="e">
        <v>#N/A</v>
        <stp/>
        <stp>BDH|8827179977466043031</stp>
        <tr r="G66" s="24"/>
      </tp>
      <tp t="e">
        <v>#N/A</v>
        <stp/>
        <stp>BDH|1326557623729684787</stp>
        <tr r="E26" s="7"/>
      </tp>
      <tp t="e">
        <v>#N/A</v>
        <stp/>
        <stp>BDH|7287487152089563764</stp>
        <tr r="E25" s="3"/>
      </tp>
      <tp t="e">
        <v>#N/A</v>
        <stp/>
        <stp>BDH|8434743943442096180</stp>
        <tr r="Z35" s="22"/>
      </tp>
      <tp t="e">
        <v>#N/A</v>
        <stp/>
        <stp>BDH|1013740778491115869</stp>
        <tr r="S34" s="18"/>
      </tp>
      <tp t="e">
        <v>#N/A</v>
        <stp/>
        <stp>BDH|2235056801959459395</stp>
        <tr r="S34" s="22"/>
      </tp>
      <tp t="e">
        <v>#N/A</v>
        <stp/>
        <stp>BDH|5929933300863625777</stp>
        <tr r="K7" s="30"/>
      </tp>
      <tp t="e">
        <v>#N/A</v>
        <stp/>
        <stp>BDH|2525780993864147041</stp>
        <tr r="M15" s="24"/>
      </tp>
      <tp t="e">
        <v>#N/A</v>
        <stp/>
        <stp>BDH|7226409259107640960</stp>
        <tr r="J34" s="21"/>
      </tp>
      <tp t="e">
        <v>#N/A</v>
        <stp/>
        <stp>BDH|5139244519397680912</stp>
        <tr r="H25" s="12"/>
      </tp>
      <tp t="e">
        <v>#N/A</v>
        <stp/>
        <stp>BDH|1574729440489446380</stp>
        <tr r="G31" s="18"/>
      </tp>
      <tp t="e">
        <v>#N/A</v>
        <stp/>
        <stp>BDH|1694731499396573122</stp>
        <tr r="O9" s="13"/>
      </tp>
      <tp t="e">
        <v>#N/A</v>
        <stp/>
        <stp>BDH|4166406087710654083</stp>
        <tr r="Y26" s="7"/>
      </tp>
      <tp t="e">
        <v>#N/A</v>
        <stp/>
        <stp>BDH|8489399253146786019</stp>
        <tr r="E143" s="18"/>
      </tp>
      <tp t="e">
        <v>#N/A</v>
        <stp/>
        <stp>BDH|8763414810604648180</stp>
        <tr r="H11" s="13"/>
      </tp>
      <tp t="e">
        <v>#N/A</v>
        <stp/>
        <stp>BDH|8102887207210101876</stp>
        <tr r="L11" s="28"/>
      </tp>
      <tp t="e">
        <v>#N/A</v>
        <stp/>
        <stp>BDH|8937407348594143486</stp>
        <tr r="Q9" s="11"/>
      </tp>
      <tp t="e">
        <v>#N/A</v>
        <stp/>
        <stp>BDH|6527286810428462515</stp>
        <tr r="O14" s="10"/>
      </tp>
      <tp t="e">
        <v>#N/A</v>
        <stp/>
        <stp>BDH|1160996183429673156</stp>
        <tr r="N157" s="18"/>
      </tp>
      <tp t="e">
        <v>#N/A</v>
        <stp/>
        <stp>BDH|2939685199257734272</stp>
        <tr r="Q17" s="14"/>
      </tp>
      <tp t="e">
        <v>#N/A</v>
        <stp/>
        <stp>BDH|4861212299590901714</stp>
        <tr r="R53" s="18"/>
      </tp>
      <tp t="e">
        <v>#N/A</v>
        <stp/>
        <stp>BDH|8655906032088958252</stp>
        <tr r="I8" s="17"/>
      </tp>
      <tp t="e">
        <v>#N/A</v>
        <stp/>
        <stp>BDH|7723940675650778197</stp>
        <tr r="V45" s="4"/>
        <tr r="V30" s="10"/>
        <tr r="V24" s="11"/>
        <tr r="X30" s="13"/>
      </tp>
      <tp t="e">
        <v>#N/A</v>
        <stp/>
        <stp>BDH|4895448540389523514</stp>
        <tr r="R66" s="21"/>
      </tp>
      <tp t="e">
        <v>#N/A</v>
        <stp/>
        <stp>BDH|9014346554207936011</stp>
        <tr r="I19" s="11"/>
      </tp>
      <tp t="e">
        <v>#N/A</v>
        <stp/>
        <stp>BDH|2997466992496246178</stp>
        <tr r="Y28" s="18"/>
      </tp>
      <tp t="e">
        <v>#N/A</v>
        <stp/>
        <stp>BDH|4014515588843590243</stp>
        <tr r="J63" s="18"/>
      </tp>
      <tp t="e">
        <v>#N/A</v>
        <stp/>
        <stp>BDH|8965755371415338562</stp>
        <tr r="J151" s="18"/>
      </tp>
      <tp t="e">
        <v>#N/A</v>
        <stp/>
        <stp>BDH|8719985928998959361</stp>
        <tr r="D152" s="18"/>
      </tp>
      <tp t="e">
        <v>#N/A</v>
        <stp/>
        <stp>BDH|5335803591175306998</stp>
        <tr r="F31" s="18"/>
      </tp>
      <tp t="e">
        <v>#N/A</v>
        <stp/>
        <stp>BDH|9457580215587805299</stp>
        <tr r="G27" s="7"/>
      </tp>
      <tp t="e">
        <v>#N/A</v>
        <stp/>
        <stp>BDH|9618793642774449619</stp>
        <tr r="N77" s="18"/>
      </tp>
      <tp t="e">
        <v>#N/A</v>
        <stp/>
        <stp>BDH|7786974635271948442</stp>
        <tr r="D42" s="17"/>
      </tp>
      <tp t="e">
        <v>#N/A</v>
        <stp/>
        <stp>BDH|9480487875313803194</stp>
        <tr r="P53" s="13"/>
      </tp>
      <tp t="e">
        <v>#N/A</v>
        <stp/>
        <stp>BDH|9730602705216886120</stp>
        <tr r="Y99" s="17"/>
      </tp>
      <tp t="e">
        <v>#N/A</v>
        <stp/>
        <stp>BDH|9807508255239652835</stp>
        <tr r="F88" s="17"/>
      </tp>
      <tp t="e">
        <v>#N/A</v>
        <stp/>
        <stp>BDH|2143596183053194421</stp>
        <tr r="N160" s="18"/>
      </tp>
      <tp t="e">
        <v>#N/A</v>
        <stp/>
        <stp>BDH|1117827169605338219</stp>
        <tr r="D39" s="12"/>
      </tp>
      <tp t="e">
        <v>#N/A</v>
        <stp/>
        <stp>BDH|5593888070806078454</stp>
        <tr r="D26" s="6"/>
      </tp>
      <tp t="e">
        <v>#N/A</v>
        <stp/>
        <stp>BDH|7995337133129529640</stp>
        <tr r="O13" s="10"/>
      </tp>
      <tp t="e">
        <v>#N/A</v>
        <stp/>
        <stp>BDH|3901908257751704613</stp>
        <tr r="I135" s="18"/>
      </tp>
      <tp t="e">
        <v>#N/A</v>
        <stp/>
        <stp>BDH|7228572245409816709</stp>
        <tr r="F37" s="18"/>
      </tp>
      <tp t="e">
        <v>#N/A</v>
        <stp/>
        <stp>BDH|9241115474887719087</stp>
        <tr r="T40" s="10"/>
        <tr r="T34" s="11"/>
      </tp>
      <tp t="e">
        <v>#N/A</v>
        <stp/>
        <stp>BDH|9150744316934250392</stp>
        <tr r="U38" s="6"/>
      </tp>
      <tp t="e">
        <v>#N/A</v>
        <stp/>
        <stp>BDH|4155879425060808633</stp>
        <tr r="T35" s="17"/>
      </tp>
      <tp t="e">
        <v>#N/A</v>
        <stp/>
        <stp>BDH|9862723738466866329</stp>
        <tr r="H13" s="8"/>
      </tp>
      <tp t="e">
        <v>#N/A</v>
        <stp/>
        <stp>BDH|6614770989221685065</stp>
        <tr r="O60" s="24"/>
      </tp>
      <tp t="e">
        <v>#N/A</v>
        <stp/>
        <stp>BDH|9672432678296196440</stp>
        <tr r="M16" s="17"/>
        <tr r="M19" s="28"/>
      </tp>
      <tp t="e">
        <v>#N/A</v>
        <stp/>
        <stp>BDH|3216324732809344288</stp>
        <tr r="H21" s="25"/>
        <tr r="H10" s="27"/>
      </tp>
      <tp t="e">
        <v>#N/A</v>
        <stp/>
        <stp>BDH|3120245091616871657</stp>
        <tr r="W36" s="22"/>
      </tp>
      <tp t="e">
        <v>#N/A</v>
        <stp/>
        <stp>BDH|7802225643908984195</stp>
        <tr r="P34" s="26"/>
      </tp>
      <tp t="e">
        <v>#N/A</v>
        <stp/>
        <stp>BDH|6534775296273933346</stp>
        <tr r="J28" s="22"/>
      </tp>
      <tp t="e">
        <v>#N/A</v>
        <stp/>
        <stp>BDH|3804845691089129356</stp>
        <tr r="K83" s="17"/>
      </tp>
      <tp t="e">
        <v>#N/A</v>
        <stp/>
        <stp>BDH|5102038884857905261</stp>
        <tr r="I10" s="23"/>
      </tp>
      <tp t="e">
        <v>#N/A</v>
        <stp/>
        <stp>BDH|8435224609614237642</stp>
        <tr r="O25" s="13"/>
      </tp>
      <tp t="e">
        <v>#N/A</v>
        <stp/>
        <stp>BDH|2227035285604402691</stp>
        <tr r="V49" s="12"/>
      </tp>
      <tp t="e">
        <v>#N/A</v>
        <stp/>
        <stp>BDH|6944690464347433994</stp>
        <tr r="V112" s="18"/>
        <tr r="T13" s="20"/>
      </tp>
      <tp t="e">
        <v>#N/A</v>
        <stp/>
        <stp>BDH|3848982873573837623</stp>
        <tr r="D50" s="21"/>
      </tp>
      <tp t="e">
        <v>#N/A</v>
        <stp/>
        <stp>BDH|2796829545597159183</stp>
        <tr r="X61" s="11"/>
        <tr r="Z19" s="23"/>
      </tp>
      <tp t="e">
        <v>#N/A</v>
        <stp/>
        <stp>BDH|9571196260453510506</stp>
        <tr r="X15" s="22"/>
      </tp>
      <tp t="e">
        <v>#N/A</v>
        <stp/>
        <stp>BDH|5363813199569219503</stp>
        <tr r="E47" s="17"/>
      </tp>
      <tp t="e">
        <v>#N/A</v>
        <stp/>
        <stp>BDH|9628766318287346027</stp>
        <tr r="C42" s="4"/>
      </tp>
      <tp t="e">
        <v>#N/A</v>
        <stp/>
        <stp>BDH|8191236749632158439</stp>
        <tr r="I21" s="18"/>
      </tp>
      <tp t="e">
        <v>#N/A</v>
        <stp/>
        <stp>BDH|6920734158279218590</stp>
        <tr r="H25" s="34"/>
      </tp>
      <tp t="e">
        <v>#N/A</v>
        <stp/>
        <stp>BDH|9886155106543796355</stp>
        <tr r="C33" s="13"/>
      </tp>
      <tp t="e">
        <v>#N/A</v>
        <stp/>
        <stp>BDH|6246631909358004011</stp>
        <tr r="V128" s="18"/>
      </tp>
      <tp t="e">
        <v>#N/A</v>
        <stp/>
        <stp>BDH|3115630477998897246</stp>
        <tr r="F15" s="25"/>
      </tp>
      <tp t="e">
        <v>#N/A</v>
        <stp/>
        <stp>BDH|8792578941022803307</stp>
        <tr r="M54" s="21"/>
      </tp>
      <tp t="e">
        <v>#N/A</v>
        <stp/>
        <stp>BDH|6144519148458128702</stp>
        <tr r="P30" s="12"/>
      </tp>
      <tp t="e">
        <v>#N/A</v>
        <stp/>
        <stp>BDH|2392357988780299159</stp>
        <tr r="W34" s="17"/>
      </tp>
      <tp t="e">
        <v>#N/A</v>
        <stp/>
        <stp>BDH|9625946522842126886</stp>
        <tr r="E41" s="12"/>
      </tp>
      <tp t="e">
        <v>#N/A</v>
        <stp/>
        <stp>BDH|5634535169147446918</stp>
        <tr r="D31" s="10"/>
        <tr r="D25" s="11"/>
      </tp>
      <tp t="e">
        <v>#N/A</v>
        <stp/>
        <stp>BDH|3915908073772368703</stp>
        <tr r="Y55" s="17"/>
      </tp>
      <tp t="e">
        <v>#N/A</v>
        <stp/>
        <stp>BDH|1193630311509376791</stp>
        <tr r="P46" s="18"/>
      </tp>
      <tp t="e">
        <v>#N/A</v>
        <stp/>
        <stp>BDH|9165054259911560517</stp>
        <tr r="P24" s="17"/>
      </tp>
      <tp t="e">
        <v>#N/A</v>
        <stp/>
        <stp>BDH|4342209991587203092</stp>
        <tr r="H18" s="30"/>
      </tp>
      <tp t="e">
        <v>#N/A</v>
        <stp/>
        <stp>BDH|9901848860898631729</stp>
        <tr r="C45" s="4"/>
        <tr r="C30" s="10"/>
        <tr r="C24" s="11"/>
        <tr r="E30" s="13"/>
      </tp>
      <tp t="e">
        <v>#N/A</v>
        <stp/>
        <stp>BDH|9998620263885493452</stp>
        <tr r="J10" s="17"/>
      </tp>
      <tp t="e">
        <v>#N/A</v>
        <stp/>
        <stp>BDH|8648311205851243293</stp>
        <tr r="R42" s="24"/>
      </tp>
      <tp t="e">
        <v>#N/A</v>
        <stp/>
        <stp>BDH|8959654176827722641</stp>
        <tr r="Z30" s="29"/>
        <tr r="Z8" s="29"/>
      </tp>
      <tp t="e">
        <v>#N/A</v>
        <stp/>
        <stp>BDH|8108839399514498568</stp>
        <tr r="K52" s="10"/>
        <tr r="K46" s="11"/>
        <tr r="K16" s="7"/>
      </tp>
      <tp t="e">
        <v>#N/A</v>
        <stp/>
        <stp>BDH|9930740797198094736</stp>
        <tr r="R34" s="22"/>
      </tp>
      <tp t="e">
        <v>#N/A</v>
        <stp/>
        <stp>BDH|5163890315834007042</stp>
        <tr r="Q66" s="21"/>
      </tp>
      <tp t="e">
        <v>#N/A</v>
        <stp/>
        <stp>BDH|3523580652263343858</stp>
        <tr r="P64" s="24"/>
      </tp>
      <tp t="e">
        <v>#N/A</v>
        <stp/>
        <stp>BDH|3989707974789027246</stp>
        <tr r="L26" s="21"/>
      </tp>
      <tp t="e">
        <v>#N/A</v>
        <stp/>
        <stp>BDH|5211681814238371249</stp>
        <tr r="P21" s="30"/>
        <tr r="P24" s="23"/>
      </tp>
      <tp t="e">
        <v>#N/A</v>
        <stp/>
        <stp>BDH|9236309797898873349</stp>
        <tr r="W19" s="12"/>
      </tp>
      <tp t="e">
        <v>#N/A</v>
        <stp/>
        <stp>BDH|7846972380896270846</stp>
        <tr r="C42" s="24"/>
      </tp>
      <tp t="e">
        <v>#N/A</v>
        <stp/>
        <stp>BDH|7677090993917106141</stp>
        <tr r="X8" s="27"/>
      </tp>
      <tp t="e">
        <v>#N/A</v>
        <stp/>
        <stp>BDH|5294983157012072343</stp>
        <tr r="E79" s="12"/>
      </tp>
      <tp t="e">
        <v>#N/A</v>
        <stp/>
        <stp>BDH|8854456143029558928</stp>
        <tr r="E41" s="17"/>
      </tp>
      <tp t="e">
        <v>#N/A</v>
        <stp/>
        <stp>BDH|8215050935797452482</stp>
        <tr r="I47" s="17"/>
      </tp>
      <tp t="e">
        <v>#N/A</v>
        <stp/>
        <stp>BDH|3378794611474610937</stp>
        <tr r="V6" s="15"/>
        <tr r="V12" s="2"/>
        <tr r="V11" s="4"/>
        <tr r="V6" s="10"/>
      </tp>
      <tp t="e">
        <v>#N/A</v>
        <stp/>
        <stp>BDH|5988313374038192133</stp>
        <tr r="U60" s="17"/>
      </tp>
      <tp t="e">
        <v>#N/A</v>
        <stp/>
        <stp>BDH|2241051629720727870</stp>
        <tr r="T7" s="10"/>
      </tp>
      <tp t="e">
        <v>#N/A</v>
        <stp/>
        <stp>BDH|2354301999152700235</stp>
        <tr r="M40" s="34"/>
      </tp>
      <tp t="e">
        <v>#N/A</v>
        <stp/>
        <stp>BDH|8105683994459751642</stp>
        <tr r="G76" s="12"/>
      </tp>
      <tp t="e">
        <v>#N/A</v>
        <stp/>
        <stp>BDH|8664995852388335400</stp>
        <tr r="G50" s="24"/>
      </tp>
      <tp t="e">
        <v>#N/A</v>
        <stp/>
        <stp>BDH|3412484174629472127</stp>
        <tr r="M15" s="22"/>
      </tp>
      <tp t="e">
        <v>#N/A</v>
        <stp/>
        <stp>BDH|5962111252070754931</stp>
        <tr r="R115" s="18"/>
      </tp>
      <tp t="e">
        <v>#N/A</v>
        <stp/>
        <stp>BDH|7007309773453963849</stp>
        <tr r="E42" s="10"/>
        <tr r="E36" s="11"/>
      </tp>
      <tp t="e">
        <v>#N/A</v>
        <stp/>
        <stp>BDH|3142456680116999138</stp>
        <tr r="U58" s="21"/>
        <tr r="U33" s="25"/>
        <tr r="S31" s="4"/>
        <tr r="S55" s="11"/>
      </tp>
      <tp t="e">
        <v>#N/A</v>
        <stp/>
        <stp>BDH|8538155015545246592</stp>
        <tr r="Z20" s="24"/>
      </tp>
      <tp t="e">
        <v>#N/A</v>
        <stp/>
        <stp>BDH|1755107894164450592</stp>
        <tr r="K66" s="24"/>
      </tp>
      <tp t="e">
        <v>#N/A</v>
        <stp/>
        <stp>BDH|2262995956657215110</stp>
        <tr r="Q30" s="26"/>
      </tp>
      <tp t="e">
        <v>#N/A</v>
        <stp/>
        <stp>BDH|1221333630469734081</stp>
        <tr r="Z34" s="24"/>
      </tp>
      <tp t="e">
        <v>#N/A</v>
        <stp/>
        <stp>BDH|5923152367622502801</stp>
        <tr r="D52" s="21"/>
      </tp>
      <tp t="e">
        <v>#N/A</v>
        <stp/>
        <stp>BDH|7626178749783228948</stp>
        <tr r="P21" s="3"/>
      </tp>
      <tp t="e">
        <v>#N/A</v>
        <stp/>
        <stp>BDH|9039562778667106410</stp>
        <tr r="M24" s="20"/>
      </tp>
      <tp t="e">
        <v>#N/A</v>
        <stp/>
        <stp>BDH|5340028155761958939</stp>
        <tr r="T7" s="4"/>
      </tp>
      <tp t="e">
        <v>#N/A</v>
        <stp/>
        <stp>BDH|9843621943211324242</stp>
        <tr r="F63" s="17"/>
      </tp>
      <tp t="e">
        <v>#N/A</v>
        <stp/>
        <stp>BDH|9620405352872394290</stp>
        <tr r="Q23" s="17"/>
        <tr r="Q15" s="3"/>
      </tp>
      <tp t="e">
        <v>#N/A</v>
        <stp/>
        <stp>BDH|7180846220634363188</stp>
        <tr r="R14" s="18"/>
      </tp>
      <tp t="e">
        <v>#N/A</v>
        <stp/>
        <stp>BDH|9117292228966753796</stp>
        <tr r="M139" s="18"/>
      </tp>
      <tp t="e">
        <v>#N/A</v>
        <stp/>
        <stp>BDH|2352847732981250097</stp>
        <tr r="S17" s="10"/>
      </tp>
      <tp t="e">
        <v>#N/A</v>
        <stp/>
        <stp>BDH|2704188574569716527</stp>
        <tr r="Z40" s="24"/>
      </tp>
      <tp t="e">
        <v>#N/A</v>
        <stp/>
        <stp>BDH|5390568558729496474</stp>
        <tr r="I13" s="6"/>
      </tp>
      <tp t="e">
        <v>#N/A</v>
        <stp/>
        <stp>BDH|8414980613971918982</stp>
        <tr r="S86" s="18"/>
      </tp>
      <tp t="e">
        <v>#N/A</v>
        <stp/>
        <stp>BDH|1048491185831325414</stp>
        <tr r="V37" s="21"/>
        <tr r="V24" s="3"/>
      </tp>
      <tp t="e">
        <v>#N/A</v>
        <stp/>
        <stp>BDH|9832825771566205879</stp>
        <tr r="K32" s="34"/>
      </tp>
      <tp t="e">
        <v>#N/A</v>
        <stp/>
        <stp>BDH|6546299943069614176</stp>
        <tr r="L163" s="18"/>
      </tp>
      <tp t="e">
        <v>#N/A</v>
        <stp/>
        <stp>BDH|1931526332339792602</stp>
        <tr r="N72" s="12"/>
      </tp>
      <tp t="e">
        <v>#N/A</v>
        <stp/>
        <stp>BDH|4678285692973001426</stp>
        <tr r="M18" s="6"/>
      </tp>
      <tp t="e">
        <v>#N/A</v>
        <stp/>
        <stp>BDH|7912927536562475778</stp>
        <tr r="K62" s="18"/>
      </tp>
      <tp t="e">
        <v>#N/A</v>
        <stp/>
        <stp>BDH|2901759222699896689</stp>
        <tr r="T19" s="14"/>
      </tp>
      <tp t="e">
        <v>#N/A</v>
        <stp/>
        <stp>BDH|8313297247604574269</stp>
        <tr r="M22" s="4"/>
      </tp>
      <tp t="e">
        <v>#N/A</v>
        <stp/>
        <stp>BDH|2532946089878358349</stp>
        <tr r="J26" s="22"/>
      </tp>
      <tp t="e">
        <v>#N/A</v>
        <stp/>
        <stp>BDH|6658750928009059241</stp>
        <tr r="K16" s="26"/>
      </tp>
      <tp t="e">
        <v>#N/A</v>
        <stp/>
        <stp>BDH|5865970595609557405</stp>
        <tr r="E24" s="2"/>
      </tp>
      <tp t="e">
        <v>#N/A</v>
        <stp/>
        <stp>BDH|5902415442508591509</stp>
        <tr r="S46" s="17"/>
      </tp>
      <tp t="e">
        <v>#N/A</v>
        <stp/>
        <stp>BDH|5808704702548630232</stp>
        <tr r="P43" s="22"/>
      </tp>
      <tp t="e">
        <v>#N/A</v>
        <stp/>
        <stp>BDH|8627595952014213405</stp>
        <tr r="X15" s="13"/>
      </tp>
      <tp t="e">
        <v>#N/A</v>
        <stp/>
        <stp>BDH|4860943227607576016</stp>
        <tr r="X15" s="4"/>
      </tp>
      <tp t="e">
        <v>#N/A</v>
        <stp/>
        <stp>BDH|4542437890033830212</stp>
        <tr r="K9" s="18"/>
      </tp>
      <tp t="e">
        <v>#N/A</v>
        <stp/>
        <stp>BDH|3375417259408072247</stp>
        <tr r="N53" s="13"/>
      </tp>
      <tp t="e">
        <v>#N/A</v>
        <stp/>
        <stp>BDH|3170386432539635223</stp>
        <tr r="J35" s="34"/>
      </tp>
      <tp t="e">
        <v>#N/A</v>
        <stp/>
        <stp>BDH|8946959082680940188</stp>
        <tr r="Z79" s="18"/>
      </tp>
      <tp t="e">
        <v>#N/A</v>
        <stp/>
        <stp>BDH|9845238854926541056</stp>
        <tr r="I29" s="12"/>
      </tp>
      <tp t="e">
        <v>#N/A</v>
        <stp/>
        <stp>BDH|5489278146502951937</stp>
        <tr r="Z160" s="18"/>
      </tp>
      <tp t="e">
        <v>#N/A</v>
        <stp/>
        <stp>BDH|3072721699370062545</stp>
        <tr r="P152" s="18"/>
      </tp>
      <tp t="e">
        <v>#N/A</v>
        <stp/>
        <stp>BDH|3112051796744483696</stp>
        <tr r="D52" s="4"/>
        <tr r="F8" s="3"/>
        <tr r="D43" s="10"/>
        <tr r="D37" s="11"/>
        <tr r="F38" s="13"/>
      </tp>
      <tp t="e">
        <v>#N/A</v>
        <stp/>
        <stp>BDH|6500348784927218289</stp>
        <tr r="V37" s="12"/>
      </tp>
      <tp t="e">
        <v>#N/A</v>
        <stp/>
        <stp>BDH|6166410993192993156</stp>
        <tr r="M7" s="10"/>
      </tp>
      <tp t="e">
        <v>#N/A</v>
        <stp/>
        <stp>BDH|4326289345042689878</stp>
        <tr r="N140" s="18"/>
      </tp>
      <tp t="e">
        <v>#N/A</v>
        <stp/>
        <stp>BDH|5389289234414082806</stp>
        <tr r="U22" s="17"/>
      </tp>
      <tp t="e">
        <v>#N/A</v>
        <stp/>
        <stp>BDH|8726134909968150931</stp>
        <tr r="N35" s="17"/>
      </tp>
      <tp t="e">
        <v>#N/A</v>
        <stp/>
        <stp>BDH|3782821748295239202</stp>
        <tr r="I54" s="13"/>
      </tp>
      <tp t="e">
        <v>#N/A</v>
        <stp/>
        <stp>BDH|1275358752559837623</stp>
        <tr r="F17" s="9"/>
      </tp>
      <tp t="e">
        <v>#N/A</v>
        <stp/>
        <stp>BDH|8084534942987877668</stp>
        <tr r="X103" s="18"/>
      </tp>
      <tp t="e">
        <v>#N/A</v>
        <stp/>
        <stp>BDH|9616733897166902949</stp>
        <tr r="Q47" s="17"/>
      </tp>
      <tp t="e">
        <v>#N/A</v>
        <stp/>
        <stp>BDH|9964848476018237660</stp>
        <tr r="O12" s="17"/>
      </tp>
      <tp t="e">
        <v>#N/A</v>
        <stp/>
        <stp>BDH|5260570594851607083</stp>
        <tr r="Z61" s="24"/>
      </tp>
      <tp t="e">
        <v>#N/A</v>
        <stp/>
        <stp>BDH|1924846796889327173</stp>
        <tr r="L53" s="24"/>
      </tp>
      <tp t="e">
        <v>#N/A</v>
        <stp/>
        <stp>BDH|9698083689648175196</stp>
        <tr r="P80" s="17"/>
      </tp>
      <tp t="e">
        <v>#N/A</v>
        <stp/>
        <stp>BDH|4092694554066534972</stp>
        <tr r="AA42" s="13"/>
      </tp>
      <tp t="e">
        <v>#N/A</v>
        <stp/>
        <stp>BDH|6058596463648123548</stp>
        <tr r="H19" s="14"/>
      </tp>
      <tp t="e">
        <v>#N/A</v>
        <stp/>
        <stp>BDH|6743694787207102743</stp>
        <tr r="D26" s="17"/>
      </tp>
      <tp t="e">
        <v>#N/A</v>
        <stp/>
        <stp>BDH|2226812363321928550</stp>
        <tr r="H52" s="18"/>
      </tp>
      <tp t="e">
        <v>#N/A</v>
        <stp/>
        <stp>BDH|5595572603101833959</stp>
        <tr r="P22" s="20"/>
      </tp>
      <tp t="e">
        <v>#N/A</v>
        <stp/>
        <stp>BDH|5829101853798348140</stp>
        <tr r="K9" s="2"/>
        <tr r="M8" s="25"/>
        <tr r="J10" s="5"/>
      </tp>
      <tp t="e">
        <v>#N/A</v>
        <stp/>
        <stp>BDH|7674246612969904558</stp>
        <tr r="N45" s="13"/>
      </tp>
      <tp t="e">
        <v>#N/A</v>
        <stp/>
        <stp>BDH|9242175565071441785</stp>
        <tr r="AA82" s="18"/>
      </tp>
      <tp t="e">
        <v>#N/A</v>
        <stp/>
        <stp>BDH|1213475956459923160</stp>
        <tr r="T28" s="25"/>
        <tr r="T18" s="27"/>
      </tp>
      <tp t="e">
        <v>#N/A</v>
        <stp/>
        <stp>BDH|4889261360699027128</stp>
        <tr r="V21" s="12"/>
      </tp>
      <tp t="e">
        <v>#N/A</v>
        <stp/>
        <stp>BDH|9020336038417206655</stp>
        <tr r="H92" s="17"/>
      </tp>
      <tp t="e">
        <v>#N/A</v>
        <stp/>
        <stp>BDH|9389391716321794276</stp>
        <tr r="H24" s="22"/>
      </tp>
      <tp t="e">
        <v>#N/A</v>
        <stp/>
        <stp>BDH|8359254063125820117</stp>
        <tr r="J9" s="24"/>
      </tp>
      <tp t="e">
        <v>#N/A</v>
        <stp/>
        <stp>BDH|8939488931974401386</stp>
        <tr r="E16" s="12"/>
      </tp>
      <tp t="e">
        <v>#N/A</v>
        <stp/>
        <stp>BDH|7181760098079587864</stp>
        <tr r="W7" s="20"/>
      </tp>
      <tp t="e">
        <v>#N/A</v>
        <stp/>
        <stp>BDH|2446403163599812137</stp>
        <tr r="S18" s="5"/>
        <tr r="S30" s="6"/>
      </tp>
      <tp t="e">
        <v>#N/A</v>
        <stp/>
        <stp>BDH|7118897343540736304</stp>
        <tr r="W106" s="18"/>
        <tr r="U6" s="20"/>
      </tp>
      <tp t="e">
        <v>#N/A</v>
        <stp/>
        <stp>BDH|2260057089796538472</stp>
        <tr r="O49" s="4"/>
      </tp>
      <tp t="e">
        <v>#N/A</v>
        <stp/>
        <stp>BDH|6721026704406924845</stp>
        <tr r="F42" s="10"/>
        <tr r="F36" s="11"/>
      </tp>
      <tp t="e">
        <v>#N/A</v>
        <stp/>
        <stp>BDH|8578467299754573937</stp>
        <tr r="Y126" s="18"/>
      </tp>
      <tp t="e">
        <v>#N/A</v>
        <stp/>
        <stp>BDH|7717130273901978828</stp>
        <tr r="R76" s="18"/>
      </tp>
      <tp t="e">
        <v>#N/A</v>
        <stp/>
        <stp>BDH|7973283139389177757</stp>
        <tr r="J38" s="22"/>
      </tp>
      <tp t="e">
        <v>#N/A</v>
        <stp/>
        <stp>BDH|1856332411628465321</stp>
        <tr r="E14" s="28"/>
      </tp>
      <tp t="e">
        <v>#N/A</v>
        <stp/>
        <stp>BDH|3611110012932171989</stp>
        <tr r="P108" s="18"/>
        <tr r="N8" s="20"/>
      </tp>
      <tp t="e">
        <v>#N/A</v>
        <stp/>
        <stp>BDH|8546018215861854058</stp>
        <tr r="K54" s="17"/>
      </tp>
      <tp t="e">
        <v>#N/A</v>
        <stp/>
        <stp>BDH|9856151944540511408</stp>
        <tr r="N22" s="7"/>
      </tp>
      <tp t="e">
        <v>#N/A</v>
        <stp/>
        <stp>BDH|4522871509540187465</stp>
        <tr r="W17" s="13"/>
      </tp>
      <tp t="e">
        <v>#N/A</v>
        <stp/>
        <stp>BDH|1187858338134422649</stp>
        <tr r="U10" s="21"/>
      </tp>
      <tp t="e">
        <v>#N/A</v>
        <stp/>
        <stp>BDH|4956983615455099181</stp>
        <tr r="S13" s="24"/>
      </tp>
      <tp t="e">
        <v>#N/A</v>
        <stp/>
        <stp>BDH|1619029514978883043</stp>
        <tr r="K21" s="21"/>
      </tp>
      <tp t="e">
        <v>#N/A</v>
        <stp/>
        <stp>BDH|9940007302189197866</stp>
        <tr r="J57" s="11"/>
      </tp>
      <tp t="e">
        <v>#N/A</v>
        <stp/>
        <stp>BDH|5425199610285577842</stp>
        <tr r="J24" s="17"/>
      </tp>
      <tp t="e">
        <v>#N/A</v>
        <stp/>
        <stp>BDH|1783392182121779373</stp>
        <tr r="F59" s="18"/>
      </tp>
      <tp t="e">
        <v>#N/A</v>
        <stp/>
        <stp>BDH|8520590414557301379</stp>
        <tr r="C25" s="3"/>
      </tp>
      <tp t="e">
        <v>#N/A</v>
        <stp/>
        <stp>BDH|4084447208051175909</stp>
        <tr r="M161" s="18"/>
      </tp>
      <tp t="e">
        <v>#N/A</v>
        <stp/>
        <stp>BDH|3710855662310508587</stp>
        <tr r="Q98" s="18"/>
      </tp>
      <tp t="e">
        <v>#N/A</v>
        <stp/>
        <stp>BDH|2117357239442498848</stp>
        <tr r="T39" s="24"/>
      </tp>
      <tp t="e">
        <v>#N/A</v>
        <stp/>
        <stp>BDH|9449081772170710646</stp>
        <tr r="Y17" s="29"/>
        <tr r="Y37" s="29"/>
      </tp>
      <tp t="e">
        <v>#N/A</v>
        <stp/>
        <stp>BDH|3019525067089001186</stp>
        <tr r="Z23" s="25"/>
        <tr r="Z13" s="27"/>
      </tp>
      <tp t="e">
        <v>#N/A</v>
        <stp/>
        <stp>BDH|8765293306415126741</stp>
        <tr r="AA8" s="13"/>
      </tp>
      <tp t="e">
        <v>#N/A</v>
        <stp/>
        <stp>BDH|9314558178821262212</stp>
        <tr r="H16" s="21"/>
      </tp>
      <tp t="e">
        <v>#N/A</v>
        <stp/>
        <stp>BDH|8028500748000452112</stp>
        <tr r="K96" s="18"/>
      </tp>
      <tp t="e">
        <v>#N/A</v>
        <stp/>
        <stp>BDH|2876921375124152036</stp>
        <tr r="J54" s="24"/>
      </tp>
      <tp t="e">
        <v>#N/A</v>
        <stp/>
        <stp>BDH|3536124393653955003</stp>
        <tr r="Q72" s="24"/>
      </tp>
      <tp t="e">
        <v>#N/A</v>
        <stp/>
        <stp>BDH|1878643980595244232</stp>
        <tr r="S54" s="21"/>
      </tp>
      <tp t="e">
        <v>#N/A</v>
        <stp/>
        <stp>BDH|7162567809768230212</stp>
        <tr r="J21" s="9"/>
      </tp>
      <tp t="e">
        <v>#N/A</v>
        <stp/>
        <stp>BDH|6336968479876701665</stp>
        <tr r="X72" s="24"/>
      </tp>
      <tp t="e">
        <v>#N/A</v>
        <stp/>
        <stp>BDH|4687751844128878729</stp>
        <tr r="C29" s="5"/>
      </tp>
      <tp t="e">
        <v>#N/A</v>
        <stp/>
        <stp>BDH|1400485488660914504</stp>
        <tr r="S74" s="12"/>
      </tp>
      <tp t="e">
        <v>#N/A</v>
        <stp/>
        <stp>BDH|8956432152420322167</stp>
        <tr r="P107" s="18"/>
        <tr r="N7" s="20"/>
      </tp>
      <tp t="e">
        <v>#N/A</v>
        <stp/>
        <stp>BDH|2450266587265108597</stp>
        <tr r="X37" s="10"/>
        <tr r="X31" s="11"/>
        <tr r="Z40" s="13"/>
      </tp>
      <tp t="e">
        <v>#N/A</v>
        <stp/>
        <stp>BDH|5254836409652150749</stp>
        <tr r="S26" s="24"/>
      </tp>
      <tp t="e">
        <v>#N/A</v>
        <stp/>
        <stp>BDH|4765989733720170606</stp>
        <tr r="H119" s="18"/>
      </tp>
      <tp t="e">
        <v>#N/A</v>
        <stp/>
        <stp>BDH|9998766672642998399</stp>
        <tr r="W24" s="24"/>
      </tp>
      <tp t="e">
        <v>#N/A</v>
        <stp/>
        <stp>BDH|9986874058319814537</stp>
        <tr r="J17" s="21"/>
      </tp>
      <tp t="e">
        <v>#N/A</v>
        <stp/>
        <stp>BDH|3310139276758939525</stp>
        <tr r="L64" s="17"/>
      </tp>
      <tp t="e">
        <v>#N/A</v>
        <stp/>
        <stp>BDH|5896495168558459705</stp>
        <tr r="F38" s="10"/>
        <tr r="F32" s="11"/>
      </tp>
      <tp t="e">
        <v>#N/A</v>
        <stp/>
        <stp>BDH|8995507306207570270</stp>
        <tr r="Q9" s="28"/>
      </tp>
      <tp t="e">
        <v>#N/A</v>
        <stp/>
        <stp>BDH|6218042876138884151</stp>
        <tr r="Z21" s="20"/>
      </tp>
      <tp t="e">
        <v>#N/A</v>
        <stp/>
        <stp>BDH|5953348810388062703</stp>
        <tr r="Q73" s="18"/>
      </tp>
      <tp t="e">
        <v>#N/A</v>
        <stp/>
        <stp>BDH|7809215997501585562</stp>
        <tr r="L9" s="17"/>
      </tp>
      <tp t="e">
        <v>#N/A</v>
        <stp/>
        <stp>BDH|9273453369906766541</stp>
        <tr r="V8" s="26"/>
        <tr r="S10" s="9"/>
      </tp>
      <tp t="e">
        <v>#N/A</v>
        <stp/>
        <stp>BDH|2352015163639857549</stp>
        <tr r="E60" s="12"/>
      </tp>
      <tp t="e">
        <v>#N/A</v>
        <stp/>
        <stp>BDH|8996228000873660105</stp>
        <tr r="U34" s="26"/>
      </tp>
      <tp t="e">
        <v>#N/A</v>
        <stp/>
        <stp>BDH|9746100424601700398</stp>
        <tr r="D143" s="18"/>
      </tp>
      <tp t="e">
        <v>#N/A</v>
        <stp/>
        <stp>BDH|3840229630989389340</stp>
        <tr r="M54" s="13"/>
      </tp>
      <tp t="e">
        <v>#N/A</v>
        <stp/>
        <stp>BDH|7321756179677490867</stp>
        <tr r="F72" s="10"/>
        <tr r="F66" s="11"/>
      </tp>
      <tp t="e">
        <v>#N/A</v>
        <stp/>
        <stp>BDH|2163585552832715816</stp>
        <tr r="P17" s="6"/>
      </tp>
      <tp t="e">
        <v>#N/A</v>
        <stp/>
        <stp>BDH|4899894899788147542</stp>
        <tr r="H27" s="34"/>
      </tp>
      <tp t="e">
        <v>#N/A</v>
        <stp/>
        <stp>BDH|3116435850823843974</stp>
        <tr r="D31" s="25"/>
      </tp>
      <tp t="e">
        <v>#N/A</v>
        <stp/>
        <stp>BDH|5180948074380567399</stp>
        <tr r="U18" s="9"/>
      </tp>
      <tp t="e">
        <v>#N/A</v>
        <stp/>
        <stp>BDH|9482091137771660317</stp>
        <tr r="S20" s="23"/>
      </tp>
      <tp t="e">
        <v>#N/A</v>
        <stp/>
        <stp>BDH|4039523414701908929</stp>
        <tr r="J77" s="18"/>
      </tp>
      <tp t="e">
        <v>#N/A</v>
        <stp/>
        <stp>BDH|5958826764872706155</stp>
        <tr r="S8" s="21"/>
      </tp>
      <tp t="e">
        <v>#N/A</v>
        <stp/>
        <stp>BDH|7538460815243735933</stp>
        <tr r="G9" s="28"/>
      </tp>
      <tp t="e">
        <v>#N/A</v>
        <stp/>
        <stp>BDH|7462597999593009064</stp>
        <tr r="W63" s="21"/>
      </tp>
      <tp t="e">
        <v>#N/A</v>
        <stp/>
        <stp>BDH|7804232780374830111</stp>
        <tr r="Z27" s="21"/>
      </tp>
      <tp t="e">
        <v>#N/A</v>
        <stp/>
        <stp>BDH|6217805120910989496</stp>
        <tr r="E23" s="25"/>
        <tr r="E13" s="27"/>
      </tp>
      <tp t="e">
        <v>#N/A</v>
        <stp/>
        <stp>BDH|8942311224737748695</stp>
        <tr r="U20" s="5"/>
        <tr r="U20" s="9"/>
      </tp>
      <tp t="e">
        <v>#N/A</v>
        <stp/>
        <stp>BDH|9515146713393406246</stp>
        <tr r="G40" s="10"/>
        <tr r="G34" s="11"/>
      </tp>
      <tp t="e">
        <v>#N/A</v>
        <stp/>
        <stp>BDH|2707984934187001791</stp>
        <tr r="K19" s="24"/>
      </tp>
      <tp t="e">
        <v>#N/A</v>
        <stp/>
        <stp>BDH|4791916415164831099</stp>
        <tr r="Z14" s="29"/>
        <tr r="Z23" s="29"/>
        <tr r="Z34" s="29"/>
      </tp>
      <tp t="e">
        <v>#N/A</v>
        <stp/>
        <stp>BDH|8370226616533296079</stp>
        <tr r="J150" s="18"/>
      </tp>
      <tp t="e">
        <v>#N/A</v>
        <stp/>
        <stp>BDH|9965503493574879900</stp>
        <tr r="Y22" s="27"/>
      </tp>
      <tp t="e">
        <v>#N/A</v>
        <stp/>
        <stp>BDH|6149005640079362300</stp>
        <tr r="F67" s="24"/>
      </tp>
      <tp t="e">
        <v>#N/A</v>
        <stp/>
        <stp>BDH|9235326499479216296</stp>
        <tr r="L102" s="18"/>
      </tp>
      <tp t="e">
        <v>#N/A</v>
        <stp/>
        <stp>BDH|3404200981368309945</stp>
        <tr r="I14" s="23"/>
      </tp>
      <tp t="e">
        <v>#N/A</v>
        <stp/>
        <stp>BDH|7107700613479264024</stp>
        <tr r="Q15" s="4"/>
      </tp>
      <tp t="e">
        <v>#N/A</v>
        <stp/>
        <stp>BDH|1117916849331842536</stp>
        <tr r="Y10" s="28"/>
      </tp>
      <tp t="e">
        <v>#N/A</v>
        <stp/>
        <stp>BDH|5502563152989541468</stp>
        <tr r="G59" s="21"/>
        <tr r="E56" s="11"/>
      </tp>
      <tp t="e">
        <v>#N/A</v>
        <stp/>
        <stp>BDH|5955820121731893602</stp>
        <tr r="I9" s="26"/>
      </tp>
      <tp t="e">
        <v>#N/A</v>
        <stp/>
        <stp>BDH|7402743412830125910</stp>
        <tr r="Z19" s="17"/>
      </tp>
      <tp t="e">
        <v>#N/A</v>
        <stp/>
        <stp>BDH|3411964520210564058</stp>
        <tr r="P94" s="17"/>
      </tp>
      <tp t="e">
        <v>#N/A</v>
        <stp/>
        <stp>BDH|3931269272388716681</stp>
        <tr r="S37" s="21"/>
        <tr r="S24" s="3"/>
      </tp>
      <tp t="e">
        <v>#N/A</v>
        <stp/>
        <stp>BDH|6780238849800840875</stp>
        <tr r="Q114" s="18"/>
      </tp>
      <tp t="e">
        <v>#N/A</v>
        <stp/>
        <stp>BDH|1145102774749196660</stp>
        <tr r="E22" s="22"/>
      </tp>
      <tp t="e">
        <v>#N/A</v>
        <stp/>
        <stp>BDH|7893315252801089894</stp>
        <tr r="M80" s="17"/>
      </tp>
      <tp t="e">
        <v>#N/A</v>
        <stp/>
        <stp>BDH|2930105282652888113</stp>
        <tr r="S45" s="4"/>
        <tr r="S30" s="10"/>
        <tr r="S24" s="11"/>
        <tr r="U30" s="13"/>
      </tp>
      <tp t="e">
        <v>#N/A</v>
        <stp/>
        <stp>BDH|5746628618498823270</stp>
        <tr r="L10" s="2"/>
        <tr r="K11" s="5"/>
        <tr r="K36" s="6"/>
        <tr r="N31" s="29"/>
        <tr r="N39" s="29"/>
      </tp>
      <tp t="e">
        <v>#N/A</v>
        <stp/>
        <stp>BDH|8518972229092199980</stp>
        <tr r="O91" s="18"/>
      </tp>
      <tp t="e">
        <v>#N/A</v>
        <stp/>
        <stp>BDH|9429604655955020737</stp>
        <tr r="J32" s="10"/>
        <tr r="J26" s="11"/>
      </tp>
      <tp t="e">
        <v>#N/A</v>
        <stp/>
        <stp>BDH|4097344294446422066</stp>
        <tr r="W7" s="30"/>
      </tp>
      <tp t="e">
        <v>#N/A</v>
        <stp/>
        <stp>BDH|4169872851899656834</stp>
        <tr r="P14" s="4"/>
      </tp>
      <tp t="e">
        <v>#N/A</v>
        <stp/>
        <stp>BDH|3028554755833358817</stp>
        <tr r="T32" s="6"/>
        <tr r="V6" s="8"/>
      </tp>
      <tp t="e">
        <v>#N/A</v>
        <stp/>
        <stp>BDH|1777968215327225642</stp>
        <tr r="C166" s="18"/>
      </tp>
      <tp t="e">
        <v>#N/A</v>
        <stp/>
        <stp>BDH|1096061795019213935</stp>
        <tr r="I57" s="24"/>
      </tp>
      <tp t="e">
        <v>#N/A</v>
        <stp/>
        <stp>BDH|2641932864127282213</stp>
        <tr r="P9" s="6"/>
      </tp>
      <tp t="e">
        <v>#N/A</v>
        <stp/>
        <stp>BDH|9386930583502522240</stp>
        <tr r="Q74" s="12"/>
      </tp>
      <tp t="e">
        <v>#N/A</v>
        <stp/>
        <stp>BDH|8092725037481402537</stp>
        <tr r="F40" s="24"/>
      </tp>
      <tp t="e">
        <v>#N/A</v>
        <stp/>
        <stp>BDH|1017783786347867149</stp>
        <tr r="J127" s="18"/>
      </tp>
      <tp t="e">
        <v>#N/A</v>
        <stp/>
        <stp>BDH|2220477895142484562</stp>
        <tr r="C8" s="6"/>
      </tp>
      <tp t="e">
        <v>#N/A</v>
        <stp/>
        <stp>BDH|2829062680445468793</stp>
        <tr r="AA22" s="27"/>
      </tp>
      <tp t="e">
        <v>#N/A</v>
        <stp/>
        <stp>BDH|1189889066693521495</stp>
        <tr r="E18" s="24"/>
      </tp>
      <tp t="e">
        <v>#N/A</v>
        <stp/>
        <stp>BDH|6537707665939043639</stp>
        <tr r="Q136" s="18"/>
      </tp>
      <tp t="e">
        <v>#N/A</v>
        <stp/>
        <stp>BDH|7835672078457363973</stp>
        <tr r="P13" s="24"/>
      </tp>
      <tp t="e">
        <v>#N/A</v>
        <stp/>
        <stp>BDH|9788446021924654372</stp>
        <tr r="D39" s="34"/>
      </tp>
      <tp t="e">
        <v>#N/A</v>
        <stp/>
        <stp>BDH|1406840965200753714</stp>
        <tr r="C11" s="24"/>
      </tp>
      <tp t="e">
        <v>#N/A</v>
        <stp/>
        <stp>BDH|7523821771731740122</stp>
        <tr r="C42" s="18"/>
      </tp>
      <tp t="e">
        <v>#N/A</v>
        <stp/>
        <stp>BDH|6237864414602433570</stp>
        <tr r="T37" s="10"/>
        <tr r="T31" s="11"/>
        <tr r="V40" s="13"/>
      </tp>
      <tp t="e">
        <v>#N/A</v>
        <stp/>
        <stp>BDH|9264327301163221100</stp>
        <tr r="Z18" s="13"/>
      </tp>
      <tp t="e">
        <v>#N/A</v>
        <stp/>
        <stp>BDH|1251791995704535382</stp>
        <tr r="X23" s="22"/>
      </tp>
      <tp t="e">
        <v>#N/A</v>
        <stp/>
        <stp>BDH|8322491510264842110</stp>
        <tr r="K8" s="23"/>
      </tp>
      <tp t="e">
        <v>#N/A</v>
        <stp/>
        <stp>BDH|8623666044807087572</stp>
        <tr r="Y50" s="4"/>
      </tp>
      <tp t="e">
        <v>#N/A</v>
        <stp/>
        <stp>BDH|1150738094857155046</stp>
        <tr r="C100" s="18"/>
      </tp>
      <tp t="e">
        <v>#N/A</v>
        <stp/>
        <stp>BDH|7278795289641241136</stp>
        <tr r="U14" s="26"/>
      </tp>
      <tp t="e">
        <v>#N/A</v>
        <stp/>
        <stp>BDH|5919702385155857771</stp>
        <tr r="R128" s="18"/>
      </tp>
      <tp t="e">
        <v>#N/A</v>
        <stp/>
        <stp>BDH|2445885701705898769</stp>
        <tr r="Y19" s="17"/>
      </tp>
      <tp t="e">
        <v>#N/A</v>
        <stp/>
        <stp>BDH|8625907754445004918</stp>
        <tr r="H59" s="18"/>
      </tp>
      <tp t="e">
        <v>#N/A</v>
        <stp/>
        <stp>BDH|3398875390733123960</stp>
        <tr r="C36" s="10"/>
        <tr r="C30" s="11"/>
        <tr r="E39" s="13"/>
      </tp>
      <tp t="e">
        <v>#N/A</v>
        <stp/>
        <stp>BDH|5860299481616136121</stp>
        <tr r="K18" s="30"/>
      </tp>
      <tp t="e">
        <v>#N/A</v>
        <stp/>
        <stp>BDH|9717141268877921111</stp>
        <tr r="M74" s="18"/>
      </tp>
      <tp t="e">
        <v>#N/A</v>
        <stp/>
        <stp>BDH|2886476295220045792</stp>
        <tr r="K76" s="18"/>
      </tp>
      <tp t="e">
        <v>#N/A</v>
        <stp/>
        <stp>BDH|6652619947774740845</stp>
        <tr r="H93" s="17"/>
      </tp>
      <tp t="e">
        <v>#N/A</v>
        <stp/>
        <stp>BDH|7849924504275982340</stp>
        <tr r="E73" s="12"/>
      </tp>
      <tp t="e">
        <v>#N/A</v>
        <stp/>
        <stp>BDH|6656495581716589482</stp>
        <tr r="Q81" s="17"/>
        <tr r="N9" s="5"/>
        <tr r="N9" s="9"/>
      </tp>
      <tp t="e">
        <v>#N/A</v>
        <stp/>
        <stp>BDH|6405229695454632162</stp>
        <tr r="Z11" s="24"/>
      </tp>
      <tp t="e">
        <v>#N/A</v>
        <stp/>
        <stp>BDH|8206215334538089944</stp>
        <tr r="V68" s="24"/>
      </tp>
      <tp t="e">
        <v>#N/A</v>
        <stp/>
        <stp>BDH|9085446323434161353</stp>
        <tr r="T10" s="24"/>
      </tp>
      <tp t="e">
        <v>#N/A</v>
        <stp/>
        <stp>BDH|9974090012250231038</stp>
        <tr r="X14" s="29"/>
        <tr r="X23" s="29"/>
        <tr r="X34" s="29"/>
      </tp>
      <tp t="e">
        <v>#N/A</v>
        <stp/>
        <stp>BDH|8765617402286598024</stp>
        <tr r="N9" s="24"/>
      </tp>
      <tp t="e">
        <v>#N/A</v>
        <stp/>
        <stp>BDH|3821461348782630906</stp>
        <tr r="R50" s="24"/>
      </tp>
      <tp t="e">
        <v>#N/A</v>
        <stp/>
        <stp>BDH|6050097829304772877</stp>
        <tr r="T69" s="18"/>
      </tp>
      <tp t="e">
        <v>#N/A</v>
        <stp/>
        <stp>BDH|4762852134753120471</stp>
        <tr r="Y13" s="17"/>
        <tr r="Y16" s="28"/>
      </tp>
      <tp t="e">
        <v>#N/A</v>
        <stp/>
        <stp>BDH|6667547384504056761</stp>
        <tr r="S35" s="26"/>
      </tp>
      <tp t="e">
        <v>#N/A</v>
        <stp/>
        <stp>BDH|9785349733121089008</stp>
        <tr r="Z20" s="30"/>
      </tp>
      <tp t="e">
        <v>#N/A</v>
        <stp/>
        <stp>BDH|3669847384168235340</stp>
        <tr r="N42" s="34"/>
      </tp>
      <tp t="e">
        <v>#N/A</v>
        <stp/>
        <stp>BDH|9382487379791792353</stp>
        <tr r="L57" s="18"/>
      </tp>
      <tp t="e">
        <v>#N/A</v>
        <stp/>
        <stp>BDH|6334707240089223413</stp>
        <tr r="V18" s="10"/>
        <tr r="X16" s="13"/>
        <tr r="X27" s="13"/>
      </tp>
      <tp t="e">
        <v>#N/A</v>
        <stp/>
        <stp>BDH|8738560533347614144</stp>
        <tr r="L68" s="24"/>
      </tp>
      <tp t="e">
        <v>#N/A</v>
        <stp/>
        <stp>BDH|7205138524364557809</stp>
        <tr r="Z167" s="18"/>
      </tp>
      <tp t="e">
        <v>#N/A</v>
        <stp/>
        <stp>BDH|8346367915305663761</stp>
        <tr r="AA25" s="21"/>
      </tp>
      <tp t="e">
        <v>#N/A</v>
        <stp/>
        <stp>BDH|7475850567040443125</stp>
        <tr r="C15" s="26"/>
      </tp>
      <tp t="e">
        <v>#N/A</v>
        <stp/>
        <stp>BDH|9764280177431149590</stp>
        <tr r="AA70" s="24"/>
      </tp>
      <tp t="e">
        <v>#N/A</v>
        <stp/>
        <stp>BDH|3797884734505988526</stp>
        <tr r="O53" s="24"/>
      </tp>
      <tp t="e">
        <v>#N/A</v>
        <stp/>
        <stp>BDH|7689299974042884830</stp>
        <tr r="AA10" s="13"/>
      </tp>
      <tp t="e">
        <v>#N/A</v>
        <stp/>
        <stp>BDH|2772509282501775624</stp>
        <tr r="P82" s="17"/>
        <tr r="P19" s="3"/>
      </tp>
      <tp t="e">
        <v>#N/A</v>
        <stp/>
        <stp>BDH|3680212676398258634</stp>
        <tr r="F27" s="18"/>
      </tp>
      <tp t="e">
        <v>#N/A</v>
        <stp/>
        <stp>BDH|1091929406707251769</stp>
        <tr r="C160" s="18"/>
      </tp>
      <tp t="e">
        <v>#N/A</v>
        <stp/>
        <stp>BDH|8526845521792833888</stp>
        <tr r="H44" s="17"/>
      </tp>
      <tp t="e">
        <v>#N/A</v>
        <stp/>
        <stp>BDH|1202973391190791931</stp>
        <tr r="O29" s="17"/>
      </tp>
      <tp t="e">
        <v>#N/A</v>
        <stp/>
        <stp>BDH|5123337012208684762</stp>
        <tr r="D13" s="21"/>
      </tp>
      <tp t="e">
        <v>#N/A</v>
        <stp/>
        <stp>BDH|7711457232648558059</stp>
        <tr r="L153" s="18"/>
      </tp>
      <tp t="e">
        <v>#N/A</v>
        <stp/>
        <stp>BDH|2392711100608124533</stp>
        <tr r="U18" s="2"/>
        <tr r="U53" s="4"/>
        <tr r="U45" s="10"/>
        <tr r="U39" s="11"/>
        <tr r="W46" s="13"/>
      </tp>
      <tp t="e">
        <v>#N/A</v>
        <stp/>
        <stp>BDH|3018445499634588285</stp>
        <tr r="C90" s="18"/>
      </tp>
      <tp t="e">
        <v>#N/A</v>
        <stp/>
        <stp>BDH|8323653639934620194</stp>
        <tr r="N15" s="25"/>
      </tp>
      <tp t="e">
        <v>#N/A</v>
        <stp/>
        <stp>BDH|9597400565904407751</stp>
        <tr r="L13" s="29"/>
        <tr r="L22" s="29"/>
        <tr r="L33" s="29"/>
      </tp>
      <tp t="e">
        <v>#N/A</v>
        <stp/>
        <stp>BDH|3032561005348650645</stp>
        <tr r="M10" s="11"/>
      </tp>
      <tp t="e">
        <v>#N/A</v>
        <stp/>
        <stp>BDH|1727965897560411932</stp>
        <tr r="P8" s="21"/>
      </tp>
      <tp t="e">
        <v>#N/A</v>
        <stp/>
        <stp>BDH|9148402664324745730</stp>
        <tr r="E22" s="10"/>
      </tp>
      <tp t="e">
        <v>#N/A</v>
        <stp/>
        <stp>BDH|4614874827465279356</stp>
        <tr r="W25" s="21"/>
      </tp>
      <tp t="e">
        <v>#N/A</v>
        <stp/>
        <stp>BDH|5664835075291370326</stp>
        <tr r="H10" s="17"/>
      </tp>
      <tp t="e">
        <v>#N/A</v>
        <stp/>
        <stp>BDH|7769250692656617271</stp>
        <tr r="W24" s="21"/>
      </tp>
      <tp t="e">
        <v>#N/A</v>
        <stp/>
        <stp>BDH|5586367397723125449</stp>
        <tr r="R6" s="2"/>
        <tr r="Q6" s="5"/>
        <tr r="Q6" s="9"/>
        <tr r="S12" s="8"/>
        <tr r="T10" s="29"/>
        <tr r="T19" s="29"/>
        <tr r="T25" s="29"/>
      </tp>
      <tp t="e">
        <v>#N/A</v>
        <stp/>
        <stp>BDH|8242732057741258357</stp>
        <tr r="M18" s="9"/>
      </tp>
      <tp t="e">
        <v>#N/A</v>
        <stp/>
        <stp>BDH|8857695769987920708</stp>
        <tr r="D59" s="12"/>
      </tp>
      <tp t="e">
        <v>#N/A</v>
        <stp/>
        <stp>BDH|2839277065159246792</stp>
        <tr r="J15" s="26"/>
      </tp>
      <tp t="e">
        <v>#N/A</v>
        <stp/>
        <stp>BDH|6066142963018759113</stp>
        <tr r="E91" s="17"/>
      </tp>
      <tp t="e">
        <v>#N/A</v>
        <stp/>
        <stp>BDH|4689643873074086901</stp>
        <tr r="U12" s="13"/>
      </tp>
      <tp t="e">
        <v>#N/A</v>
        <stp/>
        <stp>BDH|3209413691042230412</stp>
        <tr r="O134" s="18"/>
      </tp>
      <tp t="e">
        <v>#N/A</v>
        <stp/>
        <stp>BDH|5798694223261485882</stp>
        <tr r="K32" s="10"/>
        <tr r="K26" s="11"/>
      </tp>
      <tp t="e">
        <v>#N/A</v>
        <stp/>
        <stp>BDH|6536481334619996019</stp>
        <tr r="M72" s="18"/>
      </tp>
      <tp t="e">
        <v>#N/A</v>
        <stp/>
        <stp>BDH|1574580398400344573</stp>
        <tr r="P13" s="5"/>
      </tp>
      <tp t="e">
        <v>#N/A</v>
        <stp/>
        <stp>BDH|5575300766688078021</stp>
        <tr r="N21" s="5"/>
      </tp>
      <tp t="e">
        <v>#N/A</v>
        <stp/>
        <stp>BDH|7011790701311848911</stp>
        <tr r="R30" s="21"/>
      </tp>
      <tp t="e">
        <v>#N/A</v>
        <stp/>
        <stp>BDH|8845214349752667477</stp>
        <tr r="L9" s="29"/>
      </tp>
      <tp t="e">
        <v>#N/A</v>
        <stp/>
        <stp>BDH|6338446781550775201</stp>
        <tr r="I7" s="24"/>
      </tp>
      <tp t="e">
        <v>#N/A</v>
        <stp/>
        <stp>BDH|2001006916429570223</stp>
        <tr r="F20" s="29"/>
      </tp>
      <tp t="e">
        <v>#N/A</v>
        <stp/>
        <stp>BDH|3605971719571883215</stp>
        <tr r="D15" s="13"/>
      </tp>
      <tp t="e">
        <v>#N/A</v>
        <stp/>
        <stp>BDH|1730013587159197813</stp>
        <tr r="F25" s="18"/>
      </tp>
      <tp t="e">
        <v>#N/A</v>
        <stp/>
        <stp>BDH|9772323555524097313</stp>
        <tr r="F36" s="34"/>
      </tp>
      <tp t="e">
        <v>#N/A</v>
        <stp/>
        <stp>BDH|5100378286284705261</stp>
        <tr r="W52" s="4"/>
        <tr r="Y8" s="3"/>
        <tr r="W43" s="10"/>
        <tr r="W37" s="11"/>
        <tr r="Y38" s="13"/>
      </tp>
      <tp t="e">
        <v>#N/A</v>
        <stp/>
        <stp>BDH|9698961634743053851</stp>
        <tr r="R16" s="24"/>
      </tp>
      <tp t="e">
        <v>#N/A</v>
        <stp/>
        <stp>BDH|4776627954947160814</stp>
        <tr r="V51" s="12"/>
      </tp>
      <tp t="e">
        <v>#N/A</v>
        <stp/>
        <stp>BDH|5672793585845307781</stp>
        <tr r="E78" s="12"/>
      </tp>
      <tp t="e">
        <v>#N/A</v>
        <stp/>
        <stp>BDH|7882704505671539994</stp>
        <tr r="X40" s="17"/>
      </tp>
      <tp t="e">
        <v>#N/A</v>
        <stp/>
        <stp>BDH|8625033073520709708</stp>
        <tr r="T28" s="4"/>
      </tp>
      <tp t="e">
        <v>#N/A</v>
        <stp/>
        <stp>BDH|5791602483684302761</stp>
        <tr r="F34" s="26"/>
      </tp>
      <tp t="e">
        <v>#N/A</v>
        <stp/>
        <stp>BDH|2013169136069379120</stp>
        <tr r="P37" s="34"/>
      </tp>
      <tp t="e">
        <v>#N/A</v>
        <stp/>
        <stp>BDH|2019533592285881386</stp>
        <tr r="P97" s="18"/>
      </tp>
      <tp t="e">
        <v>#N/A</v>
        <stp/>
        <stp>BDH|8473360700833212010</stp>
        <tr r="T32" s="22"/>
      </tp>
      <tp t="e">
        <v>#N/A</v>
        <stp/>
        <stp>BDH|6945252044620060898</stp>
        <tr r="K124" s="18"/>
      </tp>
      <tp t="e">
        <v>#N/A</v>
        <stp/>
        <stp>BDH|7660681975036894820</stp>
        <tr r="E26" s="34"/>
      </tp>
      <tp t="e">
        <v>#N/A</v>
        <stp/>
        <stp>BDH|6439937594716659837</stp>
        <tr r="R11" s="14"/>
      </tp>
      <tp t="e">
        <v>#N/A</v>
        <stp/>
        <stp>BDH|6046933155586243426</stp>
        <tr r="K23" s="22"/>
      </tp>
      <tp t="e">
        <v>#N/A</v>
        <stp/>
        <stp>BDH|3344286871598953651</stp>
        <tr r="F57" s="17"/>
        <tr r="F10" s="25"/>
      </tp>
      <tp t="e">
        <v>#N/A</v>
        <stp/>
        <stp>BDH|4621731598264234691</stp>
        <tr r="G34" s="17"/>
      </tp>
      <tp t="e">
        <v>#N/A</v>
        <stp/>
        <stp>BDH|7773917142396728452</stp>
        <tr r="D11" s="21"/>
      </tp>
      <tp t="e">
        <v>#N/A</v>
        <stp/>
        <stp>BDH|6465436630899125009</stp>
        <tr r="T18" s="12"/>
      </tp>
      <tp t="e">
        <v>#N/A</v>
        <stp/>
        <stp>BDH|9007425367032612156</stp>
        <tr r="U13" s="22"/>
      </tp>
      <tp t="e">
        <v>#N/A</v>
        <stp/>
        <stp>BDH|6273253290224105102</stp>
        <tr r="Z71" s="12"/>
      </tp>
      <tp t="e">
        <v>#N/A</v>
        <stp/>
        <stp>BDH|2794944971476187256</stp>
        <tr r="D53" s="18"/>
      </tp>
      <tp t="e">
        <v>#N/A</v>
        <stp/>
        <stp>BDH|4152806821557734112</stp>
        <tr r="N8" s="4"/>
      </tp>
      <tp t="e">
        <v>#N/A</v>
        <stp/>
        <stp>BDH|5705965830336215150</stp>
        <tr r="J30" s="34"/>
      </tp>
      <tp t="e">
        <v>#N/A</v>
        <stp/>
        <stp>BDH|2524532893192755442</stp>
        <tr r="N22" s="18"/>
      </tp>
      <tp t="e">
        <v>#N/A</v>
        <stp/>
        <stp>BDH|1034411053938788035</stp>
        <tr r="T29" s="5"/>
      </tp>
      <tp t="e">
        <v>#N/A</v>
        <stp/>
        <stp>BDH|8322883927772325892</stp>
        <tr r="L96" s="18"/>
      </tp>
      <tp t="e">
        <v>#N/A</v>
        <stp/>
        <stp>BDH|8558115343253599642</stp>
        <tr r="O19" s="14"/>
      </tp>
      <tp t="e">
        <v>#N/A</v>
        <stp/>
        <stp>BDH|8288446994369346470</stp>
        <tr r="Y16" s="20"/>
      </tp>
      <tp t="e">
        <v>#N/A</v>
        <stp/>
        <stp>BDH|3370254898984039480</stp>
        <tr r="M23" s="21"/>
      </tp>
      <tp t="e">
        <v>#N/A</v>
        <stp/>
        <stp>BDH|1202959789800094880</stp>
        <tr r="E22" s="9"/>
      </tp>
      <tp t="e">
        <v>#N/A</v>
        <stp/>
        <stp>BDH|5858076422389989620</stp>
        <tr r="H34" s="34"/>
      </tp>
      <tp t="e">
        <v>#N/A</v>
        <stp/>
        <stp>BDH|3506272265938172707</stp>
        <tr r="U68" s="10"/>
      </tp>
      <tp t="e">
        <v>#N/A</v>
        <stp/>
        <stp>BDH|3926153768768296404</stp>
        <tr r="H15" s="18"/>
      </tp>
      <tp t="e">
        <v>#N/A</v>
        <stp/>
        <stp>BDH|2448276286197315708</stp>
        <tr r="M36" s="4"/>
      </tp>
      <tp t="e">
        <v>#N/A</v>
        <stp/>
        <stp>BDH|8733009505608509816</stp>
        <tr r="R109" s="18"/>
        <tr r="P9" s="20"/>
      </tp>
      <tp t="e">
        <v>#N/A</v>
        <stp/>
        <stp>BDH|5666960053229515809</stp>
        <tr r="N51" s="18"/>
      </tp>
      <tp t="e">
        <v>#N/A</v>
        <stp/>
        <stp>BDH|7595944651207756414</stp>
        <tr r="I87" s="18"/>
      </tp>
      <tp t="e">
        <v>#N/A</v>
        <stp/>
        <stp>BDH|7701769320039201357</stp>
        <tr r="W21" s="17"/>
      </tp>
      <tp t="e">
        <v>#N/A</v>
        <stp/>
        <stp>BDH|8854674369775998591</stp>
        <tr r="D107" s="18"/>
      </tp>
      <tp t="e">
        <v>#N/A</v>
        <stp/>
        <stp>BDH|4545776842149656617</stp>
        <tr r="C20" s="10"/>
      </tp>
      <tp t="e">
        <v>#N/A</v>
        <stp/>
        <stp>BDH|7437740759159966474</stp>
        <tr r="T150" s="18"/>
      </tp>
      <tp t="e">
        <v>#N/A</v>
        <stp/>
        <stp>BDH|9645080529264468740</stp>
        <tr r="R10" s="6"/>
      </tp>
      <tp t="e">
        <v>#N/A</v>
        <stp/>
        <stp>BDH|6089921135043615768</stp>
        <tr r="U41" s="24"/>
      </tp>
      <tp t="e">
        <v>#N/A</v>
        <stp/>
        <stp>BDH|8937782812003296568</stp>
        <tr r="K88" s="17"/>
      </tp>
      <tp t="e">
        <v>#N/A</v>
        <stp/>
        <stp>BDH|4566883319650341504</stp>
        <tr r="O23" s="17"/>
        <tr r="O15" s="3"/>
      </tp>
      <tp t="e">
        <v>#N/A</v>
        <stp/>
        <stp>BDH|9156493549413291248</stp>
        <tr r="AA18" s="12"/>
      </tp>
      <tp t="e">
        <v>#N/A</v>
        <stp/>
        <stp>BDH|2369691899194514114</stp>
        <tr r="M168" s="18"/>
      </tp>
      <tp t="e">
        <v>#N/A</v>
        <stp/>
        <stp>BDH|6092168717428229644</stp>
        <tr r="K45" s="21"/>
      </tp>
      <tp t="e">
        <v>#N/A</v>
        <stp/>
        <stp>BDH|1968061492563262387</stp>
        <tr r="O12" s="21"/>
      </tp>
      <tp t="e">
        <v>#N/A</v>
        <stp/>
        <stp>BDH|6979694782469200974</stp>
        <tr r="O69" s="10"/>
        <tr r="O63" s="11"/>
        <tr r="O20" s="7"/>
      </tp>
      <tp t="e">
        <v>#N/A</v>
        <stp/>
        <stp>BDH|8211837438328903377</stp>
        <tr r="J28" s="4"/>
      </tp>
      <tp t="e">
        <v>#N/A</v>
        <stp/>
        <stp>BDH|8279751933494490079</stp>
        <tr r="J64" s="24"/>
      </tp>
      <tp t="e">
        <v>#N/A</v>
        <stp/>
        <stp>BDH|9250968303901177917</stp>
        <tr r="R24" s="22"/>
      </tp>
      <tp t="e">
        <v>#N/A</v>
        <stp/>
        <stp>BDH|1773566895782266714</stp>
        <tr r="J42" s="10"/>
        <tr r="J36" s="11"/>
      </tp>
      <tp t="e">
        <v>#N/A</v>
        <stp/>
        <stp>BDH|6627913040314431745</stp>
        <tr r="F157" s="18"/>
      </tp>
      <tp t="e">
        <v>#N/A</v>
        <stp/>
        <stp>BDH|8290203023082774219</stp>
        <tr r="U50" s="12"/>
      </tp>
      <tp t="e">
        <v>#N/A</v>
        <stp/>
        <stp>BDH|5358310734148391529</stp>
        <tr r="R26" s="6"/>
      </tp>
      <tp t="e">
        <v>#N/A</v>
        <stp/>
        <stp>BDH|4559291097143819443</stp>
        <tr r="K35" s="12"/>
      </tp>
      <tp t="e">
        <v>#N/A</v>
        <stp/>
        <stp>BDH|3743073853316329871</stp>
        <tr r="U29" s="21"/>
      </tp>
      <tp t="e">
        <v>#N/A</v>
        <stp/>
        <stp>BDH|8950063408074530452</stp>
        <tr r="R41" s="10"/>
        <tr r="R35" s="11"/>
      </tp>
      <tp t="e">
        <v>#N/A</v>
        <stp/>
        <stp>BDH|2060518506019280620</stp>
        <tr r="O12" s="6"/>
      </tp>
      <tp t="e">
        <v>#N/A</v>
        <stp/>
        <stp>BDH|2277436396707518051</stp>
        <tr r="K32" s="17"/>
      </tp>
      <tp t="e">
        <v>#N/A</v>
        <stp/>
        <stp>BDH|5121525541799101546</stp>
        <tr r="C31" s="22"/>
      </tp>
      <tp t="e">
        <v>#N/A</v>
        <stp/>
        <stp>BDH|9059276851776628070</stp>
        <tr r="P50" s="12"/>
      </tp>
      <tp t="e">
        <v>#N/A</v>
        <stp/>
        <stp>BDH|4577971646435432478</stp>
        <tr r="G17" s="10"/>
      </tp>
      <tp t="e">
        <v>#N/A</v>
        <stp/>
        <stp>BDH|7377328055761659854</stp>
        <tr r="H60" s="11"/>
        <tr r="J15" s="23"/>
      </tp>
      <tp t="e">
        <v>#N/A</v>
        <stp/>
        <stp>BDH|2867857407753483195</stp>
        <tr r="Z23" s="21"/>
      </tp>
      <tp t="e">
        <v>#N/A</v>
        <stp/>
        <stp>BDH|3657068896274948680</stp>
        <tr r="X25" s="10"/>
      </tp>
      <tp t="e">
        <v>#N/A</v>
        <stp/>
        <stp>BDH|1493618532928175412</stp>
        <tr r="O9" s="3"/>
        <tr r="M50" s="10"/>
        <tr r="M44" s="11"/>
        <tr r="M14" s="7"/>
      </tp>
      <tp t="e">
        <v>#N/A</v>
        <stp/>
        <stp>BDH|5827031506884240982</stp>
        <tr r="AA99" s="18"/>
      </tp>
      <tp t="e">
        <v>#N/A</v>
        <stp/>
        <stp>BDH|6724834290089485672</stp>
        <tr r="O15" s="22"/>
      </tp>
      <tp t="e">
        <v>#N/A</v>
        <stp/>
        <stp>BDH|9288768176184787527</stp>
        <tr r="X98" s="18"/>
      </tp>
      <tp t="e">
        <v>#N/A</v>
        <stp/>
        <stp>BDH|7039568913042444961</stp>
        <tr r="U27" s="5"/>
        <tr r="U27" s="9"/>
      </tp>
      <tp t="e">
        <v>#N/A</v>
        <stp/>
        <stp>BDH|6230908472021055170</stp>
        <tr r="V42" s="24"/>
      </tp>
      <tp t="e">
        <v>#N/A</v>
        <stp/>
        <stp>BDH|1717729622654828882</stp>
        <tr r="E154" s="18"/>
      </tp>
      <tp t="e">
        <v>#N/A</v>
        <stp/>
        <stp>BDH|1296902214913222201</stp>
        <tr r="K24" s="18"/>
      </tp>
      <tp t="e">
        <v>#N/A</v>
        <stp/>
        <stp>BDH|1927896804088447941</stp>
        <tr r="I18" s="12"/>
      </tp>
      <tp t="e">
        <v>#N/A</v>
        <stp/>
        <stp>BDH|8185006577823313416</stp>
        <tr r="W30" s="22"/>
      </tp>
      <tp t="e">
        <v>#N/A</v>
        <stp/>
        <stp>BDH|3344821215580354234</stp>
        <tr r="I41" s="13"/>
      </tp>
      <tp t="e">
        <v>#N/A</v>
        <stp/>
        <stp>BDH|7632224576638335252</stp>
        <tr r="V74" s="18"/>
      </tp>
      <tp t="e">
        <v>#N/A</v>
        <stp/>
        <stp>BDH|9722559234102382512</stp>
        <tr r="M25" s="10"/>
      </tp>
      <tp t="e">
        <v>#N/A</v>
        <stp/>
        <stp>BDH|4445912946967566629</stp>
        <tr r="G22" s="7"/>
      </tp>
      <tp t="e">
        <v>#N/A</v>
        <stp/>
        <stp>BDH|8184502916687548368</stp>
        <tr r="H32" s="6"/>
        <tr r="J6" s="8"/>
      </tp>
      <tp t="e">
        <v>#N/A</v>
        <stp/>
        <stp>BDH|3954423498984367249</stp>
        <tr r="Y62" s="17"/>
      </tp>
      <tp t="e">
        <v>#N/A</v>
        <stp/>
        <stp>BDH|3363418484681484660</stp>
        <tr r="U13" s="14"/>
      </tp>
      <tp t="e">
        <v>#N/A</v>
        <stp/>
        <stp>BDH|2071303123138346342</stp>
        <tr r="S17" s="22"/>
      </tp>
      <tp t="e">
        <v>#N/A</v>
        <stp/>
        <stp>BDH|5129904224706414053</stp>
        <tr r="Q17" s="12"/>
      </tp>
      <tp t="e">
        <v>#N/A</v>
        <stp/>
        <stp>BDH|7120149430945381828</stp>
        <tr r="O38" s="6"/>
      </tp>
      <tp t="e">
        <v>#N/A</v>
        <stp/>
        <stp>BDH|6722909045946345554</stp>
        <tr r="K22" s="21"/>
      </tp>
      <tp t="e">
        <v>#N/A</v>
        <stp/>
        <stp>BDH|2412895348682345424</stp>
        <tr r="V24" s="25"/>
        <tr r="V14" s="27"/>
      </tp>
      <tp t="e">
        <v>#N/A</v>
        <stp/>
        <stp>BDH|8318763282078197729</stp>
        <tr r="N28" s="9"/>
      </tp>
      <tp t="e">
        <v>#N/A</v>
        <stp/>
        <stp>BDH|5560262896870596640</stp>
        <tr r="G9" s="21"/>
      </tp>
      <tp t="e">
        <v>#N/A</v>
        <stp/>
        <stp>BDH|8665221905147220570</stp>
        <tr r="G17" s="5"/>
        <tr r="G24" s="6"/>
      </tp>
      <tp t="e">
        <v>#N/A</v>
        <stp/>
        <stp>BDH|8603463131100108745</stp>
        <tr r="J56" s="18"/>
      </tp>
      <tp t="e">
        <v>#N/A</v>
        <stp/>
        <stp>BDH|6904564101652324996</stp>
        <tr r="N16" s="26"/>
      </tp>
      <tp t="e">
        <v>#N/A</v>
        <stp/>
        <stp>BDH|4651507683028256931</stp>
        <tr r="Z67" s="24"/>
      </tp>
      <tp t="e">
        <v>#N/A</v>
        <stp/>
        <stp>BDH|2103973842531984698</stp>
        <tr r="L29" s="24"/>
      </tp>
      <tp t="e">
        <v>#N/A</v>
        <stp/>
        <stp>BDH|2215459792410457750</stp>
        <tr r="H52" s="17"/>
      </tp>
      <tp t="e">
        <v>#N/A</v>
        <stp/>
        <stp>BDH|9212652610850420670</stp>
        <tr r="C26" s="25"/>
        <tr r="C16" s="27"/>
      </tp>
      <tp t="e">
        <v>#N/A</v>
        <stp/>
        <stp>BDH|8549626177885332470</stp>
        <tr r="W49" s="4"/>
      </tp>
      <tp t="e">
        <v>#N/A</v>
        <stp/>
        <stp>BDH|6565835905922473434</stp>
        <tr r="J60" s="21"/>
      </tp>
      <tp t="e">
        <v>#N/A</v>
        <stp/>
        <stp>BDH|9639044559805957162</stp>
        <tr r="U30" s="22"/>
      </tp>
      <tp t="e">
        <v>#N/A</v>
        <stp/>
        <stp>BDH|1016929722300145252</stp>
        <tr r="X24" s="18"/>
      </tp>
      <tp t="e">
        <v>#N/A</v>
        <stp/>
        <stp>BDH|4076515460248555708</stp>
        <tr r="E44" s="18"/>
      </tp>
      <tp t="e">
        <v>#N/A</v>
        <stp/>
        <stp>BDH|9499497310740000494</stp>
        <tr r="C50" s="21"/>
      </tp>
      <tp t="e">
        <v>#N/A</v>
        <stp/>
        <stp>BDH|1982284905349100212</stp>
        <tr r="D24" s="29"/>
      </tp>
      <tp t="e">
        <v>#N/A</v>
        <stp/>
        <stp>BDH|3168361157438162558</stp>
        <tr r="W63" s="12"/>
      </tp>
      <tp t="e">
        <v>#N/A</v>
        <stp/>
        <stp>BDH|6261435724698492050</stp>
        <tr r="O164" s="18"/>
      </tp>
      <tp t="e">
        <v>#N/A</v>
        <stp/>
        <stp>BDH|9981394079913498690</stp>
        <tr r="L16" s="30"/>
      </tp>
      <tp t="e">
        <v>#N/A</v>
        <stp/>
        <stp>BDH|2749636494485280061</stp>
        <tr r="Q9" s="10"/>
      </tp>
      <tp t="e">
        <v>#N/A</v>
        <stp/>
        <stp>BDH|4405005126949176774</stp>
        <tr r="R62" s="10"/>
      </tp>
      <tp t="e">
        <v>#N/A</v>
        <stp/>
        <stp>BDH|7704389282964883017</stp>
        <tr r="D62" s="10"/>
      </tp>
      <tp t="e">
        <v>#N/A</v>
        <stp/>
        <stp>BDH|4731864265274829688</stp>
        <tr r="U79" s="12"/>
      </tp>
      <tp t="e">
        <v>#N/A</v>
        <stp/>
        <stp>BDH|7774816000585187233</stp>
        <tr r="O18" s="10"/>
        <tr r="Q16" s="13"/>
        <tr r="Q27" s="13"/>
      </tp>
      <tp t="e">
        <v>#N/A</v>
        <stp/>
        <stp>BDH|8593012852224578170</stp>
        <tr r="H13" s="11"/>
      </tp>
      <tp t="e">
        <v>#N/A</v>
        <stp/>
        <stp>BDH|1632355186230293233</stp>
        <tr r="F13" s="6"/>
      </tp>
      <tp t="e">
        <v>#N/A</v>
        <stp/>
        <stp>BDH|8812569847846580786</stp>
        <tr r="S22" s="25"/>
        <tr r="S12" s="27"/>
      </tp>
      <tp t="e">
        <v>#N/A</v>
        <stp/>
        <stp>BDH|8060611751557701423</stp>
        <tr r="F55" s="13"/>
      </tp>
      <tp t="e">
        <v>#N/A</v>
        <stp/>
        <stp>BDH|8002575344849655808</stp>
        <tr r="M73" s="18"/>
      </tp>
      <tp t="e">
        <v>#N/A</v>
        <stp/>
        <stp>BDH|7011238589864648195</stp>
        <tr r="D17" s="12"/>
      </tp>
      <tp t="e">
        <v>#N/A</v>
        <stp/>
        <stp>BDH|9547910041288614464</stp>
        <tr r="W87" s="18"/>
      </tp>
      <tp t="e">
        <v>#N/A</v>
        <stp/>
        <stp>BDH|9668537987665711904</stp>
        <tr r="S10" s="4"/>
        <tr r="R6" s="16"/>
        <tr r="U6" s="3"/>
        <tr r="S6" s="11"/>
      </tp>
      <tp t="e">
        <v>#N/A</v>
        <stp/>
        <stp>BDH|9760323631282832396</stp>
        <tr r="C10" s="24"/>
      </tp>
      <tp t="e">
        <v>#N/A</v>
        <stp/>
        <stp>BDH|8267338621986208772</stp>
        <tr r="M134" s="18"/>
      </tp>
      <tp t="e">
        <v>#N/A</v>
        <stp/>
        <stp>BDH|9934571721752200481</stp>
        <tr r="Y38" s="22"/>
      </tp>
      <tp t="e">
        <v>#N/A</v>
        <stp/>
        <stp>BDH|6353254731037225807</stp>
        <tr r="S68" s="10"/>
      </tp>
      <tp t="e">
        <v>#N/A</v>
        <stp/>
        <stp>BDH|2503769084203279608</stp>
        <tr r="M133" s="18"/>
      </tp>
      <tp t="e">
        <v>#N/A</v>
        <stp/>
        <stp>BDH|4301160166019244243</stp>
        <tr r="I37" s="12"/>
      </tp>
      <tp t="e">
        <v>#N/A</v>
        <stp/>
        <stp>BDH|4719168022528280743</stp>
        <tr r="E17" s="20"/>
      </tp>
      <tp t="e">
        <v>#N/A</v>
        <stp/>
        <stp>BDH|1957434299157467320</stp>
        <tr r="S10" s="18"/>
      </tp>
      <tp t="e">
        <v>#N/A</v>
        <stp/>
        <stp>BDH|1250660000497758862</stp>
        <tr r="AA62" s="12"/>
      </tp>
      <tp t="e">
        <v>#N/A</v>
        <stp/>
        <stp>BDH|7975080120388763534</stp>
        <tr r="K16" s="22"/>
      </tp>
      <tp t="e">
        <v>#N/A</v>
        <stp/>
        <stp>BDH|9844675179439447978</stp>
        <tr r="U30" s="29"/>
        <tr r="U8" s="29"/>
      </tp>
      <tp t="e">
        <v>#N/A</v>
        <stp/>
        <stp>BDH|1699265447508721752</stp>
        <tr r="H70" s="17"/>
      </tp>
      <tp t="e">
        <v>#N/A</v>
        <stp/>
        <stp>BDH|2585869926040390031</stp>
        <tr r="U30" s="26"/>
      </tp>
      <tp t="e">
        <v>#N/A</v>
        <stp/>
        <stp>BDH|1408139473578067712</stp>
        <tr r="R80" s="17"/>
      </tp>
      <tp t="e">
        <v>#N/A</v>
        <stp/>
        <stp>BDH|8852098945480498458</stp>
        <tr r="O37" s="22"/>
      </tp>
      <tp t="e">
        <v>#N/A</v>
        <stp/>
        <stp>BDH|5397877846296740703</stp>
        <tr r="F42" s="34"/>
      </tp>
      <tp t="e">
        <v>#N/A</v>
        <stp/>
        <stp>BDH|3492573160619125175</stp>
        <tr r="O27" s="7"/>
      </tp>
      <tp t="e">
        <v>#N/A</v>
        <stp/>
        <stp>BDH|6472949357477162536</stp>
        <tr r="W7" s="10"/>
      </tp>
      <tp t="e">
        <v>#N/A</v>
        <stp/>
        <stp>BDH|8177694668659191941</stp>
        <tr r="T29" s="21"/>
      </tp>
      <tp t="e">
        <v>#N/A</v>
        <stp/>
        <stp>BDH|7607160482347381146</stp>
        <tr r="C18" s="20"/>
      </tp>
      <tp t="e">
        <v>#N/A</v>
        <stp/>
        <stp>BDH|9358764611211265638</stp>
        <tr r="O41" s="13"/>
      </tp>
      <tp t="e">
        <v>#N/A</v>
        <stp/>
        <stp>BDH|3292494251473872972</stp>
        <tr r="F26" s="34"/>
      </tp>
      <tp t="e">
        <v>#N/A</v>
        <stp/>
        <stp>BDH|7887384765508046201</stp>
        <tr r="R45" s="21"/>
      </tp>
      <tp t="e">
        <v>#N/A</v>
        <stp/>
        <stp>BDH|7529007789323999400</stp>
        <tr r="AA8" s="21"/>
      </tp>
      <tp t="e">
        <v>#N/A</v>
        <stp/>
        <stp>BDH|7800525993930925350</stp>
        <tr r="C58" s="17"/>
      </tp>
      <tp t="e">
        <v>#N/A</v>
        <stp/>
        <stp>BDH|51964582782336613</stp>
        <tr r="L10" s="28"/>
      </tp>
      <tp t="e">
        <v>#N/A</v>
        <stp/>
        <stp>BDH|86017751943160363</stp>
        <tr r="G25" s="10"/>
      </tp>
      <tp t="e">
        <v>#N/A</v>
        <stp/>
        <stp>BDH|84034951728325858</stp>
        <tr r="M19" s="25"/>
        <tr r="K21" s="11"/>
      </tp>
      <tp t="e">
        <v>#N/A</v>
        <stp/>
        <stp>BDH|28622940303171494</stp>
        <tr r="R63" s="10"/>
      </tp>
      <tp t="e">
        <v>#N/A</v>
        <stp/>
        <stp>BDH|86881617785228961</stp>
        <tr r="AA55" s="13"/>
      </tp>
      <tp t="e">
        <v>#N/A</v>
        <stp/>
        <stp>BDH|26493614093615301</stp>
        <tr r="L17" s="12"/>
      </tp>
      <tp t="e">
        <v>#N/A</v>
        <stp/>
        <stp>BDH|51127049641798143</stp>
        <tr r="O48" s="12"/>
      </tp>
      <tp t="e">
        <v>#N/A</v>
        <stp/>
        <stp>BDH|57379777232812310</stp>
        <tr r="G114" s="18"/>
      </tp>
      <tp t="e">
        <v>#N/A</v>
        <stp/>
        <stp>BDH|5575985800794260152</stp>
        <tr r="N26" s="29"/>
      </tp>
      <tp t="e">
        <v>#N/A</v>
        <stp/>
        <stp>BDH|4199828920546917104</stp>
        <tr r="U63" s="10"/>
      </tp>
      <tp t="e">
        <v>#N/A</v>
        <stp/>
        <stp>BDH|1973050557764715961</stp>
        <tr r="V12" s="24"/>
      </tp>
      <tp t="e">
        <v>#N/A</v>
        <stp/>
        <stp>BDH|6523194893405416213</stp>
        <tr r="O60" s="11"/>
        <tr r="Q15" s="23"/>
      </tp>
      <tp t="e">
        <v>#N/A</v>
        <stp/>
        <stp>BDH|1130277694462839103</stp>
        <tr r="H138" s="18"/>
      </tp>
      <tp t="e">
        <v>#N/A</v>
        <stp/>
        <stp>BDH|8440791170454165564</stp>
        <tr r="P31" s="24"/>
      </tp>
      <tp t="e">
        <v>#N/A</v>
        <stp/>
        <stp>BDH|3760658721688031698</stp>
        <tr r="P50" s="18"/>
      </tp>
      <tp t="e">
        <v>#N/A</v>
        <stp/>
        <stp>BDH|9221090630300218332</stp>
        <tr r="W10" s="2"/>
        <tr r="V11" s="5"/>
        <tr r="V36" s="6"/>
        <tr r="Y31" s="29"/>
        <tr r="Y39" s="29"/>
      </tp>
      <tp t="e">
        <v>#N/A</v>
        <stp/>
        <stp>BDH|5458475681327157794</stp>
        <tr r="Z54" s="12"/>
      </tp>
      <tp t="e">
        <v>#N/A</v>
        <stp/>
        <stp>BDH|9036010917080860140</stp>
        <tr r="Y12" s="10"/>
      </tp>
      <tp t="e">
        <v>#N/A</v>
        <stp/>
        <stp>BDH|6979042806807324828</stp>
        <tr r="O23" s="22"/>
      </tp>
      <tp t="e">
        <v>#N/A</v>
        <stp/>
        <stp>BDH|9695486002564684005</stp>
        <tr r="J25" s="22"/>
      </tp>
      <tp t="e">
        <v>#N/A</v>
        <stp/>
        <stp>BDH|9306584344330062157</stp>
        <tr r="H106" s="18"/>
        <tr r="F6" s="20"/>
      </tp>
      <tp t="e">
        <v>#N/A</v>
        <stp/>
        <stp>BDH|9797404547838931830</stp>
        <tr r="Y117" s="18"/>
      </tp>
      <tp t="e">
        <v>#N/A</v>
        <stp/>
        <stp>BDH|9140773873344998464</stp>
        <tr r="V36" s="18"/>
      </tp>
      <tp t="e">
        <v>#N/A</v>
        <stp/>
        <stp>BDH|9086872460026847857</stp>
        <tr r="D26" s="34"/>
      </tp>
      <tp t="e">
        <v>#N/A</v>
        <stp/>
        <stp>BDH|6172614532379982311</stp>
        <tr r="Q156" s="18"/>
      </tp>
      <tp t="e">
        <v>#N/A</v>
        <stp/>
        <stp>BDH|5806958365526037526</stp>
        <tr r="D158" s="18"/>
      </tp>
      <tp t="e">
        <v>#N/A</v>
        <stp/>
        <stp>BDH|2654009928050234964</stp>
        <tr r="K23" s="12"/>
      </tp>
      <tp t="e">
        <v>#N/A</v>
        <stp/>
        <stp>BDH|6879839804221382669</stp>
        <tr r="V53" s="17"/>
      </tp>
      <tp t="e">
        <v>#N/A</v>
        <stp/>
        <stp>BDH|9747234514290285387</stp>
        <tr r="K160" s="18"/>
      </tp>
      <tp t="e">
        <v>#N/A</v>
        <stp/>
        <stp>BDH|9402484009935664197</stp>
        <tr r="P36" s="18"/>
      </tp>
      <tp t="e">
        <v>#N/A</v>
        <stp/>
        <stp>BDH|8937638231037964381</stp>
        <tr r="T46" s="17"/>
      </tp>
      <tp t="e">
        <v>#N/A</v>
        <stp/>
        <stp>BDH|7803887868752756259</stp>
        <tr r="W36" s="17"/>
      </tp>
      <tp t="e">
        <v>#N/A</v>
        <stp/>
        <stp>BDH|3815493693984800307</stp>
        <tr r="S19" s="25"/>
        <tr r="Q21" s="11"/>
      </tp>
      <tp t="e">
        <v>#N/A</v>
        <stp/>
        <stp>BDH|1678019487263363395</stp>
        <tr r="K12" s="6"/>
      </tp>
      <tp t="e">
        <v>#N/A</v>
        <stp/>
        <stp>BDH|4756446599883470343</stp>
        <tr r="Y17" s="14"/>
      </tp>
      <tp t="e">
        <v>#N/A</v>
        <stp/>
        <stp>BDH|5933029031516652964</stp>
        <tr r="Q85" s="18"/>
      </tp>
      <tp t="e">
        <v>#N/A</v>
        <stp/>
        <stp>BDH|6935964971129011849</stp>
        <tr r="T135" s="18"/>
      </tp>
      <tp t="e">
        <v>#N/A</v>
        <stp/>
        <stp>BDH|5997665003998236248</stp>
        <tr r="L46" s="12"/>
      </tp>
      <tp t="e">
        <v>#N/A</v>
        <stp/>
        <stp>BDH|3083626621229987715</stp>
        <tr r="W55" s="18"/>
      </tp>
      <tp t="e">
        <v>#N/A</v>
        <stp/>
        <stp>BDH|7859589519678187233</stp>
        <tr r="G6" s="27"/>
      </tp>
      <tp t="e">
        <v>#N/A</v>
        <stp/>
        <stp>BDH|9850431079113869012</stp>
        <tr r="E93" s="17"/>
      </tp>
      <tp t="e">
        <v>#N/A</v>
        <stp/>
        <stp>BDH|9441175457776723284</stp>
        <tr r="T21" s="26"/>
      </tp>
      <tp t="e">
        <v>#N/A</v>
        <stp/>
        <stp>BDH|9760216839414368572</stp>
        <tr r="P11" s="17"/>
      </tp>
      <tp t="e">
        <v>#N/A</v>
        <stp/>
        <stp>BDH|9361509714950432486</stp>
        <tr r="S28" s="12"/>
      </tp>
      <tp t="e">
        <v>#N/A</v>
        <stp/>
        <stp>BDH|9993590888984732941</stp>
        <tr r="G19" s="17"/>
      </tp>
      <tp t="e">
        <v>#N/A</v>
        <stp/>
        <stp>BDH|8162124211987092697</stp>
        <tr r="K99" s="18"/>
      </tp>
      <tp t="e">
        <v>#N/A</v>
        <stp/>
        <stp>BDH|1141280692597731476</stp>
        <tr r="W62" s="12"/>
      </tp>
      <tp t="e">
        <v>#N/A</v>
        <stp/>
        <stp>BDH|5771818201813471787</stp>
        <tr r="S53" s="24"/>
      </tp>
      <tp t="e">
        <v>#N/A</v>
        <stp/>
        <stp>BDH|3800320185295031446</stp>
        <tr r="D65" s="21"/>
      </tp>
      <tp t="e">
        <v>#N/A</v>
        <stp/>
        <stp>BDH|4395515891052183393</stp>
        <tr r="H101" s="18"/>
      </tp>
      <tp t="e">
        <v>#N/A</v>
        <stp/>
        <stp>BDH|6057665186607942624</stp>
        <tr r="U62" s="11"/>
      </tp>
      <tp t="e">
        <v>#N/A</v>
        <stp/>
        <stp>BDH|8537303658924363359</stp>
        <tr r="D62" s="24"/>
      </tp>
      <tp t="e">
        <v>#N/A</v>
        <stp/>
        <stp>BDH|9755956213569290189</stp>
        <tr r="R94" s="18"/>
      </tp>
      <tp t="e">
        <v>#N/A</v>
        <stp/>
        <stp>BDH|4027843268652690117</stp>
        <tr r="H61" s="12"/>
      </tp>
      <tp t="e">
        <v>#N/A</v>
        <stp/>
        <stp>BDH|5213864354564899530</stp>
        <tr r="V54" s="13"/>
      </tp>
      <tp t="e">
        <v>#N/A</v>
        <stp/>
        <stp>BDH|6157991391838250701</stp>
        <tr r="Z89" s="17"/>
      </tp>
      <tp t="e">
        <v>#N/A</v>
        <stp/>
        <stp>BDH|5060473059754602939</stp>
        <tr r="F19" s="17"/>
      </tp>
      <tp t="e">
        <v>#N/A</v>
        <stp/>
        <stp>BDH|3035396509531389883</stp>
        <tr r="W24" s="4"/>
        <tr r="W58" s="11"/>
      </tp>
      <tp t="e">
        <v>#N/A</v>
        <stp/>
        <stp>BDH|4217721280175827739</stp>
        <tr r="W29" s="12"/>
      </tp>
      <tp t="e">
        <v>#N/A</v>
        <stp/>
        <stp>BDH|1444284027130380833</stp>
        <tr r="M77" s="12"/>
      </tp>
      <tp t="e">
        <v>#N/A</v>
        <stp/>
        <stp>BDH|7234181904077197841</stp>
        <tr r="S35" s="18"/>
      </tp>
      <tp t="e">
        <v>#N/A</v>
        <stp/>
        <stp>BDH|5294757843689821677</stp>
        <tr r="D13" s="7"/>
      </tp>
      <tp t="e">
        <v>#N/A</v>
        <stp/>
        <stp>BDH|5735968377231934347</stp>
        <tr r="Y45" s="18"/>
      </tp>
      <tp t="e">
        <v>#N/A</v>
        <stp/>
        <stp>BDH|5092970997455892939</stp>
        <tr r="J97" s="17"/>
        <tr r="J7" s="27"/>
      </tp>
      <tp t="e">
        <v>#N/A</v>
        <stp/>
        <stp>BDH|8054315286789995353</stp>
        <tr r="K145" s="18"/>
      </tp>
      <tp t="e">
        <v>#N/A</v>
        <stp/>
        <stp>BDH|9646741070137903708</stp>
        <tr r="Z40" s="21"/>
      </tp>
      <tp t="e">
        <v>#N/A</v>
        <stp/>
        <stp>BDH|8556310019936611502</stp>
        <tr r="E12" s="7"/>
      </tp>
      <tp t="e">
        <v>#N/A</v>
        <stp/>
        <stp>BDH|9166021646265890163</stp>
        <tr r="W70" s="17"/>
      </tp>
      <tp t="e">
        <v>#N/A</v>
        <stp/>
        <stp>BDH|4492632976239932535</stp>
        <tr r="O50" s="21"/>
      </tp>
      <tp t="e">
        <v>#N/A</v>
        <stp/>
        <stp>BDH|9463733502202570581</stp>
        <tr r="G46" s="21"/>
      </tp>
      <tp t="e">
        <v>#N/A</v>
        <stp/>
        <stp>BDH|8048682367711638013</stp>
        <tr r="AA140" s="18"/>
      </tp>
      <tp t="e">
        <v>#N/A</v>
        <stp/>
        <stp>BDH|4051817479444865683</stp>
        <tr r="K26" s="7"/>
      </tp>
      <tp t="e">
        <v>#N/A</v>
        <stp/>
        <stp>BDH|2747331678527466805</stp>
        <tr r="P24" s="24"/>
      </tp>
      <tp t="e">
        <v>#N/A</v>
        <stp/>
        <stp>BDH|4663089595965217114</stp>
        <tr r="G33" s="12"/>
      </tp>
      <tp t="e">
        <v>#N/A</v>
        <stp/>
        <stp>BDH|4486788202948533239</stp>
        <tr r="I48" s="21"/>
      </tp>
      <tp t="e">
        <v>#N/A</v>
        <stp/>
        <stp>BDH|9929653115035177202</stp>
        <tr r="G45" s="24"/>
      </tp>
      <tp t="e">
        <v>#N/A</v>
        <stp/>
        <stp>BDH|1404139464586889933</stp>
        <tr r="J54" s="17"/>
      </tp>
      <tp t="e">
        <v>#N/A</v>
        <stp/>
        <stp>BDH|1072488023828729643</stp>
        <tr r="Q20" s="6"/>
      </tp>
      <tp t="e">
        <v>#N/A</v>
        <stp/>
        <stp>BDH|7016070694015358282</stp>
        <tr r="U7" s="4"/>
      </tp>
      <tp t="e">
        <v>#N/A</v>
        <stp/>
        <stp>BDH|8761043000034993525</stp>
        <tr r="N62" s="10"/>
      </tp>
      <tp t="e">
        <v>#N/A</v>
        <stp/>
        <stp>BDH|1844810721042756079</stp>
        <tr r="E19" s="12"/>
      </tp>
      <tp t="e">
        <v>#N/A</v>
        <stp/>
        <stp>BDH|2410476273851118996</stp>
        <tr r="M11" s="21"/>
      </tp>
      <tp t="e">
        <v>#N/A</v>
        <stp/>
        <stp>BDH|9212536326570939769</stp>
        <tr r="R21" s="9"/>
      </tp>
      <tp t="e">
        <v>#N/A</v>
        <stp/>
        <stp>BDH|5900009827558279640</stp>
        <tr r="D22" s="17"/>
      </tp>
      <tp t="e">
        <v>#N/A</v>
        <stp/>
        <stp>BDH|7895731292508843892</stp>
        <tr r="Z43" s="13"/>
      </tp>
      <tp t="e">
        <v>#N/A</v>
        <stp/>
        <stp>BDH|1048719878851390921</stp>
        <tr r="I13" s="29"/>
        <tr r="I22" s="29"/>
        <tr r="I33" s="29"/>
      </tp>
      <tp t="e">
        <v>#N/A</v>
        <stp/>
        <stp>BDH|9303089732630171305</stp>
        <tr r="W22" s="26"/>
      </tp>
      <tp t="e">
        <v>#N/A</v>
        <stp/>
        <stp>BDH|4998843477054373610</stp>
        <tr r="F139" s="18"/>
      </tp>
      <tp t="e">
        <v>#N/A</v>
        <stp/>
        <stp>BDH|5152828639462742551</stp>
        <tr r="T18" s="17"/>
      </tp>
      <tp t="e">
        <v>#N/A</v>
        <stp/>
        <stp>BDH|7698008131985830877</stp>
        <tr r="K46" s="4"/>
        <tr r="K24" s="10"/>
        <tr r="M35" s="13"/>
      </tp>
      <tp t="e">
        <v>#N/A</v>
        <stp/>
        <stp>BDH|3525726225099803628</stp>
        <tr r="S128" s="18"/>
      </tp>
      <tp t="e">
        <v>#N/A</v>
        <stp/>
        <stp>BDH|8886235664326455335</stp>
        <tr r="O45" s="18"/>
      </tp>
      <tp t="e">
        <v>#N/A</v>
        <stp/>
        <stp>BDH|2569911336512365385</stp>
        <tr r="X24" s="4"/>
        <tr r="X58" s="11"/>
      </tp>
      <tp t="e">
        <v>#N/A</v>
        <stp/>
        <stp>BDH|5638882860560248255</stp>
        <tr r="E10" s="24"/>
      </tp>
      <tp t="e">
        <v>#N/A</v>
        <stp/>
        <stp>BDH|5467112351450561882</stp>
        <tr r="W82" s="18"/>
      </tp>
      <tp t="e">
        <v>#N/A</v>
        <stp/>
        <stp>BDH|3211442747593076986</stp>
        <tr r="P36" s="12"/>
      </tp>
      <tp t="e">
        <v>#N/A</v>
        <stp/>
        <stp>BDH|6793115148852001872</stp>
        <tr r="I70" s="18"/>
      </tp>
      <tp t="e">
        <v>#N/A</v>
        <stp/>
        <stp>BDH|9999654140896690435</stp>
        <tr r="AA42" s="18"/>
      </tp>
      <tp t="e">
        <v>#N/A</v>
        <stp/>
        <stp>BDH|2654590598843756490</stp>
        <tr r="S34" s="6"/>
        <tr r="U10" s="8"/>
      </tp>
      <tp t="e">
        <v>#N/A</v>
        <stp/>
        <stp>BDH|5187885430484095308</stp>
        <tr r="R21" s="4"/>
      </tp>
      <tp t="e">
        <v>#N/A</v>
        <stp/>
        <stp>BDH|3508069793252959105</stp>
        <tr r="X119" s="18"/>
      </tp>
      <tp t="e">
        <v>#N/A</v>
        <stp/>
        <stp>BDH|2997317867059221747</stp>
        <tr r="V33" s="18"/>
      </tp>
      <tp t="e">
        <v>#N/A</v>
        <stp/>
        <stp>BDH|1700768950219158395</stp>
        <tr r="S57" s="11"/>
      </tp>
      <tp t="e">
        <v>#N/A</v>
        <stp/>
        <stp>BDH|2253766498693172648</stp>
        <tr r="E103" s="18"/>
      </tp>
      <tp t="e">
        <v>#N/A</v>
        <stp/>
        <stp>BDH|2150122189951517362</stp>
        <tr r="P62" s="17"/>
      </tp>
      <tp t="e">
        <v>#N/A</v>
        <stp/>
        <stp>BDH|8625291530982717216</stp>
        <tr r="J18" s="20"/>
      </tp>
      <tp t="e">
        <v>#N/A</v>
        <stp/>
        <stp>BDH|7284560329371700834</stp>
        <tr r="R52" s="10"/>
        <tr r="R46" s="11"/>
        <tr r="R16" s="7"/>
      </tp>
      <tp t="e">
        <v>#N/A</v>
        <stp/>
        <stp>BDH|2859704486980625414</stp>
        <tr r="J22" s="24"/>
      </tp>
      <tp t="e">
        <v>#N/A</v>
        <stp/>
        <stp>BDH|2293680448641302881</stp>
        <tr r="D63" s="17"/>
      </tp>
      <tp t="e">
        <v>#N/A</v>
        <stp/>
        <stp>BDH|3915557423328930587</stp>
        <tr r="S52" s="18"/>
      </tp>
      <tp t="e">
        <v>#N/A</v>
        <stp/>
        <stp>BDH|5151305848408120367</stp>
        <tr r="E67" s="10"/>
      </tp>
      <tp t="e">
        <v>#N/A</v>
        <stp/>
        <stp>BDH|4815754965168747410</stp>
        <tr r="I79" s="12"/>
      </tp>
      <tp t="e">
        <v>#N/A</v>
        <stp/>
        <stp>BDH|6075945158677556472</stp>
        <tr r="S110" s="18"/>
        <tr r="Q11" s="20"/>
      </tp>
      <tp t="e">
        <v>#N/A</v>
        <stp/>
        <stp>BDH|1515145599003642303</stp>
        <tr r="T23" s="22"/>
      </tp>
      <tp t="e">
        <v>#N/A</v>
        <stp/>
        <stp>BDH|3128544779288034024</stp>
        <tr r="C47" s="17"/>
      </tp>
      <tp t="e">
        <v>#N/A</v>
        <stp/>
        <stp>BDH|3431514594784875274</stp>
        <tr r="W92" s="17"/>
      </tp>
      <tp t="e">
        <v>#N/A</v>
        <stp/>
        <stp>BDH|3855401830205626807</stp>
        <tr r="J59" s="17"/>
      </tp>
      <tp t="e">
        <v>#N/A</v>
        <stp/>
        <stp>BDH|1551625475768521197</stp>
        <tr r="S15" s="13"/>
      </tp>
      <tp t="e">
        <v>#N/A</v>
        <stp/>
        <stp>BDH|1131180474116641852</stp>
        <tr r="G45" s="21"/>
      </tp>
      <tp t="e">
        <v>#N/A</v>
        <stp/>
        <stp>BDH|9310295138685844442</stp>
        <tr r="H85" s="18"/>
      </tp>
      <tp t="e">
        <v>#N/A</v>
        <stp/>
        <stp>BDH|9531892190634405560</stp>
        <tr r="P101" s="18"/>
      </tp>
      <tp t="e">
        <v>#N/A</v>
        <stp/>
        <stp>BDH|5265113697676328296</stp>
        <tr r="N8" s="27"/>
      </tp>
      <tp t="e">
        <v>#N/A</v>
        <stp/>
        <stp>BDH|5257691887010658247</stp>
        <tr r="X28" s="4"/>
      </tp>
      <tp t="e">
        <v>#N/A</v>
        <stp/>
        <stp>BDH|5191457790361275083</stp>
        <tr r="AA13" s="17"/>
        <tr r="AA16" s="28"/>
      </tp>
      <tp t="e">
        <v>#N/A</v>
        <stp/>
        <stp>BDH|7040378627226767991</stp>
        <tr r="I59" s="21"/>
        <tr r="G56" s="11"/>
      </tp>
      <tp t="e">
        <v>#N/A</v>
        <stp/>
        <stp>BDH|3938185984150299397</stp>
        <tr r="AA42" s="12"/>
      </tp>
      <tp t="e">
        <v>#N/A</v>
        <stp/>
        <stp>BDH|1852059060439108721</stp>
        <tr r="F67" s="12"/>
      </tp>
      <tp t="e">
        <v>#N/A</v>
        <stp/>
        <stp>BDH|8485987135469606213</stp>
        <tr r="Q15" s="17"/>
        <tr r="Q18" s="28"/>
      </tp>
      <tp t="e">
        <v>#N/A</v>
        <stp/>
        <stp>BDH|6643987126822752615</stp>
        <tr r="Q38" s="22"/>
      </tp>
      <tp t="e">
        <v>#N/A</v>
        <stp/>
        <stp>BDH|9544210253552834518</stp>
        <tr r="AA37" s="21"/>
        <tr r="AA24" s="3"/>
      </tp>
      <tp t="e">
        <v>#N/A</v>
        <stp/>
        <stp>BDH|8303443635325587392</stp>
        <tr r="T40" s="17"/>
      </tp>
      <tp t="e">
        <v>#N/A</v>
        <stp/>
        <stp>BDH|3690261975038334781</stp>
        <tr r="U37" s="22"/>
      </tp>
      <tp t="e">
        <v>#N/A</v>
        <stp/>
        <stp>BDH|1390997468144445387</stp>
        <tr r="T13" s="11"/>
      </tp>
      <tp t="e">
        <v>#N/A</v>
        <stp/>
        <stp>BDH|1460441669782050879</stp>
        <tr r="G116" s="18"/>
      </tp>
      <tp t="e">
        <v>#N/A</v>
        <stp/>
        <stp>BDH|4012916006992022690</stp>
        <tr r="Z68" s="17"/>
      </tp>
      <tp t="e">
        <v>#N/A</v>
        <stp/>
        <stp>BDH|4625556958499663439</stp>
        <tr r="S21" s="5"/>
      </tp>
      <tp t="e">
        <v>#N/A</v>
        <stp/>
        <stp>BDH|9924376630150135019</stp>
        <tr r="C44" s="13"/>
      </tp>
      <tp t="e">
        <v>#N/A</v>
        <stp/>
        <stp>BDH|1102790981750281750</stp>
        <tr r="N33" s="34"/>
      </tp>
      <tp t="e">
        <v>#N/A</v>
        <stp/>
        <stp>BDH|2163698077672365820</stp>
        <tr r="M28" s="25"/>
        <tr r="M18" s="27"/>
      </tp>
      <tp t="e">
        <v>#N/A</v>
        <stp/>
        <stp>BDH|6086956754181658294</stp>
        <tr r="O54" s="24"/>
      </tp>
      <tp t="e">
        <v>#N/A</v>
        <stp/>
        <stp>BDH|8807023611571548112</stp>
        <tr r="J17" s="14"/>
      </tp>
      <tp t="e">
        <v>#N/A</v>
        <stp/>
        <stp>BDH|9936633763089746914</stp>
        <tr r="E25" s="34"/>
      </tp>
      <tp t="e">
        <v>#N/A</v>
        <stp/>
        <stp>BDH|3268485788344830250</stp>
        <tr r="C26" s="12"/>
      </tp>
      <tp t="e">
        <v>#N/A</v>
        <stp/>
        <stp>BDH|9871373316101714316</stp>
        <tr r="G70" s="12"/>
      </tp>
      <tp t="e">
        <v>#N/A</v>
        <stp/>
        <stp>BDH|2196822789619684230</stp>
        <tr r="Z7" s="28"/>
      </tp>
      <tp t="e">
        <v>#N/A</v>
        <stp/>
        <stp>BDH|5612871014204932134</stp>
        <tr r="L41" s="21"/>
      </tp>
      <tp t="e">
        <v>#N/A</v>
        <stp/>
        <stp>BDH|2940572898174904302</stp>
        <tr r="J6" s="27"/>
      </tp>
      <tp t="e">
        <v>#N/A</v>
        <stp/>
        <stp>BDH|4186029460718947355</stp>
        <tr r="U31" s="21"/>
      </tp>
      <tp t="e">
        <v>#N/A</v>
        <stp/>
        <stp>BDH|4566503489574760441</stp>
        <tr r="E44" s="12"/>
      </tp>
      <tp t="e">
        <v>#N/A</v>
        <stp/>
        <stp>BDH|8731385635043565207</stp>
        <tr r="AA50" s="24"/>
      </tp>
      <tp t="e">
        <v>#N/A</v>
        <stp/>
        <stp>BDH|7790098604116446813</stp>
        <tr r="U35" s="18"/>
      </tp>
      <tp t="e">
        <v>#N/A</v>
        <stp/>
        <stp>BDH|3231323679176312857</stp>
        <tr r="M152" s="18"/>
      </tp>
      <tp t="e">
        <v>#N/A</v>
        <stp/>
        <stp>BDH|5479090653458650171</stp>
        <tr r="Q23" s="12"/>
      </tp>
      <tp t="e">
        <v>#N/A</v>
        <stp/>
        <stp>BDH|6288247234117580981</stp>
        <tr r="S20" s="2"/>
        <tr r="S18" s="4"/>
        <tr r="S57" s="10"/>
        <tr r="S51" s="11"/>
        <tr r="S19" s="7"/>
        <tr r="U57" s="13"/>
      </tp>
      <tp t="e">
        <v>#N/A</v>
        <stp/>
        <stp>BDH|9383638017263944410</stp>
        <tr r="R21" s="2"/>
      </tp>
      <tp t="e">
        <v>#N/A</v>
        <stp/>
        <stp>BDH|3369815666110200494</stp>
        <tr r="J23" s="24"/>
      </tp>
      <tp t="e">
        <v>#N/A</v>
        <stp/>
        <stp>BDH|9089865464638474695</stp>
        <tr r="N56" s="10"/>
        <tr r="N50" s="11"/>
        <tr r="N18" s="7"/>
        <tr r="P52" s="13"/>
      </tp>
      <tp t="e">
        <v>#N/A</v>
        <stp/>
        <stp>BDH|6984577873554148935</stp>
        <tr r="R34" s="18"/>
      </tp>
      <tp t="e">
        <v>#N/A</v>
        <stp/>
        <stp>BDH|2980854536171570101</stp>
        <tr r="C19" s="11"/>
      </tp>
      <tp t="e">
        <v>#N/A</v>
        <stp/>
        <stp>BDH|7346429989627338542</stp>
        <tr r="P72" s="12"/>
      </tp>
      <tp t="e">
        <v>#N/A</v>
        <stp/>
        <stp>BDH|5338958613136963236</stp>
        <tr r="U15" s="11"/>
      </tp>
      <tp t="e">
        <v>#N/A</v>
        <stp/>
        <stp>BDH|3918942004820464320</stp>
        <tr r="M46" s="10"/>
        <tr r="M40" s="11"/>
      </tp>
      <tp t="e">
        <v>#N/A</v>
        <stp/>
        <stp>BDH|9520686422861577557</stp>
        <tr r="C159" s="18"/>
      </tp>
      <tp t="e">
        <v>#N/A</v>
        <stp/>
        <stp>BDH|1849596280977759291</stp>
        <tr r="J40" s="18"/>
      </tp>
      <tp t="e">
        <v>#N/A</v>
        <stp/>
        <stp>BDH|8880111774007346012</stp>
        <tr r="V13" s="24"/>
      </tp>
      <tp t="e">
        <v>#N/A</v>
        <stp/>
        <stp>BDH|9791552438876494014</stp>
        <tr r="C22" s="17"/>
      </tp>
      <tp t="e">
        <v>#N/A</v>
        <stp/>
        <stp>BDH|1472929849726603367</stp>
        <tr r="AA24" s="18"/>
      </tp>
      <tp t="e">
        <v>#N/A</v>
        <stp/>
        <stp>BDH|9168057051195963007</stp>
        <tr r="F66" s="18"/>
      </tp>
      <tp t="e">
        <v>#N/A</v>
        <stp/>
        <stp>BDH|6509394043661550964</stp>
        <tr r="W128" s="18"/>
      </tp>
      <tp t="e">
        <v>#N/A</v>
        <stp/>
        <stp>BDH|7408416059748106713</stp>
        <tr r="X44" s="24"/>
      </tp>
      <tp t="e">
        <v>#N/A</v>
        <stp/>
        <stp>BDH|3147796697510151427</stp>
        <tr r="E150" s="18"/>
      </tp>
      <tp t="e">
        <v>#N/A</v>
        <stp/>
        <stp>BDH|7473507338410328833</stp>
        <tr r="T34" s="21"/>
      </tp>
      <tp t="e">
        <v>#N/A</v>
        <stp/>
        <stp>BDH|5468480865619666731</stp>
        <tr r="O166" s="18"/>
      </tp>
      <tp t="e">
        <v>#N/A</v>
        <stp/>
        <stp>BDH|8943701838401903447</stp>
        <tr r="L22" s="4"/>
      </tp>
      <tp t="e">
        <v>#N/A</v>
        <stp/>
        <stp>BDH|4436349362241712992</stp>
        <tr r="J24" s="18"/>
      </tp>
      <tp t="e">
        <v>#N/A</v>
        <stp/>
        <stp>BDH|9670463823120967668</stp>
        <tr r="I165" s="18"/>
      </tp>
      <tp t="e">
        <v>#N/A</v>
        <stp/>
        <stp>BDH|7260028068200572811</stp>
        <tr r="C19" s="10"/>
      </tp>
      <tp t="e">
        <v>#N/A</v>
        <stp/>
        <stp>BDH|9901379467413433613</stp>
        <tr r="K59" s="17"/>
      </tp>
      <tp t="e">
        <v>#N/A</v>
        <stp/>
        <stp>BDH|4405574787309894901</stp>
        <tr r="R62" s="17"/>
      </tp>
      <tp t="e">
        <v>#N/A</v>
        <stp/>
        <stp>BDH|6767686033879415347</stp>
        <tr r="O31" s="12"/>
      </tp>
      <tp t="e">
        <v>#N/A</v>
        <stp/>
        <stp>BDH|8014808096273220387</stp>
        <tr r="P22" s="11"/>
      </tp>
      <tp t="e">
        <v>#N/A</v>
        <stp/>
        <stp>BDH|4943124306398357428</stp>
        <tr r="T61" s="21"/>
      </tp>
      <tp t="e">
        <v>#N/A</v>
        <stp/>
        <stp>BDH|1438858075644999305</stp>
        <tr r="P26" s="7"/>
      </tp>
      <tp t="e">
        <v>#N/A</v>
        <stp/>
        <stp>BDH|2074396522129255344</stp>
        <tr r="T21" s="10"/>
      </tp>
      <tp t="e">
        <v>#N/A</v>
        <stp/>
        <stp>BDH|4506801198224766874</stp>
        <tr r="E102" s="18"/>
      </tp>
      <tp t="e">
        <v>#N/A</v>
        <stp/>
        <stp>BDH|5772453720579838371</stp>
        <tr r="I25" s="34"/>
      </tp>
      <tp t="e">
        <v>#N/A</v>
        <stp/>
        <stp>BDH|1135987071500076654</stp>
        <tr r="Y137" s="18"/>
      </tp>
      <tp t="e">
        <v>#N/A</v>
        <stp/>
        <stp>BDH|3432498426449691504</stp>
        <tr r="C107" s="18"/>
      </tp>
      <tp t="e">
        <v>#N/A</v>
        <stp/>
        <stp>BDH|5527252358802739929</stp>
        <tr r="L23" s="13"/>
      </tp>
      <tp t="e">
        <v>#N/A</v>
        <stp/>
        <stp>BDH|7994869007721202772</stp>
        <tr r="L23" s="11"/>
      </tp>
      <tp t="e">
        <v>#N/A</v>
        <stp/>
        <stp>BDH|9342283902086207462</stp>
        <tr r="H31" s="22"/>
      </tp>
      <tp t="e">
        <v>#N/A</v>
        <stp/>
        <stp>BDH|3092856606800903272</stp>
        <tr r="O53" s="13"/>
      </tp>
      <tp t="e">
        <v>#N/A</v>
        <stp/>
        <stp>BDH|8377193436054261736</stp>
        <tr r="AA98" s="18"/>
      </tp>
      <tp t="e">
        <v>#N/A</v>
        <stp/>
        <stp>BDH|3974108483104482732</stp>
        <tr r="T8" s="26"/>
        <tr r="Q10" s="9"/>
      </tp>
      <tp t="e">
        <v>#N/A</v>
        <stp/>
        <stp>BDH|5206706038188367045</stp>
        <tr r="G25" s="21"/>
      </tp>
      <tp t="e">
        <v>#N/A</v>
        <stp/>
        <stp>BDH|9133097033592323157</stp>
        <tr r="N82" s="17"/>
        <tr r="N19" s="3"/>
      </tp>
      <tp t="e">
        <v>#N/A</v>
        <stp/>
        <stp>BDH|4740192806995297971</stp>
        <tr r="J23" s="2"/>
        <tr r="L18" s="21"/>
        <tr r="L23" s="3"/>
      </tp>
      <tp t="e">
        <v>#N/A</v>
        <stp/>
        <stp>BDH|3423676597363133683</stp>
        <tr r="D22" s="20"/>
      </tp>
      <tp t="e">
        <v>#N/A</v>
        <stp/>
        <stp>BDH|9458045999708471106</stp>
        <tr r="C7" s="2"/>
        <tr r="E14" s="3"/>
      </tp>
      <tp t="e">
        <v>#N/A</v>
        <stp/>
        <stp>BDH|3966302283352343345</stp>
        <tr r="I42" s="4"/>
      </tp>
      <tp t="e">
        <v>#N/A</v>
        <stp/>
        <stp>BDH|6309002405219843632</stp>
        <tr r="C32" s="17"/>
      </tp>
      <tp t="e">
        <v>#N/A</v>
        <stp/>
        <stp>BDH|9744398046665298275</stp>
        <tr r="E11" s="17"/>
      </tp>
      <tp t="e">
        <v>#N/A</v>
        <stp/>
        <stp>BDH|7697416958568408763</stp>
        <tr r="V58" s="18"/>
      </tp>
      <tp t="e">
        <v>#N/A</v>
        <stp/>
        <stp>BDH|9892057973243663453</stp>
        <tr r="R22" s="30"/>
        <tr r="R25" s="23"/>
      </tp>
      <tp t="e">
        <v>#N/A</v>
        <stp/>
        <stp>BDH|2914171272955467857</stp>
        <tr r="L63" s="21"/>
      </tp>
      <tp t="e">
        <v>#N/A</v>
        <stp/>
        <stp>BDH|2641828645523460487</stp>
        <tr r="X9" s="17"/>
      </tp>
      <tp t="e">
        <v>#N/A</v>
        <stp/>
        <stp>BDH|1281512496516905217</stp>
        <tr r="H21" s="9"/>
      </tp>
      <tp t="e">
        <v>#N/A</v>
        <stp/>
        <stp>BDH|1070231450149996674</stp>
        <tr r="J44" s="18"/>
      </tp>
      <tp t="e">
        <v>#N/A</v>
        <stp/>
        <stp>BDH|3975100323930764902</stp>
        <tr r="S42" s="21"/>
      </tp>
      <tp t="e">
        <v>#N/A</v>
        <stp/>
        <stp>BDH|1346186088075662489</stp>
        <tr r="S124" s="18"/>
      </tp>
      <tp t="e">
        <v>#N/A</v>
        <stp/>
        <stp>BDH|2737278991084926455</stp>
        <tr r="AA11" s="24"/>
      </tp>
      <tp t="e">
        <v>#N/A</v>
        <stp/>
        <stp>BDH|5301925659939653936</stp>
        <tr r="AA116" s="18"/>
      </tp>
      <tp t="e">
        <v>#N/A</v>
        <stp/>
        <stp>BDH|2179973308925642756</stp>
        <tr r="T19" s="11"/>
      </tp>
      <tp t="e">
        <v>#N/A</v>
        <stp/>
        <stp>BDH|2686896510127123533</stp>
        <tr r="S143" s="18"/>
      </tp>
      <tp t="e">
        <v>#N/A</v>
        <stp/>
        <stp>BDH|9407437704340512444</stp>
        <tr r="O15" s="29"/>
        <tr r="O35" s="29"/>
      </tp>
      <tp t="e">
        <v>#N/A</v>
        <stp/>
        <stp>BDH|9105350586403177812</stp>
        <tr r="M37" s="24"/>
      </tp>
      <tp t="e">
        <v>#N/A</v>
        <stp/>
        <stp>BDH|8104102648371846534</stp>
        <tr r="Q144" s="18"/>
      </tp>
      <tp t="e">
        <v>#N/A</v>
        <stp/>
        <stp>BDH|8421942139822381981</stp>
        <tr r="AA18" s="17"/>
      </tp>
      <tp t="e">
        <v>#N/A</v>
        <stp/>
        <stp>BDH|7222744244395215825</stp>
        <tr r="G161" s="18"/>
      </tp>
      <tp t="e">
        <v>#N/A</v>
        <stp/>
        <stp>BDH|6505972925650013454</stp>
        <tr r="X8" s="4"/>
      </tp>
      <tp t="e">
        <v>#N/A</v>
        <stp/>
        <stp>BDH|8396258496778126234</stp>
        <tr r="E9" s="24"/>
      </tp>
      <tp t="e">
        <v>#N/A</v>
        <stp/>
        <stp>BDH|5548523824068409357</stp>
        <tr r="I6" s="2"/>
        <tr r="H6" s="5"/>
        <tr r="H6" s="9"/>
        <tr r="J12" s="8"/>
        <tr r="K10" s="29"/>
        <tr r="K19" s="29"/>
        <tr r="K25" s="29"/>
      </tp>
      <tp t="e">
        <v>#N/A</v>
        <stp/>
        <stp>BDH|9156744912320628633</stp>
        <tr r="M160" s="18"/>
      </tp>
      <tp t="e">
        <v>#N/A</v>
        <stp/>
        <stp>BDH|7576676468739867703</stp>
        <tr r="P14" s="13"/>
      </tp>
      <tp t="e">
        <v>#N/A</v>
        <stp/>
        <stp>BDH|8433320149403545580</stp>
        <tr r="O21" s="24"/>
      </tp>
      <tp t="e">
        <v>#N/A</v>
        <stp/>
        <stp>BDH|8678717250244274776</stp>
        <tr r="O33" s="6"/>
        <tr r="Q9" s="8"/>
      </tp>
      <tp t="e">
        <v>#N/A</v>
        <stp/>
        <stp>BDH|1310857329137575585</stp>
        <tr r="N44" s="24"/>
      </tp>
      <tp t="e">
        <v>#N/A</v>
        <stp/>
        <stp>BDH|1720440866483545927</stp>
        <tr r="O81" s="17"/>
        <tr r="L9" s="5"/>
        <tr r="L9" s="9"/>
      </tp>
      <tp t="e">
        <v>#N/A</v>
        <stp/>
        <stp>BDH|4536577074909013649</stp>
        <tr r="D9" s="34"/>
      </tp>
      <tp t="e">
        <v>#N/A</v>
        <stp/>
        <stp>BDH|7626651105278463002</stp>
        <tr r="C16" s="11"/>
      </tp>
      <tp t="e">
        <v>#N/A</v>
        <stp/>
        <stp>BDH|6193449851348767610</stp>
        <tr r="K7" s="11"/>
      </tp>
      <tp t="e">
        <v>#N/A</v>
        <stp/>
        <stp>BDH|7345521384751423237</stp>
        <tr r="R39" s="12"/>
      </tp>
      <tp t="e">
        <v>#N/A</v>
        <stp/>
        <stp>BDH|3552963571154391039</stp>
        <tr r="Y116" s="18"/>
      </tp>
      <tp t="e">
        <v>#N/A</v>
        <stp/>
        <stp>BDH|5736555670939987791</stp>
        <tr r="Q23" s="26"/>
      </tp>
      <tp t="e">
        <v>#N/A</v>
        <stp/>
        <stp>BDH|7645358625378691720</stp>
        <tr r="M58" s="24"/>
      </tp>
      <tp t="e">
        <v>#N/A</v>
        <stp/>
        <stp>BDH|4661858287499786414</stp>
        <tr r="I73" s="17"/>
        <tr r="F8" s="5"/>
        <tr r="F8" s="9"/>
      </tp>
      <tp t="e">
        <v>#N/A</v>
        <stp/>
        <stp>BDH|4009173450109222076</stp>
        <tr r="U28" s="4"/>
      </tp>
      <tp t="e">
        <v>#N/A</v>
        <stp/>
        <stp>BDH|3066356781470680105</stp>
        <tr r="L25" s="21"/>
      </tp>
      <tp t="e">
        <v>#N/A</v>
        <stp/>
        <stp>BDH|9895564001245954042</stp>
        <tr r="M140" s="18"/>
      </tp>
      <tp t="e">
        <v>#N/A</v>
        <stp/>
        <stp>BDH|6666140949143093996</stp>
        <tr r="Y14" s="26"/>
      </tp>
      <tp t="e">
        <v>#N/A</v>
        <stp/>
        <stp>BDH|7968391702024096906</stp>
        <tr r="R62" s="12"/>
      </tp>
      <tp t="e">
        <v>#N/A</v>
        <stp/>
        <stp>BDH|3136643094451081437</stp>
        <tr r="S7" s="14"/>
      </tp>
      <tp t="e">
        <v>#N/A</v>
        <stp/>
        <stp>BDH|1423903413396217678</stp>
        <tr r="J21" s="30"/>
        <tr r="J24" s="23"/>
      </tp>
      <tp t="e">
        <v>#N/A</v>
        <stp/>
        <stp>BDH|2024962395852568945</stp>
        <tr r="E11" s="24"/>
      </tp>
      <tp t="e">
        <v>#N/A</v>
        <stp/>
        <stp>BDH|6174418642508035703</stp>
        <tr r="V6" s="28"/>
      </tp>
      <tp t="e">
        <v>#N/A</v>
        <stp/>
        <stp>BDH|4496085952201440980</stp>
        <tr r="P17" s="23"/>
      </tp>
      <tp t="e">
        <v>#N/A</v>
        <stp/>
        <stp>BDH|1779226483411567319</stp>
        <tr r="I17" s="4"/>
        <tr r="K10" s="3"/>
        <tr r="I55" s="10"/>
        <tr r="I49" s="11"/>
        <tr r="I17" s="7"/>
        <tr r="K49" s="13"/>
      </tp>
      <tp t="e">
        <v>#N/A</v>
        <stp/>
        <stp>BDH|8932931940994860801</stp>
        <tr r="Z11" s="28"/>
      </tp>
      <tp t="e">
        <v>#N/A</v>
        <stp/>
        <stp>BDH|9652399308617232476</stp>
        <tr r="C41" s="18"/>
      </tp>
      <tp t="e">
        <v>#N/A</v>
        <stp/>
        <stp>BDH|7696029348618907279</stp>
        <tr r="O9" s="22"/>
      </tp>
      <tp t="e">
        <v>#N/A</v>
        <stp/>
        <stp>BDH|1028809531177023437</stp>
        <tr r="U162" s="18"/>
      </tp>
      <tp t="e">
        <v>#N/A</v>
        <stp/>
        <stp>BDH|4344832744171710018</stp>
        <tr r="K37" s="22"/>
      </tp>
      <tp t="e">
        <v>#N/A</v>
        <stp/>
        <stp>BDH|4113778403732695819</stp>
        <tr r="D16" s="14"/>
      </tp>
      <tp t="e">
        <v>#N/A</v>
        <stp/>
        <stp>BDH|8559750276357002648</stp>
        <tr r="W13" s="20"/>
      </tp>
      <tp t="e">
        <v>#N/A</v>
        <stp/>
        <stp>BDH|2988660218635774927</stp>
        <tr r="F12" s="11"/>
      </tp>
      <tp t="e">
        <v>#N/A</v>
        <stp/>
        <stp>BDH|3787476874038715111</stp>
        <tr r="H19" s="6"/>
      </tp>
      <tp t="e">
        <v>#N/A</v>
        <stp/>
        <stp>BDH|5600211619179809651</stp>
        <tr r="W110" s="18"/>
        <tr r="U11" s="20"/>
      </tp>
      <tp t="e">
        <v>#N/A</v>
        <stp/>
        <stp>BDH|1367022423503419951</stp>
        <tr r="W108" s="18"/>
        <tr r="U8" s="20"/>
      </tp>
      <tp t="e">
        <v>#N/A</v>
        <stp/>
        <stp>BDH|9147159144820062533</stp>
        <tr r="S154" s="18"/>
      </tp>
      <tp t="e">
        <v>#N/A</v>
        <stp/>
        <stp>BDH|3439973863943421678</stp>
        <tr r="Z35" s="17"/>
      </tp>
      <tp t="e">
        <v>#N/A</v>
        <stp/>
        <stp>BDH|5320404293437377601</stp>
        <tr r="D45" s="4"/>
        <tr r="D30" s="10"/>
        <tr r="D24" s="11"/>
        <tr r="F30" s="13"/>
      </tp>
      <tp t="e">
        <v>#N/A</v>
        <stp/>
        <stp>BDH|1390694593906917131</stp>
        <tr r="R32" s="10"/>
        <tr r="R26" s="11"/>
      </tp>
      <tp t="e">
        <v>#N/A</v>
        <stp/>
        <stp>BDH|2956581684465215345</stp>
        <tr r="T53" s="18"/>
      </tp>
      <tp t="e">
        <v>#N/A</v>
        <stp/>
        <stp>BDH|2624861735011146170</stp>
        <tr r="W53" s="24"/>
      </tp>
      <tp t="e">
        <v>#N/A</v>
        <stp/>
        <stp>BDH|1476362378764103885</stp>
        <tr r="V23" s="24"/>
      </tp>
      <tp t="e">
        <v>#N/A</v>
        <stp/>
        <stp>BDH|8588540642918706876</stp>
        <tr r="P125" s="18"/>
      </tp>
      <tp t="e">
        <v>#N/A</v>
        <stp/>
        <stp>BDH|9375320932973511358</stp>
        <tr r="L14" s="8"/>
      </tp>
      <tp t="e">
        <v>#N/A</v>
        <stp/>
        <stp>BDH|7421913660557209643</stp>
        <tr r="Y92" s="17"/>
      </tp>
      <tp t="e">
        <v>#N/A</v>
        <stp/>
        <stp>BDH|9391641353731673211</stp>
        <tr r="I62" s="18"/>
      </tp>
      <tp t="e">
        <v>#N/A</v>
        <stp/>
        <stp>BDH|7303585891631982303</stp>
        <tr r="G22" s="4"/>
      </tp>
      <tp t="e">
        <v>#N/A</v>
        <stp/>
        <stp>BDH|2575768302335432964</stp>
        <tr r="D14" s="17"/>
        <tr r="D17" s="28"/>
      </tp>
      <tp t="e">
        <v>#N/A</v>
        <stp/>
        <stp>BDH|9692837273146566903</stp>
        <tr r="Y40" s="10"/>
        <tr r="Y34" s="11"/>
      </tp>
      <tp t="e">
        <v>#N/A</v>
        <stp/>
        <stp>BDH|4524169101434305825</stp>
        <tr r="T157" s="18"/>
      </tp>
      <tp t="e">
        <v>#N/A</v>
        <stp/>
        <stp>BDH|8103446161446683517</stp>
        <tr r="R13" s="6"/>
      </tp>
      <tp t="e">
        <v>#N/A</v>
        <stp/>
        <stp>BDH|9958364009174448719</stp>
        <tr r="Q22" s="24"/>
      </tp>
      <tp t="e">
        <v>#N/A</v>
        <stp/>
        <stp>BDH|1798025347014806891</stp>
        <tr r="S8" s="26"/>
        <tr r="P10" s="9"/>
      </tp>
      <tp t="e">
        <v>#N/A</v>
        <stp/>
        <stp>BDH|9309783208896678161</stp>
        <tr r="J22" s="9"/>
      </tp>
      <tp t="e">
        <v>#N/A</v>
        <stp/>
        <stp>BDH|1417949677987588115</stp>
        <tr r="X99" s="17"/>
      </tp>
      <tp t="e">
        <v>#N/A</v>
        <stp/>
        <stp>BDH|6486333597435031030</stp>
        <tr r="H13" s="5"/>
      </tp>
      <tp t="e">
        <v>#N/A</v>
        <stp/>
        <stp>BDH|9917530247711781091</stp>
        <tr r="V14" s="23"/>
      </tp>
      <tp t="e">
        <v>#N/A</v>
        <stp/>
        <stp>BDH|7106044747849602373</stp>
        <tr r="H65" s="18"/>
      </tp>
      <tp t="e">
        <v>#N/A</v>
        <stp/>
        <stp>BDH|2333197960954165884</stp>
        <tr r="U38" s="18"/>
      </tp>
      <tp t="e">
        <v>#N/A</v>
        <stp/>
        <stp>BDH|5712759096323506125</stp>
        <tr r="J16" s="26"/>
      </tp>
      <tp t="e">
        <v>#N/A</v>
        <stp/>
        <stp>BDH|9137247533156270743</stp>
        <tr r="H17" s="14"/>
      </tp>
      <tp t="e">
        <v>#N/A</v>
        <stp/>
        <stp>BDH|3364163223771152877</stp>
        <tr r="E32" s="22"/>
      </tp>
      <tp t="e">
        <v>#N/A</v>
        <stp/>
        <stp>BDH|9492616471217644629</stp>
        <tr r="U7" s="11"/>
      </tp>
      <tp t="e">
        <v>#N/A</v>
        <stp/>
        <stp>BDH|5414241466040798819</stp>
        <tr r="R16" s="12"/>
      </tp>
      <tp t="e">
        <v>#N/A</v>
        <stp/>
        <stp>BDH|1738181893311405182</stp>
        <tr r="U14" s="4"/>
      </tp>
      <tp t="e">
        <v>#N/A</v>
        <stp/>
        <stp>BDH|2759972084158700235</stp>
        <tr r="S51" s="10"/>
        <tr r="S45" s="11"/>
        <tr r="S15" s="7"/>
      </tp>
      <tp t="e">
        <v>#N/A</v>
        <stp/>
        <stp>BDH|5333818382514640868</stp>
        <tr r="J9" s="2"/>
        <tr r="L8" s="25"/>
        <tr r="I10" s="5"/>
      </tp>
      <tp t="e">
        <v>#N/A</v>
        <stp/>
        <stp>BDH|2409897687458269387</stp>
        <tr r="R7" s="2"/>
        <tr r="Q7" s="5"/>
        <tr r="Q7" s="9"/>
        <tr r="T14" s="3"/>
      </tp>
      <tp t="e">
        <v>#N/A</v>
        <stp/>
        <stp>BDH|5283536804461114849</stp>
        <tr r="G25" s="34"/>
      </tp>
      <tp t="e">
        <v>#N/A</v>
        <stp/>
        <stp>BDH|6072724566508045646</stp>
        <tr r="M18" s="17"/>
      </tp>
      <tp t="e">
        <v>#N/A</v>
        <stp/>
        <stp>BDH|5242706895705072776</stp>
        <tr r="S9" s="17"/>
      </tp>
      <tp t="e">
        <v>#N/A</v>
        <stp/>
        <stp>BDH|7124103787064365350</stp>
        <tr r="O15" s="5"/>
      </tp>
      <tp t="e">
        <v>#N/A</v>
        <stp/>
        <stp>BDH|5051859544465185506</stp>
        <tr r="N164" s="18"/>
      </tp>
      <tp t="e">
        <v>#N/A</v>
        <stp/>
        <stp>BDH|1590868393598339131</stp>
        <tr r="R45" s="12"/>
      </tp>
      <tp t="e">
        <v>#N/A</v>
        <stp/>
        <stp>BDH|5006372920675454837</stp>
        <tr r="L45" s="12"/>
      </tp>
      <tp t="e">
        <v>#N/A</v>
        <stp/>
        <stp>BDH|5812792916163564922</stp>
        <tr r="F26" s="21"/>
      </tp>
      <tp t="e">
        <v>#N/A</v>
        <stp/>
        <stp>BDH|3579823764744187022</stp>
        <tr r="X51" s="17"/>
      </tp>
      <tp t="e">
        <v>#N/A</v>
        <stp/>
        <stp>BDH|5678743290543193130</stp>
        <tr r="K25" s="3"/>
      </tp>
      <tp t="e">
        <v>#N/A</v>
        <stp/>
        <stp>BDH|4296504196101742033</stp>
        <tr r="N46" s="17"/>
      </tp>
      <tp t="e">
        <v>#N/A</v>
        <stp/>
        <stp>BDH|9964468664411835333</stp>
        <tr r="W26" s="7"/>
      </tp>
      <tp t="e">
        <v>#N/A</v>
        <stp/>
        <stp>BDH|5077017821349599750</stp>
        <tr r="C54" s="18"/>
      </tp>
      <tp t="e">
        <v>#N/A</v>
        <stp/>
        <stp>BDH|7378858002603215562</stp>
        <tr r="T17" s="21"/>
      </tp>
      <tp t="e">
        <v>#N/A</v>
        <stp/>
        <stp>BDH|9453579934064669217</stp>
        <tr r="W130" s="18"/>
      </tp>
      <tp t="e">
        <v>#N/A</v>
        <stp/>
        <stp>BDH|8878677118400487631</stp>
        <tr r="H17" s="12"/>
      </tp>
      <tp t="e">
        <v>#N/A</v>
        <stp/>
        <stp>BDH|5939769394596265496</stp>
        <tr r="L13" s="10"/>
      </tp>
      <tp t="e">
        <v>#N/A</v>
        <stp/>
        <stp>BDH|3002348683758228952</stp>
        <tr r="F64" s="17"/>
      </tp>
      <tp t="e">
        <v>#N/A</v>
        <stp/>
        <stp>BDH|5484314364260594949</stp>
        <tr r="P56" s="13"/>
      </tp>
      <tp t="e">
        <v>#N/A</v>
        <stp/>
        <stp>BDH|1249947120003450028</stp>
        <tr r="I43" s="12"/>
      </tp>
      <tp t="e">
        <v>#N/A</v>
        <stp/>
        <stp>BDH|2679253904110655901</stp>
        <tr r="C151" s="18"/>
      </tp>
      <tp t="e">
        <v>#N/A</v>
        <stp/>
        <stp>BDH|9102857303408154077</stp>
        <tr r="G43" s="13"/>
      </tp>
      <tp t="e">
        <v>#N/A</v>
        <stp/>
        <stp>BDH|1870056249948016458</stp>
        <tr r="L132" s="18"/>
      </tp>
      <tp t="e">
        <v>#N/A</v>
        <stp/>
        <stp>BDH|7266817126820089440</stp>
        <tr r="U11" s="9"/>
      </tp>
      <tp t="e">
        <v>#N/A</v>
        <stp/>
        <stp>BDH|1113061885254125421</stp>
        <tr r="T104" s="18"/>
      </tp>
      <tp t="e">
        <v>#N/A</v>
        <stp/>
        <stp>BDH|4700933851056502713</stp>
        <tr r="Q10" s="21"/>
      </tp>
      <tp t="e">
        <v>#N/A</v>
        <stp/>
        <stp>BDH|6401321953021740835</stp>
        <tr r="F28" s="17"/>
      </tp>
      <tp t="e">
        <v>#N/A</v>
        <stp/>
        <stp>BDH|5303056182030457410</stp>
        <tr r="L92" s="17"/>
      </tp>
      <tp t="e">
        <v>#N/A</v>
        <stp/>
        <stp>BDH|4936434786156438796</stp>
        <tr r="O32" s="17"/>
      </tp>
      <tp t="e">
        <v>#N/A</v>
        <stp/>
        <stp>BDH|6903404370089941513</stp>
        <tr r="E28" s="18"/>
      </tp>
      <tp t="e">
        <v>#N/A</v>
        <stp/>
        <stp>BDH|3101905305463670034</stp>
        <tr r="Z88" s="17"/>
      </tp>
      <tp t="e">
        <v>#N/A</v>
        <stp/>
        <stp>BDH|6671303412869377469</stp>
        <tr r="E50" s="21"/>
      </tp>
      <tp t="e">
        <v>#N/A</v>
        <stp/>
        <stp>BDH|2234359605320686853</stp>
        <tr r="O159" s="18"/>
      </tp>
      <tp t="e">
        <v>#N/A</v>
        <stp/>
        <stp>BDH|4532929851452698315</stp>
        <tr r="R21" s="21"/>
      </tp>
      <tp t="e">
        <v>#N/A</v>
        <stp/>
        <stp>BDH|2349927037829508829</stp>
        <tr r="E7" s="21"/>
      </tp>
      <tp t="e">
        <v>#N/A</v>
        <stp/>
        <stp>BDH|7931844719235238273</stp>
        <tr r="J49" s="21"/>
      </tp>
      <tp t="e">
        <v>#N/A</v>
        <stp/>
        <stp>BDH|9711139518228963848</stp>
        <tr r="I142" s="18"/>
      </tp>
      <tp t="e">
        <v>#N/A</v>
        <stp/>
        <stp>BDH|1332426359329840016</stp>
        <tr r="V113" s="18"/>
        <tr r="T14" s="20"/>
      </tp>
      <tp t="e">
        <v>#N/A</v>
        <stp/>
        <stp>BDH|1778648523194087812</stp>
        <tr r="V29" s="17"/>
      </tp>
      <tp t="e">
        <v>#N/A</v>
        <stp/>
        <stp>BDH|2142946825135615576</stp>
        <tr r="W67" s="24"/>
      </tp>
      <tp t="e">
        <v>#N/A</v>
        <stp/>
        <stp>BDH|4143991498334520943</stp>
        <tr r="G122" s="18"/>
      </tp>
      <tp t="e">
        <v>#N/A</v>
        <stp/>
        <stp>BDH|3527304353759503527</stp>
        <tr r="P32" s="18"/>
      </tp>
      <tp t="e">
        <v>#N/A</v>
        <stp/>
        <stp>BDH|4622001902418137542</stp>
        <tr r="I16" s="17"/>
        <tr r="I19" s="28"/>
      </tp>
      <tp t="e">
        <v>#N/A</v>
        <stp/>
        <stp>BDH|2361463596565293300</stp>
        <tr r="AA13" s="24"/>
      </tp>
      <tp t="e">
        <v>#N/A</v>
        <stp/>
        <stp>BDH|4539824622172170559</stp>
        <tr r="T12" s="21"/>
      </tp>
      <tp t="e">
        <v>#N/A</v>
        <stp/>
        <stp>BDH|2192302087395762506</stp>
        <tr r="U22" s="24"/>
      </tp>
      <tp t="e">
        <v>#N/A</v>
        <stp/>
        <stp>BDH|1276490694401780490</stp>
        <tr r="L20" s="17"/>
      </tp>
      <tp t="e">
        <v>#N/A</v>
        <stp/>
        <stp>BDH|7756538358286920846</stp>
        <tr r="F8" s="26"/>
        <tr r="C10" s="9"/>
      </tp>
      <tp t="e">
        <v>#N/A</v>
        <stp/>
        <stp>BDH|9096651811520533705</stp>
        <tr r="X21" s="26"/>
      </tp>
      <tp t="e">
        <v>#N/A</v>
        <stp/>
        <stp>BDH|2101840733899276954</stp>
        <tr r="Q19" s="6"/>
      </tp>
      <tp t="e">
        <v>#N/A</v>
        <stp/>
        <stp>BDH|8406680271491999157</stp>
        <tr r="F51" s="10"/>
        <tr r="F45" s="11"/>
        <tr r="F15" s="7"/>
      </tp>
      <tp t="e">
        <v>#N/A</v>
        <stp/>
        <stp>BDH|2673714385977355305</stp>
        <tr r="D6" s="27"/>
      </tp>
      <tp t="e">
        <v>#N/A</v>
        <stp/>
        <stp>BDH|8489673632612573650</stp>
        <tr r="W73" s="18"/>
      </tp>
      <tp t="e">
        <v>#N/A</v>
        <stp/>
        <stp>BDH|8097292728097670666</stp>
        <tr r="F15" s="11"/>
      </tp>
      <tp t="e">
        <v>#N/A</v>
        <stp/>
        <stp>BDH|6860832330856363297</stp>
        <tr r="Q87" s="17"/>
        <tr r="Q20" s="3"/>
        <tr r="O6" s="7"/>
      </tp>
      <tp t="e">
        <v>#N/A</v>
        <stp/>
        <stp>BDH|3052301025638777338</stp>
        <tr r="Z19" s="25"/>
        <tr r="X21" s="11"/>
      </tp>
      <tp t="e">
        <v>#N/A</v>
        <stp/>
        <stp>BDH|6567854661967807686</stp>
        <tr r="X69" s="10"/>
        <tr r="X63" s="11"/>
        <tr r="X20" s="7"/>
      </tp>
      <tp t="e">
        <v>#N/A</v>
        <stp/>
        <stp>BDH|2138948557741018630</stp>
        <tr r="W57" s="18"/>
      </tp>
      <tp t="e">
        <v>#N/A</v>
        <stp/>
        <stp>BDH|5896553296976379699</stp>
        <tr r="P30" s="21"/>
      </tp>
      <tp t="e">
        <v>#N/A</v>
        <stp/>
        <stp>BDH|5382157197285950194</stp>
        <tr r="T13" s="10"/>
      </tp>
      <tp t="e">
        <v>#N/A</v>
        <stp/>
        <stp>BDH|2361572497550326762</stp>
        <tr r="Q17" s="9"/>
      </tp>
      <tp t="e">
        <v>#N/A</v>
        <stp/>
        <stp>BDH|8977920696022805336</stp>
        <tr r="V11" s="7"/>
      </tp>
      <tp t="e">
        <v>#N/A</v>
        <stp/>
        <stp>BDH|3750944164103804690</stp>
        <tr r="I111" s="18"/>
        <tr r="G12" s="20"/>
      </tp>
      <tp t="e">
        <v>#N/A</v>
        <stp/>
        <stp>BDH|9307539646950946194</stp>
        <tr r="W17" s="11"/>
      </tp>
      <tp t="e">
        <v>#N/A</v>
        <stp/>
        <stp>BDH|8120576254695755437</stp>
        <tr r="I14" s="8"/>
      </tp>
      <tp t="e">
        <v>#N/A</v>
        <stp/>
        <stp>BDH|2010763290883098600</stp>
        <tr r="L22" s="21"/>
      </tp>
      <tp t="e">
        <v>#N/A</v>
        <stp/>
        <stp>BDH|7318511076235543975</stp>
        <tr r="N15" s="6"/>
      </tp>
      <tp t="e">
        <v>#N/A</v>
        <stp/>
        <stp>BDH|7151903134914286015</stp>
        <tr r="G79" s="17"/>
      </tp>
      <tp t="e">
        <v>#N/A</v>
        <stp/>
        <stp>BDH|1736617812726771951</stp>
        <tr r="V9" s="28"/>
      </tp>
      <tp t="e">
        <v>#N/A</v>
        <stp/>
        <stp>BDH|5156831172431571233</stp>
        <tr r="Q33" s="26"/>
      </tp>
      <tp t="e">
        <v>#N/A</v>
        <stp/>
        <stp>BDH|6840213681772962772</stp>
        <tr r="G17" s="9"/>
      </tp>
      <tp t="e">
        <v>#N/A</v>
        <stp/>
        <stp>BDH|9534204524205592528</stp>
        <tr r="C16" s="12"/>
      </tp>
      <tp t="e">
        <v>#N/A</v>
        <stp/>
        <stp>BDH|9426317898309203392</stp>
        <tr r="J119" s="18"/>
      </tp>
      <tp t="e">
        <v>#N/A</v>
        <stp/>
        <stp>BDH|3713962966400072514</stp>
        <tr r="W11" s="7"/>
      </tp>
      <tp t="e">
        <v>#N/A</v>
        <stp/>
        <stp>BDH|3075522310648235667</stp>
        <tr r="G56" s="12"/>
      </tp>
      <tp t="e">
        <v>#N/A</v>
        <stp/>
        <stp>BDH|5144826185338665460</stp>
        <tr r="T54" s="13"/>
      </tp>
      <tp t="e">
        <v>#N/A</v>
        <stp/>
        <stp>BDH|4522375388897919158</stp>
        <tr r="G30" s="21"/>
      </tp>
      <tp t="e">
        <v>#N/A</v>
        <stp/>
        <stp>BDH|5787757489353525088</stp>
        <tr r="I11" s="21"/>
      </tp>
      <tp t="e">
        <v>#N/A</v>
        <stp/>
        <stp>BDH|8175372533757578663</stp>
        <tr r="I42" s="17"/>
      </tp>
      <tp t="e">
        <v>#N/A</v>
        <stp/>
        <stp>BDH|6667310881394151019</stp>
        <tr r="D25" s="17"/>
      </tp>
      <tp t="e">
        <v>#N/A</v>
        <stp/>
        <stp>BDH|5227332056858941284</stp>
        <tr r="G33" s="34"/>
      </tp>
      <tp t="e">
        <v>#N/A</v>
        <stp/>
        <stp>BDH|8370219344292025506</stp>
        <tr r="J6" s="19"/>
        <tr r="J37" s="17"/>
        <tr r="J16" s="3"/>
      </tp>
      <tp t="e">
        <v>#N/A</v>
        <stp/>
        <stp>BDH|4718659118082835841</stp>
        <tr r="R77" s="12"/>
      </tp>
      <tp t="e">
        <v>#N/A</v>
        <stp/>
        <stp>BDH|3699913742103254414</stp>
        <tr r="Y26" s="22"/>
      </tp>
      <tp t="e">
        <v>#N/A</v>
        <stp/>
        <stp>BDH|9723392178005099103</stp>
        <tr r="J42" s="13"/>
      </tp>
      <tp t="e">
        <v>#N/A</v>
        <stp/>
        <stp>BDH|3484246385427626755</stp>
        <tr r="O8" s="26"/>
        <tr r="L10" s="9"/>
      </tp>
      <tp t="e">
        <v>#N/A</v>
        <stp/>
        <stp>BDH|4441695448816559961</stp>
        <tr r="P39" s="6"/>
      </tp>
      <tp t="e">
        <v>#N/A</v>
        <stp/>
        <stp>BDH|1142111682765496407</stp>
        <tr r="E73" s="17"/>
      </tp>
      <tp t="e">
        <v>#N/A</v>
        <stp/>
        <stp>BDH|8567438341441537045</stp>
        <tr r="Q12" s="11"/>
      </tp>
      <tp t="e">
        <v>#N/A</v>
        <stp/>
        <stp>BDH|7701315982263080623</stp>
        <tr r="S17" s="18"/>
      </tp>
      <tp t="e">
        <v>#N/A</v>
        <stp/>
        <stp>BDH|6358728087229221921</stp>
        <tr r="O9" s="6"/>
      </tp>
      <tp t="e">
        <v>#N/A</v>
        <stp/>
        <stp>BDH|1686796407236707993</stp>
        <tr r="V77" s="18"/>
      </tp>
      <tp t="e">
        <v>#N/A</v>
        <stp/>
        <stp>BDH|6101022795376991097</stp>
        <tr r="I8" s="8"/>
      </tp>
      <tp t="e">
        <v>#N/A</v>
        <stp/>
        <stp>BDH|5757868026693474553</stp>
        <tr r="X13" s="17"/>
        <tr r="X16" s="28"/>
      </tp>
      <tp t="e">
        <v>#N/A</v>
        <stp/>
        <stp>BDH|5698819987755211948</stp>
        <tr r="I50" s="12"/>
      </tp>
      <tp t="e">
        <v>#N/A</v>
        <stp/>
        <stp>BDH|1561287682365083794</stp>
        <tr r="Y23" s="18"/>
      </tp>
      <tp t="e">
        <v>#N/A</v>
        <stp/>
        <stp>BDH|6705917328106151282</stp>
        <tr r="K12" s="13"/>
      </tp>
      <tp t="e">
        <v>#N/A</v>
        <stp/>
        <stp>BDH|2091851625053082271</stp>
        <tr r="E18" s="10"/>
        <tr r="G16" s="13"/>
        <tr r="G27" s="13"/>
      </tp>
      <tp t="e">
        <v>#N/A</v>
        <stp/>
        <stp>BDH|8388277797669099341</stp>
        <tr r="Z12" s="24"/>
      </tp>
      <tp t="e">
        <v>#N/A</v>
        <stp/>
        <stp>BDH|1302346115612721823</stp>
        <tr r="R23" s="12"/>
      </tp>
      <tp t="e">
        <v>#N/A</v>
        <stp/>
        <stp>BDH|9181102760884541337</stp>
        <tr r="V167" s="18"/>
      </tp>
      <tp t="e">
        <v>#N/A</v>
        <stp/>
        <stp>BDH|1175042292415960497</stp>
        <tr r="I78" s="18"/>
      </tp>
      <tp t="e">
        <v>#N/A</v>
        <stp/>
        <stp>BDH|7208980289699659620</stp>
        <tr r="O53" s="18"/>
      </tp>
      <tp t="e">
        <v>#N/A</v>
        <stp/>
        <stp>BDH|3980080179548779588</stp>
        <tr r="W26" s="17"/>
      </tp>
      <tp t="e">
        <v>#N/A</v>
        <stp/>
        <stp>BDH|9219435214127216206</stp>
        <tr r="K39" s="10"/>
        <tr r="K33" s="11"/>
      </tp>
      <tp t="e">
        <v>#N/A</v>
        <stp/>
        <stp>BDH|9283753571830309026</stp>
        <tr r="K25" s="18"/>
      </tp>
      <tp t="e">
        <v>#N/A</v>
        <stp/>
        <stp>BDH|7110582795347343580</stp>
        <tr r="J63" s="24"/>
      </tp>
      <tp t="e">
        <v>#N/A</v>
        <stp/>
        <stp>BDH|6624092038758939490</stp>
        <tr r="N19" s="17"/>
      </tp>
      <tp t="e">
        <v>#N/A</v>
        <stp/>
        <stp>BDH|2015282551165653980</stp>
        <tr r="M43" s="18"/>
      </tp>
      <tp t="e">
        <v>#N/A</v>
        <stp/>
        <stp>BDH|5135156993065103112</stp>
        <tr r="F11" s="7"/>
      </tp>
      <tp t="e">
        <v>#N/A</v>
        <stp/>
        <stp>BDH|4087774851437699877</stp>
        <tr r="Q15" s="25"/>
      </tp>
      <tp t="e">
        <v>#N/A</v>
        <stp/>
        <stp>BDH|9257385678456064254</stp>
        <tr r="V16" s="21"/>
      </tp>
      <tp t="e">
        <v>#N/A</v>
        <stp/>
        <stp>BDH|3159803672642677721</stp>
        <tr r="Y49" s="18"/>
      </tp>
      <tp t="e">
        <v>#N/A</v>
        <stp/>
        <stp>BDH|5488730433371392904</stp>
        <tr r="E17" s="10"/>
      </tp>
      <tp t="e">
        <v>#N/A</v>
        <stp/>
        <stp>BDH|6094638998541598194</stp>
        <tr r="D20" s="30"/>
      </tp>
      <tp t="e">
        <v>#N/A</v>
        <stp/>
        <stp>BDH|2301960940973141534</stp>
        <tr r="Y166" s="18"/>
      </tp>
      <tp t="e">
        <v>#N/A</v>
        <stp/>
        <stp>BDH|9109042635585793606</stp>
        <tr r="H25" s="4"/>
        <tr r="H64" s="10"/>
      </tp>
      <tp t="e">
        <v>#N/A</v>
        <stp/>
        <stp>BDH|6530105690175297206</stp>
        <tr r="L13" s="7"/>
      </tp>
      <tp t="e">
        <v>#N/A</v>
        <stp/>
        <stp>BDH|2288014813673004971</stp>
        <tr r="AA9" s="21"/>
      </tp>
      <tp t="e">
        <v>#N/A</v>
        <stp/>
        <stp>BDH|9789436254471240055</stp>
        <tr r="N7" s="4"/>
      </tp>
      <tp t="e">
        <v>#N/A</v>
        <stp/>
        <stp>BDH|8404439620742111515</stp>
        <tr r="S35" s="4"/>
      </tp>
      <tp t="e">
        <v>#N/A</v>
        <stp/>
        <stp>BDH|9330563655863420330</stp>
        <tr r="J66" s="21"/>
      </tp>
      <tp t="e">
        <v>#N/A</v>
        <stp/>
        <stp>BDH|6217124795020669749</stp>
        <tr r="J14" s="2"/>
        <tr r="J11" s="10"/>
      </tp>
      <tp t="e">
        <v>#N/A</v>
        <stp/>
        <stp>BDH|8954483091945606912</stp>
        <tr r="E76" s="12"/>
      </tp>
      <tp t="e">
        <v>#N/A</v>
        <stp/>
        <stp>BDH|2716369833592690939</stp>
        <tr r="U18" s="20"/>
      </tp>
      <tp t="e">
        <v>#N/A</v>
        <stp/>
        <stp>BDH|3964635042929803176</stp>
        <tr r="I15" s="5"/>
      </tp>
      <tp t="e">
        <v>#N/A</v>
        <stp/>
        <stp>BDH|9355820338892719990</stp>
        <tr r="L15" s="29"/>
        <tr r="L35" s="29"/>
      </tp>
      <tp t="e">
        <v>#N/A</v>
        <stp/>
        <stp>BDH|8493600649133952032</stp>
        <tr r="G59" s="18"/>
      </tp>
      <tp t="e">
        <v>#N/A</v>
        <stp/>
        <stp>BDH|3281370432449934390</stp>
        <tr r="E57" s="11"/>
      </tp>
      <tp t="e">
        <v>#N/A</v>
        <stp/>
        <stp>BDH|7560061246972280808</stp>
        <tr r="C14" s="23"/>
      </tp>
      <tp t="e">
        <v>#N/A</v>
        <stp/>
        <stp>BDH|1814128988422603333</stp>
        <tr r="V32" s="18"/>
      </tp>
      <tp t="e">
        <v>#N/A</v>
        <stp/>
        <stp>BDH|1348503321848095758</stp>
        <tr r="W70" s="12"/>
      </tp>
      <tp t="e">
        <v>#N/A</v>
        <stp/>
        <stp>BDH|9919477805944969068</stp>
        <tr r="V67" s="24"/>
      </tp>
      <tp t="e">
        <v>#N/A</v>
        <stp/>
        <stp>BDH|5285277081282385434</stp>
        <tr r="Y6" s="27"/>
      </tp>
      <tp t="e">
        <v>#N/A</v>
        <stp/>
        <stp>BDH|2021483463088814171</stp>
        <tr r="N44" s="18"/>
      </tp>
      <tp t="e">
        <v>#N/A</v>
        <stp/>
        <stp>BDH|4078617635010629862</stp>
        <tr r="F25" s="17"/>
      </tp>
      <tp t="e">
        <v>#N/A</v>
        <stp/>
        <stp>BDH|9723713836886392270</stp>
        <tr r="G15" s="9"/>
      </tp>
      <tp t="e">
        <v>#N/A</v>
        <stp/>
        <stp>BDH|5243835940233006353</stp>
        <tr r="AA13" s="20"/>
      </tp>
      <tp t="e">
        <v>#N/A</v>
        <stp/>
        <stp>BDH|9574805127423048962</stp>
        <tr r="L18" s="14"/>
      </tp>
      <tp t="e">
        <v>#N/A</v>
        <stp/>
        <stp>BDH|9937136463284958341</stp>
        <tr r="R32" s="22"/>
      </tp>
      <tp t="e">
        <v>#N/A</v>
        <stp/>
        <stp>BDH|3210493697282871504</stp>
        <tr r="D10" s="11"/>
      </tp>
      <tp t="e">
        <v>#N/A</v>
        <stp/>
        <stp>BDH|6998968478277205611</stp>
        <tr r="L31" s="17"/>
      </tp>
      <tp t="e">
        <v>#N/A</v>
        <stp/>
        <stp>BDH|6842233794691934520</stp>
        <tr r="Y13" s="10"/>
      </tp>
      <tp t="e">
        <v>#N/A</v>
        <stp/>
        <stp>BDH|9869455832711249692</stp>
        <tr r="L68" s="10"/>
      </tp>
      <tp t="e">
        <v>#N/A</v>
        <stp/>
        <stp>BDH|7376801416340143704</stp>
        <tr r="I71" s="10"/>
        <tr r="I65" s="11"/>
      </tp>
      <tp t="e">
        <v>#N/A</v>
        <stp/>
        <stp>BDH|7434608722553390912</stp>
        <tr r="F51" s="18"/>
      </tp>
      <tp t="e">
        <v>#N/A</v>
        <stp/>
        <stp>BDH|8072684961779537882</stp>
        <tr r="V50" s="4"/>
      </tp>
      <tp t="e">
        <v>#N/A</v>
        <stp/>
        <stp>BDH|7856297861512746834</stp>
        <tr r="W14" s="20"/>
      </tp>
      <tp t="e">
        <v>#N/A</v>
        <stp/>
        <stp>BDH|2806082897964782644</stp>
        <tr r="R22" s="9"/>
      </tp>
      <tp t="e">
        <v>#N/A</v>
        <stp/>
        <stp>BDH|2620636770328030212</stp>
        <tr r="K53" s="18"/>
      </tp>
      <tp t="e">
        <v>#N/A</v>
        <stp/>
        <stp>BDH|5844348036655752999</stp>
        <tr r="L20" s="10"/>
      </tp>
      <tp t="e">
        <v>#N/A</v>
        <stp/>
        <stp>BDH|8953972018679503078</stp>
        <tr r="Y16" s="2"/>
        <tr r="Y32" s="4"/>
        <tr r="Y61" s="10"/>
        <tr r="AA19" s="13"/>
      </tp>
      <tp t="e">
        <v>#N/A</v>
        <stp/>
        <stp>BDH|2086041291310245237</stp>
        <tr r="M8" s="14"/>
      </tp>
      <tp t="e">
        <v>#N/A</v>
        <stp/>
        <stp>BDH|5638273400059411718</stp>
        <tr r="Y56" s="10"/>
        <tr r="Y50" s="11"/>
        <tr r="Y18" s="7"/>
        <tr r="AA52" s="13"/>
      </tp>
      <tp t="e">
        <v>#N/A</v>
        <stp/>
        <stp>BDH|7083633915441376811</stp>
        <tr r="Y27" s="7"/>
      </tp>
      <tp t="e">
        <v>#N/A</v>
        <stp/>
        <stp>BDH|5707858805564361000</stp>
        <tr r="I27" s="18"/>
      </tp>
      <tp t="e">
        <v>#N/A</v>
        <stp/>
        <stp>BDH|4236361241978713260</stp>
        <tr r="I36" s="17"/>
      </tp>
      <tp t="e">
        <v>#N/A</v>
        <stp/>
        <stp>BDH|5517842355015919498</stp>
        <tr r="F27" s="26"/>
        <tr r="C14" s="9"/>
      </tp>
      <tp t="e">
        <v>#N/A</v>
        <stp/>
        <stp>BDH|4579647225190980994</stp>
        <tr r="F36" s="10"/>
        <tr r="F30" s="11"/>
        <tr r="H39" s="13"/>
      </tp>
      <tp t="e">
        <v>#N/A</v>
        <stp/>
        <stp>BDH|9400019536430321343</stp>
        <tr r="L59" s="12"/>
      </tp>
      <tp t="e">
        <v>#N/A</v>
        <stp/>
        <stp>BDH|9592477728851996770</stp>
        <tr r="Y91" s="17"/>
      </tp>
      <tp t="e">
        <v>#N/A</v>
        <stp/>
        <stp>BDH|2220558931984692945</stp>
        <tr r="M14" s="23"/>
      </tp>
      <tp t="e">
        <v>#N/A</v>
        <stp/>
        <stp>BDH|1987612003549931762</stp>
        <tr r="X31" s="21"/>
      </tp>
      <tp t="e">
        <v>#N/A</v>
        <stp/>
        <stp>BDH|8457035001460574162</stp>
        <tr r="Z153" s="18"/>
      </tp>
      <tp t="e">
        <v>#N/A</v>
        <stp/>
        <stp>BDH|7504936151735125732</stp>
        <tr r="U39" s="24"/>
      </tp>
      <tp t="e">
        <v>#N/A</v>
        <stp/>
        <stp>BDH|3571845845212961487</stp>
        <tr r="R58" s="18"/>
      </tp>
      <tp t="e">
        <v>#N/A</v>
        <stp/>
        <stp>BDH|9796200237611786027</stp>
        <tr r="Y10" s="30"/>
      </tp>
      <tp t="e">
        <v>#N/A</v>
        <stp/>
        <stp>BDH|4655173481211250572</stp>
        <tr r="E57" s="12"/>
      </tp>
      <tp t="e">
        <v>#N/A</v>
        <stp/>
        <stp>BDH|3566335580472775343</stp>
        <tr r="O56" s="18"/>
      </tp>
      <tp t="e">
        <v>#N/A</v>
        <stp/>
        <stp>BDH|4159743551706113903</stp>
        <tr r="AA22" s="25"/>
        <tr r="AA12" s="27"/>
      </tp>
      <tp t="e">
        <v>#N/A</v>
        <stp/>
        <stp>BDH|8607234006141763211</stp>
        <tr r="Y21" s="3"/>
      </tp>
      <tp t="e">
        <v>#N/A</v>
        <stp/>
        <stp>BDH|4525886558500221021</stp>
        <tr r="Q15" s="6"/>
      </tp>
      <tp t="e">
        <v>#N/A</v>
        <stp/>
        <stp>BDH|6273608217859655160</stp>
        <tr r="O32" s="18"/>
      </tp>
      <tp t="e">
        <v>#N/A</v>
        <stp/>
        <stp>BDH|2611852623646385768</stp>
        <tr r="Z74" s="17"/>
      </tp>
      <tp t="e">
        <v>#N/A</v>
        <stp/>
        <stp>BDH|1946883226325798758</stp>
        <tr r="AA74" s="17"/>
      </tp>
      <tp t="e">
        <v>#N/A</v>
        <stp/>
        <stp>BDH|4700624021088681179</stp>
        <tr r="E71" s="10"/>
        <tr r="E65" s="11"/>
      </tp>
      <tp t="e">
        <v>#N/A</v>
        <stp/>
        <stp>BDH|1581128247414133943</stp>
        <tr r="U43" s="12"/>
      </tp>
      <tp t="e">
        <v>#N/A</v>
        <stp/>
        <stp>BDH|2464068141588192776</stp>
        <tr r="U8" s="27"/>
      </tp>
      <tp t="e">
        <v>#N/A</v>
        <stp/>
        <stp>BDH|4090508999653513292</stp>
        <tr r="W71" s="17"/>
      </tp>
      <tp t="e">
        <v>#N/A</v>
        <stp/>
        <stp>BDH|1609510411265042932</stp>
        <tr r="H54" s="12"/>
      </tp>
      <tp t="e">
        <v>#N/A</v>
        <stp/>
        <stp>BDH|2114800384362912994</stp>
        <tr r="F35" s="21"/>
      </tp>
      <tp t="e">
        <v>#N/A</v>
        <stp/>
        <stp>BDH|9144575874667461536</stp>
        <tr r="T59" s="21"/>
        <tr r="R56" s="11"/>
      </tp>
      <tp t="e">
        <v>#N/A</v>
        <stp/>
        <stp>BDH|3078961919656274481</stp>
        <tr r="K50" s="24"/>
      </tp>
      <tp t="e">
        <v>#N/A</v>
        <stp/>
        <stp>BDH|2119978700655614758</stp>
        <tr r="C44" s="18"/>
      </tp>
      <tp t="e">
        <v>#N/A</v>
        <stp/>
        <stp>BDH|4179544488236888600</stp>
        <tr r="R33" s="10"/>
        <tr r="R27" s="11"/>
      </tp>
      <tp t="e">
        <v>#N/A</v>
        <stp/>
        <stp>BDH|9531558152799034976</stp>
        <tr r="G88" s="18"/>
      </tp>
      <tp t="e">
        <v>#N/A</v>
        <stp/>
        <stp>BDH|6589719217689591036</stp>
        <tr r="O38" s="10"/>
        <tr r="O32" s="11"/>
      </tp>
      <tp t="e">
        <v>#N/A</v>
        <stp/>
        <stp>BDH|4784661446367305812</stp>
        <tr r="Y64" s="17"/>
      </tp>
      <tp t="e">
        <v>#N/A</v>
        <stp/>
        <stp>BDH|1836408888735737127</stp>
        <tr r="Y17" s="21"/>
      </tp>
      <tp t="e">
        <v>#N/A</v>
        <stp/>
        <stp>BDH|5007315673551385943</stp>
        <tr r="N16" s="18"/>
      </tp>
      <tp t="e">
        <v>#N/A</v>
        <stp/>
        <stp>BDH|8577861707270672979</stp>
        <tr r="P15" s="17"/>
        <tr r="P18" s="28"/>
      </tp>
      <tp t="e">
        <v>#N/A</v>
        <stp/>
        <stp>BDH|8355164614100622128</stp>
        <tr r="P12" s="13"/>
      </tp>
      <tp t="e">
        <v>#N/A</v>
        <stp/>
        <stp>BDH|5567616626840119863</stp>
        <tr r="U13" s="8"/>
      </tp>
      <tp t="e">
        <v>#N/A</v>
        <stp/>
        <stp>BDH|8898412100405910053</stp>
        <tr r="K30" s="34"/>
      </tp>
      <tp t="e">
        <v>#N/A</v>
        <stp/>
        <stp>BDH|2400997618784141718</stp>
        <tr r="W30" s="24"/>
      </tp>
      <tp t="e">
        <v>#N/A</v>
        <stp/>
        <stp>BDH|4399227790466733035</stp>
        <tr r="Q38" s="10"/>
        <tr r="Q32" s="11"/>
      </tp>
      <tp t="e">
        <v>#N/A</v>
        <stp/>
        <stp>BDH|8750417206970162542</stp>
        <tr r="Z19" s="12"/>
      </tp>
      <tp t="e">
        <v>#N/A</v>
        <stp/>
        <stp>BDH|8811367869852741655</stp>
        <tr r="Y24" s="22"/>
      </tp>
      <tp t="e">
        <v>#N/A</v>
        <stp/>
        <stp>BDH|2996729039909220655</stp>
        <tr r="R28" s="12"/>
      </tp>
      <tp t="e">
        <v>#N/A</v>
        <stp/>
        <stp>BDH|7466836996568138758</stp>
        <tr r="Y9" s="10"/>
      </tp>
      <tp t="e">
        <v>#N/A</v>
        <stp/>
        <stp>BDH|2040933437855379426</stp>
        <tr r="V28" s="22"/>
      </tp>
      <tp t="e">
        <v>#N/A</v>
        <stp/>
        <stp>BDH|9208814481129486933</stp>
        <tr r="C141" s="18"/>
      </tp>
      <tp t="e">
        <v>#N/A</v>
        <stp/>
        <stp>BDH|76253264780753020</stp>
        <tr r="U52" s="24"/>
      </tp>
      <tp t="e">
        <v>#N/A</v>
        <stp/>
        <stp>BDH|62756968026033393</stp>
        <tr r="S7" s="21"/>
      </tp>
      <tp t="e">
        <v>#N/A</v>
        <stp/>
        <stp>BDH|21950694750638428</stp>
        <tr r="U28" s="17"/>
      </tp>
      <tp t="e">
        <v>#N/A</v>
        <stp/>
        <stp>BDH|50795309856653540</stp>
        <tr r="H61" s="21"/>
      </tp>
      <tp t="e">
        <v>#N/A</v>
        <stp/>
        <stp>BDH|18547051951628529</stp>
        <tr r="E21" s="24"/>
      </tp>
      <tp t="e">
        <v>#N/A</v>
        <stp/>
        <stp>BDH|72533860907935061</stp>
        <tr r="T18" s="20"/>
      </tp>
      <tp t="e">
        <v>#N/A</v>
        <stp/>
        <stp>BDH|70294665325138565</stp>
        <tr r="E39" s="4"/>
        <tr r="E65" s="10"/>
      </tp>
      <tp t="e">
        <v>#N/A</v>
        <stp/>
        <stp>BDH|61035921361942731</stp>
        <tr r="I21" s="2"/>
      </tp>
      <tp t="e">
        <v>#N/A</v>
        <stp/>
        <stp>BDH|7160337389631357723</stp>
        <tr r="U67" s="24"/>
      </tp>
      <tp t="e">
        <v>#N/A</v>
        <stp/>
        <stp>BDH|4567507490704850672</stp>
        <tr r="G37" s="10"/>
        <tr r="G31" s="11"/>
        <tr r="I40" s="13"/>
      </tp>
      <tp t="e">
        <v>#N/A</v>
        <stp/>
        <stp>BDH|2721471664783806965</stp>
        <tr r="S22" s="12"/>
      </tp>
      <tp t="e">
        <v>#N/A</v>
        <stp/>
        <stp>BDH|9027104460662821621</stp>
        <tr r="N54" s="17"/>
      </tp>
      <tp t="e">
        <v>#N/A</v>
        <stp/>
        <stp>BDH|8844306481479367003</stp>
        <tr r="M162" s="18"/>
      </tp>
      <tp t="e">
        <v>#N/A</v>
        <stp/>
        <stp>BDH|2716717835745020991</stp>
        <tr r="AA166" s="18"/>
      </tp>
      <tp t="e">
        <v>#N/A</v>
        <stp/>
        <stp>BDH|3615769890100959739</stp>
        <tr r="R36" s="21"/>
      </tp>
      <tp t="e">
        <v>#N/A</v>
        <stp/>
        <stp>BDH|2757997702770241144</stp>
        <tr r="S15" s="9"/>
      </tp>
      <tp t="e">
        <v>#N/A</v>
        <stp/>
        <stp>BDH|3158986513582423341</stp>
        <tr r="S78" s="18"/>
      </tp>
      <tp t="e">
        <v>#N/A</v>
        <stp/>
        <stp>BDH|4114628438438882390</stp>
        <tr r="F7" s="28"/>
      </tp>
      <tp t="e">
        <v>#N/A</v>
        <stp/>
        <stp>BDH|2248186125799628232</stp>
        <tr r="I39" s="22"/>
      </tp>
      <tp t="e">
        <v>#N/A</v>
        <stp/>
        <stp>BDH|9346174098498068366</stp>
        <tr r="M38" s="6"/>
      </tp>
      <tp t="e">
        <v>#N/A</v>
        <stp/>
        <stp>BDH|7579541417390434982</stp>
        <tr r="O22" s="18"/>
      </tp>
      <tp t="e">
        <v>#N/A</v>
        <stp/>
        <stp>BDH|3467842977267936141</stp>
        <tr r="L65" s="18"/>
      </tp>
      <tp t="e">
        <v>#N/A</v>
        <stp/>
        <stp>BDH|5370093817807588923</stp>
        <tr r="J20" s="6"/>
      </tp>
      <tp t="e">
        <v>#N/A</v>
        <stp/>
        <stp>BDH|3941142192984686530</stp>
        <tr r="V52" s="21"/>
      </tp>
      <tp t="e">
        <v>#N/A</v>
        <stp/>
        <stp>BDH|1906805044500606716</stp>
        <tr r="P54" s="17"/>
      </tp>
      <tp t="e">
        <v>#N/A</v>
        <stp/>
        <stp>BDH|7517786365754500879</stp>
        <tr r="N32" s="17"/>
      </tp>
      <tp t="e">
        <v>#N/A</v>
        <stp/>
        <stp>BDH|4659879048014317605</stp>
        <tr r="J30" s="17"/>
      </tp>
      <tp t="e">
        <v>#N/A</v>
        <stp/>
        <stp>BDH|4376979565327341683</stp>
        <tr r="C55" s="17"/>
      </tp>
      <tp t="e">
        <v>#N/A</v>
        <stp/>
        <stp>BDH|9603697822912154561</stp>
        <tr r="C56" s="18"/>
      </tp>
      <tp t="e">
        <v>#N/A</v>
        <stp/>
        <stp>BDH|3531061802561256898</stp>
        <tr r="C48" s="21"/>
      </tp>
      <tp t="e">
        <v>#N/A</v>
        <stp/>
        <stp>BDH|4897240675669414273</stp>
        <tr r="AA7" s="20"/>
      </tp>
      <tp t="e">
        <v>#N/A</v>
        <stp/>
        <stp>BDH|8825965998325493780</stp>
        <tr r="I17" s="5"/>
        <tr r="I24" s="6"/>
      </tp>
      <tp t="e">
        <v>#N/A</v>
        <stp/>
        <stp>BDH|1445916445013367598</stp>
        <tr r="V18" s="5"/>
        <tr r="V30" s="6"/>
      </tp>
      <tp t="e">
        <v>#N/A</v>
        <stp/>
        <stp>BDH|5823605796226781631</stp>
        <tr r="R16" s="26"/>
      </tp>
      <tp t="e">
        <v>#N/A</v>
        <stp/>
        <stp>BDH|4638680357674795940</stp>
        <tr r="I98" s="17"/>
        <tr r="I13" s="28"/>
      </tp>
      <tp t="e">
        <v>#N/A</v>
        <stp/>
        <stp>BDH|6976479206389767157</stp>
        <tr r="L8" s="23"/>
      </tp>
      <tp t="e">
        <v>#N/A</v>
        <stp/>
        <stp>BDH|3929710215478209759</stp>
        <tr r="S52" s="24"/>
      </tp>
      <tp t="e">
        <v>#N/A</v>
        <stp/>
        <stp>BDH|9164826449749516659</stp>
        <tr r="I13" s="21"/>
      </tp>
      <tp t="e">
        <v>#N/A</v>
        <stp/>
        <stp>BDH|8941532364270329179</stp>
        <tr r="H143" s="18"/>
      </tp>
      <tp t="e">
        <v>#N/A</v>
        <stp/>
        <stp>BDH|8446452851905303690</stp>
        <tr r="U33" s="17"/>
      </tp>
      <tp t="e">
        <v>#N/A</v>
        <stp/>
        <stp>BDH|4440914960824708586</stp>
        <tr r="D26" s="10"/>
        <tr r="F31" s="13"/>
      </tp>
      <tp t="e">
        <v>#N/A</v>
        <stp/>
        <stp>BDH|6677001028887073947</stp>
        <tr r="W43" s="13"/>
      </tp>
      <tp t="e">
        <v>#N/A</v>
        <stp/>
        <stp>BDH|2702189805410600963</stp>
        <tr r="T12" s="22"/>
      </tp>
      <tp t="e">
        <v>#N/A</v>
        <stp/>
        <stp>BDH|1352528838045052829</stp>
        <tr r="M154" s="18"/>
      </tp>
      <tp t="e">
        <v>#N/A</v>
        <stp/>
        <stp>BDH|8975043830161506034</stp>
        <tr r="X27" s="17"/>
      </tp>
      <tp t="e">
        <v>#N/A</v>
        <stp/>
        <stp>BDH|6949754483917006448</stp>
        <tr r="N50" s="24"/>
      </tp>
      <tp t="e">
        <v>#N/A</v>
        <stp/>
        <stp>BDH|6545893116467530240</stp>
        <tr r="P28" s="4"/>
      </tp>
      <tp t="e">
        <v>#N/A</v>
        <stp/>
        <stp>BDH|7509489294424052428</stp>
        <tr r="Q164" s="18"/>
      </tp>
      <tp t="e">
        <v>#N/A</v>
        <stp/>
        <stp>BDH|4612368282782091794</stp>
        <tr r="O21" s="21"/>
      </tp>
      <tp t="e">
        <v>#N/A</v>
        <stp/>
        <stp>BDH|5520677291811188196</stp>
        <tr r="Y12" s="12"/>
      </tp>
      <tp t="e">
        <v>#N/A</v>
        <stp/>
        <stp>BDH|2542897462827414118</stp>
        <tr r="H18" s="24"/>
      </tp>
      <tp t="e">
        <v>#N/A</v>
        <stp/>
        <stp>BDH|3608147218300801996</stp>
        <tr r="L43" s="21"/>
      </tp>
      <tp t="e">
        <v>#N/A</v>
        <stp/>
        <stp>BDH|9595187259673994464</stp>
        <tr r="P28" s="25"/>
        <tr r="P18" s="27"/>
      </tp>
      <tp t="e">
        <v>#N/A</v>
        <stp/>
        <stp>BDH|8107995557229320770</stp>
        <tr r="S38" s="18"/>
      </tp>
      <tp t="e">
        <v>#N/A</v>
        <stp/>
        <stp>BDH|9763040565026428391</stp>
        <tr r="R164" s="18"/>
      </tp>
      <tp t="e">
        <v>#N/A</v>
        <stp/>
        <stp>BDH|6725534196435052593</stp>
        <tr r="N67" s="18"/>
      </tp>
      <tp t="e">
        <v>#N/A</v>
        <stp/>
        <stp>BDH|9552094003824791734</stp>
        <tr r="J16" s="12"/>
      </tp>
      <tp t="e">
        <v>#N/A</v>
        <stp/>
        <stp>BDH|3800633295585254374</stp>
        <tr r="O31" s="24"/>
      </tp>
      <tp t="e">
        <v>#N/A</v>
        <stp/>
        <stp>BDH|7981739624378313065</stp>
        <tr r="X18" s="9"/>
      </tp>
      <tp t="e">
        <v>#N/A</v>
        <stp/>
        <stp>BDH|3467997304131669140</stp>
        <tr r="G12" s="30"/>
      </tp>
      <tp t="e">
        <v>#N/A</v>
        <stp/>
        <stp>BDH|9840005706900270376</stp>
        <tr r="E32" s="10"/>
        <tr r="E26" s="11"/>
      </tp>
      <tp t="e">
        <v>#N/A</v>
        <stp/>
        <stp>BDH|8071305969863242407</stp>
        <tr r="AA22" s="18"/>
      </tp>
      <tp t="e">
        <v>#N/A</v>
        <stp/>
        <stp>BDH|7461954568271588371</stp>
        <tr r="O16" s="20"/>
      </tp>
      <tp t="e">
        <v>#N/A</v>
        <stp/>
        <stp>BDH|7922929210760730577</stp>
        <tr r="N8" s="11"/>
      </tp>
      <tp t="e">
        <v>#N/A</v>
        <stp/>
        <stp>BDH|2109899048430317484</stp>
        <tr r="J26" s="18"/>
      </tp>
      <tp t="e">
        <v>#N/A</v>
        <stp/>
        <stp>BDH|7722590606880701842</stp>
        <tr r="L36" s="34"/>
      </tp>
      <tp t="e">
        <v>#N/A</v>
        <stp/>
        <stp>BDH|8836635125972555401</stp>
        <tr r="Q23" s="22"/>
      </tp>
      <tp t="e">
        <v>#N/A</v>
        <stp/>
        <stp>BDH|7294087967802794914</stp>
        <tr r="E28" s="12"/>
      </tp>
      <tp t="e">
        <v>#N/A</v>
        <stp/>
        <stp>BDH|9772759730224112387</stp>
        <tr r="P21" s="5"/>
      </tp>
      <tp t="e">
        <v>#N/A</v>
        <stp/>
        <stp>BDH|6285795962168368510</stp>
        <tr r="O26" s="21"/>
      </tp>
      <tp t="e">
        <v>#N/A</v>
        <stp/>
        <stp>BDH|4894947051444518631</stp>
        <tr r="P18" s="22"/>
      </tp>
      <tp t="e">
        <v>#N/A</v>
        <stp/>
        <stp>BDH|5306371537968117794</stp>
        <tr r="S25" s="2"/>
        <tr r="U62" s="21"/>
      </tp>
      <tp t="e">
        <v>#N/A</v>
        <stp/>
        <stp>BDH|1478346508169459179</stp>
        <tr r="G11" s="7"/>
      </tp>
      <tp t="e">
        <v>#N/A</v>
        <stp/>
        <stp>BDH|3521493305634122939</stp>
        <tr r="Z37" s="22"/>
      </tp>
      <tp t="e">
        <v>#N/A</v>
        <stp/>
        <stp>BDH|7769591780119233979</stp>
        <tr r="F19" s="24"/>
      </tp>
      <tp t="e">
        <v>#N/A</v>
        <stp/>
        <stp>BDH|2998352226839643078</stp>
        <tr r="G30" s="22"/>
      </tp>
      <tp t="e">
        <v>#N/A</v>
        <stp/>
        <stp>BDH|3939285598435919782</stp>
        <tr r="U91" s="17"/>
      </tp>
      <tp t="e">
        <v>#N/A</v>
        <stp/>
        <stp>BDH|4350810020411970537</stp>
        <tr r="X93" s="18"/>
      </tp>
      <tp t="e">
        <v>#N/A</v>
        <stp/>
        <stp>BDH|2640290860599455534</stp>
        <tr r="K43" s="4"/>
      </tp>
      <tp t="e">
        <v>#N/A</v>
        <stp/>
        <stp>BDH|9883080555971516780</stp>
        <tr r="F53" s="24"/>
      </tp>
      <tp t="e">
        <v>#N/A</v>
        <stp/>
        <stp>BDH|7440952598094165900</stp>
        <tr r="K10" s="26"/>
      </tp>
      <tp t="e">
        <v>#N/A</v>
        <stp/>
        <stp>BDH|9059937680661825335</stp>
        <tr r="X17" s="21"/>
      </tp>
      <tp t="e">
        <v>#N/A</v>
        <stp/>
        <stp>BDH|3422032568366229952</stp>
        <tr r="J26" s="26"/>
      </tp>
      <tp t="e">
        <v>#N/A</v>
        <stp/>
        <stp>BDH|6963945345295950497</stp>
        <tr r="J24" s="13"/>
      </tp>
      <tp t="e">
        <v>#N/A</v>
        <stp/>
        <stp>BDH|2605030689600275063</stp>
        <tr r="M22" s="5"/>
      </tp>
      <tp t="e">
        <v>#N/A</v>
        <stp/>
        <stp>BDH|4993213369143885911</stp>
        <tr r="Q28" s="5"/>
      </tp>
      <tp t="e">
        <v>#N/A</v>
        <stp/>
        <stp>BDH|9860641836446217000</stp>
        <tr r="O40" s="29"/>
      </tp>
      <tp t="e">
        <v>#N/A</v>
        <stp/>
        <stp>BDH|1804807534033047346</stp>
        <tr r="K32" s="22"/>
      </tp>
      <tp t="e">
        <v>#N/A</v>
        <stp/>
        <stp>BDH|9157580312244027331</stp>
        <tr r="Z20" s="18"/>
      </tp>
      <tp t="e">
        <v>#N/A</v>
        <stp/>
        <stp>BDH|8208415430060399588</stp>
        <tr r="F34" s="34"/>
      </tp>
      <tp t="e">
        <v>#N/A</v>
        <stp/>
        <stp>BDH|2186880552723207618</stp>
        <tr r="G19" s="22"/>
      </tp>
      <tp t="e">
        <v>#N/A</v>
        <stp/>
        <stp>BDH|9854050173677101374</stp>
        <tr r="T35" s="21"/>
      </tp>
      <tp t="e">
        <v>#N/A</v>
        <stp/>
        <stp>BDH|7334454760136788999</stp>
        <tr r="S93" s="18"/>
      </tp>
      <tp t="e">
        <v>#N/A</v>
        <stp/>
        <stp>BDH|8544095560261247561</stp>
        <tr r="P12" s="22"/>
      </tp>
      <tp t="e">
        <v>#N/A</v>
        <stp/>
        <stp>BDH|5409969444811622385</stp>
        <tr r="U50" s="17"/>
      </tp>
      <tp t="e">
        <v>#N/A</v>
        <stp/>
        <stp>BDH|6395909811250917435</stp>
        <tr r="Q54" s="13"/>
      </tp>
      <tp t="e">
        <v>#N/A</v>
        <stp/>
        <stp>BDH|5660067743988315380</stp>
        <tr r="K9" s="24"/>
      </tp>
      <tp t="e">
        <v>#N/A</v>
        <stp/>
        <stp>BDH|1704420524048181580</stp>
        <tr r="S7" s="24"/>
      </tp>
      <tp t="e">
        <v>#N/A</v>
        <stp/>
        <stp>BDH|9011317397249758099</stp>
        <tr r="Q165" s="18"/>
      </tp>
      <tp t="e">
        <v>#N/A</v>
        <stp/>
        <stp>BDH|4569256724938562694</stp>
        <tr r="X58" s="24"/>
      </tp>
      <tp t="e">
        <v>#N/A</v>
        <stp/>
        <stp>BDH|4414661062959173794</stp>
        <tr r="R19" s="14"/>
      </tp>
      <tp t="e">
        <v>#N/A</v>
        <stp/>
        <stp>BDH|1574569529674705855</stp>
        <tr r="G26" s="29"/>
      </tp>
      <tp t="e">
        <v>#N/A</v>
        <stp/>
        <stp>BDH|2558796837935779942</stp>
        <tr r="G50" s="4"/>
      </tp>
      <tp t="e">
        <v>#N/A</v>
        <stp/>
        <stp>BDH|9965840940957752825</stp>
        <tr r="C97" s="17"/>
        <tr r="C7" s="27"/>
      </tp>
      <tp t="e">
        <v>#N/A</v>
        <stp/>
        <stp>BDH|8151794490959563550</stp>
        <tr r="L70" s="24"/>
      </tp>
      <tp t="e">
        <v>#N/A</v>
        <stp/>
        <stp>BDH|6012866837280830707</stp>
        <tr r="O18" s="30"/>
      </tp>
      <tp t="e">
        <v>#N/A</v>
        <stp/>
        <stp>BDH|3761984473525256272</stp>
        <tr r="V153" s="18"/>
      </tp>
      <tp t="e">
        <v>#N/A</v>
        <stp/>
        <stp>BDH|1869831882623191818</stp>
        <tr r="I159" s="18"/>
      </tp>
      <tp t="e">
        <v>#N/A</v>
        <stp/>
        <stp>BDH|6943997648325872494</stp>
        <tr r="H15" s="4"/>
      </tp>
      <tp t="e">
        <v>#N/A</v>
        <stp/>
        <stp>BDH|7370391593495244225</stp>
        <tr r="I67" s="12"/>
      </tp>
      <tp t="e">
        <v>#N/A</v>
        <stp/>
        <stp>BDH|9953376921362109072</stp>
        <tr r="C62" s="18"/>
      </tp>
      <tp t="e">
        <v>#N/A</v>
        <stp/>
        <stp>BDH|4354668496248344999</stp>
        <tr r="Q52" s="18"/>
      </tp>
      <tp t="e">
        <v>#N/A</v>
        <stp/>
        <stp>BDH|4206992621835282010</stp>
        <tr r="O52" s="4"/>
        <tr r="Q8" s="3"/>
        <tr r="O43" s="10"/>
        <tr r="O37" s="11"/>
        <tr r="Q38" s="13"/>
      </tp>
      <tp t="e">
        <v>#N/A</v>
        <stp/>
        <stp>BDH|6175577517159104193</stp>
        <tr r="V93" s="18"/>
      </tp>
      <tp t="e">
        <v>#N/A</v>
        <stp/>
        <stp>BDH|8861713143890087137</stp>
        <tr r="Y10" s="26"/>
      </tp>
      <tp t="e">
        <v>#N/A</v>
        <stp/>
        <stp>BDH|4984847402641696705</stp>
        <tr r="AA36" s="18"/>
      </tp>
      <tp t="e">
        <v>#N/A</v>
        <stp/>
        <stp>BDH|1876317431568444355</stp>
        <tr r="M41" s="24"/>
      </tp>
      <tp t="e">
        <v>#N/A</v>
        <stp/>
        <stp>BDH|3722580993023357663</stp>
        <tr r="L40" s="29"/>
      </tp>
      <tp t="e">
        <v>#N/A</v>
        <stp/>
        <stp>BDH|9920291614393451391</stp>
        <tr r="K15" s="11"/>
      </tp>
      <tp t="e">
        <v>#N/A</v>
        <stp/>
        <stp>BDH|6303871999534016942</stp>
        <tr r="F10" s="6"/>
      </tp>
      <tp t="e">
        <v>#N/A</v>
        <stp/>
        <stp>BDH|7186971660561622398</stp>
        <tr r="T33" s="21"/>
      </tp>
      <tp t="e">
        <v>#N/A</v>
        <stp/>
        <stp>BDH|8336330311702113293</stp>
        <tr r="O71" s="17"/>
      </tp>
      <tp t="e">
        <v>#N/A</v>
        <stp/>
        <stp>BDH|1516968119137525463</stp>
        <tr r="K38" s="22"/>
      </tp>
      <tp t="e">
        <v>#N/A</v>
        <stp/>
        <stp>BDH|8394242677965923208</stp>
        <tr r="I122" s="18"/>
      </tp>
      <tp t="e">
        <v>#N/A</v>
        <stp/>
        <stp>BDH|6661377580737187096</stp>
        <tr r="R13" s="2"/>
      </tp>
      <tp t="e">
        <v>#N/A</v>
        <stp/>
        <stp>BDH|1876875557121283733</stp>
        <tr r="Y127" s="18"/>
      </tp>
      <tp t="e">
        <v>#N/A</v>
        <stp/>
        <stp>BDH|4094684903549264106</stp>
        <tr r="O53" s="17"/>
      </tp>
      <tp t="e">
        <v>#N/A</v>
        <stp/>
        <stp>BDH|4952093651993923815</stp>
        <tr r="T8" s="22"/>
      </tp>
      <tp t="e">
        <v>#N/A</v>
        <stp/>
        <stp>BDH|6355996915286438229</stp>
        <tr r="P55" s="24"/>
      </tp>
      <tp t="e">
        <v>#N/A</v>
        <stp/>
        <stp>BDH|6605919515262800631</stp>
        <tr r="E17" s="24"/>
      </tp>
      <tp t="e">
        <v>#N/A</v>
        <stp/>
        <stp>BDH|7796251323355926813</stp>
        <tr r="H22" s="11"/>
      </tp>
      <tp t="e">
        <v>#N/A</v>
        <stp/>
        <stp>BDH|8572594455484143619</stp>
        <tr r="C34" s="26"/>
      </tp>
      <tp t="e">
        <v>#N/A</v>
        <stp/>
        <stp>BDH|9549850704799489291</stp>
        <tr r="Y50" s="21"/>
      </tp>
      <tp t="e">
        <v>#N/A</v>
        <stp/>
        <stp>BDH|8164622079151396201</stp>
        <tr r="G41" s="24"/>
      </tp>
      <tp t="e">
        <v>#N/A</v>
        <stp/>
        <stp>BDH|4398374830626423895</stp>
        <tr r="E9" s="23"/>
      </tp>
      <tp t="e">
        <v>#N/A</v>
        <stp/>
        <stp>BDH|6244735935669837158</stp>
        <tr r="E157" s="18"/>
      </tp>
      <tp t="e">
        <v>#N/A</v>
        <stp/>
        <stp>BDH|5603342099982510776</stp>
        <tr r="F23" s="20"/>
      </tp>
      <tp t="e">
        <v>#N/A</v>
        <stp/>
        <stp>BDH|9715358881230309894</stp>
        <tr r="F10" s="24"/>
      </tp>
      <tp t="e">
        <v>#N/A</v>
        <stp/>
        <stp>BDH|3199407110685121995</stp>
        <tr r="X6" s="19"/>
        <tr r="X37" s="17"/>
        <tr r="X16" s="3"/>
      </tp>
      <tp t="e">
        <v>#N/A</v>
        <stp/>
        <stp>BDH|1352160297964275795</stp>
        <tr r="K41" s="12"/>
      </tp>
      <tp t="e">
        <v>#N/A</v>
        <stp/>
        <stp>BDH|3281386305523226939</stp>
        <tr r="T17" s="29"/>
        <tr r="T37" s="29"/>
      </tp>
      <tp t="e">
        <v>#N/A</v>
        <stp/>
        <stp>BDH|1857575680384969285</stp>
        <tr r="G9" s="26"/>
      </tp>
      <tp t="e">
        <v>#N/A</v>
        <stp/>
        <stp>BDH|8763680534537478014</stp>
        <tr r="M26" s="29"/>
      </tp>
      <tp t="e">
        <v>#N/A</v>
        <stp/>
        <stp>BDH|8191550978993202303</stp>
        <tr r="D33" s="12"/>
      </tp>
      <tp t="e">
        <v>#N/A</v>
        <stp/>
        <stp>BDH|6046725884010169395</stp>
        <tr r="E43" s="12"/>
      </tp>
      <tp t="e">
        <v>#N/A</v>
        <stp/>
        <stp>BDH|1162605995702819620</stp>
        <tr r="R31" s="18"/>
      </tp>
      <tp t="e">
        <v>#N/A</v>
        <stp/>
        <stp>BDH|3881997259445592036</stp>
        <tr r="S26" s="26"/>
      </tp>
      <tp t="e">
        <v>#N/A</v>
        <stp/>
        <stp>BDH|8882423554352485144</stp>
        <tr r="Y159" s="18"/>
      </tp>
      <tp t="e">
        <v>#N/A</v>
        <stp/>
        <stp>BDH|3250111094084186588</stp>
        <tr r="N85" s="18"/>
      </tp>
      <tp t="e">
        <v>#N/A</v>
        <stp/>
        <stp>BDH|1303705939067729830</stp>
        <tr r="Q31" s="12"/>
      </tp>
      <tp t="e">
        <v>#N/A</v>
        <stp/>
        <stp>BDH|5022748628773382912</stp>
        <tr r="E7" s="8"/>
      </tp>
      <tp t="e">
        <v>#N/A</v>
        <stp/>
        <stp>BDH|8947338851807277374</stp>
        <tr r="E60" s="11"/>
        <tr r="G15" s="23"/>
      </tp>
      <tp t="e">
        <v>#N/A</v>
        <stp/>
        <stp>BDH|2938887020027762584</stp>
        <tr r="N97" s="17"/>
        <tr r="N7" s="27"/>
      </tp>
      <tp t="e">
        <v>#N/A</v>
        <stp/>
        <stp>BDH|4020764649794225935</stp>
        <tr r="W27" s="25"/>
        <tr r="T14" s="5"/>
        <tr r="W17" s="27"/>
      </tp>
      <tp t="e">
        <v>#N/A</v>
        <stp/>
        <stp>BDH|1967404966938135101</stp>
        <tr r="M69" s="10"/>
        <tr r="M63" s="11"/>
        <tr r="M20" s="7"/>
      </tp>
      <tp t="e">
        <v>#N/A</v>
        <stp/>
        <stp>BDH|4279906909055180241</stp>
        <tr r="U14" s="18"/>
      </tp>
      <tp t="e">
        <v>#N/A</v>
        <stp/>
        <stp>BDH|4662717299304085402</stp>
        <tr r="O57" s="17"/>
        <tr r="O10" s="25"/>
      </tp>
      <tp t="e">
        <v>#N/A</v>
        <stp/>
        <stp>BDH|5996999423270525488</stp>
        <tr r="H18" s="13"/>
      </tp>
      <tp t="e">
        <v>#N/A</v>
        <stp/>
        <stp>BDH|1163695560828070367</stp>
        <tr r="X32" s="22"/>
      </tp>
      <tp t="e">
        <v>#N/A</v>
        <stp/>
        <stp>BDH|1875443285353185464</stp>
        <tr r="C49" s="21"/>
      </tp>
      <tp t="e">
        <v>#N/A</v>
        <stp/>
        <stp>BDH|4191845115152632585</stp>
        <tr r="V164" s="18"/>
      </tp>
      <tp t="e">
        <v>#N/A</v>
        <stp/>
        <stp>BDH|7665827669922254117</stp>
        <tr r="C104" s="18"/>
      </tp>
      <tp t="e">
        <v>#N/A</v>
        <stp/>
        <stp>BDH|5853394180765689194</stp>
        <tr r="F93" s="17"/>
      </tp>
      <tp t="e">
        <v>#N/A</v>
        <stp/>
        <stp>BDH|9770714031883106481</stp>
        <tr r="I152" s="18"/>
      </tp>
      <tp t="e">
        <v>#N/A</v>
        <stp/>
        <stp>BDH|3306751022999317593</stp>
        <tr r="M41" s="13"/>
      </tp>
      <tp t="e">
        <v>#N/A</v>
        <stp/>
        <stp>BDH|3342703921968435487</stp>
        <tr r="K34" s="22"/>
      </tp>
      <tp t="e">
        <v>#N/A</v>
        <stp/>
        <stp>BDH|9403099734938547829</stp>
        <tr r="V12" s="30"/>
      </tp>
      <tp t="e">
        <v>#N/A</v>
        <stp/>
        <stp>BDH|9188499147582918188</stp>
        <tr r="H129" s="18"/>
      </tp>
      <tp t="e">
        <v>#N/A</v>
        <stp/>
        <stp>BDH|1772785557620427929</stp>
        <tr r="H45" s="12"/>
      </tp>
      <tp t="e">
        <v>#N/A</v>
        <stp/>
        <stp>BDH|2782390690082515056</stp>
        <tr r="M66" s="17"/>
      </tp>
      <tp t="e">
        <v>#N/A</v>
        <stp/>
        <stp>BDH|1399344572576900927</stp>
        <tr r="V17" s="6"/>
      </tp>
      <tp t="e">
        <v>#N/A</v>
        <stp/>
        <stp>BDH|8053294477944519357</stp>
        <tr r="S20" s="27"/>
      </tp>
      <tp t="e">
        <v>#N/A</v>
        <stp/>
        <stp>BDH|1809281888442342340</stp>
        <tr r="C8" s="11"/>
      </tp>
      <tp t="e">
        <v>#N/A</v>
        <stp/>
        <stp>BDH|7598968819856182340</stp>
        <tr r="X31" s="18"/>
      </tp>
      <tp t="e">
        <v>#N/A</v>
        <stp/>
        <stp>BDH|1138521356049278287</stp>
        <tr r="X18" s="20"/>
      </tp>
      <tp t="e">
        <v>#N/A</v>
        <stp/>
        <stp>BDH|7144830259549015942</stp>
        <tr r="D44" s="17"/>
      </tp>
      <tp t="e">
        <v>#N/A</v>
        <stp/>
        <stp>BDH|1870809982733728829</stp>
        <tr r="N69" s="17"/>
      </tp>
      <tp t="e">
        <v>#N/A</v>
        <stp/>
        <stp>BDH|5683670690170847068</stp>
        <tr r="Z51" s="18"/>
      </tp>
      <tp t="e">
        <v>#N/A</v>
        <stp/>
        <stp>BDH|9188048025730766184</stp>
        <tr r="J28" s="10"/>
        <tr r="L33" s="13"/>
      </tp>
      <tp t="e">
        <v>#N/A</v>
        <stp/>
        <stp>BDH|3770871076416119086</stp>
        <tr r="K55" s="12"/>
      </tp>
      <tp t="e">
        <v>#N/A</v>
        <stp/>
        <stp>BDH|6443144939947459928</stp>
        <tr r="O17" s="14"/>
      </tp>
      <tp t="e">
        <v>#N/A</v>
        <stp/>
        <stp>BDH|9766636344849950869</stp>
        <tr r="V22" s="17"/>
      </tp>
      <tp t="e">
        <v>#N/A</v>
        <stp/>
        <stp>BDH|8284699815677171204</stp>
        <tr r="D15" s="23"/>
      </tp>
      <tp t="e">
        <v>#N/A</v>
        <stp/>
        <stp>BDH|5596258696262045690</stp>
        <tr r="I7" s="14"/>
      </tp>
      <tp t="e">
        <v>#N/A</v>
        <stp/>
        <stp>BDH|7762882900472177710</stp>
        <tr r="Y66" s="21"/>
      </tp>
      <tp t="e">
        <v>#N/A</v>
        <stp/>
        <stp>BDH|1321948116842852161</stp>
        <tr r="O6" s="2"/>
        <tr r="N6" s="5"/>
        <tr r="N6" s="9"/>
        <tr r="P12" s="8"/>
        <tr r="Q10" s="29"/>
        <tr r="Q19" s="29"/>
        <tr r="Q25" s="29"/>
      </tp>
      <tp t="e">
        <v>#N/A</v>
        <stp/>
        <stp>BDH|7299701997722993130</stp>
        <tr r="N45" s="12"/>
      </tp>
      <tp t="e">
        <v>#N/A</v>
        <stp/>
        <stp>BDH|5865868887429540638</stp>
        <tr r="V22" s="7"/>
      </tp>
      <tp t="e">
        <v>#N/A</v>
        <stp/>
        <stp>BDH|8177598787496632961</stp>
        <tr r="X14" s="18"/>
      </tp>
      <tp t="e">
        <v>#N/A</v>
        <stp/>
        <stp>BDH|5698311030069128691</stp>
        <tr r="C32" s="10"/>
        <tr r="C26" s="11"/>
      </tp>
      <tp t="e">
        <v>#N/A</v>
        <stp/>
        <stp>BDH|9800740204132586622</stp>
        <tr r="R65" s="17"/>
      </tp>
      <tp t="e">
        <v>#N/A</v>
        <stp/>
        <stp>BDH|5752415224709980044</stp>
        <tr r="Y12" s="22"/>
      </tp>
      <tp t="e">
        <v>#N/A</v>
        <stp/>
        <stp>BDH|5102189906067532951</stp>
        <tr r="L69" s="12"/>
      </tp>
      <tp t="e">
        <v>#N/A</v>
        <stp/>
        <stp>BDH|1041902557615189292</stp>
        <tr r="W68" s="17"/>
      </tp>
      <tp t="e">
        <v>#N/A</v>
        <stp/>
        <stp>BDH|6225002583206679288</stp>
        <tr r="R23" s="10"/>
      </tp>
      <tp t="e">
        <v>#N/A</v>
        <stp/>
        <stp>BDH|9910164354170215769</stp>
        <tr r="L41" s="13"/>
      </tp>
      <tp t="e">
        <v>#N/A</v>
        <stp/>
        <stp>BDH|9568588658480263383</stp>
        <tr r="N21" s="20"/>
      </tp>
      <tp t="e">
        <v>#N/A</v>
        <stp/>
        <stp>BDH|8486545832934932049</stp>
        <tr r="N17" s="17"/>
        <tr r="N20" s="28"/>
      </tp>
      <tp t="e">
        <v>#N/A</v>
        <stp/>
        <stp>BDH|6791164181505678091</stp>
        <tr r="X16" s="23"/>
      </tp>
      <tp t="e">
        <v>#N/A</v>
        <stp/>
        <stp>BDH|5957442382273339038</stp>
        <tr r="X9" s="6"/>
      </tp>
      <tp t="e">
        <v>#N/A</v>
        <stp/>
        <stp>BDH|6986931831592185465</stp>
        <tr r="Q25" s="18"/>
      </tp>
      <tp t="e">
        <v>#N/A</v>
        <stp/>
        <stp>BDH|9828287654985999114</stp>
        <tr r="I33" s="22"/>
      </tp>
      <tp t="e">
        <v>#N/A</v>
        <stp/>
        <stp>BDH|5271005670380885868</stp>
        <tr r="E45" s="17"/>
        <tr r="E9" s="25"/>
      </tp>
      <tp t="e">
        <v>#N/A</v>
        <stp/>
        <stp>BDH|9535575764694280489</stp>
        <tr r="Y29" s="24"/>
      </tp>
      <tp t="e">
        <v>#N/A</v>
        <stp/>
        <stp>BDH|9415369769935515323</stp>
        <tr r="M107" s="18"/>
        <tr r="K7" s="20"/>
      </tp>
      <tp t="e">
        <v>#N/A</v>
        <stp/>
        <stp>BDH|9415226466610420780</stp>
        <tr r="L10" s="24"/>
      </tp>
      <tp t="e">
        <v>#N/A</v>
        <stp/>
        <stp>BDH|1940680367529340297</stp>
        <tr r="C19" s="14"/>
      </tp>
      <tp t="e">
        <v>#N/A</v>
        <stp/>
        <stp>BDH|1616441218627705912</stp>
        <tr r="N19" s="12"/>
      </tp>
      <tp t="e">
        <v>#N/A</v>
        <stp/>
        <stp>BDH|9926860391210117236</stp>
        <tr r="O8" s="17"/>
      </tp>
      <tp t="e">
        <v>#N/A</v>
        <stp/>
        <stp>BDH|9828419964876539746</stp>
        <tr r="K12" s="17"/>
      </tp>
      <tp t="e">
        <v>#N/A</v>
        <stp/>
        <stp>BDH|2133078280369839922</stp>
        <tr r="Y45" s="13"/>
      </tp>
      <tp t="e">
        <v>#N/A</v>
        <stp/>
        <stp>BDH|2028214059936063940</stp>
        <tr r="W13" s="17"/>
        <tr r="W16" s="28"/>
      </tp>
      <tp t="e">
        <v>#N/A</v>
        <stp/>
        <stp>BDH|3583717549039850392</stp>
        <tr r="O12" s="22"/>
      </tp>
      <tp t="e">
        <v>#N/A</v>
        <stp/>
        <stp>BDH|1901628199126701291</stp>
        <tr r="O36" s="4"/>
      </tp>
      <tp t="e">
        <v>#N/A</v>
        <stp/>
        <stp>BDH|6529812394588596597</stp>
        <tr r="H15" s="13"/>
      </tp>
      <tp t="e">
        <v>#N/A</v>
        <stp/>
        <stp>BDH|7791576885640960004</stp>
        <tr r="O35" s="17"/>
      </tp>
      <tp t="e">
        <v>#N/A</v>
        <stp/>
        <stp>BDH|5995207665249569251</stp>
        <tr r="C17" s="5"/>
        <tr r="C24" s="6"/>
      </tp>
      <tp t="e">
        <v>#N/A</v>
        <stp/>
        <stp>BDH|2887312669895900859</stp>
        <tr r="Z24" s="20"/>
      </tp>
      <tp t="e">
        <v>#N/A</v>
        <stp/>
        <stp>BDH|2754225899877202423</stp>
        <tr r="M17" s="12"/>
      </tp>
      <tp t="e">
        <v>#N/A</v>
        <stp/>
        <stp>BDH|4837262700789057529</stp>
        <tr r="W7" s="23"/>
      </tp>
      <tp t="e">
        <v>#N/A</v>
        <stp/>
        <stp>BDH|1854319104061568940</stp>
        <tr r="P10" s="13"/>
      </tp>
      <tp t="e">
        <v>#N/A</v>
        <stp/>
        <stp>BDH|8338927178604202878</stp>
        <tr r="V24" s="29"/>
      </tp>
      <tp t="e">
        <v>#N/A</v>
        <stp/>
        <stp>BDH|6460812976445742689</stp>
        <tr r="Q35" s="4"/>
      </tp>
      <tp t="e">
        <v>#N/A</v>
        <stp/>
        <stp>BDH|3841343977864222951</stp>
        <tr r="Q46" s="18"/>
      </tp>
      <tp t="e">
        <v>#N/A</v>
        <stp/>
        <stp>BDH|9446373818685560428</stp>
        <tr r="V62" s="18"/>
      </tp>
      <tp t="e">
        <v>#N/A</v>
        <stp/>
        <stp>BDH|1180859467985969060</stp>
        <tr r="C65" s="24"/>
      </tp>
      <tp t="e">
        <v>#N/A</v>
        <stp/>
        <stp>BDH|3537399562219065520</stp>
        <tr r="O68" s="10"/>
      </tp>
      <tp t="e">
        <v>#N/A</v>
        <stp/>
        <stp>BDH|9717249717988085887</stp>
        <tr r="G39" s="10"/>
        <tr r="G33" s="11"/>
      </tp>
      <tp t="e">
        <v>#N/A</v>
        <stp/>
        <stp>BDH|3608383613749595243</stp>
        <tr r="E149" s="18"/>
      </tp>
      <tp t="e">
        <v>#N/A</v>
        <stp/>
        <stp>BDH|1642958811944924779</stp>
        <tr r="Q12" s="13"/>
      </tp>
      <tp t="e">
        <v>#N/A</v>
        <stp/>
        <stp>BDH|9150289371847343161</stp>
        <tr r="C8" s="10"/>
      </tp>
      <tp t="e">
        <v>#N/A</v>
        <stp/>
        <stp>BDH|5274974069948191803</stp>
        <tr r="Q11" s="24"/>
      </tp>
      <tp t="e">
        <v>#N/A</v>
        <stp/>
        <stp>BDH|6712944215017300385</stp>
        <tr r="S35" s="21"/>
      </tp>
      <tp t="e">
        <v>#N/A</v>
        <stp/>
        <stp>BDH|1121687381667567205</stp>
        <tr r="P31" s="26"/>
      </tp>
      <tp t="e">
        <v>#N/A</v>
        <stp/>
        <stp>BDH|2373883510855076468</stp>
        <tr r="P42" s="22"/>
      </tp>
      <tp t="e">
        <v>#N/A</v>
        <stp/>
        <stp>BDH|4569163067361129887</stp>
        <tr r="D24" s="25"/>
        <tr r="D14" s="27"/>
      </tp>
      <tp t="e">
        <v>#N/A</v>
        <stp/>
        <stp>BDH|3873431432377344973</stp>
        <tr r="Z64" s="21"/>
      </tp>
      <tp t="e">
        <v>#N/A</v>
        <stp/>
        <stp>BDH|1326736224458874615</stp>
        <tr r="C42" s="10"/>
        <tr r="C36" s="11"/>
      </tp>
      <tp t="e">
        <v>#N/A</v>
        <stp/>
        <stp>BDH|3366785689416674092</stp>
        <tr r="O27" s="25"/>
        <tr r="L14" s="5"/>
        <tr r="O17" s="27"/>
      </tp>
      <tp t="e">
        <v>#N/A</v>
        <stp/>
        <stp>BDH|6957972176443621133</stp>
        <tr r="K39" s="4"/>
        <tr r="K65" s="10"/>
      </tp>
      <tp t="e">
        <v>#N/A</v>
        <stp/>
        <stp>BDH|5154660998428426861</stp>
        <tr r="X38" s="4"/>
        <tr r="X59" s="11"/>
        <tr r="Z13" s="23"/>
      </tp>
      <tp t="e">
        <v>#N/A</v>
        <stp/>
        <stp>BDH|6262675835691425892</stp>
        <tr r="N40" s="21"/>
      </tp>
      <tp t="e">
        <v>#N/A</v>
        <stp/>
        <stp>BDH|8835070743625537343</stp>
        <tr r="C11" s="21"/>
      </tp>
      <tp t="e">
        <v>#N/A</v>
        <stp/>
        <stp>BDH|7521403389799672874</stp>
        <tr r="D20" s="5"/>
        <tr r="D20" s="9"/>
      </tp>
      <tp t="e">
        <v>#N/A</v>
        <stp/>
        <stp>BDH|9801785142942896271</stp>
        <tr r="N22" s="30"/>
        <tr r="N25" s="23"/>
      </tp>
      <tp t="e">
        <v>#N/A</v>
        <stp/>
        <stp>BDH|7993922120937145170</stp>
        <tr r="D35" s="34"/>
      </tp>
      <tp t="e">
        <v>#N/A</v>
        <stp/>
        <stp>BDH|7890079285050061570</stp>
        <tr r="Y59" s="17"/>
      </tp>
      <tp t="e">
        <v>#N/A</v>
        <stp/>
        <stp>BDH|7663232414118931650</stp>
        <tr r="K8" s="27"/>
      </tp>
      <tp t="e">
        <v>#N/A</v>
        <stp/>
        <stp>BDH|8881424703220485600</stp>
        <tr r="F127" s="18"/>
      </tp>
      <tp t="e">
        <v>#N/A</v>
        <stp/>
        <stp>BDH|7464928991914380999</stp>
        <tr r="L21" s="3"/>
      </tp>
      <tp t="e">
        <v>#N/A</v>
        <stp/>
        <stp>BDH|3884113994227380637</stp>
        <tr r="E35" s="10"/>
        <tr r="E47" s="10"/>
        <tr r="E29" s="11"/>
        <tr r="E41" s="11"/>
      </tp>
      <tp t="e">
        <v>#N/A</v>
        <stp/>
        <stp>BDH|2121425758341084864</stp>
        <tr r="AA50" s="13"/>
      </tp>
      <tp t="e">
        <v>#N/A</v>
        <stp/>
        <stp>BDH|2187865779542253515</stp>
        <tr r="I10" s="4"/>
        <tr r="H6" s="16"/>
        <tr r="K6" s="3"/>
        <tr r="I6" s="11"/>
      </tp>
      <tp t="e">
        <v>#N/A</v>
        <stp/>
        <stp>BDH|8486372446183133690</stp>
        <tr r="H110" s="18"/>
        <tr r="F11" s="20"/>
      </tp>
      <tp t="e">
        <v>#N/A</v>
        <stp/>
        <stp>BDH|6359372899721408748</stp>
        <tr r="M15" s="9"/>
      </tp>
      <tp t="e">
        <v>#N/A</v>
        <stp/>
        <stp>BDH|7321068599694379021</stp>
        <tr r="H20" s="11"/>
      </tp>
      <tp t="e">
        <v>#N/A</v>
        <stp/>
        <stp>BDH|7382932144202108282</stp>
        <tr r="AA17" s="21"/>
      </tp>
      <tp t="e">
        <v>#N/A</v>
        <stp/>
        <stp>BDH|1895624189655976071</stp>
        <tr r="W11" s="22"/>
      </tp>
      <tp t="e">
        <v>#N/A</v>
        <stp/>
        <stp>BDH|3077181188377802758</stp>
        <tr r="U15" s="29"/>
        <tr r="U35" s="29"/>
      </tp>
      <tp t="e">
        <v>#N/A</v>
        <stp/>
        <stp>BDH|8666526751770125298</stp>
        <tr r="C36" s="34"/>
      </tp>
      <tp t="e">
        <v>#N/A</v>
        <stp/>
        <stp>BDH|6847776260914138935</stp>
        <tr r="P68" s="17"/>
      </tp>
      <tp t="e">
        <v>#N/A</v>
        <stp/>
        <stp>BDH|6812449066047031977</stp>
        <tr r="O119" s="18"/>
      </tp>
      <tp t="e">
        <v>#N/A</v>
        <stp/>
        <stp>BDH|3733772125128091485</stp>
        <tr r="C17" s="6"/>
      </tp>
      <tp t="e">
        <v>#N/A</v>
        <stp/>
        <stp>BDH|4600039919696132900</stp>
        <tr r="I34" s="22"/>
      </tp>
      <tp t="e">
        <v>#N/A</v>
        <stp/>
        <stp>BDH|2489081382891740149</stp>
        <tr r="F163" s="18"/>
      </tp>
      <tp t="e">
        <v>#N/A</v>
        <stp/>
        <stp>BDH|6780524764297435882</stp>
        <tr r="U45" s="24"/>
      </tp>
      <tp t="e">
        <v>#N/A</v>
        <stp/>
        <stp>BDH|9312593057925241621</stp>
        <tr r="Z8" s="14"/>
      </tp>
      <tp t="e">
        <v>#N/A</v>
        <stp/>
        <stp>BDH|8803250430875993660</stp>
        <tr r="L48" s="21"/>
      </tp>
      <tp t="e">
        <v>#N/A</v>
        <stp/>
        <stp>BDH|8634071021012559276</stp>
        <tr r="Y9" s="26"/>
      </tp>
      <tp t="e">
        <v>#N/A</v>
        <stp/>
        <stp>BDH|6137288276850429990</stp>
        <tr r="V121" s="18"/>
      </tp>
      <tp t="e">
        <v>#N/A</v>
        <stp/>
        <stp>BDH|3710653748543919817</stp>
        <tr r="Y28" s="17"/>
      </tp>
      <tp t="e">
        <v>#N/A</v>
        <stp/>
        <stp>BDH|6605453810611626876</stp>
        <tr r="G96" s="18"/>
      </tp>
      <tp t="e">
        <v>#N/A</v>
        <stp/>
        <stp>BDH|7406062184450419506</stp>
        <tr r="O58" s="17"/>
      </tp>
      <tp t="e">
        <v>#N/A</v>
        <stp/>
        <stp>BDH|3061932294078532102</stp>
        <tr r="C62" s="11"/>
      </tp>
      <tp t="e">
        <v>#N/A</v>
        <stp/>
        <stp>BDH|7795163360193789946</stp>
        <tr r="J42" s="12"/>
      </tp>
      <tp t="e">
        <v>#N/A</v>
        <stp/>
        <stp>BDH|1680305093047198661</stp>
        <tr r="J26" s="24"/>
      </tp>
      <tp t="e">
        <v>#N/A</v>
        <stp/>
        <stp>BDH|8852059525208239888</stp>
        <tr r="X14" s="17"/>
        <tr r="X17" s="28"/>
      </tp>
      <tp t="e">
        <v>#N/A</v>
        <stp/>
        <stp>BDH|7103926925280412601</stp>
        <tr r="V11" s="22"/>
      </tp>
      <tp t="e">
        <v>#N/A</v>
        <stp/>
        <stp>BDH|1549806581878098367</stp>
        <tr r="X46" s="12"/>
      </tp>
      <tp t="e">
        <v>#N/A</v>
        <stp/>
        <stp>BDH|1623889168547382271</stp>
        <tr r="I29" s="29"/>
        <tr r="I7" s="29"/>
      </tp>
      <tp t="e">
        <v>#N/A</v>
        <stp/>
        <stp>BDH|9098992435098845168</stp>
        <tr r="S18" s="17"/>
      </tp>
      <tp t="e">
        <v>#N/A</v>
        <stp/>
        <stp>BDH|8137035625870094050</stp>
        <tr r="N73" s="12"/>
      </tp>
      <tp t="e">
        <v>#N/A</v>
        <stp/>
        <stp>BDH|9361073342496541112</stp>
        <tr r="D141" s="18"/>
      </tp>
      <tp t="e">
        <v>#N/A</v>
        <stp/>
        <stp>BDH|3380728219019837625</stp>
        <tr r="Q71" s="12"/>
      </tp>
      <tp t="e">
        <v>#N/A</v>
        <stp/>
        <stp>BDH|3071807272075079301</stp>
        <tr r="D24" s="22"/>
      </tp>
      <tp t="e">
        <v>#N/A</v>
        <stp/>
        <stp>BDH|3474272596384067676</stp>
        <tr r="T8" s="11"/>
      </tp>
      <tp t="e">
        <v>#N/A</v>
        <stp/>
        <stp>BDH|8744415277576395704</stp>
        <tr r="C74" s="18"/>
      </tp>
      <tp t="e">
        <v>#N/A</v>
        <stp/>
        <stp>BDH|1040302762337157919</stp>
        <tr r="Q22" s="7"/>
      </tp>
      <tp t="e">
        <v>#N/A</v>
        <stp/>
        <stp>BDH|3738098690386940657</stp>
        <tr r="W24" s="20"/>
      </tp>
      <tp t="e">
        <v>#N/A</v>
        <stp/>
        <stp>BDH|9809060850220512699</stp>
        <tr r="AA33" s="18"/>
      </tp>
      <tp t="e">
        <v>#N/A</v>
        <stp/>
        <stp>BDH|2369636735898247553</stp>
        <tr r="V7" s="28"/>
      </tp>
      <tp t="e">
        <v>#N/A</v>
        <stp/>
        <stp>BDH|4178332191553981787</stp>
        <tr r="S37" s="12"/>
      </tp>
      <tp t="e">
        <v>#N/A</v>
        <stp/>
        <stp>BDH|8026318564542329542</stp>
        <tr r="H39" s="24"/>
      </tp>
      <tp t="e">
        <v>#N/A</v>
        <stp/>
        <stp>BDH|2789167191392446279</stp>
        <tr r="Q65" s="21"/>
        <tr r="O23" s="7"/>
      </tp>
      <tp t="e">
        <v>#N/A</v>
        <stp/>
        <stp>BDH|2409861371166581159</stp>
        <tr r="I54" s="17"/>
      </tp>
      <tp t="e">
        <v>#N/A</v>
        <stp/>
        <stp>BDH|9658447091748315635</stp>
        <tr r="S119" s="18"/>
      </tp>
      <tp t="e">
        <v>#N/A</v>
        <stp/>
        <stp>BDH|2698355032308490066</stp>
        <tr r="S18" s="14"/>
      </tp>
      <tp t="e">
        <v>#N/A</v>
        <stp/>
        <stp>BDH|8524326224167409445</stp>
        <tr r="F30" s="12"/>
      </tp>
      <tp t="e">
        <v>#N/A</v>
        <stp/>
        <stp>BDH|7257111086703551735</stp>
        <tr r="E66" s="10"/>
      </tp>
      <tp t="e">
        <v>#N/A</v>
        <stp/>
        <stp>BDH|6897402958859286418</stp>
        <tr r="O17" s="9"/>
      </tp>
      <tp t="e">
        <v>#N/A</v>
        <stp/>
        <stp>BDH|9799068651800787642</stp>
        <tr r="V44" s="24"/>
      </tp>
      <tp t="e">
        <v>#N/A</v>
        <stp/>
        <stp>BDH|1629439370281486923</stp>
        <tr r="O17" s="11"/>
      </tp>
      <tp t="e">
        <v>#N/A</v>
        <stp/>
        <stp>BDH|3486510694927054226</stp>
        <tr r="R21" s="10"/>
      </tp>
      <tp t="e">
        <v>#N/A</v>
        <stp/>
        <stp>BDH|6379242084487136110</stp>
        <tr r="X105" s="18"/>
      </tp>
      <tp t="e">
        <v>#N/A</v>
        <stp/>
        <stp>BDH|1307774801475324950</stp>
        <tr r="C35" s="18"/>
      </tp>
      <tp t="e">
        <v>#N/A</v>
        <stp/>
        <stp>BDH|6502763116728797218</stp>
        <tr r="J49" s="12"/>
      </tp>
      <tp t="e">
        <v>#N/A</v>
        <stp/>
        <stp>BDH|1108055566144610970</stp>
        <tr r="I99" s="18"/>
      </tp>
      <tp t="e">
        <v>#N/A</v>
        <stp/>
        <stp>BDH|2388138835339702317</stp>
        <tr r="E33" s="6"/>
        <tr r="G9" s="8"/>
      </tp>
      <tp t="e">
        <v>#N/A</v>
        <stp/>
        <stp>BDH|2544567117685530922</stp>
        <tr r="W18" s="13"/>
      </tp>
      <tp t="e">
        <v>#N/A</v>
        <stp/>
        <stp>BDH|3604434565722039934</stp>
        <tr r="X58" s="21"/>
        <tr r="X33" s="25"/>
        <tr r="V31" s="4"/>
        <tr r="V55" s="11"/>
      </tp>
      <tp t="e">
        <v>#N/A</v>
        <stp/>
        <stp>BDH|6906239873278385194</stp>
        <tr r="F50" s="21"/>
      </tp>
      <tp t="e">
        <v>#N/A</v>
        <stp/>
        <stp>BDH|8666167077205637126</stp>
        <tr r="L16" s="11"/>
      </tp>
      <tp t="e">
        <v>#N/A</v>
        <stp/>
        <stp>BDH|6533193988977158265</stp>
        <tr r="R51" s="17"/>
      </tp>
      <tp t="e">
        <v>#N/A</v>
        <stp/>
        <stp>BDH|8213985399855415744</stp>
        <tr r="X92" s="17"/>
      </tp>
      <tp t="e">
        <v>#N/A</v>
        <stp/>
        <stp>BDH|3562316212533690835</stp>
        <tr r="I36" s="12"/>
      </tp>
      <tp t="e">
        <v>#N/A</v>
        <stp/>
        <stp>BDH|1220553359983966847</stp>
        <tr r="AA59" s="24"/>
      </tp>
      <tp t="e">
        <v>#N/A</v>
        <stp/>
        <stp>BDH|9532128774695664062</stp>
        <tr r="G40" s="18"/>
      </tp>
      <tp t="e">
        <v>#N/A</v>
        <stp/>
        <stp>BDH|7888912654419669880</stp>
        <tr r="T58" s="24"/>
      </tp>
      <tp t="e">
        <v>#N/A</v>
        <stp/>
        <stp>BDH|1934306768817403965</stp>
        <tr r="P27" s="5"/>
        <tr r="P27" s="9"/>
      </tp>
      <tp t="e">
        <v>#N/A</v>
        <stp/>
        <stp>BDH|8401397314998877822</stp>
        <tr r="X16" s="14"/>
      </tp>
      <tp t="e">
        <v>#N/A</v>
        <stp/>
        <stp>BDH|9607884889847511417</stp>
        <tr r="E18" s="9"/>
      </tp>
      <tp t="e">
        <v>#N/A</v>
        <stp/>
        <stp>BDH|2018463739958428784</stp>
        <tr r="G95" s="18"/>
      </tp>
      <tp t="e">
        <v>#N/A</v>
        <stp/>
        <stp>BDH|8793733201371464422</stp>
        <tr r="Q149" s="18"/>
      </tp>
      <tp t="e">
        <v>#N/A</v>
        <stp/>
        <stp>BDH|3386541535719759666</stp>
        <tr r="L58" s="24"/>
      </tp>
      <tp t="e">
        <v>#N/A</v>
        <stp/>
        <stp>BDH|1713572043032974898</stp>
        <tr r="L29" s="4"/>
      </tp>
      <tp t="e">
        <v>#N/A</v>
        <stp/>
        <stp>BDH|2297057085645167502</stp>
        <tr r="X60" s="11"/>
        <tr r="Z15" s="23"/>
      </tp>
      <tp t="e">
        <v>#N/A</v>
        <stp/>
        <stp>BDH|7953427728123177818</stp>
        <tr r="W9" s="3"/>
        <tr r="U50" s="10"/>
        <tr r="U44" s="11"/>
        <tr r="U14" s="7"/>
      </tp>
      <tp t="e">
        <v>#N/A</v>
        <stp/>
        <stp>BDH|9444870653418398605</stp>
        <tr r="K82" s="18"/>
      </tp>
      <tp t="e">
        <v>#N/A</v>
        <stp/>
        <stp>BDH|8091027020682430254</stp>
        <tr r="S11" s="29"/>
      </tp>
      <tp t="e">
        <v>#N/A</v>
        <stp/>
        <stp>BDH|9215023072356688277</stp>
        <tr r="J8" s="28"/>
      </tp>
      <tp t="e">
        <v>#N/A</v>
        <stp/>
        <stp>BDH|6922954365687993437</stp>
        <tr r="G83" s="17"/>
      </tp>
      <tp t="e">
        <v>#N/A</v>
        <stp/>
        <stp>BDH|8568304007038729950</stp>
        <tr r="D12" s="3"/>
      </tp>
      <tp t="e">
        <v>#N/A</v>
        <stp/>
        <stp>BDH|6497309199143829553</stp>
        <tr r="V11" s="28"/>
      </tp>
      <tp t="e">
        <v>#N/A</v>
        <stp/>
        <stp>BDH|3502276252477231922</stp>
        <tr r="S11" s="11"/>
      </tp>
      <tp t="e">
        <v>#N/A</v>
        <stp/>
        <stp>BDH|4060606145494250872</stp>
        <tr r="W8" s="26"/>
        <tr r="T10" s="9"/>
      </tp>
      <tp t="e">
        <v>#N/A</v>
        <stp/>
        <stp>BDH|7843513782182814234</stp>
        <tr r="P16" s="2"/>
        <tr r="P32" s="4"/>
        <tr r="P61" s="10"/>
        <tr r="R19" s="13"/>
      </tp>
      <tp t="e">
        <v>#N/A</v>
        <stp/>
        <stp>BDH|6082866720761784713</stp>
        <tr r="Y53" s="17"/>
      </tp>
      <tp t="e">
        <v>#N/A</v>
        <stp/>
        <stp>BDH|9632396079927591037</stp>
        <tr r="C38" s="6"/>
      </tp>
      <tp t="e">
        <v>#N/A</v>
        <stp/>
        <stp>BDH|2675388329729543029</stp>
        <tr r="D17" s="20"/>
      </tp>
      <tp t="e">
        <v>#N/A</v>
        <stp/>
        <stp>BDH|1024174404219001331</stp>
        <tr r="M17" s="21"/>
      </tp>
      <tp t="e">
        <v>#N/A</v>
        <stp/>
        <stp>BDH|1447177325100214846</stp>
        <tr r="T10" s="4"/>
        <tr r="S6" s="16"/>
        <tr r="V6" s="3"/>
        <tr r="T6" s="11"/>
      </tp>
      <tp t="e">
        <v>#N/A</v>
        <stp/>
        <stp>BDH|2774874571396448151</stp>
        <tr r="O51" s="10"/>
        <tr r="O45" s="11"/>
        <tr r="O15" s="7"/>
      </tp>
      <tp t="e">
        <v>#N/A</v>
        <stp/>
        <stp>BDH|8340052872502259763</stp>
        <tr r="G26" s="18"/>
      </tp>
      <tp t="e">
        <v>#N/A</v>
        <stp/>
        <stp>BDH|2958851549515621136</stp>
        <tr r="M36" s="10"/>
        <tr r="M30" s="11"/>
        <tr r="O39" s="13"/>
      </tp>
      <tp t="e">
        <v>#N/A</v>
        <stp/>
        <stp>BDH|4504849137234673108</stp>
        <tr r="E15" s="22"/>
      </tp>
      <tp t="e">
        <v>#N/A</v>
        <stp/>
        <stp>BDH|9309097602681872202</stp>
        <tr r="J123" s="18"/>
      </tp>
      <tp t="e">
        <v>#N/A</v>
        <stp/>
        <stp>BDH|7551091083567931266</stp>
        <tr r="R80" s="18"/>
      </tp>
      <tp t="e">
        <v>#N/A</v>
        <stp/>
        <stp>BDH|3257632393625261303</stp>
        <tr r="Y70" s="10"/>
        <tr r="Y64" s="11"/>
      </tp>
      <tp t="e">
        <v>#N/A</v>
        <stp/>
        <stp>BDH|5555648091850577056</stp>
        <tr r="G22" s="25"/>
        <tr r="G12" s="27"/>
      </tp>
      <tp t="e">
        <v>#N/A</v>
        <stp/>
        <stp>BDH|6358014413714562944</stp>
        <tr r="F12" s="6"/>
      </tp>
      <tp t="e">
        <v>#N/A</v>
        <stp/>
        <stp>BDH|3868922959537269210</stp>
        <tr r="U31" s="12"/>
      </tp>
      <tp t="e">
        <v>#N/A</v>
        <stp/>
        <stp>BDH|2489070874808526724</stp>
        <tr r="K32" s="12"/>
      </tp>
      <tp t="e">
        <v>#N/A</v>
        <stp/>
        <stp>BDH|2170422182513050713</stp>
        <tr r="Q21" s="25"/>
        <tr r="Q10" s="27"/>
      </tp>
      <tp t="e">
        <v>#N/A</v>
        <stp/>
        <stp>BDH|9957913629499173103</stp>
        <tr r="G16" s="10"/>
      </tp>
      <tp t="e">
        <v>#N/A</v>
        <stp/>
        <stp>BDH|9100189468901311528</stp>
        <tr r="D41" s="13"/>
      </tp>
      <tp t="e">
        <v>#N/A</v>
        <stp/>
        <stp>BDH|9970488430976592247</stp>
        <tr r="I125" s="18"/>
      </tp>
      <tp t="e">
        <v>#N/A</v>
        <stp/>
        <stp>BDH|9668365564104201269</stp>
        <tr r="I66" s="24"/>
      </tp>
      <tp t="e">
        <v>#N/A</v>
        <stp/>
        <stp>BDH|7403118886726123226</stp>
        <tr r="D66" s="12"/>
      </tp>
      <tp t="e">
        <v>#N/A</v>
        <stp/>
        <stp>BDH|2252427923968106621</stp>
        <tr r="I32" s="18"/>
      </tp>
      <tp t="e">
        <v>#N/A</v>
        <stp/>
        <stp>BDH|8289716170141549366</stp>
        <tr r="S41" s="24"/>
      </tp>
      <tp t="e">
        <v>#N/A</v>
        <stp/>
        <stp>BDH|9465099171515552192</stp>
        <tr r="G7" s="4"/>
      </tp>
      <tp t="e">
        <v>#N/A</v>
        <stp/>
        <stp>BDH|5195238101054143928</stp>
        <tr r="J34" s="25"/>
      </tp>
      <tp t="e">
        <v>#N/A</v>
        <stp/>
        <stp>BDH|2633732337768484462</stp>
        <tr r="T30" s="29"/>
        <tr r="T8" s="29"/>
      </tp>
      <tp t="e">
        <v>#N/A</v>
        <stp/>
        <stp>BDH|1540363985413695306</stp>
        <tr r="K26" s="12"/>
      </tp>
      <tp t="e">
        <v>#N/A</v>
        <stp/>
        <stp>BDH|5440010074930866894</stp>
        <tr r="S88" s="18"/>
      </tp>
      <tp t="e">
        <v>#N/A</v>
        <stp/>
        <stp>BDH|1051732197531555418</stp>
        <tr r="G57" s="17"/>
        <tr r="G10" s="25"/>
      </tp>
      <tp t="e">
        <v>#N/A</v>
        <stp/>
        <stp>BDH|3112226702528154308</stp>
        <tr r="S43" s="21"/>
      </tp>
      <tp t="e">
        <v>#N/A</v>
        <stp/>
        <stp>BDH|5519745521212300839</stp>
        <tr r="M10" s="23"/>
      </tp>
      <tp t="e">
        <v>#N/A</v>
        <stp/>
        <stp>BDH|4468978761928693941</stp>
        <tr r="X23" s="18"/>
      </tp>
      <tp t="e">
        <v>#N/A</v>
        <stp/>
        <stp>BDH|2920884426333388142</stp>
        <tr r="K17" s="21"/>
      </tp>
      <tp t="e">
        <v>#N/A</v>
        <stp/>
        <stp>BDH|7422603552078068668</stp>
        <tr r="O25" s="10"/>
      </tp>
      <tp t="e">
        <v>#N/A</v>
        <stp/>
        <stp>BDH|2325890414278685999</stp>
        <tr r="F42" s="21"/>
      </tp>
      <tp t="e">
        <v>#N/A</v>
        <stp/>
        <stp>BDH|1589678391364306012</stp>
        <tr r="X7" s="11"/>
      </tp>
      <tp t="e">
        <v>#N/A</v>
        <stp/>
        <stp>BDH|3311714596380768720</stp>
        <tr r="U9" s="29"/>
      </tp>
      <tp t="e">
        <v>#N/A</v>
        <stp/>
        <stp>BDH|1305965304374931695</stp>
        <tr r="F30" s="24"/>
      </tp>
      <tp t="e">
        <v>#N/A</v>
        <stp/>
        <stp>BDH|4854522829531109831</stp>
        <tr r="H36" s="18"/>
      </tp>
      <tp t="e">
        <v>#N/A</v>
        <stp/>
        <stp>BDH|2114474276112909986</stp>
        <tr r="M12" s="21"/>
      </tp>
      <tp t="e">
        <v>#N/A</v>
        <stp/>
        <stp>BDH|6199537323809813285</stp>
        <tr r="H52" s="12"/>
      </tp>
      <tp t="e">
        <v>#N/A</v>
        <stp/>
        <stp>BDH|2003782353753362996</stp>
        <tr r="V93" s="17"/>
      </tp>
      <tp t="e">
        <v>#N/A</v>
        <stp/>
        <stp>BDH|3637392938698174175</stp>
        <tr r="D36" s="17"/>
      </tp>
      <tp t="e">
        <v>#N/A</v>
        <stp/>
        <stp>BDH|9054728841971736152</stp>
        <tr r="J28" s="26"/>
      </tp>
      <tp t="e">
        <v>#N/A</v>
        <stp/>
        <stp>BDH|8734445466010669024</stp>
        <tr r="U166" s="18"/>
      </tp>
      <tp t="e">
        <v>#N/A</v>
        <stp/>
        <stp>BDH|1747728784262196610</stp>
        <tr r="N11" s="3"/>
        <tr r="L49" s="10"/>
        <tr r="L43" s="11"/>
        <tr r="L8" s="7"/>
      </tp>
      <tp t="e">
        <v>#N/A</v>
        <stp/>
        <stp>BDH|6951561342439822445</stp>
        <tr r="D8" s="14"/>
      </tp>
      <tp t="e">
        <v>#N/A</v>
        <stp/>
        <stp>BDH|4195916462750792148</stp>
        <tr r="Z15" s="21"/>
      </tp>
      <tp t="e">
        <v>#N/A</v>
        <stp/>
        <stp>BDH|6063276369248813078</stp>
        <tr r="I20" s="27"/>
      </tp>
      <tp t="e">
        <v>#N/A</v>
        <stp/>
        <stp>BDH|8743211923492023048</stp>
        <tr r="F23" s="17"/>
        <tr r="F15" s="3"/>
      </tp>
      <tp t="e">
        <v>#N/A</v>
        <stp/>
        <stp>BDH|6999041204338024482</stp>
        <tr r="W63" s="10"/>
      </tp>
      <tp t="e">
        <v>#N/A</v>
        <stp/>
        <stp>BDH|1608607447008587154</stp>
        <tr r="P31" s="12"/>
      </tp>
      <tp t="e">
        <v>#N/A</v>
        <stp/>
        <stp>BDH|1135459994062885498</stp>
        <tr r="R14" s="17"/>
        <tr r="R17" s="28"/>
      </tp>
      <tp t="e">
        <v>#N/A</v>
        <stp/>
        <stp>BDH|7242943203856012243</stp>
        <tr r="D18" s="18"/>
      </tp>
      <tp t="e">
        <v>#N/A</v>
        <stp/>
        <stp>BDH|9100803253227490975</stp>
        <tr r="G20" s="29"/>
      </tp>
      <tp t="e">
        <v>#N/A</v>
        <stp/>
        <stp>BDH|3812436393253194780</stp>
        <tr r="V10" s="12"/>
      </tp>
      <tp t="e">
        <v>#N/A</v>
        <stp/>
        <stp>BDH|9439335924476665448</stp>
        <tr r="Z148" s="18"/>
      </tp>
      <tp t="e">
        <v>#N/A</v>
        <stp/>
        <stp>BDH|9590484259025073756</stp>
        <tr r="O20" s="10"/>
      </tp>
      <tp t="e">
        <v>#N/A</v>
        <stp/>
        <stp>BDH|1892086920151072815</stp>
        <tr r="K23" s="25"/>
        <tr r="K13" s="27"/>
      </tp>
      <tp t="e">
        <v>#N/A</v>
        <stp/>
        <stp>BDH|3392702348318344293</stp>
        <tr r="G24" s="17"/>
      </tp>
      <tp t="e">
        <v>#N/A</v>
        <stp/>
        <stp>BDH|2273324351876811885</stp>
        <tr r="Q12" s="12"/>
      </tp>
      <tp t="e">
        <v>#N/A</v>
        <stp/>
        <stp>BDH|4943774899353252349</stp>
        <tr r="O26" s="26"/>
      </tp>
      <tp t="e">
        <v>#N/A</v>
        <stp/>
        <stp>BDH|4488538321120572929</stp>
        <tr r="U35" s="25"/>
        <tr r="U7" s="3"/>
        <tr r="S18" s="11"/>
        <tr r="U22" s="13"/>
        <tr r="U7" s="13"/>
      </tp>
      <tp t="e">
        <v>#N/A</v>
        <stp/>
        <stp>BDH|2053387231318651095</stp>
        <tr r="P46" s="17"/>
      </tp>
      <tp t="e">
        <v>#N/A</v>
        <stp/>
        <stp>BDH|7364849318206999205</stp>
        <tr r="M39" s="6"/>
      </tp>
      <tp t="e">
        <v>#N/A</v>
        <stp/>
        <stp>BDH|9830674364376801554</stp>
        <tr r="R84" s="18"/>
      </tp>
      <tp t="e">
        <v>#N/A</v>
        <stp/>
        <stp>BDH|6035945315331444531</stp>
        <tr r="O17" s="29"/>
        <tr r="O37" s="29"/>
      </tp>
      <tp t="e">
        <v>#N/A</v>
        <stp/>
        <stp>BDH|3112719295877665056</stp>
        <tr r="W20" s="18"/>
      </tp>
      <tp t="e">
        <v>#N/A</v>
        <stp/>
        <stp>BDH|2496878963011034762</stp>
        <tr r="W90" s="18"/>
      </tp>
      <tp t="e">
        <v>#N/A</v>
        <stp/>
        <stp>BDH|7124177897501719402</stp>
        <tr r="X30" s="22"/>
      </tp>
      <tp t="e">
        <v>#N/A</v>
        <stp/>
        <stp>BDH|6934007029668094668</stp>
        <tr r="Q95" s="17"/>
        <tr r="Q30" s="25"/>
      </tp>
      <tp t="e">
        <v>#N/A</v>
        <stp/>
        <stp>BDH|3098838962845297252</stp>
        <tr r="AA96" s="18"/>
      </tp>
      <tp t="e">
        <v>#N/A</v>
        <stp/>
        <stp>BDH|8035777243113174230</stp>
        <tr r="O127" s="18"/>
      </tp>
      <tp t="e">
        <v>#N/A</v>
        <stp/>
        <stp>BDH|7852850808164388109</stp>
        <tr r="D19" s="22"/>
      </tp>
      <tp t="e">
        <v>#N/A</v>
        <stp/>
        <stp>BDH|8138984595073217183</stp>
        <tr r="J14" s="11"/>
      </tp>
      <tp t="e">
        <v>#N/A</v>
        <stp/>
        <stp>BDH|7142544075287674800</stp>
        <tr r="V147" s="18"/>
      </tp>
      <tp t="e">
        <v>#N/A</v>
        <stp/>
        <stp>BDH|4439835449043956116</stp>
        <tr r="K67" s="12"/>
      </tp>
      <tp t="e">
        <v>#N/A</v>
        <stp/>
        <stp>BDH|5300814437950584461</stp>
        <tr r="I18" s="18"/>
      </tp>
      <tp t="e">
        <v>#N/A</v>
        <stp/>
        <stp>BDH|2418952944202562760</stp>
        <tr r="E135" s="18"/>
      </tp>
      <tp t="e">
        <v>#N/A</v>
        <stp/>
        <stp>BDH|9959087616645626771</stp>
        <tr r="N19" s="22"/>
      </tp>
      <tp t="e">
        <v>#N/A</v>
        <stp/>
        <stp>BDH|3544602555539642301</stp>
        <tr r="J54" s="18"/>
      </tp>
      <tp t="e">
        <v>#N/A</v>
        <stp/>
        <stp>BDH|7189445187576786736</stp>
        <tr r="K15" s="22"/>
      </tp>
      <tp t="e">
        <v>#N/A</v>
        <stp/>
        <stp>BDH|9512525210775097213</stp>
        <tr r="N158" s="18"/>
      </tp>
      <tp t="e">
        <v>#N/A</v>
        <stp/>
        <stp>BDH|5051147323414562849</stp>
        <tr r="T42" s="22"/>
      </tp>
      <tp t="e">
        <v>#N/A</v>
        <stp/>
        <stp>BDH|7612308096642304556</stp>
        <tr r="P24" s="21"/>
      </tp>
      <tp t="e">
        <v>#N/A</v>
        <stp/>
        <stp>BDH|4744742426782316908</stp>
        <tr r="E40" s="22"/>
      </tp>
      <tp t="e">
        <v>#N/A</v>
        <stp/>
        <stp>BDH|4648839901234558272</stp>
        <tr r="F58" s="17"/>
      </tp>
      <tp t="e">
        <v>#N/A</v>
        <stp/>
        <stp>BDH|1053700890486534339</stp>
        <tr r="P36" s="17"/>
      </tp>
      <tp t="e">
        <v>#N/A</v>
        <stp/>
        <stp>BDH|9014016076625037118</stp>
        <tr r="G43" s="21"/>
      </tp>
      <tp t="e">
        <v>#N/A</v>
        <stp/>
        <stp>BDH|5604972630920713500</stp>
        <tr r="S50" s="17"/>
      </tp>
      <tp t="e">
        <v>#N/A</v>
        <stp/>
        <stp>BDH|4832188211516360845</stp>
        <tr r="AA31" s="25"/>
      </tp>
      <tp t="e">
        <v>#N/A</v>
        <stp/>
        <stp>BDH|4519286309988168435</stp>
        <tr r="S43" s="24"/>
      </tp>
      <tp t="e">
        <v>#N/A</v>
        <stp/>
        <stp>BDH|1574829111053906192</stp>
        <tr r="M33" s="21"/>
      </tp>
      <tp t="e">
        <v>#N/A</v>
        <stp/>
        <stp>BDH|2123197898187115779</stp>
        <tr r="K133" s="18"/>
      </tp>
      <tp t="e">
        <v>#N/A</v>
        <stp/>
        <stp>BDH|2304342529809911017</stp>
        <tr r="T54" s="21"/>
      </tp>
      <tp t="e">
        <v>#N/A</v>
        <stp/>
        <stp>BDH|6464161707254188921</stp>
        <tr r="F87" s="17"/>
        <tr r="F20" s="3"/>
        <tr r="D6" s="7"/>
      </tp>
      <tp t="e">
        <v>#N/A</v>
        <stp/>
        <stp>BDH|8051331870421283774</stp>
        <tr r="M31" s="17"/>
      </tp>
      <tp t="e">
        <v>#N/A</v>
        <stp/>
        <stp>BDH|1344849842515509267</stp>
        <tr r="H59" s="21"/>
        <tr r="F56" s="11"/>
      </tp>
      <tp t="e">
        <v>#N/A</v>
        <stp/>
        <stp>BDH|2303817722777364559</stp>
        <tr r="F15" s="17"/>
        <tr r="F18" s="28"/>
      </tp>
      <tp t="e">
        <v>#N/A</v>
        <stp/>
        <stp>BDH|7214038692602293679</stp>
        <tr r="Y25" s="22"/>
      </tp>
      <tp t="e">
        <v>#N/A</v>
        <stp/>
        <stp>BDH|5758887419837963193</stp>
        <tr r="L147" s="18"/>
      </tp>
      <tp t="e">
        <v>#N/A</v>
        <stp/>
        <stp>BDH|7525787728289307108</stp>
        <tr r="Z13" s="18"/>
      </tp>
      <tp t="e">
        <v>#N/A</v>
        <stp/>
        <stp>BDH|9296448868346855708</stp>
        <tr r="AA9" s="22"/>
      </tp>
      <tp t="e">
        <v>#N/A</v>
        <stp/>
        <stp>BDH|2962793385975203212</stp>
        <tr r="J41" s="34"/>
      </tp>
      <tp t="e">
        <v>#N/A</v>
        <stp/>
        <stp>BDH|7649948015397052214</stp>
        <tr r="Q18" s="12"/>
      </tp>
      <tp t="e">
        <v>#N/A</v>
        <stp/>
        <stp>BDH|5128737093167186662</stp>
        <tr r="M21" s="12"/>
      </tp>
      <tp t="e">
        <v>#N/A</v>
        <stp/>
        <stp>BDH|4947993474772766247</stp>
        <tr r="V17" s="12"/>
      </tp>
      <tp t="e">
        <v>#N/A</v>
        <stp/>
        <stp>BDH|1288012894067384531</stp>
        <tr r="L26" s="17"/>
      </tp>
      <tp t="e">
        <v>#N/A</v>
        <stp/>
        <stp>BDH|3976060848508261527</stp>
        <tr r="V27" s="5"/>
        <tr r="V27" s="9"/>
      </tp>
      <tp t="e">
        <v>#N/A</v>
        <stp/>
        <stp>BDH|9118757682749159506</stp>
        <tr r="H50" s="12"/>
      </tp>
      <tp t="e">
        <v>#N/A</v>
        <stp/>
        <stp>BDH|6360100392437659305</stp>
        <tr r="Y11" s="13"/>
      </tp>
      <tp t="e">
        <v>#N/A</v>
        <stp/>
        <stp>BDH|6856293892730076744</stp>
        <tr r="P15" s="18"/>
      </tp>
      <tp t="e">
        <v>#N/A</v>
        <stp/>
        <stp>BDH|2589988136047943551</stp>
        <tr r="Y23" s="10"/>
      </tp>
      <tp t="e">
        <v>#N/A</v>
        <stp/>
        <stp>BDH|5002106857708763372</stp>
        <tr r="G11" s="9"/>
      </tp>
      <tp t="e">
        <v>#N/A</v>
        <stp/>
        <stp>BDH|8382866798535889627</stp>
        <tr r="O146" s="18"/>
      </tp>
      <tp t="e">
        <v>#N/A</v>
        <stp/>
        <stp>BDH|5519437473129656546</stp>
        <tr r="Y168" s="18"/>
      </tp>
      <tp t="e">
        <v>#N/A</v>
        <stp/>
        <stp>BDH|5501501961048267413</stp>
        <tr r="W41" s="24"/>
      </tp>
      <tp t="e">
        <v>#N/A</v>
        <stp/>
        <stp>BDH|7116815292464576800</stp>
        <tr r="P51" s="18"/>
      </tp>
      <tp t="e">
        <v>#N/A</v>
        <stp/>
        <stp>BDH|9841099641671354649</stp>
        <tr r="J24" s="20"/>
      </tp>
      <tp t="e">
        <v>#N/A</v>
        <stp/>
        <stp>BDH|1877776294130850542</stp>
        <tr r="H12" s="17"/>
      </tp>
      <tp t="e">
        <v>#N/A</v>
        <stp/>
        <stp>BDH|1527696101254250985</stp>
        <tr r="H22" s="7"/>
      </tp>
      <tp t="e">
        <v>#N/A</v>
        <stp/>
        <stp>BDH|6556062806604511876</stp>
        <tr r="J14" s="14"/>
      </tp>
      <tp t="e">
        <v>#N/A</v>
        <stp/>
        <stp>BDH|8725200431285070611</stp>
        <tr r="Y134" s="18"/>
      </tp>
      <tp t="e">
        <v>#N/A</v>
        <stp/>
        <stp>BDH|9625250716919429960</stp>
        <tr r="V34" s="10"/>
        <tr r="V28" s="11"/>
      </tp>
      <tp t="e">
        <v>#N/A</v>
        <stp/>
        <stp>BDH|1513861618814416681</stp>
        <tr r="J41" s="22"/>
      </tp>
      <tp t="e">
        <v>#N/A</v>
        <stp/>
        <stp>BDH|2455529081433949694</stp>
        <tr r="F18" s="23"/>
      </tp>
      <tp t="e">
        <v>#N/A</v>
        <stp/>
        <stp>BDH|8999206935063268093</stp>
        <tr r="L61" s="12"/>
      </tp>
      <tp t="e">
        <v>#N/A</v>
        <stp/>
        <stp>BDH|3852194242548592410</stp>
        <tr r="U52" s="4"/>
        <tr r="W8" s="3"/>
        <tr r="U43" s="10"/>
        <tr r="U37" s="11"/>
        <tr r="W38" s="13"/>
      </tp>
      <tp t="e">
        <v>#N/A</v>
        <stp/>
        <stp>BDH|6880496180441450123</stp>
        <tr r="R35" s="18"/>
      </tp>
      <tp t="e">
        <v>#N/A</v>
        <stp/>
        <stp>BDH|3355814884968432157</stp>
        <tr r="W68" s="18"/>
      </tp>
      <tp t="e">
        <v>#N/A</v>
        <stp/>
        <stp>BDH|5126921230086349378</stp>
        <tr r="U23" s="25"/>
        <tr r="U13" s="27"/>
      </tp>
      <tp t="e">
        <v>#N/A</v>
        <stp/>
        <stp>BDH|8198021527719195929</stp>
        <tr r="Z115" s="18"/>
      </tp>
      <tp t="e">
        <v>#N/A</v>
        <stp/>
        <stp>BDH|7589852921671652607</stp>
        <tr r="O24" s="2"/>
      </tp>
      <tp t="e">
        <v>#N/A</v>
        <stp/>
        <stp>BDH|1989143280562863018</stp>
        <tr r="F38" s="24"/>
      </tp>
      <tp t="e">
        <v>#N/A</v>
        <stp/>
        <stp>BDH|4346671515001631835</stp>
        <tr r="AA83" s="18"/>
      </tp>
      <tp t="e">
        <v>#N/A</v>
        <stp/>
        <stp>BDH|4169676133492862991</stp>
        <tr r="I19" s="25"/>
        <tr r="G21" s="11"/>
      </tp>
      <tp t="e">
        <v>#N/A</v>
        <stp/>
        <stp>BDH|4642139940012067918</stp>
        <tr r="K19" s="14"/>
      </tp>
      <tp t="e">
        <v>#N/A</v>
        <stp/>
        <stp>BDH|1617276423768140371</stp>
        <tr r="AA87" s="17"/>
        <tr r="AA20" s="3"/>
        <tr r="Y6" s="7"/>
      </tp>
      <tp t="e">
        <v>#N/A</v>
        <stp/>
        <stp>BDH|8033847310349837283</stp>
        <tr r="V18" s="13"/>
      </tp>
      <tp t="e">
        <v>#N/A</v>
        <stp/>
        <stp>BDH|9641050136821296133</stp>
        <tr r="W11" s="24"/>
      </tp>
      <tp t="e">
        <v>#N/A</v>
        <stp/>
        <stp>BDH|9275897530838695097</stp>
        <tr r="L38" s="22"/>
      </tp>
      <tp t="e">
        <v>#N/A</v>
        <stp/>
        <stp>BDH|9691118234710075177</stp>
        <tr r="Q61" s="24"/>
      </tp>
      <tp t="e">
        <v>#N/A</v>
        <stp/>
        <stp>BDH|9753662754242610272</stp>
        <tr r="R24" s="17"/>
      </tp>
      <tp t="e">
        <v>#N/A</v>
        <stp/>
        <stp>BDH|9404661867611520243</stp>
        <tr r="D38" s="10"/>
        <tr r="D32" s="11"/>
      </tp>
      <tp t="e">
        <v>#N/A</v>
        <stp/>
        <stp>BDH|6838353190310146681</stp>
        <tr r="F29" s="29"/>
        <tr r="F7" s="29"/>
      </tp>
      <tp t="e">
        <v>#N/A</v>
        <stp/>
        <stp>BDH|3475063873857207975</stp>
        <tr r="P15" s="10"/>
      </tp>
      <tp t="e">
        <v>#N/A</v>
        <stp/>
        <stp>BDH|9264518171613461225</stp>
        <tr r="R22" s="17"/>
      </tp>
      <tp t="e">
        <v>#N/A</v>
        <stp/>
        <stp>BDH|8290170856567776100</stp>
        <tr r="X24" s="2"/>
      </tp>
      <tp t="e">
        <v>#N/A</v>
        <stp/>
        <stp>BDH|3675028087483799208</stp>
        <tr r="N24" s="24"/>
      </tp>
      <tp t="e">
        <v>#N/A</v>
        <stp/>
        <stp>BDH|9562347113708491925</stp>
        <tr r="J10" s="21"/>
      </tp>
      <tp t="e">
        <v>#N/A</v>
        <stp/>
        <stp>BDH|7185032626298940796</stp>
        <tr r="Z13" s="13"/>
      </tp>
      <tp t="e">
        <v>#N/A</v>
        <stp/>
        <stp>BDH|6646851754966570766</stp>
        <tr r="I64" s="21"/>
      </tp>
      <tp t="e">
        <v>#N/A</v>
        <stp/>
        <stp>BDH|3180869520336194526</stp>
        <tr r="H29" s="17"/>
      </tp>
      <tp t="e">
        <v>#N/A</v>
        <stp/>
        <stp>BDH|8958292901634044459</stp>
        <tr r="E27" s="5"/>
        <tr r="E27" s="9"/>
      </tp>
      <tp t="e">
        <v>#N/A</v>
        <stp/>
        <stp>BDH|3935145329833237921</stp>
        <tr r="C99" s="17"/>
      </tp>
      <tp t="e">
        <v>#N/A</v>
        <stp/>
        <stp>BDH|9197793483918781487</stp>
        <tr r="R18" s="30"/>
      </tp>
      <tp t="e">
        <v>#N/A</v>
        <stp/>
        <stp>BDH|2753159951555706905</stp>
        <tr r="U24" s="18"/>
      </tp>
      <tp t="e">
        <v>#N/A</v>
        <stp/>
        <stp>BDH|4751279994640915597</stp>
        <tr r="X18" s="18"/>
      </tp>
      <tp t="e">
        <v>#N/A</v>
        <stp/>
        <stp>BDH|9512051666876119336</stp>
        <tr r="L31" s="22"/>
      </tp>
      <tp t="e">
        <v>#N/A</v>
        <stp/>
        <stp>BDH|6813300689944468310</stp>
        <tr r="E10" s="11"/>
      </tp>
      <tp t="e">
        <v>#N/A</v>
        <stp/>
        <stp>BDH|4037975894687143975</stp>
        <tr r="J32" s="22"/>
      </tp>
      <tp t="e">
        <v>#N/A</v>
        <stp/>
        <stp>BDH|6191778090825007738</stp>
        <tr r="H21" s="24"/>
      </tp>
      <tp t="e">
        <v>#N/A</v>
        <stp/>
        <stp>BDH|7837982662845395741</stp>
        <tr r="T35" s="26"/>
      </tp>
      <tp t="e">
        <v>#N/A</v>
        <stp/>
        <stp>BDH|2569964362081553616</stp>
        <tr r="V131" s="18"/>
      </tp>
      <tp t="e">
        <v>#N/A</v>
        <stp/>
        <stp>BDH|4582629894295326451</stp>
        <tr r="O37" s="21"/>
        <tr r="O24" s="3"/>
      </tp>
      <tp t="e">
        <v>#N/A</v>
        <stp/>
        <stp>BDH|5113251016248767404</stp>
        <tr r="L17" s="21"/>
      </tp>
      <tp t="e">
        <v>#N/A</v>
        <stp/>
        <stp>BDH|6570590548055806894</stp>
        <tr r="P28" s="9"/>
      </tp>
      <tp t="e">
        <v>#N/A</v>
        <stp/>
        <stp>BDH|3674021700051151800</stp>
        <tr r="M117" s="18"/>
      </tp>
      <tp t="e">
        <v>#N/A</v>
        <stp/>
        <stp>BDH|3679118927672489812</stp>
        <tr r="H10" s="28"/>
      </tp>
      <tp t="e">
        <v>#N/A</v>
        <stp/>
        <stp>BDH|1775983728628768857</stp>
        <tr r="M44" s="17"/>
      </tp>
      <tp t="e">
        <v>#N/A</v>
        <stp/>
        <stp>BDH|1089367469437311998</stp>
        <tr r="X8" s="14"/>
      </tp>
      <tp t="e">
        <v>#N/A</v>
        <stp/>
        <stp>BDH|7316983763190812250</stp>
        <tr r="X133" s="18"/>
      </tp>
      <tp t="e">
        <v>#N/A</v>
        <stp/>
        <stp>BDH|3611824730921610378</stp>
        <tr r="T53" s="17"/>
      </tp>
      <tp t="e">
        <v>#N/A</v>
        <stp/>
        <stp>BDH|8715441365126614655</stp>
        <tr r="M20" s="2"/>
        <tr r="M18" s="4"/>
        <tr r="M57" s="10"/>
        <tr r="M51" s="11"/>
        <tr r="M19" s="7"/>
        <tr r="O57" s="13"/>
      </tp>
      <tp t="e">
        <v>#N/A</v>
        <stp/>
        <stp>BDH|3008913625153869191</stp>
        <tr r="U45" s="17"/>
        <tr r="U9" s="25"/>
      </tp>
      <tp t="e">
        <v>#N/A</v>
        <stp/>
        <stp>BDH|6647152347599802096</stp>
        <tr r="X50" s="24"/>
      </tp>
      <tp t="e">
        <v>#N/A</v>
        <stp/>
        <stp>BDH|9604229706025657418</stp>
        <tr r="U48" s="18"/>
      </tp>
      <tp t="e">
        <v>#N/A</v>
        <stp/>
        <stp>BDH|1079637674398248203</stp>
        <tr r="J8" s="24"/>
      </tp>
      <tp t="e">
        <v>#N/A</v>
        <stp/>
        <stp>BDH|1630173331099722026</stp>
        <tr r="L20" s="2"/>
        <tr r="L18" s="4"/>
        <tr r="L57" s="10"/>
        <tr r="L51" s="11"/>
        <tr r="L19" s="7"/>
        <tr r="N57" s="13"/>
      </tp>
      <tp t="e">
        <v>#N/A</v>
        <stp/>
        <stp>BDH|2244142006178436112</stp>
        <tr r="Y20" s="18"/>
      </tp>
      <tp t="e">
        <v>#N/A</v>
        <stp/>
        <stp>BDH|9287567859834940715</stp>
        <tr r="E48" s="17"/>
      </tp>
      <tp t="e">
        <v>#N/A</v>
        <stp/>
        <stp>BDH|6627447486683442351</stp>
        <tr r="P67" s="24"/>
      </tp>
      <tp t="e">
        <v>#N/A</v>
        <stp/>
        <stp>BDH|1763126743809673756</stp>
        <tr r="C39" s="24"/>
      </tp>
      <tp t="e">
        <v>#N/A</v>
        <stp/>
        <stp>BDH|6983808044310183092</stp>
        <tr r="F33" s="18"/>
      </tp>
      <tp t="e">
        <v>#N/A</v>
        <stp/>
        <stp>BDH|2183835437731917292</stp>
        <tr r="Z91" s="17"/>
      </tp>
      <tp t="e">
        <v>#N/A</v>
        <stp/>
        <stp>BDH|8546666803964064054</stp>
        <tr r="C134" s="18"/>
      </tp>
      <tp t="e">
        <v>#N/A</v>
        <stp/>
        <stp>BDH|6274511435419620358</stp>
        <tr r="U70" s="10"/>
        <tr r="U64" s="11"/>
      </tp>
      <tp t="e">
        <v>#N/A</v>
        <stp/>
        <stp>BDH|5857819579770107043</stp>
        <tr r="P8" s="23"/>
      </tp>
      <tp t="e">
        <v>#N/A</v>
        <stp/>
        <stp>BDH|6781047094396562371</stp>
        <tr r="H81" s="17"/>
        <tr r="E9" s="5"/>
        <tr r="E9" s="9"/>
      </tp>
      <tp t="e">
        <v>#N/A</v>
        <stp/>
        <stp>BDH|4054834777965301422</stp>
        <tr r="I69" s="10"/>
        <tr r="I63" s="11"/>
        <tr r="I20" s="7"/>
      </tp>
      <tp t="e">
        <v>#N/A</v>
        <stp/>
        <stp>BDH|4759723404550419908</stp>
        <tr r="C47" s="21"/>
      </tp>
      <tp t="e">
        <v>#N/A</v>
        <stp/>
        <stp>BDH|2228292379525763809</stp>
        <tr r="D165" s="18"/>
      </tp>
      <tp t="e">
        <v>#N/A</v>
        <stp/>
        <stp>BDH|1515178583715754736</stp>
        <tr r="M153" s="18"/>
      </tp>
      <tp t="e">
        <v>#N/A</v>
        <stp/>
        <stp>BDH|4128835042354798620</stp>
        <tr r="X153" s="18"/>
      </tp>
      <tp t="e">
        <v>#N/A</v>
        <stp/>
        <stp>BDH|9993120794538839322</stp>
        <tr r="O117" s="18"/>
      </tp>
      <tp t="e">
        <v>#N/A</v>
        <stp/>
        <stp>BDH|3209283136461999902</stp>
        <tr r="Q28" s="25"/>
        <tr r="Q18" s="27"/>
      </tp>
      <tp t="e">
        <v>#N/A</v>
        <stp/>
        <stp>BDH|8190707767767433476</stp>
        <tr r="Z16" s="24"/>
      </tp>
      <tp t="e">
        <v>#N/A</v>
        <stp/>
        <stp>BDH|4963653979078692760</stp>
        <tr r="R31" s="12"/>
      </tp>
      <tp t="e">
        <v>#N/A</v>
        <stp/>
        <stp>BDH|8836439330664989178</stp>
        <tr r="R8" s="17"/>
      </tp>
      <tp t="e">
        <v>#N/A</v>
        <stp/>
        <stp>BDH|2085644353049569276</stp>
        <tr r="I11" s="28"/>
      </tp>
      <tp t="e">
        <v>#N/A</v>
        <stp/>
        <stp>BDH|4976460869155220918</stp>
        <tr r="W30" s="18"/>
      </tp>
      <tp t="e">
        <v>#N/A</v>
        <stp/>
        <stp>BDH|6186379071379687144</stp>
        <tr r="D91" s="18"/>
      </tp>
      <tp t="e">
        <v>#N/A</v>
        <stp/>
        <stp>BDH|30747627426506418</stp>
        <tr r="W13" s="9"/>
      </tp>
      <tp t="e">
        <v>#N/A</v>
        <stp/>
        <stp>BDH|57059936733613712</stp>
        <tr r="N24" s="29"/>
      </tp>
      <tp t="e">
        <v>#N/A</v>
        <stp/>
        <stp>BDH|72914344418599215</stp>
        <tr r="AA30" s="22"/>
      </tp>
      <tp t="e">
        <v>#N/A</v>
        <stp/>
        <stp>BDH|50344449333580366</stp>
        <tr r="T36" s="22"/>
      </tp>
      <tp t="e">
        <v>#N/A</v>
        <stp/>
        <stp>BDH|75782609863818353</stp>
        <tr r="E11" s="21"/>
      </tp>
      <tp t="e">
        <v>#N/A</v>
        <stp/>
        <stp>BDH|44354441605938565</stp>
        <tr r="D28" s="26"/>
      </tp>
      <tp t="e">
        <v>#N/A</v>
        <stp/>
        <stp>BDH|70190048376922434</stp>
        <tr r="O40" s="34"/>
      </tp>
      <tp t="e">
        <v>#N/A</v>
        <stp/>
        <stp>BDH|50837579618400070</stp>
        <tr r="V64" s="12"/>
      </tp>
      <tp t="e">
        <v>#N/A</v>
        <stp/>
        <stp>BDH|6435551258795270813</stp>
        <tr r="E24" s="13"/>
      </tp>
      <tp t="e">
        <v>#N/A</v>
        <stp/>
        <stp>BDH|2186258205092879937</stp>
        <tr r="I69" s="18"/>
      </tp>
      <tp t="e">
        <v>#N/A</v>
        <stp/>
        <stp>BDH|8538244817513564397</stp>
        <tr r="AA156" s="18"/>
      </tp>
      <tp t="e">
        <v>#N/A</v>
        <stp/>
        <stp>BDH|4600591597122057126</stp>
        <tr r="X35" s="17"/>
      </tp>
      <tp t="e">
        <v>#N/A</v>
        <stp/>
        <stp>BDH|1877457840063767905</stp>
        <tr r="O50" s="18"/>
      </tp>
      <tp t="e">
        <v>#N/A</v>
        <stp/>
        <stp>BDH|8711797058152914354</stp>
        <tr r="P90" s="17"/>
      </tp>
      <tp t="e">
        <v>#N/A</v>
        <stp/>
        <stp>BDH|1783124898306396444</stp>
        <tr r="P45" s="18"/>
      </tp>
      <tp t="e">
        <v>#N/A</v>
        <stp/>
        <stp>BDH|6800467326718719353</stp>
        <tr r="G34" s="12"/>
      </tp>
      <tp t="e">
        <v>#N/A</v>
        <stp/>
        <stp>BDH|7608313204557969805</stp>
        <tr r="K14" s="14"/>
      </tp>
      <tp t="e">
        <v>#N/A</v>
        <stp/>
        <stp>BDH|9863434167372367253</stp>
        <tr r="K115" s="18"/>
      </tp>
      <tp t="e">
        <v>#N/A</v>
        <stp/>
        <stp>BDH|1700891793099107265</stp>
        <tr r="Z28" s="21"/>
      </tp>
      <tp t="e">
        <v>#N/A</v>
        <stp/>
        <stp>BDH|1675180334760558852</stp>
        <tr r="H10" s="30"/>
      </tp>
      <tp t="e">
        <v>#N/A</v>
        <stp/>
        <stp>BDH|5866386638616568877</stp>
        <tr r="X41" s="10"/>
        <tr r="X35" s="11"/>
      </tp>
      <tp t="e">
        <v>#N/A</v>
        <stp/>
        <stp>BDH|7468972766152933161</stp>
        <tr r="Z66" s="18"/>
      </tp>
      <tp t="e">
        <v>#N/A</v>
        <stp/>
        <stp>BDH|7726534282400971153</stp>
        <tr r="R95" s="17"/>
        <tr r="R30" s="25"/>
      </tp>
      <tp t="e">
        <v>#N/A</v>
        <stp/>
        <stp>BDH|4930166965580091800</stp>
        <tr r="C31" s="34"/>
      </tp>
      <tp t="e">
        <v>#N/A</v>
        <stp/>
        <stp>BDH|4989658054884451864</stp>
        <tr r="G36" s="12"/>
      </tp>
      <tp t="e">
        <v>#N/A</v>
        <stp/>
        <stp>BDH|9941592166774805548</stp>
        <tr r="S20" s="6"/>
      </tp>
      <tp t="e">
        <v>#N/A</v>
        <stp/>
        <stp>BDH|2546982047240166419</stp>
        <tr r="H16" s="10"/>
      </tp>
      <tp t="e">
        <v>#N/A</v>
        <stp/>
        <stp>BDH|4687113658673247873</stp>
        <tr r="T72" s="12"/>
      </tp>
      <tp t="e">
        <v>#N/A</v>
        <stp/>
        <stp>BDH|1269788331648619674</stp>
        <tr r="D29" s="24"/>
      </tp>
      <tp t="e">
        <v>#N/A</v>
        <stp/>
        <stp>BDH|6766975049875458573</stp>
        <tr r="S51" s="17"/>
      </tp>
      <tp t="e">
        <v>#N/A</v>
        <stp/>
        <stp>BDH|2201866061974642397</stp>
        <tr r="K37" s="10"/>
        <tr r="K31" s="11"/>
        <tr r="M40" s="13"/>
      </tp>
      <tp t="e">
        <v>#N/A</v>
        <stp/>
        <stp>BDH|9917573386236250909</stp>
        <tr r="N88" s="17"/>
      </tp>
      <tp t="e">
        <v>#N/A</v>
        <stp/>
        <stp>BDH|2813739080655708361</stp>
        <tr r="V11" s="13"/>
      </tp>
      <tp t="e">
        <v>#N/A</v>
        <stp/>
        <stp>BDH|8583345557897980253</stp>
        <tr r="S32" s="17"/>
      </tp>
      <tp t="e">
        <v>#N/A</v>
        <stp/>
        <stp>BDH|8716121619105275656</stp>
        <tr r="J81" s="18"/>
      </tp>
      <tp t="e">
        <v>#N/A</v>
        <stp/>
        <stp>BDH|3836861971325378275</stp>
        <tr r="K50" s="12"/>
      </tp>
      <tp t="e">
        <v>#N/A</v>
        <stp/>
        <stp>BDH|3838660033194120973</stp>
        <tr r="AA122" s="18"/>
      </tp>
      <tp t="e">
        <v>#N/A</v>
        <stp/>
        <stp>BDH|8470496600726579132</stp>
        <tr r="I20" s="5"/>
        <tr r="I20" s="9"/>
      </tp>
      <tp t="e">
        <v>#N/A</v>
        <stp/>
        <stp>BDH|1540594549582774990</stp>
        <tr r="K46" s="12"/>
      </tp>
      <tp t="e">
        <v>#N/A</v>
        <stp/>
        <stp>BDH|7082538208039736076</stp>
        <tr r="Q14" s="30"/>
      </tp>
      <tp t="e">
        <v>#N/A</v>
        <stp/>
        <stp>BDH|5942392612358973407</stp>
        <tr r="K8" s="17"/>
      </tp>
      <tp t="e">
        <v>#N/A</v>
        <stp/>
        <stp>BDH|8826807477558471403</stp>
        <tr r="M50" s="12"/>
      </tp>
      <tp t="e">
        <v>#N/A</v>
        <stp/>
        <stp>BDH|8719098204946717565</stp>
        <tr r="Z9" s="26"/>
      </tp>
      <tp t="e">
        <v>#N/A</v>
        <stp/>
        <stp>BDH|9105090192288336325</stp>
        <tr r="N51" s="24"/>
      </tp>
      <tp t="e">
        <v>#N/A</v>
        <stp/>
        <stp>BDH|9700395191130342877</stp>
        <tr r="D76" s="18"/>
      </tp>
      <tp t="e">
        <v>#N/A</v>
        <stp/>
        <stp>BDH|7334700378568249425</stp>
        <tr r="S12" s="24"/>
      </tp>
      <tp t="e">
        <v>#N/A</v>
        <stp/>
        <stp>BDH|6631922630005662291</stp>
        <tr r="K142" s="18"/>
      </tp>
      <tp t="e">
        <v>#N/A</v>
        <stp/>
        <stp>BDH|8713977948887798941</stp>
        <tr r="O44" s="13"/>
      </tp>
      <tp t="e">
        <v>#N/A</v>
        <stp/>
        <stp>BDH|3926203389647395587</stp>
        <tr r="R46" s="12"/>
      </tp>
      <tp t="e">
        <v>#N/A</v>
        <stp/>
        <stp>BDH|3082232947099662795</stp>
        <tr r="R42" s="12"/>
      </tp>
      <tp t="e">
        <v>#N/A</v>
        <stp/>
        <stp>BDH|4662361401029288586</stp>
        <tr r="Z17" s="13"/>
      </tp>
      <tp t="e">
        <v>#N/A</v>
        <stp/>
        <stp>BDH|5015685961808406665</stp>
        <tr r="F19" s="22"/>
      </tp>
      <tp t="e">
        <v>#N/A</v>
        <stp/>
        <stp>BDH|8796067181009317287</stp>
        <tr r="O17" s="10"/>
      </tp>
      <tp t="e">
        <v>#N/A</v>
        <stp/>
        <stp>BDH|6065331149549513348</stp>
        <tr r="V59" s="24"/>
      </tp>
      <tp t="e">
        <v>#N/A</v>
        <stp/>
        <stp>BDH|3349038680247241791</stp>
        <tr r="AA55" s="17"/>
      </tp>
      <tp t="e">
        <v>#N/A</v>
        <stp/>
        <stp>BDH|9602617920773596592</stp>
        <tr r="S8" s="11"/>
      </tp>
      <tp t="e">
        <v>#N/A</v>
        <stp/>
        <stp>BDH|6688425263378559791</stp>
        <tr r="R31" s="17"/>
      </tp>
      <tp t="e">
        <v>#N/A</v>
        <stp/>
        <stp>BDH|6607551444209481581</stp>
        <tr r="G45" s="13"/>
      </tp>
      <tp t="e">
        <v>#N/A</v>
        <stp/>
        <stp>BDH|1964712254959087178</stp>
        <tr r="M48" s="12"/>
      </tp>
      <tp t="e">
        <v>#N/A</v>
        <stp/>
        <stp>BDH|4427086932835551904</stp>
        <tr r="X77" s="12"/>
      </tp>
      <tp t="e">
        <v>#N/A</v>
        <stp/>
        <stp>BDH|5597064774748560190</stp>
        <tr r="Y26" s="13"/>
      </tp>
      <tp t="e">
        <v>#N/A</v>
        <stp/>
        <stp>BDH|2374191689708842809</stp>
        <tr r="AA59" s="18"/>
      </tp>
      <tp t="e">
        <v>#N/A</v>
        <stp/>
        <stp>BDH|8145542558893536031</stp>
        <tr r="E23" s="21"/>
      </tp>
      <tp t="e">
        <v>#N/A</v>
        <stp/>
        <stp>BDH|1795491838809998446</stp>
        <tr r="Q17" s="18"/>
      </tp>
      <tp t="e">
        <v>#N/A</v>
        <stp/>
        <stp>BDH|2587952449483638742</stp>
        <tr r="D71" s="17"/>
      </tp>
      <tp t="e">
        <v>#N/A</v>
        <stp/>
        <stp>BDH|9411704599105132979</stp>
        <tr r="J34" s="18"/>
      </tp>
      <tp t="e">
        <v>#N/A</v>
        <stp/>
        <stp>BDH|1448890253501790626</stp>
        <tr r="N28" s="18"/>
      </tp>
      <tp t="e">
        <v>#N/A</v>
        <stp/>
        <stp>BDH|5992149413789619707</stp>
        <tr r="G12" s="6"/>
      </tp>
      <tp t="e">
        <v>#N/A</v>
        <stp/>
        <stp>BDH|4045908504042494484</stp>
        <tr r="K81" s="18"/>
      </tp>
      <tp t="e">
        <v>#N/A</v>
        <stp/>
        <stp>BDH|2461993271400542714</stp>
        <tr r="X39" s="12"/>
      </tp>
      <tp t="e">
        <v>#N/A</v>
        <stp/>
        <stp>BDH|9977217439436074590</stp>
        <tr r="M10" s="12"/>
      </tp>
      <tp t="e">
        <v>#N/A</v>
        <stp/>
        <stp>BDH|1929434982905080304</stp>
        <tr r="Y35" s="12"/>
      </tp>
      <tp t="e">
        <v>#N/A</v>
        <stp/>
        <stp>BDH|3701867501922892205</stp>
        <tr r="W107" s="18"/>
        <tr r="U7" s="20"/>
      </tp>
      <tp t="e">
        <v>#N/A</v>
        <stp/>
        <stp>BDH|1155575129655164862</stp>
        <tr r="E58" s="21"/>
        <tr r="E33" s="25"/>
        <tr r="C31" s="4"/>
        <tr r="C55" s="11"/>
      </tp>
      <tp t="e">
        <v>#N/A</v>
        <stp/>
        <stp>BDH|3747609498977049072</stp>
        <tr r="K15" s="6"/>
      </tp>
      <tp t="e">
        <v>#N/A</v>
        <stp/>
        <stp>BDH|8638342447953420798</stp>
        <tr r="S61" s="11"/>
        <tr r="U19" s="23"/>
      </tp>
      <tp t="e">
        <v>#N/A</v>
        <stp/>
        <stp>BDH|1991335091327759748</stp>
        <tr r="O8" s="12"/>
      </tp>
      <tp t="e">
        <v>#N/A</v>
        <stp/>
        <stp>BDH|3212931660437885019</stp>
        <tr r="I6" s="19"/>
        <tr r="I37" s="17"/>
        <tr r="I16" s="3"/>
      </tp>
      <tp t="e">
        <v>#N/A</v>
        <stp/>
        <stp>BDH|9030943392330925275</stp>
        <tr r="V65" s="12"/>
      </tp>
      <tp t="e">
        <v>#N/A</v>
        <stp/>
        <stp>BDH|4870544189350439297</stp>
        <tr r="AA9" s="13"/>
      </tp>
      <tp t="e">
        <v>#N/A</v>
        <stp/>
        <stp>BDH|1975836101143529166</stp>
        <tr r="H147" s="18"/>
      </tp>
      <tp t="e">
        <v>#N/A</v>
        <stp/>
        <stp>BDH|6062284170480822880</stp>
        <tr r="Z49" s="12"/>
      </tp>
      <tp t="e">
        <v>#N/A</v>
        <stp/>
        <stp>BDH|4548633288953295243</stp>
        <tr r="I75" s="12"/>
      </tp>
      <tp t="e">
        <v>#N/A</v>
        <stp/>
        <stp>BDH|2222085899749368981</stp>
        <tr r="Z31" s="12"/>
      </tp>
      <tp t="e">
        <v>#N/A</v>
        <stp/>
        <stp>BDH|3747212391714834775</stp>
        <tr r="T29" s="24"/>
      </tp>
      <tp t="e">
        <v>#N/A</v>
        <stp/>
        <stp>BDH|3092470859331280845</stp>
        <tr r="V45" s="12"/>
      </tp>
      <tp t="e">
        <v>#N/A</v>
        <stp/>
        <stp>BDH|7259830958885333428</stp>
        <tr r="C26" s="22"/>
      </tp>
      <tp t="e">
        <v>#N/A</v>
        <stp/>
        <stp>BDH|7753268616829648698</stp>
        <tr r="K41" s="10"/>
        <tr r="K35" s="11"/>
      </tp>
      <tp t="e">
        <v>#N/A</v>
        <stp/>
        <stp>BDH|3898972296470976880</stp>
        <tr r="N7" s="6"/>
      </tp>
      <tp t="e">
        <v>#N/A</v>
        <stp/>
        <stp>BDH|1456189628758470187</stp>
        <tr r="Y45" s="12"/>
      </tp>
      <tp t="e">
        <v>#N/A</v>
        <stp/>
        <stp>BDH|1662069296626807562</stp>
        <tr r="D23" s="13"/>
      </tp>
      <tp t="e">
        <v>#N/A</v>
        <stp/>
        <stp>BDH|9442603949667784722</stp>
        <tr r="F57" s="11"/>
      </tp>
      <tp t="e">
        <v>#N/A</v>
        <stp/>
        <stp>BDH|1481827719733457037</stp>
        <tr r="H107" s="18"/>
        <tr r="F7" s="20"/>
      </tp>
      <tp t="e">
        <v>#N/A</v>
        <stp/>
        <stp>BDH|2515372688852017027</stp>
        <tr r="P42" s="18"/>
      </tp>
      <tp t="e">
        <v>#N/A</v>
        <stp/>
        <stp>BDH|5822728191670111021</stp>
        <tr r="J103" s="18"/>
      </tp>
      <tp t="e">
        <v>#N/A</v>
        <stp/>
        <stp>BDH|1950863606605190706</stp>
        <tr r="P94" s="18"/>
      </tp>
      <tp t="e">
        <v>#N/A</v>
        <stp/>
        <stp>BDH|3436299896604344707</stp>
        <tr r="J148" s="18"/>
      </tp>
      <tp t="e">
        <v>#N/A</v>
        <stp/>
        <stp>BDH|6086255578548055053</stp>
        <tr r="S43" s="22"/>
      </tp>
      <tp t="e">
        <v>#N/A</v>
        <stp/>
        <stp>BDH|8512304927253809136</stp>
        <tr r="V9" s="24"/>
      </tp>
      <tp t="e">
        <v>#N/A</v>
        <stp/>
        <stp>BDH|1603971459801484750</stp>
        <tr r="H71" s="18"/>
      </tp>
      <tp t="e">
        <v>#N/A</v>
        <stp/>
        <stp>BDH|2828901204668676833</stp>
        <tr r="Q13" s="7"/>
      </tp>
      <tp t="e">
        <v>#N/A</v>
        <stp/>
        <stp>BDH|1571671447868477089</stp>
        <tr r="U41" s="22"/>
      </tp>
      <tp t="e">
        <v>#N/A</v>
        <stp/>
        <stp>BDH|2859222837360254861</stp>
        <tr r="T23" s="10"/>
      </tp>
      <tp t="e">
        <v>#N/A</v>
        <stp/>
        <stp>BDH|3952797656128904260</stp>
        <tr r="D11" s="29"/>
      </tp>
      <tp t="e">
        <v>#N/A</v>
        <stp/>
        <stp>BDH|9300594675458020861</stp>
        <tr r="O20" s="11"/>
      </tp>
      <tp t="e">
        <v>#N/A</v>
        <stp/>
        <stp>BDH|4993909170591977091</stp>
        <tr r="U11" s="29"/>
      </tp>
      <tp t="e">
        <v>#N/A</v>
        <stp/>
        <stp>BDH|6831876275732459074</stp>
        <tr r="Y19" s="20"/>
      </tp>
      <tp t="e">
        <v>#N/A</v>
        <stp/>
        <stp>BDH|1382079330268451194</stp>
        <tr r="S45" s="18"/>
      </tp>
      <tp t="e">
        <v>#N/A</v>
        <stp/>
        <stp>BDH|3234088585423252348</stp>
        <tr r="P51" s="13"/>
      </tp>
      <tp t="e">
        <v>#N/A</v>
        <stp/>
        <stp>BDH|1124751490101857552</stp>
        <tr r="I36" s="21"/>
      </tp>
      <tp t="e">
        <v>#N/A</v>
        <stp/>
        <stp>BDH|6932192858629018013</stp>
        <tr r="R22" s="25"/>
        <tr r="R12" s="27"/>
      </tp>
      <tp t="e">
        <v>#N/A</v>
        <stp/>
        <stp>BDH|3956037513248114114</stp>
        <tr r="G19" s="11"/>
      </tp>
      <tp t="e">
        <v>#N/A</v>
        <stp/>
        <stp>BDH|1589859820797953706</stp>
        <tr r="E70" s="17"/>
      </tp>
      <tp t="e">
        <v>#N/A</v>
        <stp/>
        <stp>BDH|1180391264478312768</stp>
        <tr r="W17" s="21"/>
      </tp>
      <tp t="e">
        <v>#N/A</v>
        <stp/>
        <stp>BDH|8914955611739106257</stp>
        <tr r="R8" s="11"/>
      </tp>
      <tp t="e">
        <v>#N/A</v>
        <stp/>
        <stp>BDH|4314456418448565222</stp>
        <tr r="L34" s="34"/>
      </tp>
      <tp t="e">
        <v>#N/A</v>
        <stp/>
        <stp>BDH|7102684359529872611</stp>
        <tr r="E38" s="34"/>
      </tp>
      <tp t="e">
        <v>#N/A</v>
        <stp/>
        <stp>BDH|8912510660474941486</stp>
        <tr r="AA68" s="12"/>
      </tp>
      <tp t="e">
        <v>#N/A</v>
        <stp/>
        <stp>BDH|6817913206495530132</stp>
        <tr r="K95" s="17"/>
        <tr r="K30" s="25"/>
      </tp>
      <tp t="e">
        <v>#N/A</v>
        <stp/>
        <stp>BDH|6440274908556222900</stp>
        <tr r="K8" s="14"/>
      </tp>
      <tp t="e">
        <v>#N/A</v>
        <stp/>
        <stp>BDH|9133461509582251454</stp>
        <tr r="L59" s="17"/>
      </tp>
      <tp t="e">
        <v>#N/A</v>
        <stp/>
        <stp>BDH|4830584478448629577</stp>
        <tr r="O70" s="18"/>
      </tp>
      <tp t="e">
        <v>#N/A</v>
        <stp/>
        <stp>BDH|8297163322012854273</stp>
        <tr r="F22" s="20"/>
      </tp>
      <tp t="e">
        <v>#N/A</v>
        <stp/>
        <stp>BDH|3098152734203052980</stp>
        <tr r="C89" s="17"/>
      </tp>
      <tp t="e">
        <v>#N/A</v>
        <stp/>
        <stp>BDH|2691294495631144320</stp>
        <tr r="X17" s="6"/>
      </tp>
      <tp t="e">
        <v>#N/A</v>
        <stp/>
        <stp>BDH|8342290321226701559</stp>
        <tr r="F17" s="21"/>
      </tp>
      <tp t="e">
        <v>#N/A</v>
        <stp/>
        <stp>BDH|6941116662883047931</stp>
        <tr r="C87" s="18"/>
      </tp>
      <tp t="e">
        <v>#N/A</v>
        <stp/>
        <stp>BDH|7681545580404203597</stp>
        <tr r="AA16" s="25"/>
      </tp>
      <tp t="e">
        <v>#N/A</v>
        <stp/>
        <stp>BDH|8718146535203635298</stp>
        <tr r="AA55" s="24"/>
      </tp>
      <tp t="e">
        <v>#N/A</v>
        <stp/>
        <stp>BDH|9528133709182811190</stp>
        <tr r="U54" s="24"/>
      </tp>
      <tp t="e">
        <v>#N/A</v>
        <stp/>
        <stp>BDH|4766956048153702130</stp>
        <tr r="U26" s="7"/>
      </tp>
      <tp t="e">
        <v>#N/A</v>
        <stp/>
        <stp>BDH|1083385480809645800</stp>
        <tr r="O19" s="12"/>
      </tp>
      <tp t="e">
        <v>#N/A</v>
        <stp/>
        <stp>BDH|8877903786487156514</stp>
        <tr r="T63" s="10"/>
      </tp>
      <tp t="e">
        <v>#N/A</v>
        <stp/>
        <stp>BDH|7576876409813006759</stp>
        <tr r="E13" s="10"/>
      </tp>
      <tp t="e">
        <v>#N/A</v>
        <stp/>
        <stp>BDH|1638063591333668095</stp>
        <tr r="M51" s="12"/>
      </tp>
      <tp t="e">
        <v>#N/A</v>
        <stp/>
        <stp>BDH|6853933593178347553</stp>
        <tr r="H27" s="22"/>
      </tp>
      <tp t="e">
        <v>#N/A</v>
        <stp/>
        <stp>BDH|7029862269225462754</stp>
        <tr r="J17" s="10"/>
      </tp>
      <tp t="e">
        <v>#N/A</v>
        <stp/>
        <stp>BDH|2069720245933883914</stp>
        <tr r="O68" s="17"/>
      </tp>
      <tp t="e">
        <v>#N/A</v>
        <stp/>
        <stp>BDH|8901013225698719946</stp>
        <tr r="V12" s="13"/>
      </tp>
      <tp t="e">
        <v>#N/A</v>
        <stp/>
        <stp>BDH|2486680970088559078</stp>
        <tr r="C21" s="21"/>
      </tp>
      <tp t="e">
        <v>#N/A</v>
        <stp/>
        <stp>BDH|8483996242747347929</stp>
        <tr r="E22" s="21"/>
      </tp>
      <tp t="e">
        <v>#N/A</v>
        <stp/>
        <stp>BDH|7738885557096237741</stp>
        <tr r="V160" s="18"/>
      </tp>
      <tp t="e">
        <v>#N/A</v>
        <stp/>
        <stp>BDH|2501841516487881719</stp>
        <tr r="W43" s="24"/>
      </tp>
      <tp t="e">
        <v>#N/A</v>
        <stp/>
        <stp>BDH|1471197849576928930</stp>
        <tr r="I19" s="10"/>
      </tp>
      <tp t="e">
        <v>#N/A</v>
        <stp/>
        <stp>BDH|8073783807524440052</stp>
        <tr r="N56" s="18"/>
      </tp>
      <tp t="e">
        <v>#N/A</v>
        <stp/>
        <stp>BDH|2114903715928987935</stp>
        <tr r="U29" s="4"/>
      </tp>
      <tp t="e">
        <v>#N/A</v>
        <stp/>
        <stp>BDH|6249540999368637972</stp>
        <tr r="U59" s="24"/>
      </tp>
      <tp t="e">
        <v>#N/A</v>
        <stp/>
        <stp>BDH|6372449337318610285</stp>
        <tr r="G10" s="21"/>
      </tp>
      <tp t="e">
        <v>#N/A</v>
        <stp/>
        <stp>BDH|7599277094373800404</stp>
        <tr r="Y21" s="10"/>
      </tp>
      <tp t="e">
        <v>#N/A</v>
        <stp/>
        <stp>BDH|8073221030383595195</stp>
        <tr r="S63" s="17"/>
      </tp>
      <tp t="e">
        <v>#N/A</v>
        <stp/>
        <stp>BDH|6306551582656282687</stp>
        <tr r="L14" s="29"/>
        <tr r="L23" s="29"/>
        <tr r="L34" s="29"/>
      </tp>
      <tp t="e">
        <v>#N/A</v>
        <stp/>
        <stp>BDH|8960276697241384942</stp>
        <tr r="O161" s="18"/>
      </tp>
      <tp t="e">
        <v>#N/A</v>
        <stp/>
        <stp>BDH|3343968930841257399</stp>
        <tr r="D35" s="22"/>
      </tp>
      <tp t="e">
        <v>#N/A</v>
        <stp/>
        <stp>BDH|3091496815628642547</stp>
        <tr r="J62" s="17"/>
      </tp>
      <tp t="e">
        <v>#N/A</v>
        <stp/>
        <stp>BDH|9704560775956323694</stp>
        <tr r="X36" s="17"/>
      </tp>
      <tp t="e">
        <v>#N/A</v>
        <stp/>
        <stp>BDH|9137224006996946625</stp>
        <tr r="D17" s="17"/>
        <tr r="D20" s="28"/>
      </tp>
      <tp t="e">
        <v>#N/A</v>
        <stp/>
        <stp>BDH|8979503364220713048</stp>
        <tr r="X10" s="21"/>
      </tp>
      <tp t="e">
        <v>#N/A</v>
        <stp/>
        <stp>BDH|1567475709758589602</stp>
        <tr r="J37" s="10"/>
        <tr r="J31" s="11"/>
        <tr r="L40" s="13"/>
      </tp>
      <tp t="e">
        <v>#N/A</v>
        <stp/>
        <stp>BDH|6257374348343609942</stp>
        <tr r="V43" s="24"/>
      </tp>
      <tp t="e">
        <v>#N/A</v>
        <stp/>
        <stp>BDH|8265906601043953957</stp>
        <tr r="H97" s="17"/>
        <tr r="H7" s="27"/>
      </tp>
      <tp t="e">
        <v>#N/A</v>
        <stp/>
        <stp>BDH|5443800152632933103</stp>
        <tr r="L28" s="25"/>
        <tr r="L18" s="27"/>
      </tp>
      <tp t="e">
        <v>#N/A</v>
        <stp/>
        <stp>BDH|9459702279066161433</stp>
        <tr r="Q29" s="9"/>
      </tp>
      <tp t="e">
        <v>#N/A</v>
        <stp/>
        <stp>BDH|9769687571535849694</stp>
        <tr r="N17" s="10"/>
      </tp>
      <tp t="e">
        <v>#N/A</v>
        <stp/>
        <stp>BDH|8180185668904815061</stp>
        <tr r="I27" s="17"/>
      </tp>
      <tp t="e">
        <v>#N/A</v>
        <stp/>
        <stp>BDH|8421656830675841362</stp>
        <tr r="R22" s="26"/>
      </tp>
      <tp t="e">
        <v>#N/A</v>
        <stp/>
        <stp>BDH|2923432421318438707</stp>
        <tr r="S30" s="24"/>
      </tp>
      <tp t="e">
        <v>#N/A</v>
        <stp/>
        <stp>BDH|2993915015742388314</stp>
        <tr r="N11" s="17"/>
      </tp>
      <tp t="e">
        <v>#N/A</v>
        <stp/>
        <stp>BDH|8255911226571997931</stp>
        <tr r="I72" s="17"/>
        <tr r="I18" s="3"/>
      </tp>
      <tp t="e">
        <v>#N/A</v>
        <stp/>
        <stp>BDH|4066932506634222289</stp>
        <tr r="E54" s="12"/>
      </tp>
      <tp t="e">
        <v>#N/A</v>
        <stp/>
        <stp>BDH|8187586595609670656</stp>
        <tr r="J9" s="23"/>
      </tp>
      <tp t="e">
        <v>#N/A</v>
        <stp/>
        <stp>BDH|7355464898122599371</stp>
        <tr r="K100" s="18"/>
      </tp>
      <tp t="e">
        <v>#N/A</v>
        <stp/>
        <stp>BDH|7658956269877113441</stp>
        <tr r="D10" s="4"/>
        <tr r="C6" s="16"/>
        <tr r="F6" s="3"/>
        <tr r="D6" s="11"/>
      </tp>
      <tp t="e">
        <v>#N/A</v>
        <stp/>
        <stp>BDH|4647378973432416992</stp>
        <tr r="D37" s="12"/>
      </tp>
      <tp t="e">
        <v>#N/A</v>
        <stp/>
        <stp>BDH|9731407737836650393</stp>
        <tr r="S21" s="4"/>
      </tp>
      <tp t="e">
        <v>#N/A</v>
        <stp/>
        <stp>BDH|4047028640199452292</stp>
        <tr r="L15" s="26"/>
      </tp>
      <tp t="e">
        <v>#N/A</v>
        <stp/>
        <stp>BDH|8862066035007040749</stp>
        <tr r="G126" s="18"/>
      </tp>
      <tp t="e">
        <v>#N/A</v>
        <stp/>
        <stp>BDH|5712686555185736828</stp>
        <tr r="I22" s="11"/>
      </tp>
      <tp t="e">
        <v>#N/A</v>
        <stp/>
        <stp>BDH|7628308012199257792</stp>
        <tr r="Z24" s="17"/>
      </tp>
      <tp t="e">
        <v>#N/A</v>
        <stp/>
        <stp>BDH|2597161011611876856</stp>
        <tr r="X138" s="18"/>
      </tp>
      <tp t="e">
        <v>#N/A</v>
        <stp/>
        <stp>BDH|4498372349788141047</stp>
        <tr r="P69" s="18"/>
      </tp>
      <tp t="e">
        <v>#N/A</v>
        <stp/>
        <stp>BDH|5535251865623281983</stp>
        <tr r="N24" s="13"/>
      </tp>
      <tp t="e">
        <v>#N/A</v>
        <stp/>
        <stp>BDH|4020930919967434017</stp>
        <tr r="P9" s="12"/>
      </tp>
      <tp t="e">
        <v>#N/A</v>
        <stp/>
        <stp>BDH|2280604218908115674</stp>
        <tr r="J41" s="12"/>
      </tp>
      <tp t="e">
        <v>#N/A</v>
        <stp/>
        <stp>BDH|9959107333993434328</stp>
        <tr r="I15" s="24"/>
      </tp>
      <tp t="e">
        <v>#N/A</v>
        <stp/>
        <stp>BDH|9004285711122014356</stp>
        <tr r="X9" s="18"/>
      </tp>
      <tp t="e">
        <v>#N/A</v>
        <stp/>
        <stp>BDH|4100346968429549344</stp>
        <tr r="AA43" s="24"/>
      </tp>
      <tp t="e">
        <v>#N/A</v>
        <stp/>
        <stp>BDH|5067547828870492942</stp>
        <tr r="E158" s="18"/>
      </tp>
      <tp t="e">
        <v>#N/A</v>
        <stp/>
        <stp>BDH|1952807969271541591</stp>
        <tr r="L37" s="22"/>
      </tp>
      <tp t="e">
        <v>#N/A</v>
        <stp/>
        <stp>BDH|7023914918135607132</stp>
        <tr r="S79" s="18"/>
      </tp>
      <tp t="e">
        <v>#N/A</v>
        <stp/>
        <stp>BDH|8991551669986840610</stp>
        <tr r="N52" s="4"/>
        <tr r="P8" s="3"/>
        <tr r="N43" s="10"/>
        <tr r="N37" s="11"/>
        <tr r="P38" s="13"/>
      </tp>
      <tp t="e">
        <v>#N/A</v>
        <stp/>
        <stp>BDH|2856323592172620121</stp>
        <tr r="Y16" s="23"/>
      </tp>
      <tp t="e">
        <v>#N/A</v>
        <stp/>
        <stp>BDH|9857597476309817937</stp>
        <tr r="S12" s="18"/>
      </tp>
      <tp t="e">
        <v>#N/A</v>
        <stp/>
        <stp>BDH|1992645076202290951</stp>
        <tr r="Q21" s="4"/>
      </tp>
      <tp t="e">
        <v>#N/A</v>
        <stp/>
        <stp>BDH|1409926045596833176</stp>
        <tr r="E61" s="24"/>
      </tp>
      <tp t="e">
        <v>#N/A</v>
        <stp/>
        <stp>BDH|1786853668293396756</stp>
        <tr r="O14" s="14"/>
      </tp>
      <tp t="e">
        <v>#N/A</v>
        <stp/>
        <stp>BDH|1139528293321880746</stp>
        <tr r="O111" s="18"/>
        <tr r="M12" s="20"/>
      </tp>
      <tp t="e">
        <v>#N/A</v>
        <stp/>
        <stp>BDH|6890127851349170063</stp>
        <tr r="C144" s="18"/>
      </tp>
      <tp t="e">
        <v>#N/A</v>
        <stp/>
        <stp>BDH|9391352501002206390</stp>
        <tr r="Z53" s="24"/>
      </tp>
      <tp t="e">
        <v>#N/A</v>
        <stp/>
        <stp>BDH|8688175461131879541</stp>
        <tr r="D10" s="12"/>
      </tp>
      <tp t="e">
        <v>#N/A</v>
        <stp/>
        <stp>BDH|2246621489995103246</stp>
        <tr r="F25" s="7"/>
      </tp>
      <tp t="e">
        <v>#N/A</v>
        <stp/>
        <stp>BDH|7855919335114870287</stp>
        <tr r="D44" s="18"/>
      </tp>
      <tp t="e">
        <v>#N/A</v>
        <stp/>
        <stp>BDH|8642278735411010385</stp>
        <tr r="O62" s="17"/>
      </tp>
      <tp t="e">
        <v>#N/A</v>
        <stp/>
        <stp>BDH|1444128208838693341</stp>
        <tr r="S43" s="17"/>
      </tp>
      <tp t="e">
        <v>#N/A</v>
        <stp/>
        <stp>BDH|1415717869988767375</stp>
        <tr r="Y14" s="23"/>
      </tp>
      <tp t="e">
        <v>#N/A</v>
        <stp/>
        <stp>BDH|5869497862959967562</stp>
        <tr r="Z18" s="20"/>
      </tp>
      <tp t="e">
        <v>#N/A</v>
        <stp/>
        <stp>BDH|3393162098345056512</stp>
        <tr r="W15" s="5"/>
      </tp>
      <tp t="e">
        <v>#N/A</v>
        <stp/>
        <stp>BDH|9760431379347522648</stp>
        <tr r="J21" s="12"/>
      </tp>
      <tp t="e">
        <v>#N/A</v>
        <stp/>
        <stp>BDH|9000189287652291918</stp>
        <tr r="X84" s="18"/>
      </tp>
      <tp t="e">
        <v>#N/A</v>
        <stp/>
        <stp>BDH|7089963159195120526</stp>
        <tr r="O9" s="23"/>
      </tp>
      <tp t="e">
        <v>#N/A</v>
        <stp/>
        <stp>BDH|9384995095992369012</stp>
        <tr r="P163" s="18"/>
      </tp>
      <tp t="e">
        <v>#N/A</v>
        <stp/>
        <stp>BDH|8571631270852346088</stp>
        <tr r="X31" s="22"/>
      </tp>
      <tp t="e">
        <v>#N/A</v>
        <stp/>
        <stp>BDH|6182423748949410421</stp>
        <tr r="V35" s="26"/>
      </tp>
      <tp t="e">
        <v>#N/A</v>
        <stp/>
        <stp>BDH|5130765794049607982</stp>
        <tr r="H9" s="13"/>
      </tp>
      <tp t="e">
        <v>#N/A</v>
        <stp/>
        <stp>BDH|4737195651748100335</stp>
        <tr r="G27" s="21"/>
      </tp>
      <tp t="e">
        <v>#N/A</v>
        <stp/>
        <stp>BDH|5029314341638803154</stp>
        <tr r="V79" s="18"/>
      </tp>
      <tp t="e">
        <v>#N/A</v>
        <stp/>
        <stp>BDH|4331788981829241953</stp>
        <tr r="E10" s="13"/>
      </tp>
      <tp t="e">
        <v>#N/A</v>
        <stp/>
        <stp>BDH|9877406972377042672</stp>
        <tr r="G97" s="18"/>
      </tp>
      <tp t="e">
        <v>#N/A</v>
        <stp/>
        <stp>BDH|9710146148211741616</stp>
        <tr r="V13" s="11"/>
      </tp>
      <tp t="e">
        <v>#N/A</v>
        <stp/>
        <stp>BDH|7042805799224401905</stp>
        <tr r="V140" s="18"/>
      </tp>
      <tp t="e">
        <v>#N/A</v>
        <stp/>
        <stp>BDH|9352730779160315273</stp>
        <tr r="O133" s="18"/>
      </tp>
      <tp t="e">
        <v>#N/A</v>
        <stp/>
        <stp>BDH|4085960685977786990</stp>
        <tr r="D13" s="2"/>
      </tp>
      <tp t="e">
        <v>#N/A</v>
        <stp/>
        <stp>BDH|2063339182525823741</stp>
        <tr r="G18" s="6"/>
      </tp>
      <tp t="e">
        <v>#N/A</v>
        <stp/>
        <stp>BDH|9996783000001828441</stp>
        <tr r="C94" s="18"/>
      </tp>
      <tp t="e">
        <v>#N/A</v>
        <stp/>
        <stp>BDH|5118837143487920558</stp>
        <tr r="R22" s="24"/>
      </tp>
      <tp t="e">
        <v>#N/A</v>
        <stp/>
        <stp>BDH|4628987262778892891</stp>
        <tr r="K67" s="24"/>
      </tp>
      <tp t="e">
        <v>#N/A</v>
        <stp/>
        <stp>BDH|2985075283660218120</stp>
        <tr r="C48" s="17"/>
      </tp>
      <tp t="e">
        <v>#N/A</v>
        <stp/>
        <stp>BDH|6317068398147507355</stp>
        <tr r="P15" s="29"/>
        <tr r="P35" s="29"/>
      </tp>
      <tp t="e">
        <v>#N/A</v>
        <stp/>
        <stp>BDH|9696072349522420411</stp>
        <tr r="H21" s="21"/>
      </tp>
      <tp t="e">
        <v>#N/A</v>
        <stp/>
        <stp>BDH|4645939850224963714</stp>
        <tr r="G21" s="26"/>
      </tp>
      <tp t="e">
        <v>#N/A</v>
        <stp/>
        <stp>BDH|6771517786177589785</stp>
        <tr r="V27" s="6"/>
      </tp>
      <tp t="e">
        <v>#N/A</v>
        <stp/>
        <stp>BDH|7422248989711292768</stp>
        <tr r="R22" s="21"/>
      </tp>
      <tp t="e">
        <v>#N/A</v>
        <stp/>
        <stp>BDH|7268923305353027688</stp>
        <tr r="O17" s="20"/>
      </tp>
      <tp t="e">
        <v>#N/A</v>
        <stp/>
        <stp>BDH|1821071933338380124</stp>
        <tr r="G70" s="10"/>
        <tr r="G64" s="11"/>
      </tp>
      <tp t="e">
        <v>#N/A</v>
        <stp/>
        <stp>BDH|8390052463971096485</stp>
        <tr r="Q36" s="18"/>
      </tp>
      <tp t="e">
        <v>#N/A</v>
        <stp/>
        <stp>BDH|4717090057472697822</stp>
        <tr r="G42" s="21"/>
      </tp>
      <tp t="e">
        <v>#N/A</v>
        <stp/>
        <stp>BDH|5178121976419206153</stp>
        <tr r="H27" s="18"/>
      </tp>
      <tp t="e">
        <v>#N/A</v>
        <stp/>
        <stp>BDH|7515398293974489299</stp>
        <tr r="X33" s="18"/>
      </tp>
      <tp t="e">
        <v>#N/A</v>
        <stp/>
        <stp>BDH|8373327773390247726</stp>
        <tr r="R35" s="21"/>
      </tp>
      <tp t="e">
        <v>#N/A</v>
        <stp/>
        <stp>BDH|7873775604648825316</stp>
        <tr r="N23" s="24"/>
      </tp>
      <tp t="e">
        <v>#N/A</v>
        <stp/>
        <stp>BDH|5247870350582149165</stp>
        <tr r="D14" s="6"/>
      </tp>
      <tp t="e">
        <v>#N/A</v>
        <stp/>
        <stp>BDH|8561256571650251613</stp>
        <tr r="K16" s="20"/>
      </tp>
      <tp t="e">
        <v>#N/A</v>
        <stp/>
        <stp>BDH|2973095252485445942</stp>
        <tr r="R43" s="22"/>
      </tp>
      <tp t="e">
        <v>#N/A</v>
        <stp/>
        <stp>BDH|8651823485576078534</stp>
        <tr r="E52" s="18"/>
      </tp>
      <tp t="e">
        <v>#N/A</v>
        <stp/>
        <stp>BDH|5103679023428191267</stp>
        <tr r="K71" s="24"/>
      </tp>
      <tp t="e">
        <v>#N/A</v>
        <stp/>
        <stp>BDH|9827950694155885738</stp>
        <tr r="E12" s="21"/>
      </tp>
      <tp t="e">
        <v>#N/A</v>
        <stp/>
        <stp>BDH|9548332423277303447</stp>
        <tr r="E8" s="24"/>
      </tp>
      <tp t="e">
        <v>#N/A</v>
        <stp/>
        <stp>BDH|3780168793145465545</stp>
        <tr r="L66" s="17"/>
      </tp>
      <tp t="e">
        <v>#N/A</v>
        <stp/>
        <stp>BDH|4437094028198309544</stp>
        <tr r="O17" s="23"/>
      </tp>
      <tp t="e">
        <v>#N/A</v>
        <stp/>
        <stp>BDH|3717505646778206111</stp>
        <tr r="N10" s="21"/>
      </tp>
      <tp t="e">
        <v>#N/A</v>
        <stp/>
        <stp>BDH|4755569497647195451</stp>
        <tr r="S21" s="30"/>
        <tr r="S24" s="23"/>
      </tp>
      <tp t="e">
        <v>#N/A</v>
        <stp/>
        <stp>BDH|7270122612009262526</stp>
        <tr r="Q12" s="6"/>
      </tp>
      <tp t="e">
        <v>#N/A</v>
        <stp/>
        <stp>BDH|4579607980501313041</stp>
        <tr r="M69" s="18"/>
      </tp>
      <tp t="e">
        <v>#N/A</v>
        <stp/>
        <stp>BDH|9328290815660874157</stp>
        <tr r="V123" s="18"/>
      </tp>
      <tp t="e">
        <v>#N/A</v>
        <stp/>
        <stp>BDH|9891554849482692104</stp>
        <tr r="V13" s="9"/>
      </tp>
      <tp t="e">
        <v>#N/A</v>
        <stp/>
        <stp>BDH|8423923892344554733</stp>
        <tr r="X40" s="24"/>
      </tp>
      <tp t="e">
        <v>#N/A</v>
        <stp/>
        <stp>BDH|1131540210799214752</stp>
        <tr r="C17" s="13"/>
      </tp>
      <tp t="e">
        <v>#N/A</v>
        <stp/>
        <stp>BDH|3750672744428472222</stp>
        <tr r="X69" s="18"/>
      </tp>
      <tp t="e">
        <v>#N/A</v>
        <stp/>
        <stp>BDH|6998315044289602388</stp>
        <tr r="R103" s="18"/>
      </tp>
      <tp t="e">
        <v>#N/A</v>
        <stp/>
        <stp>BDH|1455621906675644940</stp>
        <tr r="J25" s="24"/>
      </tp>
      <tp t="e">
        <v>#N/A</v>
        <stp/>
        <stp>BDH|7213428377337132840</stp>
        <tr r="U120" s="18"/>
      </tp>
      <tp t="e">
        <v>#N/A</v>
        <stp/>
        <stp>BDH|8527351973900832791</stp>
        <tr r="D23" s="18"/>
      </tp>
      <tp t="e">
        <v>#N/A</v>
        <stp/>
        <stp>BDH|7497957660360470371</stp>
        <tr r="L33" s="21"/>
      </tp>
      <tp t="e">
        <v>#N/A</v>
        <stp/>
        <stp>BDH|9095533481469609665</stp>
        <tr r="V27" s="7"/>
      </tp>
      <tp t="e">
        <v>#N/A</v>
        <stp/>
        <stp>BDH|9511376682690237909</stp>
        <tr r="O45" s="24"/>
      </tp>
      <tp t="e">
        <v>#N/A</v>
        <stp/>
        <stp>BDH|2996244603589858247</stp>
        <tr r="R13" s="17"/>
        <tr r="R16" s="28"/>
      </tp>
      <tp t="e">
        <v>#N/A</v>
        <stp/>
        <stp>BDH|7165312076450645829</stp>
        <tr r="Y23" s="12"/>
      </tp>
      <tp t="e">
        <v>#N/A</v>
        <stp/>
        <stp>BDH|5311270091030385544</stp>
        <tr r="O28" s="12"/>
      </tp>
      <tp t="e">
        <v>#N/A</v>
        <stp/>
        <stp>BDH|5016838206373323545</stp>
        <tr r="N20" s="11"/>
      </tp>
      <tp t="e">
        <v>#N/A</v>
        <stp/>
        <stp>BDH|4789105097800610749</stp>
        <tr r="O21" s="27"/>
      </tp>
      <tp t="e">
        <v>#N/A</v>
        <stp/>
        <stp>BDH|7887810547084905454</stp>
        <tr r="W33" s="26"/>
      </tp>
      <tp t="e">
        <v>#N/A</v>
        <stp/>
        <stp>BDH|5656211592311583420</stp>
        <tr r="H41" s="34"/>
      </tp>
      <tp t="e">
        <v>#N/A</v>
        <stp/>
        <stp>BDH|6514899608332012765</stp>
        <tr r="Z16" s="12"/>
      </tp>
      <tp t="e">
        <v>#N/A</v>
        <stp/>
        <stp>BDH|2871653754903809932</stp>
        <tr r="N24" s="26"/>
      </tp>
      <tp t="e">
        <v>#N/A</v>
        <stp/>
        <stp>BDH|4738524690383495033</stp>
        <tr r="W37" s="6"/>
      </tp>
      <tp t="e">
        <v>#N/A</v>
        <stp/>
        <stp>BDH|5308395499380519449</stp>
        <tr r="M36" s="12"/>
      </tp>
      <tp t="e">
        <v>#N/A</v>
        <stp/>
        <stp>BDH|6609530761399099764</stp>
        <tr r="S78" s="17"/>
      </tp>
      <tp t="e">
        <v>#N/A</v>
        <stp/>
        <stp>BDH|3740327182321589206</stp>
        <tr r="X78" s="18"/>
      </tp>
      <tp t="e">
        <v>#N/A</v>
        <stp/>
        <stp>BDH|2574259688326885534</stp>
        <tr r="X114" s="18"/>
      </tp>
      <tp t="e">
        <v>#N/A</v>
        <stp/>
        <stp>BDH|5252180381592938512</stp>
        <tr r="S33" s="21"/>
      </tp>
      <tp t="e">
        <v>#N/A</v>
        <stp/>
        <stp>BDH|9661784729746713135</stp>
        <tr r="X25" s="21"/>
      </tp>
      <tp t="e">
        <v>#N/A</v>
        <stp/>
        <stp>BDH|6256243074648281039</stp>
        <tr r="G9" s="22"/>
      </tp>
      <tp t="e">
        <v>#N/A</v>
        <stp/>
        <stp>BDH|8296359602291167175</stp>
        <tr r="N29" s="5"/>
      </tp>
      <tp t="e">
        <v>#N/A</v>
        <stp/>
        <stp>BDH|5421208790080191562</stp>
        <tr r="F46" s="10"/>
        <tr r="F40" s="11"/>
      </tp>
      <tp t="e">
        <v>#N/A</v>
        <stp/>
        <stp>BDH|2891432249450476958</stp>
        <tr r="K35" s="17"/>
      </tp>
      <tp t="e">
        <v>#N/A</v>
        <stp/>
        <stp>BDH|9721083772427957270</stp>
        <tr r="U13" s="29"/>
        <tr r="U22" s="29"/>
        <tr r="U33" s="29"/>
      </tp>
      <tp t="e">
        <v>#N/A</v>
        <stp/>
        <stp>BDH|5792259471432078903</stp>
        <tr r="H20" s="12"/>
      </tp>
      <tp t="e">
        <v>#N/A</v>
        <stp/>
        <stp>BDH|1396704956308745019</stp>
        <tr r="F24" s="17"/>
      </tp>
      <tp t="e">
        <v>#N/A</v>
        <stp/>
        <stp>BDH|1122224193622400372</stp>
        <tr r="I29" s="4"/>
      </tp>
      <tp t="e">
        <v>#N/A</v>
        <stp/>
        <stp>BDH|3594032234639497256</stp>
        <tr r="AA54" s="21"/>
      </tp>
      <tp t="e">
        <v>#N/A</v>
        <stp/>
        <stp>BDH|5917680234098622301</stp>
        <tr r="X22" s="18"/>
      </tp>
      <tp t="e">
        <v>#N/A</v>
        <stp/>
        <stp>BDH|4945627532443344996</stp>
        <tr r="I24" s="25"/>
        <tr r="I14" s="27"/>
      </tp>
      <tp t="e">
        <v>#N/A</v>
        <stp/>
        <stp>BDH|1908061799515522603</stp>
        <tr r="X57" s="18"/>
      </tp>
      <tp t="e">
        <v>#N/A</v>
        <stp/>
        <stp>BDH|4924666151694411896</stp>
        <tr r="C16" s="18"/>
      </tp>
      <tp t="e">
        <v>#N/A</v>
        <stp/>
        <stp>BDH|4837151781670742684</stp>
        <tr r="J96" s="17"/>
      </tp>
      <tp t="e">
        <v>#N/A</v>
        <stp/>
        <stp>BDH|8971724832201317696</stp>
        <tr r="F122" s="18"/>
      </tp>
      <tp t="e">
        <v>#N/A</v>
        <stp/>
        <stp>BDH|4975435349286289921</stp>
        <tr r="AA87" s="18"/>
      </tp>
      <tp t="e">
        <v>#N/A</v>
        <stp/>
        <stp>BDH|2229884678001463759</stp>
        <tr r="W64" s="12"/>
      </tp>
      <tp t="e">
        <v>#N/A</v>
        <stp/>
        <stp>BDH|8999458820393882673</stp>
        <tr r="D49" s="12"/>
      </tp>
      <tp t="e">
        <v>#N/A</v>
        <stp/>
        <stp>BDH|9226053906971518372</stp>
        <tr r="R38" s="22"/>
      </tp>
      <tp t="e">
        <v>#N/A</v>
        <stp/>
        <stp>BDH|3905232543958398699</stp>
        <tr r="G20" s="23"/>
      </tp>
      <tp t="e">
        <v>#N/A</v>
        <stp/>
        <stp>BDH|6892065549090215966</stp>
        <tr r="J61" s="18"/>
      </tp>
      <tp t="e">
        <v>#N/A</v>
        <stp/>
        <stp>BDH|6033213704877442826</stp>
        <tr r="F27" s="34"/>
      </tp>
      <tp t="e">
        <v>#N/A</v>
        <stp/>
        <stp>BDH|4060828673516145635</stp>
        <tr r="O19" s="24"/>
      </tp>
      <tp t="e">
        <v>#N/A</v>
        <stp/>
        <stp>BDH|7746555793965419563</stp>
        <tr r="I8" s="26"/>
        <tr r="F10" s="9"/>
      </tp>
      <tp t="e">
        <v>#N/A</v>
        <stp/>
        <stp>BDH|9319704521323854499</stp>
        <tr r="Y141" s="18"/>
      </tp>
      <tp t="e">
        <v>#N/A</v>
        <stp/>
        <stp>BDH|1167273958845534883</stp>
        <tr r="P22" s="10"/>
      </tp>
      <tp t="e">
        <v>#N/A</v>
        <stp/>
        <stp>BDH|5059264774802210935</stp>
        <tr r="L25" s="7"/>
      </tp>
      <tp t="e">
        <v>#N/A</v>
        <stp/>
        <stp>BDH|3046520307359487423</stp>
        <tr r="R26" s="18"/>
      </tp>
      <tp t="e">
        <v>#N/A</v>
        <stp/>
        <stp>BDH|9169296908357499776</stp>
        <tr r="Q19" s="11"/>
      </tp>
      <tp t="e">
        <v>#N/A</v>
        <stp/>
        <stp>BDH|1014363535192396836</stp>
        <tr r="Q51" s="13"/>
      </tp>
      <tp t="e">
        <v>#N/A</v>
        <stp/>
        <stp>BDH|2954676538569739529</stp>
        <tr r="U87" s="17"/>
        <tr r="U20" s="3"/>
        <tr r="S6" s="7"/>
      </tp>
      <tp t="e">
        <v>#N/A</v>
        <stp/>
        <stp>BDH|8069775051288377969</stp>
        <tr r="F56" s="12"/>
      </tp>
      <tp t="e">
        <v>#N/A</v>
        <stp/>
        <stp>BDH|3252013410019205028</stp>
        <tr r="D64" s="12"/>
      </tp>
      <tp t="e">
        <v>#N/A</v>
        <stp/>
        <stp>BDH|3885931069262949581</stp>
        <tr r="R31" s="25"/>
      </tp>
      <tp t="e">
        <v>#N/A</v>
        <stp/>
        <stp>BDH|4913052800176787984</stp>
        <tr r="D6" s="3"/>
      </tp>
      <tp t="e">
        <v>#N/A</v>
        <stp/>
        <stp>BDH|8681504257294561776</stp>
        <tr r="W96" s="18"/>
      </tp>
      <tp t="e">
        <v>#N/A</v>
        <stp/>
        <stp>BDH|3007735484422386549</stp>
        <tr r="U38" s="22"/>
      </tp>
      <tp t="e">
        <v>#N/A</v>
        <stp/>
        <stp>BDH|5927895181197634975</stp>
        <tr r="D49" s="21"/>
      </tp>
      <tp t="e">
        <v>#N/A</v>
        <stp/>
        <stp>BDH|1846289594967060641</stp>
        <tr r="J58" s="18"/>
      </tp>
      <tp t="e">
        <v>#N/A</v>
        <stp/>
        <stp>BDH|4271215088232337780</stp>
        <tr r="T43" s="4"/>
      </tp>
      <tp t="e">
        <v>#N/A</v>
        <stp/>
        <stp>BDH|4525729004751385907</stp>
        <tr r="V22" s="22"/>
      </tp>
      <tp t="e">
        <v>#N/A</v>
        <stp/>
        <stp>BDH|1278771162019619214</stp>
        <tr r="F13" s="12"/>
      </tp>
      <tp t="e">
        <v>#N/A</v>
        <stp/>
        <stp>BDH|8176354245502720666</stp>
        <tr r="D147" s="18"/>
      </tp>
      <tp t="e">
        <v>#N/A</v>
        <stp/>
        <stp>BDH|8559049217497634509</stp>
        <tr r="V10" s="23"/>
      </tp>
      <tp t="e">
        <v>#N/A</v>
        <stp/>
        <stp>BDH|8764538065814102404</stp>
        <tr r="L78" s="18"/>
      </tp>
      <tp t="e">
        <v>#N/A</v>
        <stp/>
        <stp>BDH|4597334538898623785</stp>
        <tr r="P14" s="30"/>
      </tp>
      <tp t="e">
        <v>#N/A</v>
        <stp/>
        <stp>BDH|3175313460018116510</stp>
        <tr r="C96" s="18"/>
      </tp>
      <tp t="e">
        <v>#N/A</v>
        <stp/>
        <stp>BDH|5287168532265024965</stp>
        <tr r="I92" s="18"/>
      </tp>
      <tp t="e">
        <v>#N/A</v>
        <stp/>
        <stp>BDH|2449378041927095929</stp>
        <tr r="M45" s="21"/>
      </tp>
      <tp t="e">
        <v>#N/A</v>
        <stp/>
        <stp>BDH|8156112611556374521</stp>
        <tr r="X15" s="6"/>
      </tp>
      <tp t="e">
        <v>#N/A</v>
        <stp/>
        <stp>BDH|7334077710304710932</stp>
        <tr r="H19" s="10"/>
      </tp>
      <tp t="e">
        <v>#N/A</v>
        <stp/>
        <stp>BDH|8415463293496175805</stp>
        <tr r="F13" s="11"/>
      </tp>
      <tp t="e">
        <v>#N/A</v>
        <stp/>
        <stp>BDH|5569580588857089451</stp>
        <tr r="N19" s="11"/>
      </tp>
      <tp t="e">
        <v>#N/A</v>
        <stp/>
        <stp>BDH|9363624206614229051</stp>
        <tr r="J36" s="10"/>
        <tr r="J30" s="11"/>
        <tr r="L39" s="13"/>
      </tp>
      <tp t="e">
        <v>#N/A</v>
        <stp/>
        <stp>BDH|5210891059557669445</stp>
        <tr r="F22" s="11"/>
      </tp>
      <tp t="e">
        <v>#N/A</v>
        <stp/>
        <stp>BDH|9618495938326261358</stp>
        <tr r="S156" s="18"/>
      </tp>
      <tp t="e">
        <v>#N/A</v>
        <stp/>
        <stp>BDH|6938228561148973135</stp>
        <tr r="S23" s="12"/>
      </tp>
      <tp t="e">
        <v>#N/A</v>
        <stp/>
        <stp>BDH|8499356848445841115</stp>
        <tr r="Q14" s="26"/>
      </tp>
      <tp t="e">
        <v>#N/A</v>
        <stp/>
        <stp>BDH|4406045285113266478</stp>
        <tr r="S27" s="10"/>
        <tr r="U32" s="13"/>
      </tp>
      <tp t="e">
        <v>#N/A</v>
        <stp/>
        <stp>BDH|8289060653247116161</stp>
        <tr r="O22" s="5"/>
      </tp>
      <tp t="e">
        <v>#N/A</v>
        <stp/>
        <stp>BDH|5255490831578233189</stp>
        <tr r="P8" s="12"/>
      </tp>
      <tp t="e">
        <v>#N/A</v>
        <stp/>
        <stp>BDH|4316339756008753110</stp>
        <tr r="Q75" s="17"/>
      </tp>
      <tp t="e">
        <v>#N/A</v>
        <stp/>
        <stp>BDH|7339903383044091905</stp>
        <tr r="P33" s="17"/>
      </tp>
      <tp t="e">
        <v>#N/A</v>
        <stp/>
        <stp>BDH|6654475250884560841</stp>
        <tr r="F44" s="12"/>
      </tp>
      <tp t="e">
        <v>#N/A</v>
        <stp/>
        <stp>BDH|6284664375808432459</stp>
        <tr r="X27" s="6"/>
      </tp>
      <tp t="e">
        <v>#N/A</v>
        <stp/>
        <stp>BDH|9184346341031442404</stp>
        <tr r="D71" s="24"/>
      </tp>
      <tp t="e">
        <v>#N/A</v>
        <stp/>
        <stp>BDH|2842984175565520216</stp>
        <tr r="V57" s="12"/>
      </tp>
      <tp t="e">
        <v>#N/A</v>
        <stp/>
        <stp>BDH|9362802760838143439</stp>
        <tr r="Z18" s="22"/>
      </tp>
      <tp t="e">
        <v>#N/A</v>
        <stp/>
        <stp>BDH|6883543399633153259</stp>
        <tr r="P73" s="24"/>
      </tp>
      <tp t="e">
        <v>#N/A</v>
        <stp/>
        <stp>BDH|4209300811438713554</stp>
        <tr r="M47" s="17"/>
      </tp>
      <tp t="e">
        <v>#N/A</v>
        <stp/>
        <stp>BDH|7936383501736922984</stp>
        <tr r="F34" s="22"/>
      </tp>
      <tp t="e">
        <v>#N/A</v>
        <stp/>
        <stp>BDH|9685753349759242898</stp>
        <tr r="F9" s="10"/>
      </tp>
      <tp t="e">
        <v>#N/A</v>
        <stp/>
        <stp>BDH|7308175520148127746</stp>
        <tr r="F27" s="5"/>
        <tr r="F27" s="9"/>
      </tp>
      <tp t="e">
        <v>#N/A</v>
        <stp/>
        <stp>BDH|7764460594569639820</stp>
        <tr r="T9" s="27"/>
      </tp>
      <tp t="e">
        <v>#N/A</v>
        <stp/>
        <stp>BDH|8378153778126959363</stp>
        <tr r="L15" s="6"/>
      </tp>
      <tp t="e">
        <v>#N/A</v>
        <stp/>
        <stp>BDH|5709029667990633856</stp>
        <tr r="V7" s="6"/>
      </tp>
      <tp t="e">
        <v>#N/A</v>
        <stp/>
        <stp>BDH|4307665395817397721</stp>
        <tr r="X28" s="17"/>
      </tp>
      <tp t="e">
        <v>#N/A</v>
        <stp/>
        <stp>BDH|4945452192482831075</stp>
        <tr r="W51" s="12"/>
      </tp>
      <tp t="e">
        <v>#N/A</v>
        <stp/>
        <stp>BDH|8159152094592826997</stp>
        <tr r="R29" s="12"/>
      </tp>
      <tp t="e">
        <v>#N/A</v>
        <stp/>
        <stp>BDH|2639953937726507501</stp>
        <tr r="C51" s="13"/>
      </tp>
      <tp t="e">
        <v>#N/A</v>
        <stp/>
        <stp>BDH|3056462784805557163</stp>
        <tr r="Y60" s="21"/>
      </tp>
      <tp t="e">
        <v>#N/A</v>
        <stp/>
        <stp>BDH|3386966186701028822</stp>
        <tr r="L25" s="10"/>
      </tp>
      <tp t="e">
        <v>#N/A</v>
        <stp/>
        <stp>BDH|3801389925640718936</stp>
        <tr r="P19" s="24"/>
      </tp>
      <tp t="e">
        <v>#N/A</v>
        <stp/>
        <stp>BDH|2791710089032784499</stp>
        <tr r="J21" s="21"/>
      </tp>
      <tp t="e">
        <v>#N/A</v>
        <stp/>
        <stp>BDH|7608782959037205949</stp>
        <tr r="V42" s="21"/>
      </tp>
      <tp t="e">
        <v>#N/A</v>
        <stp/>
        <stp>BDH|1777139339240530894</stp>
        <tr r="H39" s="4"/>
        <tr r="H65" s="10"/>
      </tp>
      <tp t="e">
        <v>#N/A</v>
        <stp/>
        <stp>BDH|4277309693414854185</stp>
        <tr r="D51" s="12"/>
      </tp>
      <tp t="e">
        <v>#N/A</v>
        <stp/>
        <stp>BDH|1134431021848097429</stp>
        <tr r="D116" s="18"/>
      </tp>
      <tp t="e">
        <v>#N/A</v>
        <stp/>
        <stp>BDH|5296625985191307177</stp>
        <tr r="E19" s="22"/>
      </tp>
      <tp t="e">
        <v>#N/A</v>
        <stp/>
        <stp>BDH|7299720368349043494</stp>
        <tr r="D28" s="9"/>
      </tp>
      <tp t="e">
        <v>#N/A</v>
        <stp/>
        <stp>BDH|7303448380502567236</stp>
        <tr r="V28" s="12"/>
      </tp>
      <tp t="e">
        <v>#N/A</v>
        <stp/>
        <stp>BDH|6054728181924380610</stp>
        <tr r="R17" s="12"/>
      </tp>
      <tp t="e">
        <v>#N/A</v>
        <stp/>
        <stp>BDH|6214300103407312938</stp>
        <tr r="M99" s="17"/>
      </tp>
      <tp t="e">
        <v>#N/A</v>
        <stp/>
        <stp>BDH|2582101234259133217</stp>
        <tr r="T6" s="28"/>
      </tp>
      <tp t="e">
        <v>#N/A</v>
        <stp/>
        <stp>BDH|2194630178709304181</stp>
        <tr r="AA70" s="17"/>
      </tp>
      <tp t="e">
        <v>#N/A</v>
        <stp/>
        <stp>BDH|4998229314089962579</stp>
        <tr r="F67" s="18"/>
      </tp>
      <tp t="e">
        <v>#N/A</v>
        <stp/>
        <stp>BDH|4072416496625681701</stp>
        <tr r="V10" s="4"/>
        <tr r="U6" s="16"/>
        <tr r="X6" s="3"/>
        <tr r="V6" s="11"/>
      </tp>
      <tp t="e">
        <v>#N/A</v>
        <stp/>
        <stp>BDH|4405411225428630178</stp>
        <tr r="K63" s="12"/>
      </tp>
      <tp t="e">
        <v>#N/A</v>
        <stp/>
        <stp>BDH|9566554011533396530</stp>
        <tr r="V22" s="5"/>
      </tp>
      <tp t="e">
        <v>#N/A</v>
        <stp/>
        <stp>BDH|7183469015781682850</stp>
        <tr r="Y46" s="10"/>
        <tr r="Y40" s="11"/>
      </tp>
      <tp t="e">
        <v>#N/A</v>
        <stp/>
        <stp>BDH|7811010126216900802</stp>
        <tr r="H8" s="18"/>
      </tp>
      <tp t="e">
        <v>#N/A</v>
        <stp/>
        <stp>BDH|4461117106956197841</stp>
        <tr r="AA27" s="21"/>
      </tp>
      <tp t="e">
        <v>#N/A</v>
        <stp/>
        <stp>BDH|4525557946798939691</stp>
        <tr r="D36" s="10"/>
        <tr r="D30" s="11"/>
        <tr r="F39" s="13"/>
      </tp>
      <tp t="e">
        <v>#N/A</v>
        <stp/>
        <stp>BDH|1477935768511858412</stp>
        <tr r="G73" s="24"/>
      </tp>
      <tp t="e">
        <v>#N/A</v>
        <stp/>
        <stp>BDH|8693738306371731523</stp>
        <tr r="P16" s="29"/>
        <tr r="P36" s="29"/>
      </tp>
      <tp t="e">
        <v>#N/A</v>
        <stp/>
        <stp>BDH|8619088901865117682</stp>
        <tr r="P10" s="10"/>
      </tp>
      <tp t="e">
        <v>#N/A</v>
        <stp/>
        <stp>BDH|8603557965576725672</stp>
        <tr r="W42" s="13"/>
      </tp>
      <tp t="e">
        <v>#N/A</v>
        <stp/>
        <stp>BDH|8446745050780529131</stp>
        <tr r="Q67" s="24"/>
      </tp>
      <tp t="e">
        <v>#N/A</v>
        <stp/>
        <stp>BDH|9980310902675599492</stp>
        <tr r="K162" s="18"/>
      </tp>
      <tp t="e">
        <v>#N/A</v>
        <stp/>
        <stp>BDH|1628010988252155080</stp>
        <tr r="W18" s="2"/>
        <tr r="W53" s="4"/>
        <tr r="W45" s="10"/>
        <tr r="W39" s="11"/>
        <tr r="Y46" s="13"/>
      </tp>
      <tp t="e">
        <v>#N/A</v>
        <stp/>
        <stp>BDH|4202298990541403598</stp>
        <tr r="C12" s="6"/>
      </tp>
      <tp t="e">
        <v>#N/A</v>
        <stp/>
        <stp>BDH|6726855102601429424</stp>
        <tr r="T37" s="6"/>
      </tp>
      <tp t="e">
        <v>#N/A</v>
        <stp/>
        <stp>BDH|7490882039367669059</stp>
        <tr r="S17" s="5"/>
        <tr r="S24" s="6"/>
      </tp>
      <tp t="e">
        <v>#N/A</v>
        <stp/>
        <stp>BDH|4031970060538885898</stp>
        <tr r="G23" s="21"/>
      </tp>
      <tp t="e">
        <v>#N/A</v>
        <stp/>
        <stp>BDH|6843889174016331418</stp>
        <tr r="P14" s="2"/>
        <tr r="P11" s="10"/>
      </tp>
      <tp t="e">
        <v>#N/A</v>
        <stp/>
        <stp>BDH|6615862856020471042</stp>
        <tr r="O72" s="10"/>
        <tr r="O66" s="11"/>
      </tp>
      <tp t="e">
        <v>#N/A</v>
        <stp/>
        <stp>BDH|2937602312988994647</stp>
        <tr r="J93" s="17"/>
      </tp>
      <tp t="e">
        <v>#N/A</v>
        <stp/>
        <stp>BDH|6544874804885191018</stp>
        <tr r="K98" s="17"/>
        <tr r="K13" s="28"/>
      </tp>
      <tp t="e">
        <v>#N/A</v>
        <stp/>
        <stp>BDH|5522358082744606125</stp>
        <tr r="J41" s="10"/>
        <tr r="J35" s="11"/>
      </tp>
      <tp t="e">
        <v>#N/A</v>
        <stp/>
        <stp>BDH|1114212603699680135</stp>
        <tr r="W7" s="28"/>
      </tp>
      <tp t="e">
        <v>#N/A</v>
        <stp/>
        <stp>BDH|9540736250002892280</stp>
        <tr r="X29" s="17"/>
      </tp>
      <tp t="e">
        <v>#N/A</v>
        <stp/>
        <stp>BDH|5159389223717510891</stp>
        <tr r="V71" s="17"/>
      </tp>
      <tp t="e">
        <v>#N/A</v>
        <stp/>
        <stp>BDH|3489911833275250724</stp>
        <tr r="D23" s="21"/>
      </tp>
      <tp t="e">
        <v>#N/A</v>
        <stp/>
        <stp>BDH|1981000914998933328</stp>
        <tr r="Y147" s="18"/>
      </tp>
      <tp t="e">
        <v>#N/A</v>
        <stp/>
        <stp>BDH|9347142473280794457</stp>
        <tr r="AA155" s="18"/>
      </tp>
      <tp t="e">
        <v>#N/A</v>
        <stp/>
        <stp>BDH|9456635221626684063</stp>
        <tr r="O31" s="17"/>
      </tp>
      <tp t="e">
        <v>#N/A</v>
        <stp/>
        <stp>BDH|8633412062005347409</stp>
        <tr r="X63" s="18"/>
      </tp>
      <tp t="e">
        <v>#N/A</v>
        <stp/>
        <stp>BDH|1089425185925718369</stp>
        <tr r="AA50" s="12"/>
      </tp>
      <tp t="e">
        <v>#N/A</v>
        <stp/>
        <stp>BDH|7289428734208548379</stp>
        <tr r="K15" s="21"/>
      </tp>
      <tp t="e">
        <v>#N/A</v>
        <stp/>
        <stp>BDH|4273405481233283077</stp>
        <tr r="M54" s="18"/>
      </tp>
      <tp t="e">
        <v>#N/A</v>
        <stp/>
        <stp>BDH|8456043225025017438</stp>
        <tr r="T13" s="18"/>
      </tp>
      <tp t="e">
        <v>#N/A</v>
        <stp/>
        <stp>BDH|3075026521623510909</stp>
        <tr r="L67" s="12"/>
      </tp>
      <tp t="e">
        <v>#N/A</v>
        <stp/>
        <stp>BDH|5396832842076411404</stp>
        <tr r="R70" s="12"/>
      </tp>
      <tp t="e">
        <v>#N/A</v>
        <stp/>
        <stp>BDH|6654064180954117168</stp>
        <tr r="S19" s="10"/>
      </tp>
      <tp t="e">
        <v>#N/A</v>
        <stp/>
        <stp>BDH|7125337524845586844</stp>
        <tr r="G12" s="24"/>
      </tp>
      <tp t="e">
        <v>#N/A</v>
        <stp/>
        <stp>BDH|2458975193128168166</stp>
        <tr r="U9" s="21"/>
      </tp>
      <tp t="e">
        <v>#N/A</v>
        <stp/>
        <stp>BDH|7522917033010530657</stp>
        <tr r="AA28" s="26"/>
      </tp>
      <tp t="e">
        <v>#N/A</v>
        <stp/>
        <stp>BDH|5902725569116147940</stp>
        <tr r="R142" s="18"/>
      </tp>
      <tp t="e">
        <v>#N/A</v>
        <stp/>
        <stp>BDH|6651828812036754268</stp>
        <tr r="P25" s="13"/>
      </tp>
      <tp t="e">
        <v>#N/A</v>
        <stp/>
        <stp>BDH|1524675242510668814</stp>
        <tr r="W59" s="18"/>
      </tp>
      <tp t="e">
        <v>#N/A</v>
        <stp/>
        <stp>BDH|9045052827426540606</stp>
        <tr r="F28" s="24"/>
      </tp>
      <tp t="e">
        <v>#N/A</v>
        <stp/>
        <stp>BDH|8649539071474789542</stp>
        <tr r="X64" s="24"/>
      </tp>
      <tp t="e">
        <v>#N/A</v>
        <stp/>
        <stp>BDH|4391472994696292457</stp>
        <tr r="T14" s="22"/>
      </tp>
      <tp t="e">
        <v>#N/A</v>
        <stp/>
        <stp>BDH|9499012115445741608</stp>
        <tr r="S10" s="10"/>
      </tp>
      <tp t="e">
        <v>#N/A</v>
        <stp/>
        <stp>BDH|9175869245507118949</stp>
        <tr r="Q47" s="21"/>
      </tp>
      <tp t="e">
        <v>#N/A</v>
        <stp/>
        <stp>BDH|7292219896182239501</stp>
        <tr r="H6" s="28"/>
      </tp>
      <tp t="e">
        <v>#N/A</v>
        <stp/>
        <stp>BDH|3632662820829281553</stp>
        <tr r="C10" s="28"/>
      </tp>
      <tp t="e">
        <v>#N/A</v>
        <stp/>
        <stp>BDH|9169048411704096732</stp>
        <tr r="U24" s="24"/>
      </tp>
      <tp t="e">
        <v>#N/A</v>
        <stp/>
        <stp>BDH|7556931731785147312</stp>
        <tr r="G49" s="12"/>
      </tp>
      <tp t="e">
        <v>#N/A</v>
        <stp/>
        <stp>BDH|8346363008225837522</stp>
        <tr r="V23" s="10"/>
      </tp>
      <tp t="e">
        <v>#N/A</v>
        <stp/>
        <stp>BDH|7679124891090233404</stp>
        <tr r="Y19" s="14"/>
      </tp>
      <tp t="e">
        <v>#N/A</v>
        <stp/>
        <stp>BDH|5587600771377586864</stp>
        <tr r="D43" s="21"/>
      </tp>
      <tp t="e">
        <v>#N/A</v>
        <stp/>
        <stp>BDH|6004754235179650017</stp>
        <tr r="L15" s="25"/>
      </tp>
      <tp t="e">
        <v>#N/A</v>
        <stp/>
        <stp>BDH|3652920213182411242</stp>
        <tr r="Y19" s="10"/>
      </tp>
      <tp t="e">
        <v>#N/A</v>
        <stp/>
        <stp>BDH|4618166531414349951</stp>
        <tr r="M8" s="13"/>
      </tp>
      <tp t="e">
        <v>#N/A</v>
        <stp/>
        <stp>BDH|1621337057518476411</stp>
        <tr r="Y164" s="18"/>
      </tp>
      <tp t="e">
        <v>#N/A</v>
        <stp/>
        <stp>BDH|5298319183497071275</stp>
        <tr r="C67" s="10"/>
      </tp>
      <tp t="e">
        <v>#N/A</v>
        <stp/>
        <stp>BDH|2303845898120156899</stp>
        <tr r="K128" s="18"/>
      </tp>
      <tp t="e">
        <v>#N/A</v>
        <stp/>
        <stp>BDH|1376116280912663135</stp>
        <tr r="Q68" s="10"/>
      </tp>
      <tp t="e">
        <v>#N/A</v>
        <stp/>
        <stp>BDH|4774064323439153449</stp>
        <tr r="W157" s="18"/>
      </tp>
      <tp t="e">
        <v>#N/A</v>
        <stp/>
        <stp>BDH|2835737861260957848</stp>
        <tr r="Y59" s="12"/>
      </tp>
      <tp t="e">
        <v>#N/A</v>
        <stp/>
        <stp>BDH|6278142797635488021</stp>
        <tr r="K34" s="12"/>
      </tp>
      <tp t="e">
        <v>#N/A</v>
        <stp/>
        <stp>BDH|1125809124574073423</stp>
        <tr r="M93" s="18"/>
      </tp>
      <tp t="e">
        <v>#N/A</v>
        <stp/>
        <stp>BDH|9977669013836344388</stp>
        <tr r="Q28" s="22"/>
      </tp>
      <tp t="e">
        <v>#N/A</v>
        <stp/>
        <stp>BDH|7051674265365099951</stp>
        <tr r="W13" s="7"/>
      </tp>
      <tp t="e">
        <v>#N/A</v>
        <stp/>
        <stp>BDH|9033818492132628122</stp>
        <tr r="K45" s="18"/>
      </tp>
      <tp t="e">
        <v>#N/A</v>
        <stp/>
        <stp>BDH|2074899556932020688</stp>
        <tr r="V118" s="18"/>
      </tp>
      <tp t="e">
        <v>#N/A</v>
        <stp/>
        <stp>BDH|4424879968916891746</stp>
        <tr r="C17" s="24"/>
      </tp>
      <tp t="e">
        <v>#N/A</v>
        <stp/>
        <stp>BDH|4613936765895219550</stp>
        <tr r="F19" s="25"/>
        <tr r="D21" s="11"/>
      </tp>
      <tp t="e">
        <v>#N/A</v>
        <stp/>
        <stp>BDH|3054945110847014708</stp>
        <tr r="K31" s="25"/>
      </tp>
      <tp t="e">
        <v>#N/A</v>
        <stp/>
        <stp>BDH|3776252771718411532</stp>
        <tr r="G34" s="26"/>
      </tp>
      <tp t="e">
        <v>#N/A</v>
        <stp/>
        <stp>BDH|8969938291420622399</stp>
        <tr r="K64" s="18"/>
      </tp>
      <tp t="e">
        <v>#N/A</v>
        <stp/>
        <stp>BDH|2475425599515934124</stp>
        <tr r="C8" s="23"/>
      </tp>
      <tp t="e">
        <v>#N/A</v>
        <stp/>
        <stp>BDH|5007373745100271945</stp>
        <tr r="S14" s="29"/>
        <tr r="S23" s="29"/>
        <tr r="S34" s="29"/>
      </tp>
      <tp t="e">
        <v>#N/A</v>
        <stp/>
        <stp>BDH|3072863811415426472</stp>
        <tr r="G115" s="18"/>
      </tp>
      <tp t="e">
        <v>#N/A</v>
        <stp/>
        <stp>BDH|6097244594112098445</stp>
        <tr r="I32" s="21"/>
      </tp>
      <tp t="e">
        <v>#N/A</v>
        <stp/>
        <stp>BDH|8028465079182314284</stp>
        <tr r="I50" s="17"/>
      </tp>
      <tp t="e">
        <v>#N/A</v>
        <stp/>
        <stp>BDH|5566620423582366837</stp>
        <tr r="H12" s="11"/>
      </tp>
      <tp t="e">
        <v>#N/A</v>
        <stp/>
        <stp>BDH|4014970100707309103</stp>
        <tr r="I10" s="6"/>
      </tp>
      <tp t="e">
        <v>#N/A</v>
        <stp/>
        <stp>BDH|9031054211511646262</stp>
        <tr r="Z155" s="18"/>
      </tp>
      <tp t="e">
        <v>#N/A</v>
        <stp/>
        <stp>BDH|8967655250307966712</stp>
        <tr r="X25" s="22"/>
      </tp>
      <tp t="e">
        <v>#N/A</v>
        <stp/>
        <stp>BDH|8562032362642132716</stp>
        <tr r="M21" s="30"/>
        <tr r="M24" s="23"/>
      </tp>
      <tp t="e">
        <v>#N/A</v>
        <stp/>
        <stp>BDH|4665539564785168949</stp>
        <tr r="L52" s="24"/>
      </tp>
      <tp t="e">
        <v>#N/A</v>
        <stp/>
        <stp>BDH|7505879141456185663</stp>
        <tr r="G25" s="6"/>
      </tp>
      <tp t="e">
        <v>#N/A</v>
        <stp/>
        <stp>BDH|5279965875095316565</stp>
        <tr r="K99" s="17"/>
      </tp>
      <tp t="e">
        <v>#N/A</v>
        <stp/>
        <stp>BDH|1018754945938567112</stp>
        <tr r="V31" s="22"/>
      </tp>
      <tp t="e">
        <v>#N/A</v>
        <stp/>
        <stp>BDH|8659263964692019509</stp>
        <tr r="M63" s="18"/>
      </tp>
      <tp t="e">
        <v>#N/A</v>
        <stp/>
        <stp>BDH|3952393175968626475</stp>
        <tr r="C61" s="17"/>
      </tp>
      <tp t="e">
        <v>#N/A</v>
        <stp/>
        <stp>BDH|6905516895610988103</stp>
        <tr r="Y88" s="17"/>
      </tp>
      <tp t="e">
        <v>#N/A</v>
        <stp/>
        <stp>BDH|4235161155239322269</stp>
        <tr r="I31" s="18"/>
      </tp>
      <tp t="e">
        <v>#N/A</v>
        <stp/>
        <stp>BDH|9102537444052282104</stp>
        <tr r="Q41" s="17"/>
      </tp>
      <tp t="e">
        <v>#N/A</v>
        <stp/>
        <stp>BDH|9161383446226345389</stp>
        <tr r="X68" s="17"/>
      </tp>
      <tp t="e">
        <v>#N/A</v>
        <stp/>
        <stp>BDH|6950636288177770418</stp>
        <tr r="L148" s="18"/>
      </tp>
      <tp t="e">
        <v>#N/A</v>
        <stp/>
        <stp>BDH|1040320509140911969</stp>
        <tr r="X10" s="23"/>
      </tp>
      <tp t="e">
        <v>#N/A</v>
        <stp/>
        <stp>BDH|6823452196841706185</stp>
        <tr r="Y18" s="2"/>
        <tr r="Y53" s="4"/>
        <tr r="Y45" s="10"/>
        <tr r="Y39" s="11"/>
        <tr r="AA46" s="13"/>
      </tp>
      <tp t="e">
        <v>#N/A</v>
        <stp/>
        <stp>BDH|6019988630553869447</stp>
        <tr r="V7" s="23"/>
      </tp>
      <tp t="e">
        <v>#N/A</v>
        <stp/>
        <stp>BDH|1533032916852020946</stp>
        <tr r="R41" s="13"/>
      </tp>
      <tp t="e">
        <v>#N/A</v>
        <stp/>
        <stp>BDH|9436964727519082016</stp>
        <tr r="M43" s="21"/>
      </tp>
      <tp t="e">
        <v>#N/A</v>
        <stp/>
        <stp>BDH|2319817570840250647</stp>
        <tr r="W31" s="12"/>
      </tp>
      <tp t="e">
        <v>#N/A</v>
        <stp/>
        <stp>BDH|1294478962819755140</stp>
        <tr r="D29" s="29"/>
        <tr r="D7" s="29"/>
      </tp>
      <tp t="e">
        <v>#N/A</v>
        <stp/>
        <stp>BDH|9938341829872462143</stp>
        <tr r="Q18" s="9"/>
      </tp>
      <tp t="e">
        <v>#N/A</v>
        <stp/>
        <stp>BDH|3030183373896828875</stp>
        <tr r="K63" s="18"/>
      </tp>
      <tp t="e">
        <v>#N/A</v>
        <stp/>
        <stp>BDH|9300803023848556011</stp>
        <tr r="O26" s="29"/>
      </tp>
      <tp t="e">
        <v>#N/A</v>
        <stp/>
        <stp>BDH|8758331167141126768</stp>
        <tr r="Z50" s="12"/>
      </tp>
      <tp t="e">
        <v>#N/A</v>
        <stp/>
        <stp>BDH|3800453859438113118</stp>
        <tr r="C150" s="18"/>
      </tp>
      <tp t="e">
        <v>#N/A</v>
        <stp/>
        <stp>BDH|1351308453984738826</stp>
        <tr r="Y23" s="11"/>
      </tp>
      <tp t="e">
        <v>#N/A</v>
        <stp/>
        <stp>BDH|3416215511889899294</stp>
        <tr r="R9" s="22"/>
      </tp>
      <tp t="e">
        <v>#N/A</v>
        <stp/>
        <stp>BDH|6370841309206854331</stp>
        <tr r="Y150" s="18"/>
      </tp>
      <tp t="e">
        <v>#N/A</v>
        <stp/>
        <stp>BDH|6844693360319015445</stp>
        <tr r="R27" s="22"/>
      </tp>
      <tp t="e">
        <v>#N/A</v>
        <stp/>
        <stp>BDH|8804791474751928294</stp>
        <tr r="J8" s="4"/>
      </tp>
      <tp t="e">
        <v>#N/A</v>
        <stp/>
        <stp>BDH|9929495520604442015</stp>
        <tr r="L71" s="18"/>
      </tp>
      <tp t="e">
        <v>#N/A</v>
        <stp/>
        <stp>BDH|4806544066518788489</stp>
        <tr r="H24" s="24"/>
      </tp>
      <tp t="e">
        <v>#N/A</v>
        <stp/>
        <stp>BDH|6607207015898465629</stp>
        <tr r="O8" s="34"/>
      </tp>
      <tp t="e">
        <v>#N/A</v>
        <stp/>
        <stp>BDH|9763532741204842781</stp>
        <tr r="P31" s="21"/>
      </tp>
      <tp t="e">
        <v>#N/A</v>
        <stp/>
        <stp>BDH|4378878214463591501</stp>
        <tr r="J35" s="25"/>
        <tr r="J7" s="3"/>
        <tr r="H18" s="11"/>
        <tr r="J22" s="13"/>
        <tr r="J7" s="13"/>
      </tp>
      <tp t="e">
        <v>#N/A</v>
        <stp/>
        <stp>BDH|1764351589389906877</stp>
        <tr r="V15" s="4"/>
      </tp>
      <tp t="e">
        <v>#N/A</v>
        <stp/>
        <stp>BDH|3857531397040138484</stp>
        <tr r="T18" s="29"/>
        <tr r="T38" s="29"/>
      </tp>
      <tp t="e">
        <v>#N/A</v>
        <stp/>
        <stp>BDH|4018604434309368322</stp>
        <tr r="Q10" s="17"/>
      </tp>
      <tp t="e">
        <v>#N/A</v>
        <stp/>
        <stp>BDH|1259940035720466026</stp>
        <tr r="V53" s="18"/>
      </tp>
      <tp t="e">
        <v>#N/A</v>
        <stp/>
        <stp>BDH|6638563047694420861</stp>
        <tr r="V42" s="13"/>
      </tp>
      <tp t="e">
        <v>#N/A</v>
        <stp/>
        <stp>BDH|8522012514117635537</stp>
        <tr r="K9" s="12"/>
      </tp>
      <tp t="e">
        <v>#N/A</v>
        <stp/>
        <stp>BDH|3861695194670692768</stp>
        <tr r="J27" s="5"/>
        <tr r="J27" s="9"/>
      </tp>
      <tp t="e">
        <v>#N/A</v>
        <stp/>
        <stp>BDH|4616472595153803196</stp>
        <tr r="X78" s="12"/>
      </tp>
      <tp t="e">
        <v>#N/A</v>
        <stp/>
        <stp>BDH|7101761032370405846</stp>
        <tr r="F6" s="28"/>
      </tp>
      <tp t="e">
        <v>#N/A</v>
        <stp/>
        <stp>BDH|2768867966347219007</stp>
        <tr r="W142" s="18"/>
      </tp>
      <tp t="e">
        <v>#N/A</v>
        <stp/>
        <stp>BDH|8159557711211533657</stp>
        <tr r="V9" s="23"/>
      </tp>
      <tp t="e">
        <v>#N/A</v>
        <stp/>
        <stp>BDH|6131975239331933631</stp>
        <tr r="P24" s="26"/>
      </tp>
      <tp t="e">
        <v>#N/A</v>
        <stp/>
        <stp>BDH|6015765875059178475</stp>
        <tr r="G69" s="10"/>
        <tr r="G63" s="11"/>
        <tr r="G20" s="7"/>
      </tp>
      <tp t="e">
        <v>#N/A</v>
        <stp/>
        <stp>BDH|5925163843172867910</stp>
        <tr r="C58" s="21"/>
        <tr r="C33" s="25"/>
      </tp>
      <tp t="e">
        <v>#N/A</v>
        <stp/>
        <stp>BDH|1695830911310379324</stp>
        <tr r="D16" s="21"/>
      </tp>
      <tp t="e">
        <v>#N/A</v>
        <stp/>
        <stp>BDH|2006800135430359238</stp>
        <tr r="I22" s="17"/>
      </tp>
      <tp t="e">
        <v>#N/A</v>
        <stp/>
        <stp>BDH|3161698743182767890</stp>
        <tr r="O69" s="18"/>
      </tp>
      <tp t="e">
        <v>#N/A</v>
        <stp/>
        <stp>BDH|3754912522382482155</stp>
        <tr r="G48" s="12"/>
      </tp>
      <tp t="e">
        <v>#N/A</v>
        <stp/>
        <stp>BDH|8804848916709658390</stp>
        <tr r="M53" s="13"/>
      </tp>
      <tp t="e">
        <v>#N/A</v>
        <stp/>
        <stp>BDH|4982754488317820797</stp>
        <tr r="R37" s="12"/>
      </tp>
      <tp t="e">
        <v>#N/A</v>
        <stp/>
        <stp>BDH|1013276626282618828</stp>
        <tr r="K7" s="10"/>
      </tp>
      <tp t="e">
        <v>#N/A</v>
        <stp/>
        <stp>BDH|5287327915184840886</stp>
        <tr r="S112" s="18"/>
        <tr r="Q13" s="20"/>
      </tp>
      <tp t="e">
        <v>#N/A</v>
        <stp/>
        <stp>BDH|6277510889431992166</stp>
        <tr r="H6" s="19"/>
        <tr r="H37" s="17"/>
        <tr r="H16" s="3"/>
      </tp>
      <tp t="e">
        <v>#N/A</v>
        <stp/>
        <stp>BDH|2874976919823730246</stp>
        <tr r="R81" s="18"/>
      </tp>
      <tp t="e">
        <v>#N/A</v>
        <stp/>
        <stp>BDH|3209666431955541857</stp>
        <tr r="D24" s="18"/>
      </tp>
      <tp t="e">
        <v>#N/A</v>
        <stp/>
        <stp>BDH|4131962947062555008</stp>
        <tr r="C57" s="12"/>
      </tp>
      <tp t="e">
        <v>#N/A</v>
        <stp/>
        <stp>BDH|9318782336046194096</stp>
        <tr r="K26" s="29"/>
      </tp>
      <tp t="e">
        <v>#N/A</v>
        <stp/>
        <stp>BDH|5862912835730983404</stp>
        <tr r="X14" s="23"/>
      </tp>
      <tp t="e">
        <v>#N/A</v>
        <stp/>
        <stp>BDH|3814037354618380596</stp>
        <tr r="C27" s="6"/>
      </tp>
      <tp t="e">
        <v>#N/A</v>
        <stp/>
        <stp>BDH|6416452974976619865</stp>
        <tr r="D14" s="2"/>
        <tr r="D11" s="10"/>
      </tp>
      <tp t="e">
        <v>#N/A</v>
        <stp/>
        <stp>BDH|56033782849378776</stp>
        <tr r="U14" s="21"/>
      </tp>
      <tp t="e">
        <v>#N/A</v>
        <stp/>
        <stp>BDH|94183960140454162</stp>
        <tr r="R141" s="18"/>
      </tp>
      <tp t="e">
        <v>#N/A</v>
        <stp/>
        <stp>BDH|1905424439040016284</stp>
        <tr r="E15" s="9"/>
      </tp>
      <tp t="e">
        <v>#N/A</v>
        <stp/>
        <stp>BDH|2118540733826814649</stp>
        <tr r="W13" s="12"/>
      </tp>
      <tp t="e">
        <v>#N/A</v>
        <stp/>
        <stp>BDH|9175832568265031607</stp>
        <tr r="K24" s="26"/>
      </tp>
      <tp t="e">
        <v>#N/A</v>
        <stp/>
        <stp>BDH|9396901807005880163</stp>
        <tr r="K29" s="29"/>
        <tr r="K7" s="29"/>
      </tp>
      <tp t="e">
        <v>#N/A</v>
        <stp/>
        <stp>BDH|2045264433034904362</stp>
        <tr r="O22" s="24"/>
      </tp>
      <tp t="e">
        <v>#N/A</v>
        <stp/>
        <stp>BDH|9503237239715676935</stp>
        <tr r="O95" s="18"/>
      </tp>
      <tp t="e">
        <v>#N/A</v>
        <stp/>
        <stp>BDH|6116736462577348494</stp>
        <tr r="G18" s="22"/>
      </tp>
      <tp t="e">
        <v>#N/A</v>
        <stp/>
        <stp>BDH|2238495276102500725</stp>
        <tr r="N11" s="11"/>
      </tp>
      <tp t="e">
        <v>#N/A</v>
        <stp/>
        <stp>BDH|8573420629759101355</stp>
        <tr r="Z123" s="18"/>
      </tp>
      <tp t="e">
        <v>#N/A</v>
        <stp/>
        <stp>BDH|2280631644685891171</stp>
        <tr r="G36" s="24"/>
      </tp>
      <tp t="e">
        <v>#N/A</v>
        <stp/>
        <stp>BDH|6802451886307412954</stp>
        <tr r="O10" s="2"/>
        <tr r="N11" s="5"/>
        <tr r="N36" s="6"/>
        <tr r="Q31" s="29"/>
        <tr r="Q39" s="29"/>
      </tp>
      <tp t="e">
        <v>#N/A</v>
        <stp/>
        <stp>BDH|3102912022038174493</stp>
        <tr r="AA8" s="24"/>
      </tp>
      <tp t="e">
        <v>#N/A</v>
        <stp/>
        <stp>BDH|4010377777332207683</stp>
        <tr r="E40" s="24"/>
      </tp>
      <tp t="e">
        <v>#N/A</v>
        <stp/>
        <stp>BDH|6615125427170092195</stp>
        <tr r="L38" s="10"/>
        <tr r="L32" s="11"/>
      </tp>
      <tp t="e">
        <v>#N/A</v>
        <stp/>
        <stp>BDH|1216822786537895246</stp>
        <tr r="X57" s="17"/>
        <tr r="X10" s="25"/>
      </tp>
      <tp t="e">
        <v>#N/A</v>
        <stp/>
        <stp>BDH|6355806512218308388</stp>
        <tr r="R25" s="13"/>
      </tp>
      <tp t="e">
        <v>#N/A</v>
        <stp/>
        <stp>BDH|8218235048909606355</stp>
        <tr r="V130" s="18"/>
      </tp>
      <tp t="e">
        <v>#N/A</v>
        <stp/>
        <stp>BDH|7115891041756046938</stp>
        <tr r="I59" s="18"/>
      </tp>
      <tp t="e">
        <v>#N/A</v>
        <stp/>
        <stp>BDH|1843242405992655557</stp>
        <tr r="U63" s="24"/>
      </tp>
      <tp t="e">
        <v>#N/A</v>
        <stp/>
        <stp>BDH|9604743618859471240</stp>
        <tr r="M35" s="12"/>
      </tp>
      <tp t="e">
        <v>#N/A</v>
        <stp/>
        <stp>BDH|7110412276203583395</stp>
        <tr r="Y47" s="12"/>
      </tp>
      <tp t="e">
        <v>#N/A</v>
        <stp/>
        <stp>BDH|3536497957332681473</stp>
        <tr r="Q50" s="4"/>
      </tp>
      <tp t="e">
        <v>#N/A</v>
        <stp/>
        <stp>BDH|5668634171928823866</stp>
        <tr r="J13" s="14"/>
      </tp>
      <tp t="e">
        <v>#N/A</v>
        <stp/>
        <stp>BDH|2923391534633928579</stp>
        <tr r="Z62" s="17"/>
      </tp>
      <tp t="e">
        <v>#N/A</v>
        <stp/>
        <stp>BDH|2232512709841904288</stp>
        <tr r="S32" s="18"/>
      </tp>
      <tp t="e">
        <v>#N/A</v>
        <stp/>
        <stp>BDH|2144251620002943460</stp>
        <tr r="C20" s="6"/>
      </tp>
      <tp t="e">
        <v>#N/A</v>
        <stp/>
        <stp>BDH|1948778833020190174</stp>
        <tr r="R9" s="3"/>
        <tr r="P50" s="10"/>
        <tr r="P44" s="11"/>
        <tr r="P14" s="7"/>
      </tp>
      <tp t="e">
        <v>#N/A</v>
        <stp/>
        <stp>BDH|9817586749738266406</stp>
        <tr r="S35" s="22"/>
      </tp>
      <tp t="e">
        <v>#N/A</v>
        <stp/>
        <stp>BDH|7091233428421871289</stp>
        <tr r="O36" s="12"/>
      </tp>
      <tp t="e">
        <v>#N/A</v>
        <stp/>
        <stp>BDH|7214234702239166891</stp>
        <tr r="Q23" s="21"/>
      </tp>
      <tp t="e">
        <v>#N/A</v>
        <stp/>
        <stp>BDH|6003467971017458680</stp>
        <tr r="Q18" s="22"/>
      </tp>
      <tp t="e">
        <v>#N/A</v>
        <stp/>
        <stp>BDH|8564948641122396383</stp>
        <tr r="X128" s="18"/>
      </tp>
      <tp t="e">
        <v>#N/A</v>
        <stp/>
        <stp>BDH|2175486074630677505</stp>
        <tr r="C92" s="17"/>
      </tp>
      <tp t="e">
        <v>#N/A</v>
        <stp/>
        <stp>BDH|7628655569986696572</stp>
        <tr r="G53" s="17"/>
      </tp>
      <tp t="e">
        <v>#N/A</v>
        <stp/>
        <stp>BDH|3583386941725450539</stp>
        <tr r="Y67" s="17"/>
      </tp>
      <tp t="e">
        <v>#N/A</v>
        <stp/>
        <stp>BDH|4817015510092071326</stp>
        <tr r="R96" s="17"/>
      </tp>
      <tp t="e">
        <v>#N/A</v>
        <stp/>
        <stp>BDH|9816820294185639937</stp>
        <tr r="G66" s="21"/>
      </tp>
      <tp t="e">
        <v>#N/A</v>
        <stp/>
        <stp>BDH|5622402327707320091</stp>
        <tr r="D65" s="12"/>
      </tp>
      <tp t="e">
        <v>#N/A</v>
        <stp/>
        <stp>BDH|4662522402007815251</stp>
        <tr r="F9" s="13"/>
      </tp>
      <tp t="e">
        <v>#N/A</v>
        <stp/>
        <stp>BDH|2950473746047317100</stp>
        <tr r="P34" s="24"/>
      </tp>
      <tp t="e">
        <v>#N/A</v>
        <stp/>
        <stp>BDH|6168103509642534167</stp>
        <tr r="N123" s="18"/>
      </tp>
      <tp t="e">
        <v>#N/A</v>
        <stp/>
        <stp>BDH|5415433638493422503</stp>
        <tr r="X17" s="17"/>
        <tr r="X20" s="28"/>
      </tp>
      <tp t="e">
        <v>#N/A</v>
        <stp/>
        <stp>BDH|7750681974082670065</stp>
        <tr r="AA20" s="30"/>
      </tp>
      <tp t="e">
        <v>#N/A</v>
        <stp/>
        <stp>BDH|7972913591654792752</stp>
        <tr r="D13" s="10"/>
      </tp>
      <tp t="e">
        <v>#N/A</v>
        <stp/>
        <stp>BDH|7528564919110271739</stp>
        <tr r="T38" s="22"/>
      </tp>
      <tp t="e">
        <v>#N/A</v>
        <stp/>
        <stp>BDH|8322696112923716844</stp>
        <tr r="H39" s="12"/>
      </tp>
      <tp t="e">
        <v>#N/A</v>
        <stp/>
        <stp>BDH|7312662848149582832</stp>
        <tr r="O26" s="25"/>
        <tr r="O16" s="27"/>
      </tp>
      <tp t="e">
        <v>#N/A</v>
        <stp/>
        <stp>BDH|6997093105676842463</stp>
        <tr r="R28" s="25"/>
        <tr r="R18" s="27"/>
      </tp>
      <tp t="e">
        <v>#N/A</v>
        <stp/>
        <stp>BDH|3908713383101386931</stp>
        <tr r="AA20" s="27"/>
      </tp>
      <tp t="e">
        <v>#N/A</v>
        <stp/>
        <stp>BDH|4708238257150940717</stp>
        <tr r="L52" s="17"/>
      </tp>
      <tp t="e">
        <v>#N/A</v>
        <stp/>
        <stp>BDH|4948764273475118568</stp>
        <tr r="P15" s="12"/>
      </tp>
      <tp t="e">
        <v>#N/A</v>
        <stp/>
        <stp>BDH|3163080453530884296</stp>
        <tr r="X26" s="13"/>
      </tp>
      <tp t="e">
        <v>#N/A</v>
        <stp/>
        <stp>BDH|5996367465213362727</stp>
        <tr r="R60" s="24"/>
      </tp>
      <tp t="e">
        <v>#N/A</v>
        <stp/>
        <stp>BDH|7858605662986340521</stp>
        <tr r="Q30" s="17"/>
      </tp>
      <tp t="e">
        <v>#N/A</v>
        <stp/>
        <stp>BDH|7363351048957709322</stp>
        <tr r="D15" s="24"/>
      </tp>
      <tp t="e">
        <v>#N/A</v>
        <stp/>
        <stp>BDH|5866520505214092042</stp>
        <tr r="Q35" s="17"/>
      </tp>
      <tp t="e">
        <v>#N/A</v>
        <stp/>
        <stp>BDH|4544385947624010319</stp>
        <tr r="Y43" s="13"/>
      </tp>
      <tp t="e">
        <v>#N/A</v>
        <stp/>
        <stp>BDH|1922772721859627924</stp>
        <tr r="R66" s="24"/>
      </tp>
      <tp t="e">
        <v>#N/A</v>
        <stp/>
        <stp>BDH|4530499506513767767</stp>
        <tr r="Q24" s="17"/>
      </tp>
      <tp t="e">
        <v>#N/A</v>
        <stp/>
        <stp>BDH|4052017235390982367</stp>
        <tr r="M57" s="24"/>
      </tp>
      <tp t="e">
        <v>#N/A</v>
        <stp/>
        <stp>BDH|7756862398163554142</stp>
        <tr r="H22" s="17"/>
      </tp>
      <tp t="e">
        <v>#N/A</v>
        <stp/>
        <stp>BDH|1574942425316859842</stp>
        <tr r="N45" s="24"/>
      </tp>
      <tp t="e">
        <v>#N/A</v>
        <stp/>
        <stp>BDH|5707127673217676082</stp>
        <tr r="J8" s="6"/>
      </tp>
      <tp t="e">
        <v>#N/A</v>
        <stp/>
        <stp>BDH|2708523739706548610</stp>
        <tr r="W27" s="17"/>
      </tp>
      <tp t="e">
        <v>#N/A</v>
        <stp/>
        <stp>BDH|5909248494048208238</stp>
        <tr r="W75" s="12"/>
      </tp>
      <tp t="e">
        <v>#N/A</v>
        <stp/>
        <stp>BDH|5774443821612963534</stp>
        <tr r="S45" s="24"/>
      </tp>
      <tp t="e">
        <v>#N/A</v>
        <stp/>
        <stp>BDH|4631684771647318640</stp>
        <tr r="V18" s="30"/>
      </tp>
      <tp t="e">
        <v>#N/A</v>
        <stp/>
        <stp>BDH|5052084725204774727</stp>
        <tr r="J26" s="25"/>
        <tr r="J16" s="27"/>
      </tp>
      <tp t="e">
        <v>#N/A</v>
        <stp/>
        <stp>BDH|7293491671533468368</stp>
        <tr r="I53" s="17"/>
      </tp>
      <tp t="e">
        <v>#N/A</v>
        <stp/>
        <stp>BDH|5524918645934818811</stp>
        <tr r="L69" s="17"/>
      </tp>
      <tp t="e">
        <v>#N/A</v>
        <stp/>
        <stp>BDH|3261382246519544917</stp>
        <tr r="V55" s="12"/>
      </tp>
      <tp t="e">
        <v>#N/A</v>
        <stp/>
        <stp>BDH|7083098203742545171</stp>
        <tr r="W28" s="17"/>
      </tp>
      <tp t="e">
        <v>#N/A</v>
        <stp/>
        <stp>BDH|1714081450123201355</stp>
        <tr r="K59" s="18"/>
      </tp>
      <tp t="e">
        <v>#N/A</v>
        <stp/>
        <stp>BDH|3863147117252677553</stp>
        <tr r="X55" s="17"/>
      </tp>
      <tp t="e">
        <v>#N/A</v>
        <stp/>
        <stp>BDH|2885328733842875498</stp>
        <tr r="Y68" s="18"/>
      </tp>
      <tp t="e">
        <v>#N/A</v>
        <stp/>
        <stp>BDH|4845656395226739974</stp>
        <tr r="F76" s="18"/>
      </tp>
      <tp t="e">
        <v>#N/A</v>
        <stp/>
        <stp>BDH|6767846514012827974</stp>
        <tr r="X53" s="24"/>
      </tp>
      <tp t="e">
        <v>#N/A</v>
        <stp/>
        <stp>BDH|7138524538550508564</stp>
        <tr r="E72" s="10"/>
        <tr r="E66" s="11"/>
      </tp>
      <tp t="e">
        <v>#N/A</v>
        <stp/>
        <stp>BDH|4130317528319798878</stp>
        <tr r="I65" s="12"/>
      </tp>
      <tp t="e">
        <v>#N/A</v>
        <stp/>
        <stp>BDH|6770391371064229252</stp>
        <tr r="E31" s="24"/>
      </tp>
      <tp t="e">
        <v>#N/A</v>
        <stp/>
        <stp>BDH|2277433992359822233</stp>
        <tr r="M50" s="13"/>
      </tp>
      <tp t="e">
        <v>#N/A</v>
        <stp/>
        <stp>BDH|5147884179806893808</stp>
        <tr r="N147" s="18"/>
      </tp>
      <tp t="e">
        <v>#N/A</v>
        <stp/>
        <stp>BDH|1790862421138959717</stp>
        <tr r="X151" s="18"/>
      </tp>
      <tp t="e">
        <v>#N/A</v>
        <stp/>
        <stp>BDH|2192235859832796346</stp>
        <tr r="D20" s="23"/>
      </tp>
      <tp t="e">
        <v>#N/A</v>
        <stp/>
        <stp>BDH|4262723569489530849</stp>
        <tr r="Y63" s="17"/>
      </tp>
      <tp t="e">
        <v>#N/A</v>
        <stp/>
        <stp>BDH|8033736089935666640</stp>
        <tr r="W16" s="23"/>
      </tp>
      <tp t="e">
        <v>#N/A</v>
        <stp/>
        <stp>BDH|2843498108690175207</stp>
        <tr r="O41" s="12"/>
      </tp>
      <tp t="e">
        <v>#N/A</v>
        <stp/>
        <stp>BDH|9249918538610393709</stp>
        <tr r="Z29" s="12"/>
      </tp>
      <tp t="e">
        <v>#N/A</v>
        <stp/>
        <stp>BDH|2174651268906241066</stp>
        <tr r="G132" s="18"/>
      </tp>
      <tp t="e">
        <v>#N/A</v>
        <stp/>
        <stp>BDH|9438081365398355329</stp>
        <tr r="P13" s="7"/>
      </tp>
      <tp t="e">
        <v>#N/A</v>
        <stp/>
        <stp>BDH|8885839964271466338</stp>
        <tr r="N44" s="13"/>
      </tp>
      <tp t="e">
        <v>#N/A</v>
        <stp/>
        <stp>BDH|9887816178261873317</stp>
        <tr r="K8" s="6"/>
      </tp>
      <tp t="e">
        <v>#N/A</v>
        <stp/>
        <stp>BDH|7135208131314938617</stp>
        <tr r="J29" s="29"/>
        <tr r="J7" s="29"/>
      </tp>
      <tp t="e">
        <v>#N/A</v>
        <stp/>
        <stp>BDH|2950630250547583277</stp>
        <tr r="G38" s="18"/>
      </tp>
      <tp t="e">
        <v>#N/A</v>
        <stp/>
        <stp>BDH|5606799270807661618</stp>
        <tr r="S21" s="21"/>
      </tp>
      <tp t="e">
        <v>#N/A</v>
        <stp/>
        <stp>BDH|1405974375028693382</stp>
        <tr r="P11" s="28"/>
      </tp>
      <tp t="e">
        <v>#N/A</v>
        <stp/>
        <stp>BDH|4437223959505096273</stp>
        <tr r="AA66" s="24"/>
      </tp>
      <tp t="e">
        <v>#N/A</v>
        <stp/>
        <stp>BDH|3960266844800531165</stp>
        <tr r="M74" s="12"/>
      </tp>
      <tp t="e">
        <v>#N/A</v>
        <stp/>
        <stp>BDH|4281489971234590764</stp>
        <tr r="O24" s="17"/>
      </tp>
      <tp t="e">
        <v>#N/A</v>
        <stp/>
        <stp>BDH|6285566938697611338</stp>
        <tr r="O97" s="18"/>
      </tp>
      <tp t="e">
        <v>#N/A</v>
        <stp/>
        <stp>BDH|6228422977110952175</stp>
        <tr r="S13" s="9"/>
      </tp>
      <tp t="e">
        <v>#N/A</v>
        <stp/>
        <stp>BDH|1540943818215404844</stp>
        <tr r="Q57" s="17"/>
        <tr r="Q10" s="25"/>
      </tp>
      <tp t="e">
        <v>#N/A</v>
        <stp/>
        <stp>BDH|4212281733849595851</stp>
        <tr r="Z57" s="24"/>
      </tp>
      <tp t="e">
        <v>#N/A</v>
        <stp/>
        <stp>BDH|2916952867291715850</stp>
        <tr r="I26" s="25"/>
        <tr r="I16" s="27"/>
      </tp>
      <tp t="e">
        <v>#N/A</v>
        <stp/>
        <stp>BDH|3765614979093207542</stp>
        <tr r="P106" s="18"/>
        <tr r="N6" s="20"/>
      </tp>
      <tp t="e">
        <v>#N/A</v>
        <stp/>
        <stp>BDH|3903246047335023437</stp>
        <tr r="S125" s="18"/>
      </tp>
      <tp t="e">
        <v>#N/A</v>
        <stp/>
        <stp>BDH|1537734220429633993</stp>
        <tr r="H139" s="18"/>
      </tp>
      <tp t="e">
        <v>#N/A</v>
        <stp/>
        <stp>BDH|2510977598940754649</stp>
        <tr r="D27" s="10"/>
        <tr r="F32" s="13"/>
      </tp>
      <tp t="e">
        <v>#N/A</v>
        <stp/>
        <stp>BDH|7327009076387427389</stp>
        <tr r="E20" s="11"/>
      </tp>
      <tp t="e">
        <v>#N/A</v>
        <stp/>
        <stp>BDH|2334604833385170681</stp>
        <tr r="AA92" s="18"/>
      </tp>
      <tp t="e">
        <v>#N/A</v>
        <stp/>
        <stp>BDH|6479517506941329699</stp>
        <tr r="J52" s="18"/>
      </tp>
      <tp t="e">
        <v>#N/A</v>
        <stp/>
        <stp>BDH|7797121809141537308</stp>
        <tr r="I30" s="22"/>
      </tp>
      <tp t="e">
        <v>#N/A</v>
        <stp/>
        <stp>BDH|3703097537541979597</stp>
        <tr r="V85" s="18"/>
      </tp>
      <tp t="e">
        <v>#N/A</v>
        <stp/>
        <stp>BDH|2982130685259486626</stp>
        <tr r="V32" s="21"/>
      </tp>
      <tp t="e">
        <v>#N/A</v>
        <stp/>
        <stp>BDH|2827032820351265502</stp>
        <tr r="Q56" s="18"/>
      </tp>
      <tp t="e">
        <v>#N/A</v>
        <stp/>
        <stp>BDH|9059497185541393069</stp>
        <tr r="F9" s="24"/>
      </tp>
      <tp t="e">
        <v>#N/A</v>
        <stp/>
        <stp>BDH|2496088525254410044</stp>
        <tr r="S72" s="18"/>
      </tp>
      <tp t="e">
        <v>#N/A</v>
        <stp/>
        <stp>BDH|6525203687681332982</stp>
        <tr r="W30" s="29"/>
        <tr r="W8" s="29"/>
      </tp>
      <tp t="e">
        <v>#N/A</v>
        <stp/>
        <stp>BDH|7192707358048264921</stp>
        <tr r="AA144" s="18"/>
      </tp>
      <tp t="e">
        <v>#N/A</v>
        <stp/>
        <stp>BDH|6190177862375550081</stp>
        <tr r="C106" s="18"/>
      </tp>
      <tp t="e">
        <v>#N/A</v>
        <stp/>
        <stp>BDH|3536975574829711087</stp>
        <tr r="P57" s="24"/>
      </tp>
      <tp t="e">
        <v>#N/A</v>
        <stp/>
        <stp>BDH|8216560402291836878</stp>
        <tr r="R47" s="12"/>
      </tp>
      <tp t="e">
        <v>#N/A</v>
        <stp/>
        <stp>BDH|5687971313030300982</stp>
        <tr r="T62" s="17"/>
      </tp>
      <tp t="e">
        <v>#N/A</v>
        <stp/>
        <stp>BDH|6356413226847912344</stp>
        <tr r="I106" s="18"/>
        <tr r="G6" s="20"/>
      </tp>
      <tp t="e">
        <v>#N/A</v>
        <stp/>
        <stp>BDH|9677895941972448335</stp>
        <tr r="U46" s="17"/>
      </tp>
      <tp t="e">
        <v>#N/A</v>
        <stp/>
        <stp>BDH|9994877950391578120</stp>
        <tr r="O97" s="17"/>
        <tr r="O7" s="27"/>
      </tp>
      <tp t="e">
        <v>#N/A</v>
        <stp/>
        <stp>BDH|5498621406913941408</stp>
        <tr r="H120" s="18"/>
      </tp>
      <tp t="e">
        <v>#N/A</v>
        <stp/>
        <stp>BDH|1784082825840795746</stp>
        <tr r="L56" s="18"/>
      </tp>
      <tp t="e">
        <v>#N/A</v>
        <stp/>
        <stp>BDH|4651434129491711729</stp>
        <tr r="P30" s="22"/>
      </tp>
      <tp t="e">
        <v>#N/A</v>
        <stp/>
        <stp>BDH|4707453118323382604</stp>
        <tr r="M27" s="10"/>
        <tr r="O32" s="13"/>
      </tp>
      <tp t="e">
        <v>#N/A</v>
        <stp/>
        <stp>BDH|8043377689396446138</stp>
        <tr r="C43" s="4"/>
      </tp>
      <tp t="e">
        <v>#N/A</v>
        <stp/>
        <stp>BDH|7540033501577885465</stp>
        <tr r="F35" s="26"/>
      </tp>
      <tp t="e">
        <v>#N/A</v>
        <stp/>
        <stp>BDH|9782986773147156445</stp>
        <tr r="Q61" s="21"/>
      </tp>
      <tp t="e">
        <v>#N/A</v>
        <stp/>
        <stp>BDH|4554912127928905331</stp>
        <tr r="U8" s="6"/>
      </tp>
      <tp t="e">
        <v>#N/A</v>
        <stp/>
        <stp>BDH|6637842249979616747</stp>
        <tr r="T9" s="6"/>
      </tp>
      <tp t="e">
        <v>#N/A</v>
        <stp/>
        <stp>BDH|7794581045695586768</stp>
        <tr r="H26" s="22"/>
      </tp>
      <tp t="e">
        <v>#N/A</v>
        <stp/>
        <stp>BDH|7090393437873705073</stp>
        <tr r="O15" s="24"/>
      </tp>
      <tp t="e">
        <v>#N/A</v>
        <stp/>
        <stp>BDH|9558132902029873521</stp>
        <tr r="N37" s="10"/>
        <tr r="N31" s="11"/>
        <tr r="P40" s="13"/>
      </tp>
      <tp t="e">
        <v>#N/A</v>
        <stp/>
        <stp>BDH|6163701224790345785</stp>
        <tr r="E23" s="20"/>
      </tp>
      <tp t="e">
        <v>#N/A</v>
        <stp/>
        <stp>BDH|7775815928329723072</stp>
        <tr r="Q67" s="12"/>
      </tp>
      <tp t="e">
        <v>#N/A</v>
        <stp/>
        <stp>BDH|8558783681794349714</stp>
        <tr r="D77" s="18"/>
      </tp>
      <tp t="e">
        <v>#N/A</v>
        <stp/>
        <stp>BDH|5788596661313585144</stp>
        <tr r="I45" s="24"/>
      </tp>
      <tp t="e">
        <v>#N/A</v>
        <stp/>
        <stp>BDH|1161609151836858063</stp>
        <tr r="AA40" s="29"/>
      </tp>
      <tp t="e">
        <v>#N/A</v>
        <stp/>
        <stp>BDH|4273645492679845620</stp>
        <tr r="J43" s="4"/>
      </tp>
      <tp t="e">
        <v>#N/A</v>
        <stp/>
        <stp>BDH|5959516014181161434</stp>
        <tr r="H50" s="17"/>
      </tp>
      <tp t="e">
        <v>#N/A</v>
        <stp/>
        <stp>BDH|4164405748326025671</stp>
        <tr r="R54" s="24"/>
      </tp>
      <tp t="e">
        <v>#N/A</v>
        <stp/>
        <stp>BDH|1707495930481017303</stp>
        <tr r="V25" s="4"/>
        <tr r="V64" s="10"/>
      </tp>
      <tp t="e">
        <v>#N/A</v>
        <stp/>
        <stp>BDH|6321592541176460514</stp>
        <tr r="G31" s="26"/>
      </tp>
      <tp t="e">
        <v>#N/A</v>
        <stp/>
        <stp>BDH|9742924646992833259</stp>
        <tr r="U55" s="13"/>
      </tp>
      <tp t="e">
        <v>#N/A</v>
        <stp/>
        <stp>BDH|3899028786556348912</stp>
        <tr r="S33" s="12"/>
      </tp>
      <tp t="e">
        <v>#N/A</v>
        <stp/>
        <stp>BDH|9423413893395859505</stp>
        <tr r="N23" s="23"/>
      </tp>
      <tp t="e">
        <v>#N/A</v>
        <stp/>
        <stp>BDH|1458171623192837463</stp>
        <tr r="X113" s="18"/>
        <tr r="V14" s="20"/>
      </tp>
      <tp t="e">
        <v>#N/A</v>
        <stp/>
        <stp>BDH|8479825239443711462</stp>
        <tr r="K94" s="17"/>
      </tp>
      <tp t="e">
        <v>#N/A</v>
        <stp/>
        <stp>BDH|4366714669168630934</stp>
        <tr r="D24" s="12"/>
      </tp>
      <tp t="e">
        <v>#N/A</v>
        <stp/>
        <stp>BDH|4719732232632179696</stp>
        <tr r="Q14" s="11"/>
      </tp>
      <tp t="e">
        <v>#N/A</v>
        <stp/>
        <stp>BDH|8098279881261865700</stp>
        <tr r="E131" s="18"/>
      </tp>
      <tp t="e">
        <v>#N/A</v>
        <stp/>
        <stp>BDH|5889687758853313152</stp>
        <tr r="X19" s="26"/>
      </tp>
      <tp t="e">
        <v>#N/A</v>
        <stp/>
        <stp>BDH|7935854686444324777</stp>
        <tr r="O66" s="18"/>
      </tp>
      <tp t="e">
        <v>#N/A</v>
        <stp/>
        <stp>BDH|8887630676895364800</stp>
        <tr r="Q49" s="4"/>
      </tp>
      <tp t="e">
        <v>#N/A</v>
        <stp/>
        <stp>BDH|5341404248695275477</stp>
        <tr r="W78" s="18"/>
      </tp>
      <tp t="e">
        <v>#N/A</v>
        <stp/>
        <stp>BDH|8887117567549842287</stp>
        <tr r="AA35" s="21"/>
      </tp>
      <tp t="e">
        <v>#N/A</v>
        <stp/>
        <stp>BDH|3978181126227153388</stp>
        <tr r="H8" s="6"/>
      </tp>
      <tp t="e">
        <v>#N/A</v>
        <stp/>
        <stp>BDH|2308191156991705350</stp>
        <tr r="E15" s="25"/>
      </tp>
      <tp t="e">
        <v>#N/A</v>
        <stp/>
        <stp>BDH|2802460471210232539</stp>
        <tr r="I34" s="21"/>
      </tp>
      <tp t="e">
        <v>#N/A</v>
        <stp/>
        <stp>BDH|9322669780584378781</stp>
        <tr r="K43" s="21"/>
      </tp>
      <tp t="e">
        <v>#N/A</v>
        <stp/>
        <stp>BDH|5386877845498927561</stp>
        <tr r="T14" s="10"/>
      </tp>
      <tp t="e">
        <v>#N/A</v>
        <stp/>
        <stp>BDH|1982074520783808486</stp>
        <tr r="G34" s="18"/>
      </tp>
      <tp t="e">
        <v>#N/A</v>
        <stp/>
        <stp>BDH|1513338564741446185</stp>
        <tr r="AA13" s="13"/>
      </tp>
      <tp t="e">
        <v>#N/A</v>
        <stp/>
        <stp>BDH|2426382783808638574</stp>
        <tr r="W13" s="5"/>
      </tp>
      <tp t="e">
        <v>#N/A</v>
        <stp/>
        <stp>BDH|6886031477247546271</stp>
        <tr r="F11" s="14"/>
      </tp>
      <tp t="e">
        <v>#N/A</v>
        <stp/>
        <stp>BDH|7593481639747851324</stp>
        <tr r="K8" s="18"/>
      </tp>
      <tp t="e">
        <v>#N/A</v>
        <stp/>
        <stp>BDH|5274989277038786748</stp>
        <tr r="C94" s="17"/>
      </tp>
      <tp t="e">
        <v>#N/A</v>
        <stp/>
        <stp>BDH|1350124082108964457</stp>
        <tr r="F36" s="21"/>
      </tp>
      <tp t="e">
        <v>#N/A</v>
        <stp/>
        <stp>BDH|2997426950235192255</stp>
        <tr r="G38" s="4"/>
        <tr r="G59" s="11"/>
        <tr r="I13" s="23"/>
      </tp>
      <tp t="e">
        <v>#N/A</v>
        <stp/>
        <stp>BDH|8072384883552465501</stp>
        <tr r="G24" s="25"/>
        <tr r="G14" s="27"/>
      </tp>
      <tp t="e">
        <v>#N/A</v>
        <stp/>
        <stp>BDH|5074087367767155012</stp>
        <tr r="AA109" s="18"/>
        <tr r="Z9" s="20"/>
      </tp>
      <tp t="e">
        <v>#N/A</v>
        <stp/>
        <stp>BDH|3546098251511197330</stp>
        <tr r="L162" s="18"/>
      </tp>
      <tp t="e">
        <v>#N/A</v>
        <stp/>
        <stp>BDH|9114991967375518752</stp>
        <tr r="F118" s="18"/>
      </tp>
      <tp t="e">
        <v>#N/A</v>
        <stp/>
        <stp>BDH|3716212506340748584</stp>
        <tr r="H32" s="21"/>
      </tp>
      <tp t="e">
        <v>#N/A</v>
        <stp/>
        <stp>BDH|5193737128995173140</stp>
        <tr r="M91" s="17"/>
      </tp>
      <tp t="e">
        <v>#N/A</v>
        <stp/>
        <stp>BDH|3234193174602531356</stp>
        <tr r="F15" s="24"/>
      </tp>
      <tp t="e">
        <v>#N/A</v>
        <stp/>
        <stp>BDH|5739859881440451188</stp>
        <tr r="C46" s="12"/>
      </tp>
      <tp t="e">
        <v>#N/A</v>
        <stp/>
        <stp>BDH|2431607569046151032</stp>
        <tr r="C29" s="9"/>
      </tp>
      <tp t="e">
        <v>#N/A</v>
        <stp/>
        <stp>BDH|4473752731460718483</stp>
        <tr r="Z62" s="18"/>
      </tp>
      <tp t="e">
        <v>#N/A</v>
        <stp/>
        <stp>BDH|2623609508932808290</stp>
        <tr r="J45" s="21"/>
      </tp>
      <tp t="e">
        <v>#N/A</v>
        <stp/>
        <stp>BDH|1881852305924455933</stp>
        <tr r="O71" s="18"/>
      </tp>
      <tp t="e">
        <v>#N/A</v>
        <stp/>
        <stp>BDH|9734989017911019477</stp>
        <tr r="X11" s="17"/>
      </tp>
      <tp t="e">
        <v>#N/A</v>
        <stp/>
        <stp>BDH|4881012011924109566</stp>
        <tr r="U130" s="18"/>
      </tp>
      <tp t="e">
        <v>#N/A</v>
        <stp/>
        <stp>BDH|3733314585749910555</stp>
        <tr r="K26" s="6"/>
      </tp>
      <tp t="e">
        <v>#N/A</v>
        <stp/>
        <stp>BDH|5423801008689574066</stp>
        <tr r="S22" s="21"/>
      </tp>
      <tp t="e">
        <v>#N/A</v>
        <stp/>
        <stp>BDH|5518454770091830371</stp>
        <tr r="H62" s="17"/>
      </tp>
      <tp t="e">
        <v>#N/A</v>
        <stp/>
        <stp>BDH|7124103058125219246</stp>
        <tr r="G119" s="18"/>
      </tp>
      <tp t="e">
        <v>#N/A</v>
        <stp/>
        <stp>BDH|9911841505477052278</stp>
        <tr r="E23" s="10"/>
      </tp>
      <tp t="e">
        <v>#N/A</v>
        <stp/>
        <stp>BDH|5440676422037925279</stp>
        <tr r="AA25" s="22"/>
      </tp>
      <tp t="e">
        <v>#N/A</v>
        <stp/>
        <stp>BDH|9699945058784474514</stp>
        <tr r="Y46" s="4"/>
        <tr r="Y24" s="10"/>
        <tr r="AA35" s="13"/>
      </tp>
      <tp t="e">
        <v>#N/A</v>
        <stp/>
        <stp>BDH|1723413689651771878</stp>
        <tr r="P47" s="17"/>
      </tp>
      <tp t="e">
        <v>#N/A</v>
        <stp/>
        <stp>BDH|2791309887539749489</stp>
        <tr r="R156" s="18"/>
      </tp>
      <tp t="e">
        <v>#N/A</v>
        <stp/>
        <stp>BDH|3789015342853888037</stp>
        <tr r="M24" s="21"/>
      </tp>
      <tp t="e">
        <v>#N/A</v>
        <stp/>
        <stp>BDH|2667501452896877032</stp>
        <tr r="D48" s="18"/>
      </tp>
      <tp t="e">
        <v>#N/A</v>
        <stp/>
        <stp>BDH|5809843495233633308</stp>
        <tr r="I57" s="18"/>
      </tp>
      <tp t="e">
        <v>#N/A</v>
        <stp/>
        <stp>BDH|3905555507522093044</stp>
        <tr r="G13" s="12"/>
      </tp>
      <tp t="e">
        <v>#N/A</v>
        <stp/>
        <stp>BDH|2693524747764934355</stp>
        <tr r="D81" s="18"/>
      </tp>
      <tp t="e">
        <v>#N/A</v>
        <stp/>
        <stp>BDH|4382888209198595084</stp>
        <tr r="D123" s="18"/>
      </tp>
      <tp t="e">
        <v>#N/A</v>
        <stp/>
        <stp>BDH|6816092508747089560</stp>
        <tr r="N14" s="14"/>
      </tp>
      <tp t="e">
        <v>#N/A</v>
        <stp/>
        <stp>BDH|1554658832397502781</stp>
        <tr r="F47" s="12"/>
      </tp>
      <tp t="e">
        <v>#N/A</v>
        <stp/>
        <stp>BDH|4144915162228456799</stp>
        <tr r="P38" s="4"/>
        <tr r="P59" s="11"/>
        <tr r="R13" s="23"/>
      </tp>
      <tp t="e">
        <v>#N/A</v>
        <stp/>
        <stp>BDH|4080251712716966516</stp>
        <tr r="R35" s="17"/>
      </tp>
      <tp t="e">
        <v>#N/A</v>
        <stp/>
        <stp>BDH|1015910565292354888</stp>
        <tr r="G26" s="21"/>
      </tp>
      <tp t="e">
        <v>#N/A</v>
        <stp/>
        <stp>BDH|1062383811920356757</stp>
        <tr r="T27" s="6"/>
      </tp>
      <tp t="e">
        <v>#N/A</v>
        <stp/>
        <stp>BDH|4089400048395327578</stp>
        <tr r="E144" s="18"/>
      </tp>
      <tp t="e">
        <v>#N/A</v>
        <stp/>
        <stp>BDH|7236863880997805408</stp>
        <tr r="M13" s="18"/>
      </tp>
      <tp t="e">
        <v>#N/A</v>
        <stp/>
        <stp>BDH|4601454748318006877</stp>
        <tr r="E8" s="13"/>
      </tp>
      <tp t="e">
        <v>#N/A</v>
        <stp/>
        <stp>BDH|1818092566013946027</stp>
        <tr r="F36" s="12"/>
      </tp>
      <tp t="e">
        <v>#N/A</v>
        <stp/>
        <stp>BDH|4566500421152820506</stp>
        <tr r="C64" s="18"/>
      </tp>
      <tp t="e">
        <v>#N/A</v>
        <stp/>
        <stp>BDH|5554095703667654656</stp>
        <tr r="I29" s="5"/>
      </tp>
      <tp t="e">
        <v>#N/A</v>
        <stp/>
        <stp>BDH|4231115557967181392</stp>
        <tr r="L141" s="18"/>
      </tp>
      <tp t="e">
        <v>#N/A</v>
        <stp/>
        <stp>BDH|5613090694420411830</stp>
        <tr r="Z33" s="22"/>
      </tp>
      <tp t="e">
        <v>#N/A</v>
        <stp/>
        <stp>BDH|2734517824421772093</stp>
        <tr r="P71" s="18"/>
      </tp>
      <tp t="e">
        <v>#N/A</v>
        <stp/>
        <stp>BDH|9890180903344842879</stp>
        <tr r="V50" s="21"/>
      </tp>
      <tp t="e">
        <v>#N/A</v>
        <stp/>
        <stp>BDH|5830313771751515410</stp>
        <tr r="K48" s="12"/>
      </tp>
      <tp t="e">
        <v>#N/A</v>
        <stp/>
        <stp>BDH|7896270614426595622</stp>
        <tr r="J14" s="10"/>
      </tp>
      <tp t="e">
        <v>#N/A</v>
        <stp/>
        <stp>BDH|1663268539037094351</stp>
        <tr r="Q43" s="12"/>
      </tp>
      <tp t="e">
        <v>#N/A</v>
        <stp/>
        <stp>BDH|3520597501754535648</stp>
        <tr r="K34" s="17"/>
      </tp>
      <tp t="e">
        <v>#N/A</v>
        <stp/>
        <stp>BDH|6857109432524283448</stp>
        <tr r="V68" s="12"/>
      </tp>
      <tp t="e">
        <v>#N/A</v>
        <stp/>
        <stp>BDH|5801878182094004511</stp>
        <tr r="U71" s="24"/>
      </tp>
      <tp t="e">
        <v>#N/A</v>
        <stp/>
        <stp>BDH|3797343828120665614</stp>
        <tr r="U9" s="27"/>
      </tp>
      <tp t="e">
        <v>#N/A</v>
        <stp/>
        <stp>BDH|3221887197581711768</stp>
        <tr r="Y8" s="17"/>
      </tp>
      <tp t="e">
        <v>#N/A</v>
        <stp/>
        <stp>BDH|5940024164805503260</stp>
        <tr r="Q42" s="12"/>
      </tp>
      <tp t="e">
        <v>#N/A</v>
        <stp/>
        <stp>BDH|2604273691894921951</stp>
        <tr r="U79" s="18"/>
      </tp>
      <tp t="e">
        <v>#N/A</v>
        <stp/>
        <stp>BDH|1126692631846702623</stp>
        <tr r="Y17" s="20"/>
      </tp>
      <tp t="e">
        <v>#N/A</v>
        <stp/>
        <stp>BDH|3911021143241412208</stp>
        <tr r="Z70" s="24"/>
      </tp>
      <tp t="e">
        <v>#N/A</v>
        <stp/>
        <stp>BDH|4170047439374482740</stp>
        <tr r="E97" s="18"/>
      </tp>
      <tp t="e">
        <v>#N/A</v>
        <stp/>
        <stp>BDH|1082881598456579291</stp>
        <tr r="H42" s="4"/>
      </tp>
      <tp t="e">
        <v>#N/A</v>
        <stp/>
        <stp>BDH|2159007355890052382</stp>
        <tr r="T20" s="2"/>
        <tr r="T18" s="4"/>
        <tr r="T57" s="10"/>
        <tr r="T51" s="11"/>
        <tr r="T19" s="7"/>
        <tr r="V57" s="13"/>
      </tp>
      <tp t="e">
        <v>#N/A</v>
        <stp/>
        <stp>BDH|1785674020184466586</stp>
        <tr r="S84" s="18"/>
      </tp>
      <tp t="e">
        <v>#N/A</v>
        <stp/>
        <stp>BDH|8240512913028599093</stp>
        <tr r="X9" s="26"/>
      </tp>
      <tp t="e">
        <v>#N/A</v>
        <stp/>
        <stp>BDH|8167339296270921613</stp>
        <tr r="M22" s="7"/>
      </tp>
      <tp t="e">
        <v>#N/A</v>
        <stp/>
        <stp>BDH|2454286413304548168</stp>
        <tr r="H41" s="24"/>
      </tp>
      <tp t="e">
        <v>#N/A</v>
        <stp/>
        <stp>BDH|8599226209146700851</stp>
        <tr r="W37" s="21"/>
        <tr r="W24" s="3"/>
      </tp>
      <tp t="e">
        <v>#N/A</v>
        <stp/>
        <stp>BDH|1754669817166256486</stp>
        <tr r="AA90" s="17"/>
      </tp>
      <tp t="e">
        <v>#N/A</v>
        <stp/>
        <stp>BDH|7283432643765729691</stp>
        <tr r="Y70" s="12"/>
      </tp>
      <tp t="e">
        <v>#N/A</v>
        <stp/>
        <stp>BDH|5932021350030673404</stp>
        <tr r="C29" s="24"/>
      </tp>
      <tp t="e">
        <v>#N/A</v>
        <stp/>
        <stp>BDH|2690842630934779984</stp>
        <tr r="O36" s="18"/>
      </tp>
      <tp t="e">
        <v>#N/A</v>
        <stp/>
        <stp>BDH|9600740761429931577</stp>
        <tr r="V16" s="20"/>
      </tp>
      <tp t="e">
        <v>#N/A</v>
        <stp/>
        <stp>BDH|1964806292122394658</stp>
        <tr r="I11" s="24"/>
      </tp>
      <tp t="e">
        <v>#N/A</v>
        <stp/>
        <stp>BDH|1864542542211421574</stp>
        <tr r="D14" s="13"/>
      </tp>
      <tp t="e">
        <v>#N/A</v>
        <stp/>
        <stp>BDH|7336460529596455353</stp>
        <tr r="M39" s="24"/>
      </tp>
      <tp t="e">
        <v>#N/A</v>
        <stp/>
        <stp>BDH|6084658943064221492</stp>
        <tr r="L97" s="17"/>
        <tr r="L7" s="27"/>
      </tp>
      <tp t="e">
        <v>#N/A</v>
        <stp/>
        <stp>BDH|3523174411645746297</stp>
        <tr r="T31" s="17"/>
      </tp>
      <tp t="e">
        <v>#N/A</v>
        <stp/>
        <stp>BDH|9327987705756460277</stp>
        <tr r="V56" s="18"/>
      </tp>
      <tp t="e">
        <v>#N/A</v>
        <stp/>
        <stp>BDH|1555007552155302590</stp>
        <tr r="S14" s="17"/>
        <tr r="S17" s="28"/>
      </tp>
      <tp t="e">
        <v>#N/A</v>
        <stp/>
        <stp>BDH|6806722152721514107</stp>
        <tr r="I20" s="6"/>
      </tp>
      <tp t="e">
        <v>#N/A</v>
        <stp/>
        <stp>BDH|5781679345204878707</stp>
        <tr r="L25" s="34"/>
      </tp>
      <tp t="e">
        <v>#N/A</v>
        <stp/>
        <stp>BDH|7916887125839052099</stp>
        <tr r="N7" s="2"/>
        <tr r="M7" s="5"/>
        <tr r="M7" s="9"/>
        <tr r="P14" s="3"/>
      </tp>
      <tp t="e">
        <v>#N/A</v>
        <stp/>
        <stp>BDH|5206875665727525882</stp>
        <tr r="U25" s="12"/>
      </tp>
      <tp t="e">
        <v>#N/A</v>
        <stp/>
        <stp>BDH|2972572380499409273</stp>
        <tr r="H117" s="18"/>
      </tp>
      <tp t="e">
        <v>#N/A</v>
        <stp/>
        <stp>BDH|4905752467846499721</stp>
        <tr r="E19" s="17"/>
      </tp>
      <tp t="e">
        <v>#N/A</v>
        <stp/>
        <stp>BDH|2860183448250518304</stp>
        <tr r="AA101" s="18"/>
      </tp>
      <tp t="e">
        <v>#N/A</v>
        <stp/>
        <stp>BDH|5967627873658113843</stp>
        <tr r="S19" s="22"/>
      </tp>
      <tp t="e">
        <v>#N/A</v>
        <stp/>
        <stp>BDH|4523942898919693924</stp>
        <tr r="K98" s="18"/>
      </tp>
      <tp t="e">
        <v>#N/A</v>
        <stp/>
        <stp>BDH|1316997489432925677</stp>
        <tr r="D14" s="21"/>
      </tp>
      <tp t="e">
        <v>#N/A</v>
        <stp/>
        <stp>BDH|3158906399140179743</stp>
        <tr r="L16" s="2"/>
        <tr r="L32" s="4"/>
        <tr r="L61" s="10"/>
        <tr r="N19" s="13"/>
      </tp>
      <tp t="e">
        <v>#N/A</v>
        <stp/>
        <stp>BDH|4443722203345905213</stp>
        <tr r="U29" s="24"/>
      </tp>
      <tp t="e">
        <v>#N/A</v>
        <stp/>
        <stp>BDH|4453089777105399252</stp>
        <tr r="K61" s="17"/>
      </tp>
      <tp t="e">
        <v>#N/A</v>
        <stp/>
        <stp>BDH|7621669737376274087</stp>
        <tr r="E40" s="10"/>
        <tr r="E34" s="11"/>
      </tp>
      <tp t="e">
        <v>#N/A</v>
        <stp/>
        <stp>BDH|1710331228034881090</stp>
        <tr r="W9" s="2"/>
        <tr r="Y8" s="25"/>
        <tr r="V10" s="5"/>
      </tp>
      <tp t="e">
        <v>#N/A</v>
        <stp/>
        <stp>BDH|1320159530832837538</stp>
        <tr r="R41" s="17"/>
      </tp>
      <tp t="e">
        <v>#N/A</v>
        <stp/>
        <stp>BDH|8566533845488915578</stp>
        <tr r="L24" s="12"/>
      </tp>
      <tp t="e">
        <v>#N/A</v>
        <stp/>
        <stp>BDH|9128989044386418641</stp>
        <tr r="M14" s="25"/>
      </tp>
      <tp t="e">
        <v>#N/A</v>
        <stp/>
        <stp>BDH|9952338981186767011</stp>
        <tr r="Y162" s="18"/>
      </tp>
      <tp t="e">
        <v>#N/A</v>
        <stp/>
        <stp>BDH|5375030510916422697</stp>
        <tr r="E30" s="17"/>
      </tp>
      <tp t="e">
        <v>#N/A</v>
        <stp/>
        <stp>BDH|6081166843853050488</stp>
        <tr r="S13" s="13"/>
      </tp>
      <tp t="e">
        <v>#N/A</v>
        <stp/>
        <stp>BDH|3525424534809618984</stp>
        <tr r="U21" s="30"/>
        <tr r="U24" s="23"/>
      </tp>
      <tp t="e">
        <v>#N/A</v>
        <stp/>
        <stp>BDH|6196550841300976316</stp>
        <tr r="Y23" s="2"/>
        <tr r="AA18" s="21"/>
        <tr r="AA23" s="3"/>
      </tp>
      <tp t="e">
        <v>#N/A</v>
        <stp/>
        <stp>BDH|7724845778219679509</stp>
        <tr r="H15" s="12"/>
      </tp>
      <tp t="e">
        <v>#N/A</v>
        <stp/>
        <stp>BDH|4042459858667253624</stp>
        <tr r="G166" s="18"/>
      </tp>
      <tp t="e">
        <v>#N/A</v>
        <stp/>
        <stp>BDH|4365996536429910388</stp>
        <tr r="S68" s="18"/>
      </tp>
      <tp t="e">
        <v>#N/A</v>
        <stp/>
        <stp>BDH|5048463883884910913</stp>
        <tr r="U6" s="2"/>
        <tr r="T6" s="5"/>
        <tr r="T6" s="9"/>
        <tr r="V12" s="8"/>
        <tr r="W10" s="29"/>
        <tr r="W19" s="29"/>
        <tr r="W25" s="29"/>
      </tp>
      <tp t="e">
        <v>#N/A</v>
        <stp/>
        <stp>BDH|2433717579715472358</stp>
        <tr r="N10" s="26"/>
      </tp>
      <tp t="e">
        <v>#N/A</v>
        <stp/>
        <stp>BDH|2128258055985496486</stp>
        <tr r="S77" s="17"/>
      </tp>
      <tp t="e">
        <v>#N/A</v>
        <stp/>
        <stp>BDH|1061651010067994512</stp>
        <tr r="Q11" s="22"/>
      </tp>
      <tp t="e">
        <v>#N/A</v>
        <stp/>
        <stp>BDH|2927405384673786976</stp>
        <tr r="I21" s="25"/>
        <tr r="I10" s="27"/>
      </tp>
      <tp t="e">
        <v>#N/A</v>
        <stp/>
        <stp>BDH|4624850496231094086</stp>
        <tr r="C51" s="17"/>
      </tp>
      <tp t="e">
        <v>#N/A</v>
        <stp/>
        <stp>BDH|3271400029851686008</stp>
        <tr r="M31" s="26"/>
      </tp>
      <tp t="e">
        <v>#N/A</v>
        <stp/>
        <stp>BDH|1333636748593080457</stp>
        <tr r="O22" s="7"/>
      </tp>
      <tp t="e">
        <v>#N/A</v>
        <stp/>
        <stp>BDH|4019308523929779899</stp>
        <tr r="S73" s="12"/>
      </tp>
      <tp t="e">
        <v>#N/A</v>
        <stp/>
        <stp>BDH|4870499618364273164</stp>
        <tr r="U74" s="17"/>
      </tp>
      <tp t="e">
        <v>#N/A</v>
        <stp/>
        <stp>BDH|2383398439366074015</stp>
        <tr r="I11" s="13"/>
      </tp>
      <tp t="e">
        <v>#N/A</v>
        <stp/>
        <stp>BDH|3136863776650761841</stp>
        <tr r="I76" s="17"/>
      </tp>
      <tp t="e">
        <v>#N/A</v>
        <stp/>
        <stp>BDH|3412219213943302770</stp>
        <tr r="K40" s="17"/>
      </tp>
      <tp t="e">
        <v>#N/A</v>
        <stp/>
        <stp>BDH|7103294154563669786</stp>
        <tr r="G57" s="11"/>
      </tp>
      <tp t="e">
        <v>#N/A</v>
        <stp/>
        <stp>BDH|6298819435128091149</stp>
        <tr r="R98" s="17"/>
        <tr r="R13" s="28"/>
      </tp>
      <tp t="e">
        <v>#N/A</v>
        <stp/>
        <stp>BDH|7137810992536415446</stp>
        <tr r="K46" s="21"/>
      </tp>
      <tp t="e">
        <v>#N/A</v>
        <stp/>
        <stp>BDH|8931879475834970705</stp>
        <tr r="C8" s="14"/>
      </tp>
      <tp t="e">
        <v>#N/A</v>
        <stp/>
        <stp>BDH|2890733357283797792</stp>
        <tr r="E8" s="27"/>
      </tp>
      <tp t="e">
        <v>#N/A</v>
        <stp/>
        <stp>BDH|4523821026778559262</stp>
        <tr r="Q74" s="18"/>
      </tp>
      <tp t="e">
        <v>#N/A</v>
        <stp/>
        <stp>BDH|9967785067599206565</stp>
        <tr r="V21" s="21"/>
      </tp>
      <tp t="e">
        <v>#N/A</v>
        <stp/>
        <stp>BDH|8847743326360909917</stp>
        <tr r="G11" s="18"/>
      </tp>
      <tp t="e">
        <v>#N/A</v>
        <stp/>
        <stp>BDH|5461072337826287446</stp>
        <tr r="T21" s="5"/>
      </tp>
      <tp t="e">
        <v>#N/A</v>
        <stp/>
        <stp>BDH|5161611910711679745</stp>
        <tr r="C70" s="18"/>
      </tp>
      <tp t="e">
        <v>#N/A</v>
        <stp/>
        <stp>BDH|9062792675548661585</stp>
        <tr r="J25" s="6"/>
      </tp>
      <tp t="e">
        <v>#N/A</v>
        <stp/>
        <stp>BDH|8214172470343242951</stp>
        <tr r="AA60" s="24"/>
      </tp>
      <tp t="e">
        <v>#N/A</v>
        <stp/>
        <stp>BDH|1766617595742150806</stp>
        <tr r="T81" s="18"/>
      </tp>
      <tp t="e">
        <v>#N/A</v>
        <stp/>
        <stp>BDH|1042975778023565882</stp>
        <tr r="V100" s="18"/>
      </tp>
      <tp t="e">
        <v>#N/A</v>
        <stp/>
        <stp>BDH|1454183044302346294</stp>
        <tr r="O17" s="21"/>
      </tp>
      <tp t="e">
        <v>#N/A</v>
        <stp/>
        <stp>BDH|2501627389088567094</stp>
        <tr r="G29" s="10"/>
        <tr r="I34" s="13"/>
      </tp>
      <tp t="e">
        <v>#N/A</v>
        <stp/>
        <stp>BDH|8917896443579702966</stp>
        <tr r="N18" s="22"/>
      </tp>
      <tp t="e">
        <v>#N/A</v>
        <stp/>
        <stp>BDH|2260562137868785860</stp>
        <tr r="I52" s="10"/>
        <tr r="I46" s="11"/>
        <tr r="I16" s="7"/>
      </tp>
      <tp t="e">
        <v>#N/A</v>
        <stp/>
        <stp>BDH|8952976028790614721</stp>
        <tr r="Z21" s="18"/>
      </tp>
      <tp t="e">
        <v>#N/A</v>
        <stp/>
        <stp>BDH|3564476378623832702</stp>
        <tr r="K33" s="34"/>
      </tp>
      <tp t="e">
        <v>#N/A</v>
        <stp/>
        <stp>BDH|5290138418113219296</stp>
        <tr r="U155" s="18"/>
      </tp>
      <tp t="e">
        <v>#N/A</v>
        <stp/>
        <stp>BDH|1365262111557392150</stp>
        <tr r="W14" s="14"/>
      </tp>
      <tp t="e">
        <v>#N/A</v>
        <stp/>
        <stp>BDH|5962580249865253586</stp>
        <tr r="H14" s="26"/>
      </tp>
      <tp t="e">
        <v>#N/A</v>
        <stp/>
        <stp>BDH|1916278478488292869</stp>
        <tr r="Z28" s="24"/>
      </tp>
      <tp t="e">
        <v>#N/A</v>
        <stp/>
        <stp>BDH|7797743711953377638</stp>
        <tr r="W28" s="26"/>
      </tp>
      <tp t="e">
        <v>#N/A</v>
        <stp/>
        <stp>BDH|8809149926178063781</stp>
        <tr r="X35" s="22"/>
      </tp>
      <tp t="e">
        <v>#N/A</v>
        <stp/>
        <stp>BDH|3451006574922630247</stp>
        <tr r="Z71" s="18"/>
      </tp>
      <tp t="e">
        <v>#N/A</v>
        <stp/>
        <stp>BDH|1863194560922590073</stp>
        <tr r="L16" s="29"/>
        <tr r="L36" s="29"/>
      </tp>
      <tp t="e">
        <v>#N/A</v>
        <stp/>
        <stp>BDH|6410027714401633270</stp>
        <tr r="H12" s="24"/>
      </tp>
      <tp t="e">
        <v>#N/A</v>
        <stp/>
        <stp>BDH|2444993388556275144</stp>
        <tr r="J31" s="34"/>
      </tp>
      <tp t="e">
        <v>#N/A</v>
        <stp/>
        <stp>BDH|2184968029604976940</stp>
        <tr r="N77" s="12"/>
      </tp>
      <tp t="e">
        <v>#N/A</v>
        <stp/>
        <stp>BDH|2304266917543230631</stp>
        <tr r="M73" s="12"/>
      </tp>
      <tp t="e">
        <v>#N/A</v>
        <stp/>
        <stp>BDH|1995015979994204605</stp>
        <tr r="Q41" s="22"/>
      </tp>
      <tp t="e">
        <v>#N/A</v>
        <stp/>
        <stp>BDH|4354038928647927529</stp>
        <tr r="W65" s="24"/>
      </tp>
      <tp t="e">
        <v>#N/A</v>
        <stp/>
        <stp>BDH|4449563051840149018</stp>
        <tr r="Q70" s="10"/>
        <tr r="Q64" s="11"/>
      </tp>
      <tp t="e">
        <v>#N/A</v>
        <stp/>
        <stp>BDH|2809872151839406299</stp>
        <tr r="U96" s="17"/>
      </tp>
      <tp t="e">
        <v>#N/A</v>
        <stp/>
        <stp>BDH|9696953116992433723</stp>
        <tr r="Z8" s="13"/>
      </tp>
      <tp t="e">
        <v>#N/A</v>
        <stp/>
        <stp>BDH|3907078836532386686</stp>
        <tr r="W34" s="10"/>
        <tr r="W28" s="11"/>
      </tp>
      <tp t="e">
        <v>#N/A</v>
        <stp/>
        <stp>BDH|7199457922575392060</stp>
        <tr r="W22" s="9"/>
      </tp>
      <tp t="e">
        <v>#N/A</v>
        <stp/>
        <stp>BDH|1961606398509304317</stp>
        <tr r="T29" s="17"/>
      </tp>
      <tp t="e">
        <v>#N/A</v>
        <stp/>
        <stp>BDH|3137339526841385748</stp>
        <tr r="H24" s="25"/>
        <tr r="H14" s="27"/>
      </tp>
      <tp t="e">
        <v>#N/A</v>
        <stp/>
        <stp>BDH|3655433305080717345</stp>
        <tr r="T25" s="10"/>
      </tp>
      <tp t="e">
        <v>#N/A</v>
        <stp/>
        <stp>BDH|3568703416545902492</stp>
        <tr r="N16" s="21"/>
      </tp>
      <tp t="e">
        <v>#N/A</v>
        <stp/>
        <stp>BDH|7154165042625443327</stp>
        <tr r="V44" s="13"/>
      </tp>
      <tp t="e">
        <v>#N/A</v>
        <stp/>
        <stp>BDH|3909138770096086795</stp>
        <tr r="I68" s="12"/>
      </tp>
      <tp t="e">
        <v>#N/A</v>
        <stp/>
        <stp>BDH|8650855005473056754</stp>
        <tr r="R32" s="21"/>
      </tp>
      <tp t="e">
        <v>#N/A</v>
        <stp/>
        <stp>BDH|4268010135415714626</stp>
        <tr r="AA94" s="18"/>
      </tp>
      <tp t="e">
        <v>#N/A</v>
        <stp/>
        <stp>BDH|2698366509617883224</stp>
        <tr r="M91" s="18"/>
      </tp>
      <tp t="e">
        <v>#N/A</v>
        <stp/>
        <stp>BDH|6323102966536116371</stp>
        <tr r="X18" s="5"/>
        <tr r="X30" s="6"/>
      </tp>
      <tp t="e">
        <v>#N/A</v>
        <stp/>
        <stp>BDH|9860190016058434501</stp>
        <tr r="M7" s="4"/>
      </tp>
      <tp t="e">
        <v>#N/A</v>
        <stp/>
        <stp>BDH|3316027261857138629</stp>
        <tr r="Z95" s="18"/>
      </tp>
      <tp t="e">
        <v>#N/A</v>
        <stp/>
        <stp>BDH|7353732177202208161</stp>
        <tr r="E30" s="26"/>
      </tp>
      <tp t="e">
        <v>#N/A</v>
        <stp/>
        <stp>BDH|6554497603565992358</stp>
        <tr r="S80" s="17"/>
      </tp>
      <tp t="e">
        <v>#N/A</v>
        <stp/>
        <stp>BDH|2464766619281936117</stp>
        <tr r="U57" s="18"/>
      </tp>
      <tp t="e">
        <v>#N/A</v>
        <stp/>
        <stp>BDH|7331971595274338715</stp>
        <tr r="M159" s="18"/>
      </tp>
      <tp t="e">
        <v>#N/A</v>
        <stp/>
        <stp>BDH|3136975176251155828</stp>
        <tr r="H9" s="28"/>
      </tp>
      <tp t="e">
        <v>#N/A</v>
        <stp/>
        <stp>BDH|3132127042016051428</stp>
        <tr r="E117" s="18"/>
      </tp>
      <tp t="e">
        <v>#N/A</v>
        <stp/>
        <stp>BDH|6006015374817026266</stp>
        <tr r="H14" s="13"/>
      </tp>
      <tp t="e">
        <v>#N/A</v>
        <stp/>
        <stp>BDH|1496250424514470122</stp>
        <tr r="L52" s="21"/>
      </tp>
      <tp t="e">
        <v>#N/A</v>
        <stp/>
        <stp>BDH|6491573443186401572</stp>
        <tr r="Z24" s="29"/>
      </tp>
      <tp t="e">
        <v>#N/A</v>
        <stp/>
        <stp>BDH|9634933965877444575</stp>
        <tr r="R14" s="22"/>
      </tp>
      <tp t="e">
        <v>#N/A</v>
        <stp/>
        <stp>BDH|6693649939246828108</stp>
        <tr r="L10" s="17"/>
      </tp>
      <tp t="e">
        <v>#N/A</v>
        <stp/>
        <stp>BDH|2059170623462421738</stp>
        <tr r="T11" s="17"/>
      </tp>
      <tp t="e">
        <v>#N/A</v>
        <stp/>
        <stp>BDH|7838769880444421896</stp>
        <tr r="I13" s="9"/>
      </tp>
      <tp t="e">
        <v>#N/A</v>
        <stp/>
        <stp>BDH|1047206180549458678</stp>
        <tr r="T128" s="18"/>
      </tp>
      <tp t="e">
        <v>#N/A</v>
        <stp/>
        <stp>BDH|7141314061132456469</stp>
        <tr r="I76" s="18"/>
      </tp>
      <tp t="e">
        <v>#N/A</v>
        <stp/>
        <stp>BDH|2087215661186525463</stp>
        <tr r="R72" s="24"/>
      </tp>
      <tp t="e">
        <v>#N/A</v>
        <stp/>
        <stp>BDH|6828583510576016038</stp>
        <tr r="G33" s="6"/>
        <tr r="I9" s="8"/>
      </tp>
      <tp t="e">
        <v>#N/A</v>
        <stp/>
        <stp>BDH|5509238801336227565</stp>
        <tr r="F35" s="34"/>
      </tp>
      <tp t="e">
        <v>#N/A</v>
        <stp/>
        <stp>BDH|5597075275102625423</stp>
        <tr r="AA17" s="13"/>
      </tp>
      <tp t="e">
        <v>#N/A</v>
        <stp/>
        <stp>BDH|5066633387978380748</stp>
        <tr r="Z88" s="18"/>
      </tp>
      <tp t="e">
        <v>#N/A</v>
        <stp/>
        <stp>BDH|8789149343409097030</stp>
        <tr r="P32" s="17"/>
      </tp>
      <tp t="e">
        <v>#N/A</v>
        <stp/>
        <stp>BDH|1941176903857873361</stp>
        <tr r="AA13" s="29"/>
        <tr r="AA22" s="29"/>
        <tr r="AA33" s="29"/>
      </tp>
      <tp t="e">
        <v>#N/A</v>
        <stp/>
        <stp>BDH|1514923354258787176</stp>
        <tr r="Q8" s="4"/>
      </tp>
      <tp t="e">
        <v>#N/A</v>
        <stp/>
        <stp>BDH|4741251655996379175</stp>
        <tr r="P15" s="6"/>
      </tp>
      <tp t="e">
        <v>#N/A</v>
        <stp/>
        <stp>BDH|1108269975036921685</stp>
        <tr r="H51" s="12"/>
      </tp>
      <tp t="e">
        <v>#N/A</v>
        <stp/>
        <stp>BDH|8739169050370640843</stp>
        <tr r="I68" s="17"/>
      </tp>
      <tp t="e">
        <v>#N/A</v>
        <stp/>
        <stp>BDH|5049006171730328626</stp>
        <tr r="I115" s="18"/>
      </tp>
      <tp t="e">
        <v>#N/A</v>
        <stp/>
        <stp>BDH|9562939991859166460</stp>
        <tr r="D18" s="17"/>
      </tp>
      <tp t="e">
        <v>#N/A</v>
        <stp/>
        <stp>BDH|5051838294482011279</stp>
        <tr r="N15" s="21"/>
      </tp>
      <tp t="e">
        <v>#N/A</v>
        <stp/>
        <stp>BDH|9602935692004664913</stp>
        <tr r="R28" s="5"/>
      </tp>
      <tp t="e">
        <v>#N/A</v>
        <stp/>
        <stp>BDH|9543380229375457902</stp>
        <tr r="J121" s="18"/>
      </tp>
      <tp t="e">
        <v>#N/A</v>
        <stp/>
        <stp>BDH|9622171387021652506</stp>
        <tr r="N31" s="12"/>
      </tp>
      <tp t="e">
        <v>#N/A</v>
        <stp/>
        <stp>BDH|4786598176060008280</stp>
        <tr r="S64" s="12"/>
      </tp>
      <tp t="e">
        <v>#N/A</v>
        <stp/>
        <stp>BDH|5295754032871476411</stp>
        <tr r="W26" s="12"/>
      </tp>
      <tp t="e">
        <v>#N/A</v>
        <stp/>
        <stp>BDH|2060124335503300744</stp>
        <tr r="W22" s="4"/>
      </tp>
      <tp t="e">
        <v>#N/A</v>
        <stp/>
        <stp>BDH|6028157268536904343</stp>
        <tr r="I46" s="4"/>
        <tr r="I24" s="10"/>
        <tr r="K35" s="13"/>
      </tp>
      <tp t="e">
        <v>#N/A</v>
        <stp/>
        <stp>BDH|4720050847647453312</stp>
        <tr r="Y16" s="12"/>
      </tp>
      <tp t="e">
        <v>#N/A</v>
        <stp/>
        <stp>BDH|5923979024408951238</stp>
        <tr r="I56" s="10"/>
        <tr r="I50" s="11"/>
        <tr r="I18" s="7"/>
        <tr r="K52" s="13"/>
      </tp>
      <tp t="e">
        <v>#N/A</v>
        <stp/>
        <stp>BDH|9666722350389314674</stp>
        <tr r="V61" s="17"/>
      </tp>
      <tp t="e">
        <v>#N/A</v>
        <stp/>
        <stp>BDH|2740236264704728675</stp>
        <tr r="G73" s="18"/>
      </tp>
      <tp t="e">
        <v>#N/A</v>
        <stp/>
        <stp>BDH|5440160868541855721</stp>
        <tr r="L27" s="22"/>
      </tp>
      <tp t="e">
        <v>#N/A</v>
        <stp/>
        <stp>BDH|1357122757012502333</stp>
        <tr r="J19" s="22"/>
      </tp>
      <tp t="e">
        <v>#N/A</v>
        <stp/>
        <stp>BDH|7170889701078110398</stp>
        <tr r="G52" s="24"/>
      </tp>
      <tp t="e">
        <v>#N/A</v>
        <stp/>
        <stp>BDH|1160834386610203563</stp>
        <tr r="AA19" s="12"/>
      </tp>
      <tp t="e">
        <v>#N/A</v>
        <stp/>
        <stp>BDH|4004251911467713433</stp>
        <tr r="T13" s="24"/>
      </tp>
      <tp t="e">
        <v>#N/A</v>
        <stp/>
        <stp>BDH|8898330685447932079</stp>
        <tr r="L21" s="30"/>
        <tr r="L24" s="23"/>
      </tp>
      <tp t="e">
        <v>#N/A</v>
        <stp/>
        <stp>BDH|3741933584281175715</stp>
        <tr r="M12" s="17"/>
      </tp>
      <tp t="e">
        <v>#N/A</v>
        <stp/>
        <stp>BDH|3779341057471659021</stp>
        <tr r="V67" s="10"/>
      </tp>
      <tp t="e">
        <v>#N/A</v>
        <stp/>
        <stp>BDH|1394029067425366654</stp>
        <tr r="AA31" s="22"/>
      </tp>
      <tp t="e">
        <v>#N/A</v>
        <stp/>
        <stp>BDH|9411420029073926865</stp>
        <tr r="Z36" s="21"/>
      </tp>
      <tp t="e">
        <v>#N/A</v>
        <stp/>
        <stp>BDH|1573808161948708330</stp>
        <tr r="D40" s="18"/>
      </tp>
      <tp t="e">
        <v>#N/A</v>
        <stp/>
        <stp>BDH|5322709120024359008</stp>
        <tr r="R26" s="22"/>
      </tp>
      <tp t="e">
        <v>#N/A</v>
        <stp/>
        <stp>BDH|7977930835338699194</stp>
        <tr r="D63" s="12"/>
      </tp>
      <tp t="e">
        <v>#N/A</v>
        <stp/>
        <stp>BDH|2672674510955423451</stp>
        <tr r="P40" s="10"/>
        <tr r="P34" s="11"/>
      </tp>
      <tp t="e">
        <v>#N/A</v>
        <stp/>
        <stp>BDH|3679034714626797065</stp>
        <tr r="R61" s="17"/>
      </tp>
      <tp t="e">
        <v>#N/A</v>
        <stp/>
        <stp>BDH|9556776888596281486</stp>
        <tr r="AA42" s="24"/>
      </tp>
      <tp t="e">
        <v>#N/A</v>
        <stp/>
        <stp>BDH|8048847456504658548</stp>
        <tr r="O80" s="18"/>
      </tp>
      <tp t="e">
        <v>#N/A</v>
        <stp/>
        <stp>BDH|6104109160574344123</stp>
        <tr r="J61" s="11"/>
        <tr r="L19" s="23"/>
      </tp>
      <tp t="e">
        <v>#N/A</v>
        <stp/>
        <stp>BDH|6438890080420845258</stp>
        <tr r="T46" s="18"/>
      </tp>
      <tp t="e">
        <v>#N/A</v>
        <stp/>
        <stp>BDH|3718492022925580499</stp>
        <tr r="L23" s="12"/>
      </tp>
      <tp t="e">
        <v>#N/A</v>
        <stp/>
        <stp>BDH|9465844168464990715</stp>
        <tr r="V69" s="10"/>
        <tr r="V63" s="11"/>
        <tr r="V20" s="7"/>
      </tp>
      <tp t="e">
        <v>#N/A</v>
        <stp/>
        <stp>BDH|2728271765913770127</stp>
        <tr r="Y9" s="29"/>
      </tp>
      <tp t="e">
        <v>#N/A</v>
        <stp/>
        <stp>BDH|8013733506012198941</stp>
        <tr r="Z27" s="22"/>
      </tp>
      <tp t="e">
        <v>#N/A</v>
        <stp/>
        <stp>BDH|1908020221922267582</stp>
        <tr r="U11" s="7"/>
      </tp>
      <tp t="e">
        <v>#N/A</v>
        <stp/>
        <stp>BDH|4064213696553274858</stp>
        <tr r="L62" s="18"/>
      </tp>
      <tp t="e">
        <v>#N/A</v>
        <stp/>
        <stp>BDH|8924916144695946459</stp>
        <tr r="F20" s="30"/>
      </tp>
      <tp t="e">
        <v>#N/A</v>
        <stp/>
        <stp>BDH|7929353728842418006</stp>
        <tr r="W34" s="21"/>
      </tp>
      <tp t="e">
        <v>#N/A</v>
        <stp/>
        <stp>BDH|1522214443177492430</stp>
        <tr r="F14" s="22"/>
      </tp>
      <tp t="e">
        <v>#N/A</v>
        <stp/>
        <stp>BDH|9048870548943963265</stp>
        <tr r="D33" s="6"/>
        <tr r="F9" s="8"/>
      </tp>
      <tp t="e">
        <v>#N/A</v>
        <stp/>
        <stp>BDH|9497911875505344637</stp>
        <tr r="U88" s="18"/>
      </tp>
      <tp t="e">
        <v>#N/A</v>
        <stp/>
        <stp>BDH|9466355986387726113</stp>
        <tr r="C9" s="13"/>
      </tp>
      <tp t="e">
        <v>#N/A</v>
        <stp/>
        <stp>BDH|4185422541066724649</stp>
        <tr r="H49" s="21"/>
      </tp>
      <tp t="e">
        <v>#N/A</v>
        <stp/>
        <stp>BDH|4050073853872369768</stp>
        <tr r="G26" s="6"/>
      </tp>
      <tp t="e">
        <v>#N/A</v>
        <stp/>
        <stp>BDH|5491267416623596101</stp>
        <tr r="W41" s="22"/>
      </tp>
      <tp t="e">
        <v>#N/A</v>
        <stp/>
        <stp>BDH|7053329839640392393</stp>
        <tr r="Q21" s="18"/>
      </tp>
      <tp t="e">
        <v>#N/A</v>
        <stp/>
        <stp>BDH|8760813434995779248</stp>
        <tr r="P42" s="10"/>
        <tr r="P36" s="11"/>
      </tp>
      <tp t="e">
        <v>#N/A</v>
        <stp/>
        <stp>BDH|8774971861346259522</stp>
        <tr r="T38" s="4"/>
        <tr r="T59" s="11"/>
        <tr r="V13" s="23"/>
      </tp>
      <tp t="e">
        <v>#N/A</v>
        <stp/>
        <stp>BDH|3302204580008404566</stp>
        <tr r="AA23" s="12"/>
      </tp>
      <tp t="e">
        <v>#N/A</v>
        <stp/>
        <stp>BDH|2619663084901683931</stp>
        <tr r="P8" s="27"/>
      </tp>
      <tp t="e">
        <v>#N/A</v>
        <stp/>
        <stp>BDH|6256000353863695461</stp>
        <tr r="N42" s="21"/>
      </tp>
      <tp t="e">
        <v>#N/A</v>
        <stp/>
        <stp>BDH|5572492105056804300</stp>
        <tr r="M16" s="12"/>
      </tp>
      <tp t="e">
        <v>#N/A</v>
        <stp/>
        <stp>BDH|9170877274655141726</stp>
        <tr r="G49" s="21"/>
      </tp>
      <tp t="e">
        <v>#N/A</v>
        <stp/>
        <stp>BDH|1654213971759434936</stp>
        <tr r="I15" s="10"/>
      </tp>
      <tp t="e">
        <v>#N/A</v>
        <stp/>
        <stp>BDH|5772268562052485760</stp>
        <tr r="C14" s="18"/>
      </tp>
      <tp t="e">
        <v>#N/A</v>
        <stp/>
        <stp>BDH|1505055701204964197</stp>
        <tr r="P11" s="3"/>
        <tr r="N49" s="10"/>
        <tr r="N43" s="11"/>
        <tr r="N8" s="7"/>
      </tp>
      <tp t="e">
        <v>#N/A</v>
        <stp/>
        <stp>BDH|5167738322986440255</stp>
        <tr r="U87" s="18"/>
      </tp>
      <tp t="e">
        <v>#N/A</v>
        <stp/>
        <stp>BDH|4291548826073205437</stp>
        <tr r="G103" s="18"/>
      </tp>
      <tp t="e">
        <v>#N/A</v>
        <stp/>
        <stp>BDH|7905000958613199516</stp>
        <tr r="L21" s="10"/>
      </tp>
      <tp t="e">
        <v>#N/A</v>
        <stp/>
        <stp>BDH|5480362377216513310</stp>
        <tr r="O77" s="12"/>
      </tp>
      <tp t="e">
        <v>#N/A</v>
        <stp/>
        <stp>BDH|7744607721865234251</stp>
        <tr r="N43" s="21"/>
      </tp>
      <tp t="e">
        <v>#N/A</v>
        <stp/>
        <stp>BDH|8433759653236597869</stp>
        <tr r="Q11" s="13"/>
      </tp>
      <tp t="e">
        <v>#N/A</v>
        <stp/>
        <stp>BDH|6411831438238986177</stp>
        <tr r="W25" s="7"/>
      </tp>
      <tp t="e">
        <v>#N/A</v>
        <stp/>
        <stp>BDH|9375197557590917959</stp>
        <tr r="S29" s="17"/>
      </tp>
      <tp t="e">
        <v>#N/A</v>
        <stp/>
        <stp>BDH|1547219654145803790</stp>
        <tr r="AA52" s="21"/>
      </tp>
      <tp t="e">
        <v>#N/A</v>
        <stp/>
        <stp>BDH|4108999713601240987</stp>
        <tr r="U24" s="13"/>
      </tp>
      <tp t="e">
        <v>#N/A</v>
        <stp/>
        <stp>BDH|6642568923636532375</stp>
        <tr r="G23" s="10"/>
      </tp>
      <tp t="e">
        <v>#N/A</v>
        <stp/>
        <stp>BDH|8846587681404101518</stp>
        <tr r="X37" s="24"/>
      </tp>
      <tp t="e">
        <v>#N/A</v>
        <stp/>
        <stp>BDH|1497667431518421866</stp>
        <tr r="R52" s="24"/>
      </tp>
      <tp t="e">
        <v>#N/A</v>
        <stp/>
        <stp>BDH|8762987980925755892</stp>
        <tr r="K130" s="18"/>
      </tp>
      <tp t="e">
        <v>#N/A</v>
        <stp/>
        <stp>BDH|6952142946470896725</stp>
        <tr r="V99" s="17"/>
      </tp>
      <tp t="e">
        <v>#N/A</v>
        <stp/>
        <stp>BDH|8630346182024437358</stp>
        <tr r="M55" s="12"/>
      </tp>
      <tp t="e">
        <v>#N/A</v>
        <stp/>
        <stp>BDH|6133699358128474952</stp>
        <tr r="R34" s="24"/>
      </tp>
      <tp t="e">
        <v>#N/A</v>
        <stp/>
        <stp>BDH|5567569926215308373</stp>
        <tr r="E13" s="11"/>
      </tp>
      <tp t="e">
        <v>#N/A</v>
        <stp/>
        <stp>BDH|4005704120235116009</stp>
        <tr r="K22" s="9"/>
      </tp>
      <tp t="e">
        <v>#N/A</v>
        <stp/>
        <stp>BDH|6628400526237892397</stp>
        <tr r="N62" s="17"/>
      </tp>
      <tp t="e">
        <v>#N/A</v>
        <stp/>
        <stp>BDH|3084940896756747145</stp>
        <tr r="M29" s="4"/>
      </tp>
      <tp t="e">
        <v>#N/A</v>
        <stp/>
        <stp>BDH|6166049230589723836</stp>
        <tr r="I37" s="22"/>
      </tp>
      <tp t="e">
        <v>#N/A</v>
        <stp/>
        <stp>BDH|2948463889442205822</stp>
        <tr r="S60" s="12"/>
      </tp>
      <tp t="e">
        <v>#N/A</v>
        <stp/>
        <stp>BDH|3595626497748197070</stp>
        <tr r="T24" s="26"/>
      </tp>
      <tp t="e">
        <v>#N/A</v>
        <stp/>
        <stp>BDH|6757306791518973091</stp>
        <tr r="L36" s="18"/>
      </tp>
      <tp t="e">
        <v>#N/A</v>
        <stp/>
        <stp>BDH|4859987792815095543</stp>
        <tr r="R19" s="26"/>
      </tp>
      <tp t="e">
        <v>#N/A</v>
        <stp/>
        <stp>BDH|1027070423506277103</stp>
        <tr r="K141" s="18"/>
      </tp>
      <tp t="e">
        <v>#N/A</v>
        <stp/>
        <stp>BDH|5771004201527952690</stp>
        <tr r="Q49" s="21"/>
      </tp>
      <tp t="e">
        <v>#N/A</v>
        <stp/>
        <stp>BDH|8070042382514628061</stp>
        <tr r="W6" s="15"/>
        <tr r="W12" s="2"/>
        <tr r="W11" s="4"/>
        <tr r="W6" s="10"/>
      </tp>
      <tp t="e">
        <v>#N/A</v>
        <stp/>
        <stp>BDH|9856971646411675195</stp>
        <tr r="T15" s="12"/>
      </tp>
      <tp t="e">
        <v>#N/A</v>
        <stp/>
        <stp>BDH|9606043957619549163</stp>
        <tr r="U14" s="29"/>
        <tr r="U23" s="29"/>
        <tr r="U34" s="29"/>
      </tp>
      <tp t="e">
        <v>#N/A</v>
        <stp/>
        <stp>BDH|2538044287259757772</stp>
        <tr r="S55" s="13"/>
      </tp>
      <tp t="e">
        <v>#N/A</v>
        <stp/>
        <stp>BDH|4834184957535722165</stp>
        <tr r="V156" s="18"/>
      </tp>
      <tp t="e">
        <v>#N/A</v>
        <stp/>
        <stp>BDH|6651834883417496549</stp>
        <tr r="L14" s="18"/>
      </tp>
      <tp t="e">
        <v>#N/A</v>
        <stp/>
        <stp>BDH|3016541157483130442</stp>
        <tr r="S61" s="21"/>
      </tp>
      <tp t="e">
        <v>#N/A</v>
        <stp/>
        <stp>BDH|4210773865438402923</stp>
        <tr r="C25" s="22"/>
      </tp>
      <tp t="e">
        <v>#N/A</v>
        <stp/>
        <stp>BDH|5346223200971330249</stp>
        <tr r="V8" s="6"/>
      </tp>
      <tp t="e">
        <v>#N/A</v>
        <stp/>
        <stp>BDH|7277840022361156836</stp>
        <tr r="G51" s="24"/>
      </tp>
      <tp t="e">
        <v>#N/A</v>
        <stp/>
        <stp>BDH|9848280712499264761</stp>
        <tr r="F6" s="19"/>
        <tr r="F37" s="17"/>
        <tr r="F16" s="3"/>
      </tp>
      <tp t="e">
        <v>#N/A</v>
        <stp/>
        <stp>BDH|4813233949033381573</stp>
        <tr r="X120" s="18"/>
      </tp>
      <tp t="e">
        <v>#N/A</v>
        <stp/>
        <stp>BDH|1854472757574714098</stp>
        <tr r="G11" s="17"/>
      </tp>
      <tp t="e">
        <v>#N/A</v>
        <stp/>
        <stp>BDH|5155313212123495005</stp>
        <tr r="V19" s="25"/>
        <tr r="T21" s="11"/>
      </tp>
      <tp t="e">
        <v>#N/A</v>
        <stp/>
        <stp>BDH|1519625947764002369</stp>
        <tr r="C61" s="24"/>
      </tp>
      <tp t="e">
        <v>#N/A</v>
        <stp/>
        <stp>BDH|2591895550439203282</stp>
        <tr r="T18" s="24"/>
      </tp>
      <tp t="e">
        <v>#N/A</v>
        <stp/>
        <stp>BDH|7721292169076132109</stp>
        <tr r="R68" s="24"/>
      </tp>
      <tp t="e">
        <v>#N/A</v>
        <stp/>
        <stp>BDH|1246333157091551258</stp>
        <tr r="AA68" s="24"/>
      </tp>
      <tp t="e">
        <v>#N/A</v>
        <stp/>
        <stp>BDH|2846899380746398049</stp>
        <tr r="Z11" s="3"/>
        <tr r="X49" s="10"/>
        <tr r="X43" s="11"/>
        <tr r="X8" s="7"/>
      </tp>
      <tp t="e">
        <v>#N/A</v>
        <stp/>
        <stp>BDH|7383443819500061682</stp>
        <tr r="O7" s="17"/>
      </tp>
      <tp t="e">
        <v>#N/A</v>
        <stp/>
        <stp>BDH|5244061176302081443</stp>
        <tr r="K12" s="10"/>
      </tp>
      <tp t="e">
        <v>#N/A</v>
        <stp/>
        <stp>BDH|1693165525592718445</stp>
        <tr r="P166" s="18"/>
      </tp>
      <tp t="e">
        <v>#N/A</v>
        <stp/>
        <stp>BDH|4416568290399334574</stp>
        <tr r="G73" s="10"/>
        <tr r="G67" s="11"/>
      </tp>
      <tp t="e">
        <v>#N/A</v>
        <stp/>
        <stp>BDH|5691541965741005312</stp>
        <tr r="Y17" s="24"/>
      </tp>
      <tp t="e">
        <v>#N/A</v>
        <stp/>
        <stp>BDH|1290181422585675385</stp>
        <tr r="J41" s="21"/>
      </tp>
      <tp t="e">
        <v>#N/A</v>
        <stp/>
        <stp>BDH|4698931083208125909</stp>
        <tr r="E39" s="22"/>
      </tp>
      <tp t="e">
        <v>#N/A</v>
        <stp/>
        <stp>BDH|7760048795318851298</stp>
        <tr r="J35" s="18"/>
      </tp>
      <tp t="e">
        <v>#N/A</v>
        <stp/>
        <stp>BDH|9301908177642493177</stp>
        <tr r="E7" s="28"/>
      </tp>
      <tp t="e">
        <v>#N/A</v>
        <stp/>
        <stp>BDH|8731472713460171952</stp>
        <tr r="S21" s="20"/>
      </tp>
      <tp t="e">
        <v>#N/A</v>
        <stp/>
        <stp>BDH|9355811321481622622</stp>
        <tr r="I12" s="14"/>
      </tp>
      <tp t="e">
        <v>#N/A</v>
        <stp/>
        <stp>BDH|6509432030560421555</stp>
        <tr r="J21" s="2"/>
      </tp>
      <tp t="e">
        <v>#N/A</v>
        <stp/>
        <stp>BDH|7797890819998137211</stp>
        <tr r="C47" s="24"/>
      </tp>
      <tp t="e">
        <v>#N/A</v>
        <stp/>
        <stp>BDH|6258440701456427041</stp>
        <tr r="U50" s="21"/>
      </tp>
      <tp t="e">
        <v>#N/A</v>
        <stp/>
        <stp>BDH|5626290044602518597</stp>
        <tr r="P122" s="18"/>
      </tp>
      <tp t="e">
        <v>#N/A</v>
        <stp/>
        <stp>BDH|5680688185188827741</stp>
        <tr r="D75" s="12"/>
      </tp>
      <tp t="e">
        <v>#N/A</v>
        <stp/>
        <stp>BDH|3150380826613116590</stp>
        <tr r="S26" s="13"/>
      </tp>
      <tp t="e">
        <v>#N/A</v>
        <stp/>
        <stp>BDH|9094165567452542839</stp>
        <tr r="V50" s="24"/>
      </tp>
      <tp t="e">
        <v>#N/A</v>
        <stp/>
        <stp>BDH|7404327040323611770</stp>
        <tr r="Z99" s="17"/>
      </tp>
      <tp t="e">
        <v>#N/A</v>
        <stp/>
        <stp>BDH|8211152762539534270</stp>
        <tr r="L127" s="18"/>
      </tp>
      <tp t="e">
        <v>#N/A</v>
        <stp/>
        <stp>BDH|2157939515819274727</stp>
        <tr r="O13" s="13"/>
      </tp>
      <tp t="e">
        <v>#N/A</v>
        <stp/>
        <stp>BDH|1377655216556132460</stp>
        <tr r="G45" s="4"/>
        <tr r="G30" s="10"/>
        <tr r="G24" s="11"/>
        <tr r="I30" s="13"/>
      </tp>
      <tp t="e">
        <v>#N/A</v>
        <stp/>
        <stp>BDH|6229621104397002334</stp>
        <tr r="O128" s="18"/>
      </tp>
      <tp t="e">
        <v>#N/A</v>
        <stp/>
        <stp>BDH|3789879093413766537</stp>
        <tr r="D55" s="24"/>
      </tp>
      <tp t="e">
        <v>#N/A</v>
        <stp/>
        <stp>BDH|1050200632855688131</stp>
        <tr r="H14" s="14"/>
      </tp>
      <tp t="e">
        <v>#N/A</v>
        <stp/>
        <stp>BDH|6467633043439720944</stp>
        <tr r="P8" s="18"/>
      </tp>
      <tp t="e">
        <v>#N/A</v>
        <stp/>
        <stp>BDH|5388314933751596035</stp>
        <tr r="T20" s="29"/>
      </tp>
      <tp t="e">
        <v>#N/A</v>
        <stp/>
        <stp>BDH|3742423905721151262</stp>
        <tr r="Y11" s="11"/>
      </tp>
      <tp t="e">
        <v>#N/A</v>
        <stp/>
        <stp>BDH|8935148802838048581</stp>
        <tr r="X37" s="6"/>
      </tp>
      <tp t="e">
        <v>#N/A</v>
        <stp/>
        <stp>BDH|9517906100834217008</stp>
        <tr r="L27" s="25"/>
        <tr r="I14" s="5"/>
        <tr r="L17" s="27"/>
      </tp>
      <tp t="e">
        <v>#N/A</v>
        <stp/>
        <stp>BDH|6177110760386604312</stp>
        <tr r="O54" s="18"/>
      </tp>
      <tp t="e">
        <v>#N/A</v>
        <stp/>
        <stp>BDH|4923629227500268491</stp>
        <tr r="E65" s="18"/>
      </tp>
      <tp t="e">
        <v>#N/A</v>
        <stp/>
        <stp>BDH|2136042370472378319</stp>
        <tr r="Y54" s="24"/>
      </tp>
      <tp t="e">
        <v>#N/A</v>
        <stp/>
        <stp>BDH|1081003215043311710</stp>
        <tr r="R26" s="13"/>
      </tp>
      <tp t="e">
        <v>#N/A</v>
        <stp/>
        <stp>BDH|7106588839311648415</stp>
        <tr r="V107" s="18"/>
        <tr r="T7" s="20"/>
      </tp>
      <tp t="e">
        <v>#N/A</v>
        <stp/>
        <stp>BDH|8934279369120566857</stp>
        <tr r="E21" s="20"/>
      </tp>
      <tp t="e">
        <v>#N/A</v>
        <stp/>
        <stp>BDH|7242428032181235574</stp>
        <tr r="M14" s="22"/>
      </tp>
      <tp t="e">
        <v>#N/A</v>
        <stp/>
        <stp>BDH|2080429455873446440</stp>
        <tr r="K15" s="10"/>
      </tp>
      <tp t="e">
        <v>#N/A</v>
        <stp/>
        <stp>BDH|1705723754750302758</stp>
        <tr r="AA51" s="13"/>
      </tp>
      <tp t="e">
        <v>#N/A</v>
        <stp/>
        <stp>BDH|9264760823609961198</stp>
        <tr r="O52" s="17"/>
      </tp>
      <tp t="e">
        <v>#N/A</v>
        <stp/>
        <stp>BDH|7535113138313826200</stp>
        <tr r="G9" s="10"/>
      </tp>
      <tp t="e">
        <v>#N/A</v>
        <stp/>
        <stp>BDH|2079552000721267235</stp>
        <tr r="I17" s="21"/>
      </tp>
      <tp t="e">
        <v>#N/A</v>
        <stp/>
        <stp>BDH|8335226304196237836</stp>
        <tr r="C21" s="18"/>
      </tp>
      <tp t="e">
        <v>#N/A</v>
        <stp/>
        <stp>BDH|4280200716554199715</stp>
        <tr r="D7" s="10"/>
      </tp>
      <tp t="e">
        <v>#N/A</v>
        <stp/>
        <stp>BDH|4584160081898058165</stp>
        <tr r="I38" s="4"/>
        <tr r="I59" s="11"/>
        <tr r="K13" s="23"/>
      </tp>
      <tp t="e">
        <v>#N/A</v>
        <stp/>
        <stp>BDH|3233517666185771162</stp>
        <tr r="Q18" s="10"/>
        <tr r="S16" s="13"/>
        <tr r="S27" s="13"/>
      </tp>
      <tp t="e">
        <v>#N/A</v>
        <stp/>
        <stp>BDH|5768227123251526071</stp>
        <tr r="N12" s="17"/>
      </tp>
      <tp t="e">
        <v>#N/A</v>
        <stp/>
        <stp>BDH|4697258097559509254</stp>
        <tr r="P52" s="4"/>
        <tr r="R8" s="3"/>
        <tr r="P43" s="10"/>
        <tr r="P37" s="11"/>
        <tr r="R38" s="13"/>
      </tp>
      <tp t="e">
        <v>#N/A</v>
        <stp/>
        <stp>BDH|2536512536811220148</stp>
        <tr r="M24" s="2"/>
      </tp>
      <tp t="e">
        <v>#N/A</v>
        <stp/>
        <stp>BDH|6306687078371224254</stp>
        <tr r="U7" s="30"/>
      </tp>
      <tp t="e">
        <v>#N/A</v>
        <stp/>
        <stp>BDH|2567830435748151566</stp>
        <tr r="G17" s="17"/>
        <tr r="G20" s="28"/>
      </tp>
      <tp t="e">
        <v>#N/A</v>
        <stp/>
        <stp>BDH|5973370047010944641</stp>
        <tr r="D99" s="17"/>
      </tp>
      <tp t="e">
        <v>#N/A</v>
        <stp/>
        <stp>BDH|6437392603714953536</stp>
        <tr r="Z23" s="12"/>
      </tp>
      <tp t="e">
        <v>#N/A</v>
        <stp/>
        <stp>BDH|2789568564215810096</stp>
        <tr r="C7" s="8"/>
      </tp>
      <tp t="e">
        <v>#N/A</v>
        <stp/>
        <stp>BDH|4776536156739624903</stp>
        <tr r="P28" s="24"/>
      </tp>
      <tp t="e">
        <v>#N/A</v>
        <stp/>
        <stp>BDH|3405022300507075027</stp>
        <tr r="Y36" s="22"/>
      </tp>
      <tp t="e">
        <v>#N/A</v>
        <stp/>
        <stp>BDH|5743451877613407154</stp>
        <tr r="V35" s="18"/>
      </tp>
      <tp t="e">
        <v>#N/A</v>
        <stp/>
        <stp>BDH|3916664828841134229</stp>
        <tr r="S18" s="12"/>
      </tp>
      <tp t="e">
        <v>#N/A</v>
        <stp/>
        <stp>BDH|2754207232334983381</stp>
        <tr r="O66" s="21"/>
      </tp>
      <tp t="e">
        <v>#N/A</v>
        <stp/>
        <stp>BDH|7959191610204789736</stp>
        <tr r="N36" s="4"/>
      </tp>
      <tp t="e">
        <v>#N/A</v>
        <stp/>
        <stp>BDH|9664892301357973238</stp>
        <tr r="U37" s="24"/>
      </tp>
      <tp t="e">
        <v>#N/A</v>
        <stp/>
        <stp>BDH|7843040208896424546</stp>
        <tr r="V88" s="17"/>
      </tp>
      <tp t="e">
        <v>#N/A</v>
        <stp/>
        <stp>BDH|4439975126458297333</stp>
        <tr r="S49" s="21"/>
      </tp>
      <tp t="e">
        <v>#N/A</v>
        <stp/>
        <stp>BDH|3717074754114274628</stp>
        <tr r="X36" s="12"/>
      </tp>
      <tp t="e">
        <v>#N/A</v>
        <stp/>
        <stp>BDH|9367010087917801294</stp>
        <tr r="F45" s="17"/>
        <tr r="F9" s="25"/>
      </tp>
      <tp t="e">
        <v>#N/A</v>
        <stp/>
        <stp>BDH|2035079308437915124</stp>
        <tr r="E8" s="28"/>
      </tp>
      <tp t="e">
        <v>#N/A</v>
        <stp/>
        <stp>BDH|3383720513330323153</stp>
        <tr r="J15" s="12"/>
      </tp>
      <tp t="e">
        <v>#N/A</v>
        <stp/>
        <stp>BDH|7624410917756576018</stp>
        <tr r="N57" s="12"/>
      </tp>
      <tp t="e">
        <v>#N/A</v>
        <stp/>
        <stp>BDH|6580982025700428985</stp>
        <tr r="L32" s="34"/>
      </tp>
      <tp t="e">
        <v>#N/A</v>
        <stp/>
        <stp>BDH|5048307650186360179</stp>
        <tr r="W14" s="18"/>
      </tp>
      <tp t="e">
        <v>#N/A</v>
        <stp/>
        <stp>BDH|5046947585317743728</stp>
        <tr r="X40" s="10"/>
        <tr r="X34" s="11"/>
      </tp>
      <tp t="e">
        <v>#N/A</v>
        <stp/>
        <stp>BDH|7890487577357718740</stp>
        <tr r="Q34" s="12"/>
      </tp>
      <tp t="e">
        <v>#N/A</v>
        <stp/>
        <stp>BDH|2661646229962612097</stp>
        <tr r="L44" s="21"/>
      </tp>
      <tp t="e">
        <v>#N/A</v>
        <stp/>
        <stp>BDH|2874698577603642442</stp>
        <tr r="S75" s="18"/>
      </tp>
      <tp t="e">
        <v>#N/A</v>
        <stp/>
        <stp>BDH|6433380208839139817</stp>
        <tr r="Q8" s="18"/>
      </tp>
      <tp t="e">
        <v>#N/A</v>
        <stp/>
        <stp>BDH|3289668527567626419</stp>
        <tr r="V95" s="17"/>
        <tr r="V30" s="25"/>
      </tp>
      <tp t="e">
        <v>#N/A</v>
        <stp/>
        <stp>BDH|6225557201004523366</stp>
        <tr r="K9" s="21"/>
      </tp>
      <tp t="e">
        <v>#N/A</v>
        <stp/>
        <stp>BDH|1791902743921549947</stp>
        <tr r="P51" s="12"/>
      </tp>
      <tp t="e">
        <v>#N/A</v>
        <stp/>
        <stp>BDH|2579304911874993081</stp>
        <tr r="L25" s="13"/>
      </tp>
      <tp t="e">
        <v>#N/A</v>
        <stp/>
        <stp>BDH|1715652441131777616</stp>
        <tr r="AA26" s="21"/>
      </tp>
      <tp t="e">
        <v>#N/A</v>
        <stp/>
        <stp>BDH|3020200328447432096</stp>
        <tr r="H72" s="17"/>
        <tr r="H18" s="3"/>
      </tp>
      <tp t="e">
        <v>#N/A</v>
        <stp/>
        <stp>BDH|3621330245250147047</stp>
        <tr r="H22" s="9"/>
      </tp>
      <tp t="e">
        <v>#N/A</v>
        <stp/>
        <stp>BDH|6129825285494173627</stp>
        <tr r="K12" s="18"/>
      </tp>
      <tp t="e">
        <v>#N/A</v>
        <stp/>
        <stp>BDH|6037398589878004151</stp>
        <tr r="S65" s="24"/>
      </tp>
      <tp t="e">
        <v>#N/A</v>
        <stp/>
        <stp>BDH|5041144960686474054</stp>
        <tr r="K41" s="34"/>
      </tp>
      <tp t="e">
        <v>#N/A</v>
        <stp/>
        <stp>BDH|6200037023396717600</stp>
        <tr r="S18" s="9"/>
      </tp>
      <tp t="e">
        <v>#N/A</v>
        <stp/>
        <stp>BDH|4099694204562845409</stp>
        <tr r="N26" s="18"/>
      </tp>
      <tp t="e">
        <v>#N/A</v>
        <stp/>
        <stp>BDH|7563116938906841718</stp>
        <tr r="R9" s="26"/>
      </tp>
      <tp t="e">
        <v>#N/A</v>
        <stp/>
        <stp>BDH|1761426454853096745</stp>
        <tr r="T50" s="17"/>
      </tp>
      <tp t="e">
        <v>#N/A</v>
        <stp/>
        <stp>BDH|7766532616107539022</stp>
        <tr r="Z130" s="18"/>
      </tp>
      <tp t="e">
        <v>#N/A</v>
        <stp/>
        <stp>BDH|4291446204253232759</stp>
        <tr r="J78" s="12"/>
      </tp>
      <tp t="e">
        <v>#N/A</v>
        <stp/>
        <stp>BDH|5202277673673500766</stp>
        <tr r="E38" s="18"/>
      </tp>
      <tp t="e">
        <v>#N/A</v>
        <stp/>
        <stp>BDH|4067575843010850191</stp>
        <tr r="E106" s="18"/>
        <tr r="C6" s="20"/>
      </tp>
      <tp t="e">
        <v>#N/A</v>
        <stp/>
        <stp>BDH|4831417368442729035</stp>
        <tr r="M38" s="34"/>
      </tp>
      <tp t="e">
        <v>#N/A</v>
        <stp/>
        <stp>BDH|2177535533404398478</stp>
        <tr r="K49" s="17"/>
      </tp>
      <tp t="e">
        <v>#N/A</v>
        <stp/>
        <stp>BDH|4066336640573429421</stp>
        <tr r="R15" s="18"/>
      </tp>
      <tp t="e">
        <v>#N/A</v>
        <stp/>
        <stp>BDH|6381541173135162507</stp>
        <tr r="L72" s="18"/>
      </tp>
      <tp t="e">
        <v>#N/A</v>
        <stp/>
        <stp>BDH|5300858354258545427</stp>
        <tr r="P42" s="4"/>
      </tp>
      <tp t="e">
        <v>#N/A</v>
        <stp/>
        <stp>BDH|8894702491347478586</stp>
        <tr r="R25" s="24"/>
      </tp>
      <tp t="e">
        <v>#N/A</v>
        <stp/>
        <stp>BDH|9025197736578219788</stp>
        <tr r="Q24" s="25"/>
        <tr r="Q14" s="27"/>
      </tp>
      <tp t="e">
        <v>#N/A</v>
        <stp/>
        <stp>BDH|2517819575320416902</stp>
        <tr r="L28" s="4"/>
      </tp>
      <tp t="e">
        <v>#N/A</v>
        <stp/>
        <stp>BDH|6483754675590744266</stp>
        <tr r="T31" s="24"/>
      </tp>
      <tp t="e">
        <v>#N/A</v>
        <stp/>
        <stp>BDH|8668421161317969998</stp>
        <tr r="K24" s="13"/>
      </tp>
      <tp t="e">
        <v>#N/A</v>
        <stp/>
        <stp>BDH|5877498783579167460</stp>
        <tr r="S96" s="17"/>
      </tp>
      <tp t="e">
        <v>#N/A</v>
        <stp/>
        <stp>BDH|7064880398451372369</stp>
        <tr r="J61" s="17"/>
      </tp>
      <tp t="e">
        <v>#N/A</v>
        <stp/>
        <stp>BDH|9594823375730725203</stp>
        <tr r="Q32" s="18"/>
      </tp>
      <tp t="e">
        <v>#N/A</v>
        <stp/>
        <stp>BDH|1254374855083256078</stp>
        <tr r="J62" s="12"/>
      </tp>
      <tp t="e">
        <v>#N/A</v>
        <stp/>
        <stp>BDH|1414574714493345219</stp>
        <tr r="Z104" s="18"/>
      </tp>
      <tp t="e">
        <v>#N/A</v>
        <stp/>
        <stp>BDH|4432522019271945538</stp>
        <tr r="L98" s="18"/>
      </tp>
      <tp t="e">
        <v>#N/A</v>
        <stp/>
        <stp>BDH|3209870812808020625</stp>
        <tr r="O24" s="24"/>
      </tp>
      <tp t="e">
        <v>#N/A</v>
        <stp/>
        <stp>BDH|53945235853071006</stp>
        <tr r="U16" s="2"/>
        <tr r="U32" s="4"/>
        <tr r="U61" s="10"/>
        <tr r="W19" s="13"/>
      </tp>
      <tp t="e">
        <v>#N/A</v>
        <stp/>
        <stp>BDH|94344215263560893</stp>
        <tr r="O43" s="22"/>
      </tp>
      <tp t="e">
        <v>#N/A</v>
        <stp/>
        <stp>BDH|28257702473905840</stp>
        <tr r="Y25" s="17"/>
      </tp>
      <tp t="e">
        <v>#N/A</v>
        <stp/>
        <stp>BDH|8512949489329134539</stp>
        <tr r="W24" s="12"/>
      </tp>
      <tp t="e">
        <v>#N/A</v>
        <stp/>
        <stp>BDH|6849467887017135820</stp>
        <tr r="S12" s="7"/>
      </tp>
      <tp t="e">
        <v>#N/A</v>
        <stp/>
        <stp>BDH|8926412427043184848</stp>
        <tr r="J89" s="17"/>
      </tp>
      <tp t="e">
        <v>#N/A</v>
        <stp/>
        <stp>BDH|8918747443128540613</stp>
        <tr r="Y16" s="22"/>
      </tp>
      <tp t="e">
        <v>#N/A</v>
        <stp/>
        <stp>BDH|8507762408578766262</stp>
        <tr r="G54" s="21"/>
      </tp>
      <tp t="e">
        <v>#N/A</v>
        <stp/>
        <stp>BDH|8834872639103504592</stp>
        <tr r="G56" s="18"/>
      </tp>
      <tp t="e">
        <v>#N/A</v>
        <stp/>
        <stp>BDH|8394044576269396383</stp>
        <tr r="U49" s="4"/>
      </tp>
      <tp t="e">
        <v>#N/A</v>
        <stp/>
        <stp>BDH|5977290137721417094</stp>
        <tr r="V8" s="10"/>
      </tp>
      <tp t="e">
        <v>#N/A</v>
        <stp/>
        <stp>BDH|8820111472889873299</stp>
        <tr r="L63" s="18"/>
      </tp>
      <tp t="e">
        <v>#N/A</v>
        <stp/>
        <stp>BDH|6610295738060869257</stp>
        <tr r="Z10" s="24"/>
      </tp>
      <tp t="e">
        <v>#N/A</v>
        <stp/>
        <stp>BDH|3480662933310381384</stp>
        <tr r="I39" s="12"/>
      </tp>
      <tp t="e">
        <v>#N/A</v>
        <stp/>
        <stp>BDH|2693693793501090961</stp>
        <tr r="I112" s="18"/>
        <tr r="G13" s="20"/>
      </tp>
      <tp t="e">
        <v>#N/A</v>
        <stp/>
        <stp>BDH|7332203452445300083</stp>
        <tr r="T31" s="10"/>
        <tr r="T25" s="11"/>
      </tp>
      <tp t="e">
        <v>#N/A</v>
        <stp/>
        <stp>BDH|2822250017520544455</stp>
        <tr r="Z42" s="13"/>
      </tp>
      <tp t="e">
        <v>#N/A</v>
        <stp/>
        <stp>BDH|9602543379509653775</stp>
        <tr r="U23" s="11"/>
      </tp>
      <tp t="e">
        <v>#N/A</v>
        <stp/>
        <stp>BDH|4923055956024872086</stp>
        <tr r="E123" s="18"/>
      </tp>
      <tp t="e">
        <v>#N/A</v>
        <stp/>
        <stp>BDH|9613745739670137808</stp>
        <tr r="Y24" s="21"/>
      </tp>
      <tp t="e">
        <v>#N/A</v>
        <stp/>
        <stp>BDH|2248401799492206838</stp>
        <tr r="M57" s="12"/>
      </tp>
      <tp t="e">
        <v>#N/A</v>
        <stp/>
        <stp>BDH|4313950089805790528</stp>
        <tr r="C65" s="21"/>
      </tp>
      <tp t="e">
        <v>#N/A</v>
        <stp/>
        <stp>BDH|8625148403479258593</stp>
        <tr r="M35" s="10"/>
        <tr r="M47" s="10"/>
        <tr r="M29" s="11"/>
        <tr r="M41" s="11"/>
      </tp>
      <tp t="e">
        <v>#N/A</v>
        <stp/>
        <stp>BDH|8914298476261436982</stp>
        <tr r="O18" s="20"/>
      </tp>
      <tp t="e">
        <v>#N/A</v>
        <stp/>
        <stp>BDH|9348054748971257966</stp>
        <tr r="E20" s="6"/>
      </tp>
      <tp t="e">
        <v>#N/A</v>
        <stp/>
        <stp>BDH|2106039726181830461</stp>
        <tr r="X68" s="12"/>
      </tp>
      <tp t="e">
        <v>#N/A</v>
        <stp/>
        <stp>BDH|3810182068862352313</stp>
        <tr r="U74" s="12"/>
      </tp>
      <tp t="e">
        <v>#N/A</v>
        <stp/>
        <stp>BDH|9464572387372930379</stp>
        <tr r="Y23" s="24"/>
      </tp>
      <tp t="e">
        <v>#N/A</v>
        <stp/>
        <stp>BDH|7347870083254523689</stp>
        <tr r="S63" s="12"/>
      </tp>
      <tp t="e">
        <v>#N/A</v>
        <stp/>
        <stp>BDH|8759865656211480197</stp>
        <tr r="Q27" s="18"/>
      </tp>
      <tp t="e">
        <v>#N/A</v>
        <stp/>
        <stp>BDH|3454012371950728190</stp>
        <tr r="H19" s="20"/>
      </tp>
      <tp t="e">
        <v>#N/A</v>
        <stp/>
        <stp>BDH|4973469656017386709</stp>
        <tr r="P76" s="17"/>
      </tp>
      <tp t="e">
        <v>#N/A</v>
        <stp/>
        <stp>BDH|5929725351606696467</stp>
        <tr r="K75" s="12"/>
      </tp>
      <tp t="e">
        <v>#N/A</v>
        <stp/>
        <stp>BDH|5758238239253294259</stp>
        <tr r="X65" s="12"/>
      </tp>
      <tp t="e">
        <v>#N/A</v>
        <stp/>
        <stp>BDH|9543007279529017269</stp>
        <tr r="T35" s="22"/>
      </tp>
      <tp t="e">
        <v>#N/A</v>
        <stp/>
        <stp>BDH|5152252756217912007</stp>
        <tr r="X20" s="27"/>
      </tp>
      <tp t="e">
        <v>#N/A</v>
        <stp/>
        <stp>BDH|6656641753236263683</stp>
        <tr r="Y75" s="12"/>
      </tp>
      <tp t="e">
        <v>#N/A</v>
        <stp/>
        <stp>BDH|7157254197728846101</stp>
        <tr r="K85" s="18"/>
      </tp>
      <tp t="e">
        <v>#N/A</v>
        <stp/>
        <stp>BDH|7970646496178321531</stp>
        <tr r="D164" s="18"/>
      </tp>
      <tp t="e">
        <v>#N/A</v>
        <stp/>
        <stp>BDH|1968806093791558441</stp>
        <tr r="K41" s="18"/>
      </tp>
      <tp t="e">
        <v>#N/A</v>
        <stp/>
        <stp>BDH|5930386612650859205</stp>
        <tr r="Z55" s="12"/>
      </tp>
      <tp t="e">
        <v>#N/A</v>
        <stp/>
        <stp>BDH|3129410255504620386</stp>
        <tr r="V26" s="29"/>
      </tp>
      <tp t="e">
        <v>#N/A</v>
        <stp/>
        <stp>BDH|6516487084478623742</stp>
        <tr r="L30" s="17"/>
      </tp>
      <tp t="e">
        <v>#N/A</v>
        <stp/>
        <stp>BDH|7873862194730263336</stp>
        <tr r="C67" s="24"/>
      </tp>
      <tp t="e">
        <v>#N/A</v>
        <stp/>
        <stp>BDH|3540686637723509047</stp>
        <tr r="I68" s="18"/>
      </tp>
      <tp t="e">
        <v>#N/A</v>
        <stp/>
        <stp>BDH|6079002108664787749</stp>
        <tr r="F153" s="18"/>
      </tp>
      <tp t="e">
        <v>#N/A</v>
        <stp/>
        <stp>BDH|5838579374480185213</stp>
        <tr r="N47" s="12"/>
      </tp>
      <tp t="e">
        <v>#N/A</v>
        <stp/>
        <stp>BDH|2820271835722688479</stp>
        <tr r="R25" s="22"/>
      </tp>
      <tp t="e">
        <v>#N/A</v>
        <stp/>
        <stp>BDH|5063367954783120581</stp>
        <tr r="R130" s="18"/>
      </tp>
      <tp t="e">
        <v>#N/A</v>
        <stp/>
        <stp>BDH|4335191305377237766</stp>
        <tr r="S22" s="10"/>
      </tp>
      <tp t="e">
        <v>#N/A</v>
        <stp/>
        <stp>BDH|7035360251717406380</stp>
        <tr r="L94" s="17"/>
      </tp>
      <tp t="e">
        <v>#N/A</v>
        <stp/>
        <stp>BDH|8998437233543081927</stp>
        <tr r="G25" s="4"/>
        <tr r="G64" s="10"/>
      </tp>
      <tp t="e">
        <v>#N/A</v>
        <stp/>
        <stp>BDH|3849326606563461635</stp>
        <tr r="G15" s="6"/>
      </tp>
      <tp t="e">
        <v>#N/A</v>
        <stp/>
        <stp>BDH|4721765059276272515</stp>
        <tr r="Q63" s="10"/>
      </tp>
      <tp t="e">
        <v>#N/A</v>
        <stp/>
        <stp>BDH|4354418478873570145</stp>
        <tr r="M70" s="18"/>
      </tp>
      <tp t="e">
        <v>#N/A</v>
        <stp/>
        <stp>BDH|7743543647052797188</stp>
        <tr r="I15" s="22"/>
      </tp>
      <tp t="e">
        <v>#N/A</v>
        <stp/>
        <stp>BDH|1231499252295188036</stp>
        <tr r="P68" s="18"/>
      </tp>
      <tp t="e">
        <v>#N/A</v>
        <stp/>
        <stp>BDH|8865274833435680918</stp>
        <tr r="S42" s="24"/>
      </tp>
      <tp t="e">
        <v>#N/A</v>
        <stp/>
        <stp>BDH|3979438046363067573</stp>
        <tr r="H142" s="18"/>
      </tp>
      <tp t="e">
        <v>#N/A</v>
        <stp/>
        <stp>BDH|4176056535752999037</stp>
        <tr r="H17" s="10"/>
      </tp>
      <tp t="e">
        <v>#N/A</v>
        <stp/>
        <stp>BDH|4104927658885443843</stp>
        <tr r="O22" s="27"/>
      </tp>
      <tp t="e">
        <v>#N/A</v>
        <stp/>
        <stp>BDH|1885654025657056735</stp>
        <tr r="M14" s="8"/>
      </tp>
      <tp t="e">
        <v>#N/A</v>
        <stp/>
        <stp>BDH|5414843609961573976</stp>
        <tr r="V28" s="10"/>
        <tr r="X33" s="13"/>
      </tp>
      <tp t="e">
        <v>#N/A</v>
        <stp/>
        <stp>BDH|5897527214032311665</stp>
        <tr r="P46" s="10"/>
        <tr r="P40" s="11"/>
      </tp>
      <tp t="e">
        <v>#N/A</v>
        <stp/>
        <stp>BDH|7558319101386866763</stp>
        <tr r="M16" s="26"/>
      </tp>
      <tp t="e">
        <v>#N/A</v>
        <stp/>
        <stp>BDH|3814501244352798500</stp>
        <tr r="D13" s="6"/>
      </tp>
      <tp t="e">
        <v>#N/A</v>
        <stp/>
        <stp>BDH|9181294102057700961</stp>
        <tr r="Z32" s="21"/>
      </tp>
      <tp t="e">
        <v>#N/A</v>
        <stp/>
        <stp>BDH|1110066818883223660</stp>
        <tr r="J95" s="18"/>
      </tp>
      <tp t="e">
        <v>#N/A</v>
        <stp/>
        <stp>BDH|6259187011090688367</stp>
        <tr r="O31" s="34"/>
      </tp>
      <tp t="e">
        <v>#N/A</v>
        <stp/>
        <stp>BDH|5572692764977133723</stp>
        <tr r="Y115" s="18"/>
      </tp>
      <tp t="e">
        <v>#N/A</v>
        <stp/>
        <stp>BDH|1626040028923213535</stp>
        <tr r="R8" s="10"/>
      </tp>
      <tp t="e">
        <v>#N/A</v>
        <stp/>
        <stp>BDH|8904629330150173811</stp>
        <tr r="U33" s="18"/>
      </tp>
      <tp t="e">
        <v>#N/A</v>
        <stp/>
        <stp>BDH|1080484375683073463</stp>
        <tr r="R21" s="25"/>
        <tr r="R10" s="27"/>
      </tp>
      <tp t="e">
        <v>#N/A</v>
        <stp/>
        <stp>BDH|3072692835597577416</stp>
        <tr r="AA24" s="24"/>
      </tp>
      <tp t="e">
        <v>#N/A</v>
        <stp/>
        <stp>BDH|5824596829557670067</stp>
        <tr r="H20" s="27"/>
      </tp>
      <tp t="e">
        <v>#N/A</v>
        <stp/>
        <stp>BDH|3884004572080685144</stp>
        <tr r="P33" s="22"/>
      </tp>
      <tp t="e">
        <v>#N/A</v>
        <stp/>
        <stp>BDH|1198272377825074494</stp>
        <tr r="P8" s="10"/>
      </tp>
      <tp t="e">
        <v>#N/A</v>
        <stp/>
        <stp>BDH|5036829957538898555</stp>
        <tr r="U34" s="22"/>
      </tp>
      <tp t="e">
        <v>#N/A</v>
        <stp/>
        <stp>BDH|7346805365368865466</stp>
        <tr r="K39" s="6"/>
      </tp>
      <tp t="e">
        <v>#N/A</v>
        <stp/>
        <stp>BDH|3785761848120092513</stp>
        <tr r="P65" s="24"/>
      </tp>
      <tp t="e">
        <v>#N/A</v>
        <stp/>
        <stp>BDH|2846167414191536674</stp>
        <tr r="G120" s="18"/>
      </tp>
      <tp t="e">
        <v>#N/A</v>
        <stp/>
        <stp>BDH|2999003734131784526</stp>
        <tr r="D68" s="12"/>
      </tp>
      <tp t="e">
        <v>#N/A</v>
        <stp/>
        <stp>BDH|2983033963978418957</stp>
        <tr r="V17" s="24"/>
      </tp>
      <tp t="e">
        <v>#N/A</v>
        <stp/>
        <stp>BDH|5457137807460066184</stp>
        <tr r="H14" s="2"/>
        <tr r="H11" s="10"/>
      </tp>
      <tp t="e">
        <v>#N/A</v>
        <stp/>
        <stp>BDH|8868732587346056445</stp>
        <tr r="C16" s="13"/>
        <tr r="C27" s="13"/>
      </tp>
      <tp t="e">
        <v>#N/A</v>
        <stp/>
        <stp>BDH|1674331354280865215</stp>
        <tr r="F144" s="18"/>
      </tp>
      <tp t="e">
        <v>#N/A</v>
        <stp/>
        <stp>BDH|4878963390334645505</stp>
        <tr r="P96" s="17"/>
      </tp>
      <tp t="e">
        <v>#N/A</v>
        <stp/>
        <stp>BDH|5712523878061331367</stp>
        <tr r="S13" s="7"/>
      </tp>
      <tp t="e">
        <v>#N/A</v>
        <stp/>
        <stp>BDH|1065551225287010482</stp>
        <tr r="P33" s="6"/>
        <tr r="R9" s="8"/>
      </tp>
      <tp t="e">
        <v>#N/A</v>
        <stp/>
        <stp>BDH|6870722465086255456</stp>
        <tr r="F60" s="21"/>
      </tp>
      <tp t="e">
        <v>#N/A</v>
        <stp/>
        <stp>BDH|4475511303147979376</stp>
        <tr r="H39" s="22"/>
      </tp>
      <tp t="e">
        <v>#N/A</v>
        <stp/>
        <stp>BDH|6585772859280202111</stp>
        <tr r="F26" s="12"/>
      </tp>
      <tp t="e">
        <v>#N/A</v>
        <stp/>
        <stp>BDH|3190253723360803670</stp>
        <tr r="U11" s="24"/>
      </tp>
      <tp t="e">
        <v>#N/A</v>
        <stp/>
        <stp>BDH|5944849168058568682</stp>
        <tr r="T26" s="7"/>
      </tp>
      <tp t="e">
        <v>#N/A</v>
        <stp/>
        <stp>BDH|2110179240123724193</stp>
        <tr r="I42" s="10"/>
        <tr r="I36" s="11"/>
      </tp>
      <tp t="e">
        <v>#N/A</v>
        <stp/>
        <stp>BDH|3552426074977367287</stp>
        <tr r="L30" s="34"/>
      </tp>
      <tp t="e">
        <v>#N/A</v>
        <stp/>
        <stp>BDH|7866710150857440751</stp>
        <tr r="M28" s="24"/>
      </tp>
      <tp t="e">
        <v>#N/A</v>
        <stp/>
        <stp>BDH|1083347159496408410</stp>
        <tr r="Q69" s="12"/>
      </tp>
      <tp t="e">
        <v>#N/A</v>
        <stp/>
        <stp>BDH|6833068737223435351</stp>
        <tr r="C21" s="26"/>
      </tp>
      <tp t="e">
        <v>#N/A</v>
        <stp/>
        <stp>BDH|4356175290999839047</stp>
        <tr r="J55" s="17"/>
      </tp>
      <tp t="e">
        <v>#N/A</v>
        <stp/>
        <stp>BDH|1016175749377221648</stp>
        <tr r="E61" s="18"/>
      </tp>
      <tp t="e">
        <v>#N/A</v>
        <stp/>
        <stp>BDH|3318332634243996555</stp>
        <tr r="E99" s="17"/>
      </tp>
      <tp t="e">
        <v>#N/A</v>
        <stp/>
        <stp>BDH|8248244321709997463</stp>
        <tr r="S76" s="17"/>
      </tp>
      <tp t="e">
        <v>#N/A</v>
        <stp/>
        <stp>BDH|4425196601830408001</stp>
        <tr r="L17" s="10"/>
      </tp>
      <tp t="e">
        <v>#N/A</v>
        <stp/>
        <stp>BDH|5375421598905871894</stp>
        <tr r="V55" s="18"/>
      </tp>
      <tp t="e">
        <v>#N/A</v>
        <stp/>
        <stp>BDH|2879348143721079173</stp>
        <tr r="L60" s="21"/>
      </tp>
      <tp t="e">
        <v>#N/A</v>
        <stp/>
        <stp>BDH|5632780757016052419</stp>
        <tr r="T49" s="21"/>
      </tp>
      <tp t="e">
        <v>#N/A</v>
        <stp/>
        <stp>BDH|2050388063073357107</stp>
        <tr r="K14" s="4"/>
      </tp>
      <tp t="e">
        <v>#N/A</v>
        <stp/>
        <stp>BDH|2196107167615904577</stp>
        <tr r="D42" s="22"/>
      </tp>
      <tp t="e">
        <v>#N/A</v>
        <stp/>
        <stp>BDH|9815835164932055077</stp>
        <tr r="W18" s="14"/>
      </tp>
      <tp t="e">
        <v>#N/A</v>
        <stp/>
        <stp>BDH|5112841059168206570</stp>
        <tr r="C60" s="24"/>
      </tp>
      <tp t="e">
        <v>#N/A</v>
        <stp/>
        <stp>BDH|3183621790411280885</stp>
        <tr r="G12" s="22"/>
      </tp>
      <tp t="e">
        <v>#N/A</v>
        <stp/>
        <stp>BDH|4809415555111128146</stp>
        <tr r="D18" s="24"/>
      </tp>
      <tp t="e">
        <v>#N/A</v>
        <stp/>
        <stp>BDH|5651237346167932130</stp>
        <tr r="P44" s="12"/>
      </tp>
      <tp t="e">
        <v>#N/A</v>
        <stp/>
        <stp>BDH|5043121217398949852</stp>
        <tr r="W73" s="17"/>
        <tr r="T8" s="5"/>
        <tr r="T8" s="9"/>
      </tp>
      <tp t="e">
        <v>#N/A</v>
        <stp/>
        <stp>BDH|9816387128648112501</stp>
        <tr r="Z15" s="18"/>
      </tp>
      <tp t="e">
        <v>#N/A</v>
        <stp/>
        <stp>BDH|1488434913674909549</stp>
        <tr r="E56" s="12"/>
      </tp>
      <tp t="e">
        <v>#N/A</v>
        <stp/>
        <stp>BDH|4209793334424773113</stp>
        <tr r="H41" s="18"/>
      </tp>
      <tp t="e">
        <v>#N/A</v>
        <stp/>
        <stp>BDH|1393194727883638424</stp>
        <tr r="Q83" s="17"/>
      </tp>
      <tp t="e">
        <v>#N/A</v>
        <stp/>
        <stp>BDH|1123482083249570167</stp>
        <tr r="T24" s="21"/>
      </tp>
      <tp t="e">
        <v>#N/A</v>
        <stp/>
        <stp>BDH|3551782275455979386</stp>
        <tr r="U43" s="18"/>
      </tp>
      <tp t="e">
        <v>#N/A</v>
        <stp/>
        <stp>BDH|6996275548465984065</stp>
        <tr r="E13" s="6"/>
      </tp>
      <tp t="e">
        <v>#N/A</v>
        <stp/>
        <stp>BDH|8518871831250338694</stp>
        <tr r="Y133" s="18"/>
      </tp>
      <tp t="e">
        <v>#N/A</v>
        <stp/>
        <stp>BDH|6788354156817537282</stp>
        <tr r="F156" s="18"/>
      </tp>
      <tp t="e">
        <v>#N/A</v>
        <stp/>
        <stp>BDH|4403546089505326935</stp>
        <tr r="K45" s="24"/>
      </tp>
      <tp t="e">
        <v>#N/A</v>
        <stp/>
        <stp>BDH|2724584059771932666</stp>
        <tr r="S44" s="18"/>
      </tp>
      <tp t="e">
        <v>#N/A</v>
        <stp/>
        <stp>BDH|1833266683367771935</stp>
        <tr r="P19" s="10"/>
      </tp>
      <tp t="e">
        <v>#N/A</v>
        <stp/>
        <stp>BDH|3078218469557884596</stp>
        <tr r="X168" s="18"/>
      </tp>
      <tp t="e">
        <v>#N/A</v>
        <stp/>
        <stp>BDH|7535085457990496772</stp>
        <tr r="V52" s="24"/>
      </tp>
      <tp t="e">
        <v>#N/A</v>
        <stp/>
        <stp>BDH|1643676222070213084</stp>
        <tr r="L83" s="18"/>
      </tp>
      <tp t="e">
        <v>#N/A</v>
        <stp/>
        <stp>BDH|4524592352682361347</stp>
        <tr r="F6" s="27"/>
      </tp>
      <tp t="e">
        <v>#N/A</v>
        <stp/>
        <stp>BDH|5521170090638949027</stp>
        <tr r="S39" s="6"/>
      </tp>
      <tp t="e">
        <v>#N/A</v>
        <stp/>
        <stp>BDH|3677375290245864900</stp>
        <tr r="J60" s="24"/>
      </tp>
      <tp t="e">
        <v>#N/A</v>
        <stp/>
        <stp>BDH|9762179261502981914</stp>
        <tr r="H18" s="5"/>
        <tr r="H30" s="6"/>
      </tp>
      <tp t="e">
        <v>#N/A</v>
        <stp/>
        <stp>BDH|3595026500656921072</stp>
        <tr r="H33" s="18"/>
      </tp>
      <tp t="e">
        <v>#N/A</v>
        <stp/>
        <stp>BDH|6798240242176080389</stp>
        <tr r="R16" s="22"/>
      </tp>
      <tp t="e">
        <v>#N/A</v>
        <stp/>
        <stp>BDH|7843298238423068007</stp>
        <tr r="G28" s="9"/>
      </tp>
      <tp t="e">
        <v>#N/A</v>
        <stp/>
        <stp>BDH|2839463621262696303</stp>
        <tr r="N116" s="18"/>
      </tp>
      <tp t="e">
        <v>#N/A</v>
        <stp/>
        <stp>BDH|4624650361634278598</stp>
        <tr r="Y48" s="17"/>
      </tp>
      <tp t="e">
        <v>#N/A</v>
        <stp/>
        <stp>BDH|9161194567409689205</stp>
        <tr r="C70" s="12"/>
      </tp>
      <tp t="e">
        <v>#N/A</v>
        <stp/>
        <stp>BDH|2993303840623047303</stp>
        <tr r="O14" s="25"/>
      </tp>
      <tp t="e">
        <v>#N/A</v>
        <stp/>
        <stp>BDH|6914687853189895933</stp>
        <tr r="U58" s="18"/>
      </tp>
      <tp t="e">
        <v>#N/A</v>
        <stp/>
        <stp>BDH|2064838051473261991</stp>
        <tr r="O29" s="29"/>
        <tr r="O7" s="29"/>
      </tp>
      <tp t="e">
        <v>#N/A</v>
        <stp/>
        <stp>BDH|8103559398537209671</stp>
        <tr r="X26" s="10"/>
        <tr r="Z31" s="13"/>
      </tp>
      <tp t="e">
        <v>#N/A</v>
        <stp/>
        <stp>BDH|7911459078262844352</stp>
        <tr r="Z59" s="24"/>
      </tp>
      <tp t="e">
        <v>#N/A</v>
        <stp/>
        <stp>BDH|1800912421977878890</stp>
        <tr r="J23" s="18"/>
      </tp>
      <tp t="e">
        <v>#N/A</v>
        <stp/>
        <stp>BDH|7301395615673745318</stp>
        <tr r="T9" s="17"/>
      </tp>
      <tp t="e">
        <v>#N/A</v>
        <stp/>
        <stp>BDH|3507206746297815754</stp>
        <tr r="M57" s="17"/>
        <tr r="M10" s="25"/>
      </tp>
      <tp t="e">
        <v>#N/A</v>
        <stp/>
        <stp>BDH|2034580643701750721</stp>
        <tr r="U22" s="27"/>
      </tp>
      <tp t="e">
        <v>#N/A</v>
        <stp/>
        <stp>BDH|9597877744526130698</stp>
        <tr r="O37" s="18"/>
      </tp>
      <tp t="e">
        <v>#N/A</v>
        <stp/>
        <stp>BDH|1734319563800285199</stp>
        <tr r="T165" s="18"/>
      </tp>
      <tp t="e">
        <v>#N/A</v>
        <stp/>
        <stp>BDH|5807606161157556721</stp>
        <tr r="I71" s="17"/>
      </tp>
      <tp t="e">
        <v>#N/A</v>
        <stp/>
        <stp>BDH|4520419148266681742</stp>
        <tr r="J36" s="24"/>
      </tp>
      <tp t="e">
        <v>#N/A</v>
        <stp/>
        <stp>BDH|8210203245748106386</stp>
        <tr r="U43" s="13"/>
      </tp>
      <tp t="e">
        <v>#N/A</v>
        <stp/>
        <stp>BDH|3334497322277715715</stp>
        <tr r="R102" s="18"/>
      </tp>
      <tp t="e">
        <v>#N/A</v>
        <stp/>
        <stp>BDH|9062595084835090430</stp>
        <tr r="W12" s="21"/>
      </tp>
      <tp t="e">
        <v>#N/A</v>
        <stp/>
        <stp>BDH|4654684670299804981</stp>
        <tr r="T20" s="12"/>
      </tp>
      <tp t="e">
        <v>#N/A</v>
        <stp/>
        <stp>BDH|3855413338369617891</stp>
        <tr r="Q36" s="12"/>
      </tp>
      <tp t="e">
        <v>#N/A</v>
        <stp/>
        <stp>BDH|9234336701697968870</stp>
        <tr r="Y10" s="24"/>
      </tp>
      <tp t="e">
        <v>#N/A</v>
        <stp/>
        <stp>BDH|8332575723593945903</stp>
        <tr r="K29" s="9"/>
      </tp>
      <tp t="e">
        <v>#N/A</v>
        <stp/>
        <stp>BDH|1056512030524853671</stp>
        <tr r="R24" s="12"/>
      </tp>
      <tp t="e">
        <v>#N/A</v>
        <stp/>
        <stp>BDH|8819883552389523995</stp>
        <tr r="O33" s="34"/>
      </tp>
      <tp t="e">
        <v>#N/A</v>
        <stp/>
        <stp>BDH|6845623803037797208</stp>
        <tr r="O19" s="26"/>
      </tp>
      <tp t="e">
        <v>#N/A</v>
        <stp/>
        <stp>BDH|2162126067826904631</stp>
        <tr r="C67" s="12"/>
      </tp>
      <tp t="e">
        <v>#N/A</v>
        <stp/>
        <stp>BDH|5954518683435223872</stp>
        <tr r="M17" s="18"/>
      </tp>
      <tp t="e">
        <v>#N/A</v>
        <stp/>
        <stp>BDH|5332789933561612506</stp>
        <tr r="S71" s="12"/>
      </tp>
      <tp t="e">
        <v>#N/A</v>
        <stp/>
        <stp>BDH|5306171352865857107</stp>
        <tr r="O28" s="25"/>
        <tr r="O18" s="27"/>
      </tp>
      <tp t="e">
        <v>#N/A</v>
        <stp/>
        <stp>BDH|5142059809721589169</stp>
        <tr r="W15" s="26"/>
      </tp>
      <tp t="e">
        <v>#N/A</v>
        <stp/>
        <stp>BDH|6108603638094306248</stp>
        <tr r="AA28" s="17"/>
      </tp>
      <tp t="e">
        <v>#N/A</v>
        <stp/>
        <stp>BDH|3575331702870958530</stp>
        <tr r="C15" s="22"/>
      </tp>
      <tp t="e">
        <v>#N/A</v>
        <stp/>
        <stp>BDH|2183615700290927176</stp>
        <tr r="W41" s="10"/>
        <tr r="W35" s="11"/>
      </tp>
      <tp t="e">
        <v>#N/A</v>
        <stp/>
        <stp>BDH|3705424905083798190</stp>
        <tr r="J80" s="17"/>
      </tp>
      <tp t="e">
        <v>#N/A</v>
        <stp/>
        <stp>BDH|1649757463745907079</stp>
        <tr r="R66" s="18"/>
      </tp>
      <tp t="e">
        <v>#N/A</v>
        <stp/>
        <stp>BDH|7805369677136535027</stp>
        <tr r="E6" s="2"/>
        <tr r="D6" s="5"/>
        <tr r="D6" s="9"/>
        <tr r="F12" s="8"/>
        <tr r="G10" s="29"/>
        <tr r="G19" s="29"/>
        <tr r="G25" s="29"/>
      </tp>
      <tp t="e">
        <v>#N/A</v>
        <stp/>
        <stp>BDH|9275390594587595147</stp>
        <tr r="Z165" s="18"/>
      </tp>
      <tp t="e">
        <v>#N/A</v>
        <stp/>
        <stp>BDH|1140849511735839825</stp>
        <tr r="G21" s="18"/>
      </tp>
      <tp t="e">
        <v>#N/A</v>
        <stp/>
        <stp>BDH|2474689154264147077</stp>
        <tr r="F37" s="12"/>
      </tp>
      <tp t="e">
        <v>#N/A</v>
        <stp/>
        <stp>BDH|6255149148824034208</stp>
        <tr r="U31" s="25"/>
      </tp>
      <tp t="e">
        <v>#N/A</v>
        <stp/>
        <stp>BDH|3078823248813544917</stp>
        <tr r="C53" s="24"/>
      </tp>
      <tp t="e">
        <v>#N/A</v>
        <stp/>
        <stp>BDH|8899012696480048415</stp>
        <tr r="D155" s="18"/>
      </tp>
      <tp t="e">
        <v>#N/A</v>
        <stp/>
        <stp>BDH|6888861541337305824</stp>
        <tr r="Z29" s="24"/>
      </tp>
      <tp t="e">
        <v>#N/A</v>
        <stp/>
        <stp>BDH|2810436247261740640</stp>
        <tr r="U17" s="4"/>
        <tr r="W10" s="3"/>
        <tr r="U55" s="10"/>
        <tr r="U49" s="11"/>
        <tr r="U17" s="7"/>
        <tr r="W49" s="13"/>
      </tp>
      <tp t="e">
        <v>#N/A</v>
        <stp/>
        <stp>BDH|9359702719748607230</stp>
        <tr r="E94" s="17"/>
      </tp>
      <tp t="e">
        <v>#N/A</v>
        <stp/>
        <stp>BDH|3478404329885583570</stp>
        <tr r="V47" s="24"/>
      </tp>
      <tp t="e">
        <v>#N/A</v>
        <stp/>
        <stp>BDH|2027900572588415195</stp>
        <tr r="T22" s="20"/>
      </tp>
      <tp t="e">
        <v>#N/A</v>
        <stp/>
        <stp>BDH|2664919979559380021</stp>
        <tr r="E45" s="12"/>
      </tp>
      <tp t="e">
        <v>#N/A</v>
        <stp/>
        <stp>BDH|9911473382724378401</stp>
        <tr r="C164" s="18"/>
      </tp>
      <tp t="e">
        <v>#N/A</v>
        <stp/>
        <stp>BDH|4301780651575605637</stp>
        <tr r="F22" s="18"/>
      </tp>
      <tp t="e">
        <v>#N/A</v>
        <stp/>
        <stp>BDH|1424397266080627122</stp>
        <tr r="P23" s="11"/>
      </tp>
      <tp t="e">
        <v>#N/A</v>
        <stp/>
        <stp>BDH|2066439083058885373</stp>
        <tr r="Z25" s="18"/>
      </tp>
      <tp t="e">
        <v>#N/A</v>
        <stp/>
        <stp>BDH|9224248210646893911</stp>
        <tr r="K44" s="21"/>
      </tp>
      <tp t="e">
        <v>#N/A</v>
        <stp/>
        <stp>BDH|1159175391954998817</stp>
        <tr r="X91" s="17"/>
      </tp>
      <tp t="e">
        <v>#N/A</v>
        <stp/>
        <stp>BDH|3422514139612353202</stp>
        <tr r="I65" s="18"/>
      </tp>
      <tp t="e">
        <v>#N/A</v>
        <stp/>
        <stp>BDH|8102610150449844777</stp>
        <tr r="C33" s="10"/>
        <tr r="C27" s="11"/>
      </tp>
      <tp t="e">
        <v>#N/A</v>
        <stp/>
        <stp>BDH|4436200854656622090</stp>
        <tr r="C34" s="18"/>
      </tp>
      <tp t="e">
        <v>#N/A</v>
        <stp/>
        <stp>BDH|7305794035364837282</stp>
        <tr r="K152" s="18"/>
      </tp>
      <tp t="e">
        <v>#N/A</v>
        <stp/>
        <stp>BDH|5850692055297867435</stp>
        <tr r="Y29" s="10"/>
        <tr r="AA34" s="13"/>
      </tp>
      <tp t="e">
        <v>#N/A</v>
        <stp/>
        <stp>BDH|7890576565527063655</stp>
        <tr r="H108" s="18"/>
        <tr r="F8" s="20"/>
      </tp>
      <tp t="e">
        <v>#N/A</v>
        <stp/>
        <stp>BDH|7137349633557812517</stp>
        <tr r="K10" s="24"/>
      </tp>
      <tp t="e">
        <v>#N/A</v>
        <stp/>
        <stp>BDH|9332364995505997362</stp>
        <tr r="T27" s="17"/>
      </tp>
      <tp t="e">
        <v>#N/A</v>
        <stp/>
        <stp>BDH|5094098026951678366</stp>
        <tr r="E126" s="18"/>
      </tp>
      <tp t="e">
        <v>#N/A</v>
        <stp/>
        <stp>BDH|5109094524382092036</stp>
        <tr r="F7" s="10"/>
      </tp>
      <tp t="e">
        <v>#N/A</v>
        <stp/>
        <stp>BDH|1985343520705307017</stp>
        <tr r="F12" s="14"/>
      </tp>
      <tp t="e">
        <v>#N/A</v>
        <stp/>
        <stp>BDH|9168844862871870306</stp>
        <tr r="W41" s="21"/>
      </tp>
      <tp t="e">
        <v>#N/A</v>
        <stp/>
        <stp>BDH|8587553184103897338</stp>
        <tr r="U51" s="17"/>
      </tp>
      <tp t="e">
        <v>#N/A</v>
        <stp/>
        <stp>BDH|5115939277308235683</stp>
        <tr r="X20" s="10"/>
      </tp>
      <tp t="e">
        <v>#N/A</v>
        <stp/>
        <stp>BDH|5840937882850063166</stp>
        <tr r="I103" s="18"/>
      </tp>
      <tp t="e">
        <v>#N/A</v>
        <stp/>
        <stp>BDH|7157809418603559834</stp>
        <tr r="T15" s="24"/>
      </tp>
      <tp t="e">
        <v>#N/A</v>
        <stp/>
        <stp>BDH|2693370600601970572</stp>
        <tr r="W19" s="14"/>
      </tp>
      <tp t="e">
        <v>#N/A</v>
        <stp/>
        <stp>BDH|1898238666118490864</stp>
        <tr r="D168" s="18"/>
      </tp>
      <tp t="e">
        <v>#N/A</v>
        <stp/>
        <stp>BDH|1056546993858071081</stp>
        <tr r="M96" s="18"/>
      </tp>
      <tp t="e">
        <v>#N/A</v>
        <stp/>
        <stp>BDH|2138655917014928458</stp>
        <tr r="I62" s="11"/>
      </tp>
      <tp t="e">
        <v>#N/A</v>
        <stp/>
        <stp>BDH|7511799945071075063</stp>
        <tr r="H43" s="21"/>
      </tp>
      <tp t="e">
        <v>#N/A</v>
        <stp/>
        <stp>BDH|5775677679540380152</stp>
        <tr r="V161" s="18"/>
      </tp>
      <tp t="e">
        <v>#N/A</v>
        <stp/>
        <stp>BDH|6104531748543787122</stp>
        <tr r="P36" s="10"/>
        <tr r="P30" s="11"/>
        <tr r="R39" s="13"/>
      </tp>
      <tp t="e">
        <v>#N/A</v>
        <stp/>
        <stp>BDH|4187482464493462066</stp>
        <tr r="G62" s="24"/>
      </tp>
      <tp t="e">
        <v>#N/A</v>
        <stp/>
        <stp>BDH|7758085020175669556</stp>
        <tr r="V14" s="4"/>
      </tp>
      <tp t="e">
        <v>#N/A</v>
        <stp/>
        <stp>BDH|8182251929825748864</stp>
        <tr r="AA40" s="18"/>
      </tp>
      <tp t="e">
        <v>#N/A</v>
        <stp/>
        <stp>BDH|8737966448545233573</stp>
        <tr r="H7" s="28"/>
      </tp>
      <tp t="e">
        <v>#N/A</v>
        <stp/>
        <stp>BDH|8671974515665004085</stp>
        <tr r="C19" s="6"/>
      </tp>
      <tp t="e">
        <v>#N/A</v>
        <stp/>
        <stp>BDH|9186240504866539883</stp>
        <tr r="J49" s="17"/>
      </tp>
      <tp t="e">
        <v>#N/A</v>
        <stp/>
        <stp>BDH|9450607905779831356</stp>
        <tr r="F8" s="23"/>
      </tp>
      <tp t="e">
        <v>#N/A</v>
        <stp/>
        <stp>BDH|7427696667047470521</stp>
        <tr r="E34" s="17"/>
      </tp>
      <tp t="e">
        <v>#N/A</v>
        <stp/>
        <stp>BDH|7269796457296382638</stp>
        <tr r="E7" s="10"/>
      </tp>
      <tp t="e">
        <v>#N/A</v>
        <stp/>
        <stp>BDH|5507722935301619585</stp>
        <tr r="J16" s="25"/>
      </tp>
      <tp t="e">
        <v>#N/A</v>
        <stp/>
        <stp>BDH|6391288240386474330</stp>
        <tr r="C13" s="18"/>
      </tp>
      <tp t="e">
        <v>#N/A</v>
        <stp/>
        <stp>BDH|9195080386993604755</stp>
        <tr r="E45" s="13"/>
      </tp>
      <tp t="e">
        <v>#N/A</v>
        <stp/>
        <stp>BDH|7594863073865915857</stp>
        <tr r="T39" s="10"/>
        <tr r="T33" s="11"/>
      </tp>
      <tp t="e">
        <v>#N/A</v>
        <stp/>
        <stp>BDH|2060747538962583154</stp>
        <tr r="S31" s="18"/>
      </tp>
      <tp t="e">
        <v>#N/A</v>
        <stp/>
        <stp>BDH|9052974888024129927</stp>
        <tr r="Y14" s="13"/>
      </tp>
      <tp t="e">
        <v>#N/A</v>
        <stp/>
        <stp>BDH|2972604064162569540</stp>
        <tr r="G10" s="23"/>
      </tp>
      <tp t="e">
        <v>#N/A</v>
        <stp/>
        <stp>BDH|4928390178714141155</stp>
        <tr r="N111" s="18"/>
        <tr r="L12" s="20"/>
      </tp>
      <tp t="e">
        <v>#N/A</v>
        <stp/>
        <stp>BDH|6310082867014958191</stp>
        <tr r="D35" s="10"/>
        <tr r="D47" s="10"/>
        <tr r="D29" s="11"/>
        <tr r="D41" s="11"/>
      </tp>
      <tp t="e">
        <v>#N/A</v>
        <stp/>
        <stp>BDH|1826258175113348278</stp>
        <tr r="H20" s="29"/>
      </tp>
      <tp t="e">
        <v>#N/A</v>
        <stp/>
        <stp>BDH|9562465707938958018</stp>
        <tr r="K29" s="24"/>
      </tp>
      <tp t="e">
        <v>#N/A</v>
        <stp/>
        <stp>BDH|9297368638239249520</stp>
        <tr r="Q27" s="22"/>
      </tp>
      <tp t="e">
        <v>#N/A</v>
        <stp/>
        <stp>BDH|3937364702881815498</stp>
        <tr r="Y52" s="4"/>
        <tr r="AA8" s="3"/>
        <tr r="Y43" s="10"/>
        <tr r="Y37" s="11"/>
        <tr r="AA38" s="13"/>
      </tp>
      <tp t="e">
        <v>#N/A</v>
        <stp/>
        <stp>BDH|4908537855795753443</stp>
        <tr r="X12" s="7"/>
      </tp>
      <tp t="e">
        <v>#N/A</v>
        <stp/>
        <stp>BDH|4901395449235081356</stp>
        <tr r="E125" s="18"/>
      </tp>
      <tp t="e">
        <v>#N/A</v>
        <stp/>
        <stp>BDH|6309866552859269791</stp>
        <tr r="J17" s="4"/>
        <tr r="L10" s="3"/>
        <tr r="J55" s="10"/>
        <tr r="J49" s="11"/>
        <tr r="J17" s="7"/>
        <tr r="L49" s="13"/>
      </tp>
      <tp t="e">
        <v>#N/A</v>
        <stp/>
        <stp>BDH|4698445453446571687</stp>
        <tr r="Z51" s="12"/>
      </tp>
      <tp t="e">
        <v>#N/A</v>
        <stp/>
        <stp>BDH|3610048459500051372</stp>
        <tr r="O50" s="12"/>
      </tp>
      <tp t="e">
        <v>#N/A</v>
        <stp/>
        <stp>BDH|5501109861865939219</stp>
        <tr r="C167" s="18"/>
      </tp>
      <tp t="e">
        <v>#N/A</v>
        <stp/>
        <stp>BDH|5274696999809923670</stp>
        <tr r="K37" s="12"/>
      </tp>
      <tp t="e">
        <v>#N/A</v>
        <stp/>
        <stp>BDH|6491418157223796190</stp>
        <tr r="R140" s="18"/>
      </tp>
      <tp t="e">
        <v>#N/A</v>
        <stp/>
        <stp>BDH|9088141565218469390</stp>
        <tr r="I16" s="24"/>
      </tp>
      <tp t="e">
        <v>#N/A</v>
        <stp/>
        <stp>BDH|7943793564911874204</stp>
        <tr r="R12" s="24"/>
      </tp>
      <tp t="e">
        <v>#N/A</v>
        <stp/>
        <stp>BDH|2754487125637591631</stp>
        <tr r="I21" s="12"/>
      </tp>
      <tp t="e">
        <v>#N/A</v>
        <stp/>
        <stp>BDH|5327725962987801672</stp>
        <tr r="Y43" s="18"/>
      </tp>
      <tp t="e">
        <v>#N/A</v>
        <stp/>
        <stp>BDH|4528754975649885817</stp>
        <tr r="T26" s="6"/>
      </tp>
      <tp t="e">
        <v>#N/A</v>
        <stp/>
        <stp>BDH|4808651823321680445</stp>
        <tr r="S67" s="24"/>
      </tp>
      <tp t="e">
        <v>#N/A</v>
        <stp/>
        <stp>BDH|1449288960724521456</stp>
        <tr r="AA17" s="12"/>
      </tp>
      <tp t="e">
        <v>#N/A</v>
        <stp/>
        <stp>BDH|3407134668257289610</stp>
        <tr r="D19" s="13"/>
      </tp>
      <tp t="e">
        <v>#N/A</v>
        <stp/>
        <stp>BDH|2020745464674430293</stp>
        <tr r="C28" s="5"/>
      </tp>
      <tp t="e">
        <v>#N/A</v>
        <stp/>
        <stp>BDH|3991540635642279279</stp>
        <tr r="V54" s="18"/>
      </tp>
      <tp t="e">
        <v>#N/A</v>
        <stp/>
        <stp>BDH|3010718628651075248</stp>
        <tr r="L18" s="5"/>
        <tr r="L30" s="6"/>
      </tp>
      <tp t="e">
        <v>#N/A</v>
        <stp/>
        <stp>BDH|9534383234034202860</stp>
        <tr r="AA136" s="18"/>
      </tp>
      <tp t="e">
        <v>#N/A</v>
        <stp/>
        <stp>BDH|8711817428524355306</stp>
        <tr r="K81" s="17"/>
        <tr r="H9" s="5"/>
        <tr r="H9" s="9"/>
      </tp>
      <tp t="e">
        <v>#N/A</v>
        <stp/>
        <stp>BDH|1951366361513030235</stp>
        <tr r="U40" s="29"/>
      </tp>
      <tp t="e">
        <v>#N/A</v>
        <stp/>
        <stp>BDH|3589689634624010746</stp>
        <tr r="M44" s="24"/>
      </tp>
      <tp t="e">
        <v>#N/A</v>
        <stp/>
        <stp>BDH|6660730418255608064</stp>
        <tr r="F24" s="22"/>
      </tp>
      <tp t="e">
        <v>#N/A</v>
        <stp/>
        <stp>BDH|5131901913388646097</stp>
        <tr r="V155" s="18"/>
      </tp>
      <tp t="e">
        <v>#N/A</v>
        <stp/>
        <stp>BDH|4542293167376003366</stp>
        <tr r="C113" s="18"/>
      </tp>
      <tp t="e">
        <v>#N/A</v>
        <stp/>
        <stp>BDH|9622214440038867222</stp>
        <tr r="AA16" s="22"/>
      </tp>
      <tp t="e">
        <v>#N/A</v>
        <stp/>
        <stp>BDH|9895735831791585926</stp>
        <tr r="R68" s="18"/>
      </tp>
      <tp t="e">
        <v>#N/A</v>
        <stp/>
        <stp>BDH|1720095171671748250</stp>
        <tr r="G109" s="18"/>
        <tr r="E9" s="20"/>
      </tp>
      <tp t="e">
        <v>#N/A</v>
        <stp/>
        <stp>BDH|9805493947514979825</stp>
        <tr r="O15" s="9"/>
      </tp>
      <tp t="e">
        <v>#N/A</v>
        <stp/>
        <stp>BDH|9629213818318612747</stp>
        <tr r="G41" s="22"/>
      </tp>
      <tp t="e">
        <v>#N/A</v>
        <stp/>
        <stp>BDH|8074275582751809601</stp>
        <tr r="N32" s="18"/>
      </tp>
      <tp t="e">
        <v>#N/A</v>
        <stp/>
        <stp>BDH|9609940500613645696</stp>
        <tr r="Y40" s="22"/>
      </tp>
      <tp t="e">
        <v>#N/A</v>
        <stp/>
        <stp>BDH|6362492918461743783</stp>
        <tr r="R25" s="12"/>
      </tp>
      <tp t="e">
        <v>#N/A</v>
        <stp/>
        <stp>BDH|9616928838144582246</stp>
        <tr r="Z24" s="22"/>
      </tp>
      <tp t="e">
        <v>#N/A</v>
        <stp/>
        <stp>BDH|4327490665053789053</stp>
        <tr r="C17" s="17"/>
        <tr r="C20" s="28"/>
      </tp>
      <tp t="e">
        <v>#N/A</v>
        <stp/>
        <stp>BDH|7097180472356423230</stp>
        <tr r="V8" s="13"/>
      </tp>
      <tp t="e">
        <v>#N/A</v>
        <stp/>
        <stp>BDH|9436188246659736005</stp>
        <tr r="G66" s="17"/>
      </tp>
      <tp t="e">
        <v>#N/A</v>
        <stp/>
        <stp>BDH|1615248323802996653</stp>
        <tr r="Q8" s="22"/>
      </tp>
      <tp t="e">
        <v>#N/A</v>
        <stp/>
        <stp>BDH|7859321025697699447</stp>
        <tr r="W99" s="17"/>
      </tp>
      <tp t="e">
        <v>#N/A</v>
        <stp/>
        <stp>BDH|7621339638230402246</stp>
        <tr r="T67" s="18"/>
      </tp>
      <tp t="e">
        <v>#N/A</v>
        <stp/>
        <stp>BDH|5651019474034944377</stp>
        <tr r="K16" s="10"/>
      </tp>
      <tp t="e">
        <v>#N/A</v>
        <stp/>
        <stp>BDH|5309348558320400664</stp>
        <tr r="M115" s="18"/>
      </tp>
      <tp t="e">
        <v>#N/A</v>
        <stp/>
        <stp>BDH|2837795411813508281</stp>
        <tr r="V77" s="17"/>
      </tp>
      <tp t="e">
        <v>#N/A</v>
        <stp/>
        <stp>BDH|9464309574639432194</stp>
        <tr r="Q118" s="18"/>
      </tp>
      <tp t="e">
        <v>#N/A</v>
        <stp/>
        <stp>BDH|1577268563678934844</stp>
        <tr r="AA19" s="14"/>
      </tp>
      <tp t="e">
        <v>#N/A</v>
        <stp/>
        <stp>BDH|7938979945419781618</stp>
        <tr r="O12" s="13"/>
      </tp>
      <tp t="e">
        <v>#N/A</v>
        <stp/>
        <stp>BDH|1143031539244024394</stp>
        <tr r="M66" s="18"/>
      </tp>
      <tp t="e">
        <v>#N/A</v>
        <stp/>
        <stp>BDH|3889252249725298544</stp>
        <tr r="W12" s="7"/>
      </tp>
      <tp t="e">
        <v>#N/A</v>
        <stp/>
        <stp>BDH|6378907005439745330</stp>
        <tr r="S75" s="17"/>
      </tp>
      <tp t="e">
        <v>#N/A</v>
        <stp/>
        <stp>BDH|4403546122756627060</stp>
        <tr r="Q26" s="29"/>
      </tp>
      <tp t="e">
        <v>#N/A</v>
        <stp/>
        <stp>BDH|9619835545514133431</stp>
        <tr r="P16" s="26"/>
      </tp>
      <tp t="e">
        <v>#N/A</v>
        <stp/>
        <stp>BDH|3537649080060598860</stp>
        <tr r="R10" s="4"/>
        <tr r="Q6" s="16"/>
        <tr r="T6" s="3"/>
        <tr r="R6" s="11"/>
      </tp>
      <tp t="e">
        <v>#N/A</v>
        <stp/>
        <stp>BDH|5044210016874177749</stp>
        <tr r="N20" s="10"/>
      </tp>
      <tp t="e">
        <v>#N/A</v>
        <stp/>
        <stp>BDH|5293035852983731664</stp>
        <tr r="Q157" s="18"/>
      </tp>
      <tp t="e">
        <v>#N/A</v>
        <stp/>
        <stp>BDH|1693066872735924698</stp>
        <tr r="F43" s="22"/>
      </tp>
      <tp t="e">
        <v>#N/A</v>
        <stp/>
        <stp>BDH|5361436673352455153</stp>
        <tr r="Z16" s="18"/>
      </tp>
      <tp t="e">
        <v>#N/A</v>
        <stp/>
        <stp>BDH|1427647501315112722</stp>
        <tr r="J95" s="17"/>
        <tr r="J30" s="25"/>
      </tp>
      <tp t="e">
        <v>#N/A</v>
        <stp/>
        <stp>BDH|7063992852548169683</stp>
        <tr r="K21" s="12"/>
      </tp>
      <tp t="e">
        <v>#N/A</v>
        <stp/>
        <stp>BDH|7510872712452644947</stp>
        <tr r="S74" s="17"/>
      </tp>
      <tp t="e">
        <v>#N/A</v>
        <stp/>
        <stp>BDH|2885086133876411253</stp>
        <tr r="X17" s="12"/>
      </tp>
      <tp t="e">
        <v>#N/A</v>
        <stp/>
        <stp>BDH|5132476427242614451</stp>
        <tr r="R87" s="18"/>
      </tp>
      <tp t="e">
        <v>#N/A</v>
        <stp/>
        <stp>BDH|9960763488103332060</stp>
        <tr r="AA24" s="17"/>
      </tp>
      <tp t="e">
        <v>#N/A</v>
        <stp/>
        <stp>BDH|3286726407800722123</stp>
        <tr r="F45" s="4"/>
        <tr r="F30" s="10"/>
        <tr r="F24" s="11"/>
        <tr r="H30" s="13"/>
      </tp>
      <tp t="e">
        <v>#N/A</v>
        <stp/>
        <stp>BDH|4330377546160363634</stp>
        <tr r="E41" s="22"/>
      </tp>
      <tp t="e">
        <v>#N/A</v>
        <stp/>
        <stp>BDH|4015197536096404590</stp>
        <tr r="L61" s="21"/>
      </tp>
      <tp t="e">
        <v>#N/A</v>
        <stp/>
        <stp>BDH|6765885500139483293</stp>
        <tr r="E50" s="13"/>
      </tp>
      <tp t="e">
        <v>#N/A</v>
        <stp/>
        <stp>BDH|6364967831970129972</stp>
        <tr r="E43" s="18"/>
      </tp>
      <tp t="e">
        <v>#N/A</v>
        <stp/>
        <stp>BDH|4137798967348851855</stp>
        <tr r="C8" s="27"/>
      </tp>
      <tp t="e">
        <v>#N/A</v>
        <stp/>
        <stp>BDH|6683242563503103424</stp>
        <tr r="R82" s="17"/>
        <tr r="R19" s="3"/>
      </tp>
      <tp t="e">
        <v>#N/A</v>
        <stp/>
        <stp>BDH|9065847482809160555</stp>
        <tr r="C7" s="21"/>
      </tp>
      <tp t="e">
        <v>#N/A</v>
        <stp/>
        <stp>BDH|3882073302116762086</stp>
        <tr r="U137" s="18"/>
      </tp>
      <tp t="e">
        <v>#N/A</v>
        <stp/>
        <stp>BDH|5216027755070395545</stp>
        <tr r="G28" s="24"/>
      </tp>
      <tp t="e">
        <v>#N/A</v>
        <stp/>
        <stp>BDH|6681042041171048615</stp>
        <tr r="R73" s="12"/>
      </tp>
      <tp t="e">
        <v>#N/A</v>
        <stp/>
        <stp>BDH|1912437678377105018</stp>
        <tr r="S25" s="7"/>
      </tp>
      <tp t="e">
        <v>#N/A</v>
        <stp/>
        <stp>BDH|2268435803973459043</stp>
        <tr r="Q58" s="24"/>
      </tp>
      <tp t="e">
        <v>#N/A</v>
        <stp/>
        <stp>BDH|3049846683661386760</stp>
        <tr r="I46" s="17"/>
      </tp>
      <tp t="e">
        <v>#N/A</v>
        <stp/>
        <stp>BDH|5758106204829130804</stp>
        <tr r="W27" s="26"/>
        <tr r="T14" s="9"/>
      </tp>
      <tp t="e">
        <v>#N/A</v>
        <stp/>
        <stp>BDH|8739809299539877547</stp>
        <tr r="M7" s="28"/>
      </tp>
      <tp t="e">
        <v>#N/A</v>
        <stp/>
        <stp>BDH|8862857904075385086</stp>
        <tr r="F137" s="18"/>
      </tp>
      <tp t="e">
        <v>#N/A</v>
        <stp/>
        <stp>BDH|3804288613263702664</stp>
        <tr r="D70" s="18"/>
      </tp>
      <tp t="e">
        <v>#N/A</v>
        <stp/>
        <stp>BDH|1149059740365212541</stp>
        <tr r="U28" s="9"/>
      </tp>
      <tp t="e">
        <v>#N/A</v>
        <stp/>
        <stp>BDH|6697189973783877661</stp>
        <tr r="P26" s="24"/>
      </tp>
      <tp t="e">
        <v>#N/A</v>
        <stp/>
        <stp>BDH|1618011527517172123</stp>
        <tr r="J43" s="17"/>
      </tp>
      <tp t="e">
        <v>#N/A</v>
        <stp/>
        <stp>BDH|3702766908523326290</stp>
        <tr r="L22" s="12"/>
      </tp>
      <tp t="e">
        <v>#N/A</v>
        <stp/>
        <stp>BDH|9634327174149429176</stp>
        <tr r="M25" s="21"/>
      </tp>
      <tp t="e">
        <v>#N/A</v>
        <stp/>
        <stp>BDH|4544399526942141283</stp>
        <tr r="Q152" s="18"/>
      </tp>
      <tp t="e">
        <v>#N/A</v>
        <stp/>
        <stp>BDH|1531509204816084729</stp>
        <tr r="N16" s="2"/>
        <tr r="N32" s="4"/>
        <tr r="N61" s="10"/>
        <tr r="P19" s="13"/>
      </tp>
      <tp t="e">
        <v>#N/A</v>
        <stp/>
        <stp>BDH|7959110518966666459</stp>
        <tr r="N55" s="17"/>
      </tp>
      <tp t="e">
        <v>#N/A</v>
        <stp/>
        <stp>BDH|7985732644972903341</stp>
        <tr r="L6" s="27"/>
      </tp>
      <tp t="e">
        <v>#N/A</v>
        <stp/>
        <stp>BDH|3216819887296506028</stp>
        <tr r="T64" s="12"/>
      </tp>
      <tp t="e">
        <v>#N/A</v>
        <stp/>
        <stp>BDH|2004153864074619440</stp>
        <tr r="W7" s="11"/>
      </tp>
      <tp t="e">
        <v>#N/A</v>
        <stp/>
        <stp>BDH|2145602711577209711</stp>
        <tr r="J7" s="34"/>
      </tp>
      <tp t="e">
        <v>#N/A</v>
        <stp/>
        <stp>BDH|7252209127107303558</stp>
        <tr r="C27" s="10"/>
        <tr r="E32" s="13"/>
      </tp>
      <tp t="e">
        <v>#N/A</v>
        <stp/>
        <stp>BDH|9126362438828949459</stp>
        <tr r="M63" s="10"/>
      </tp>
      <tp t="e">
        <v>#N/A</v>
        <stp/>
        <stp>BDH|3876628458251405459</stp>
        <tr r="P41" s="21"/>
      </tp>
      <tp t="e">
        <v>#N/A</v>
        <stp/>
        <stp>BDH|2362295008154518147</stp>
        <tr r="G22" s="30"/>
        <tr r="G25" s="23"/>
      </tp>
      <tp t="e">
        <v>#N/A</v>
        <stp/>
        <stp>BDH|4611543215955389077</stp>
        <tr r="C7" s="24"/>
      </tp>
      <tp t="e">
        <v>#N/A</v>
        <stp/>
        <stp>BDH|8403600281105074661</stp>
        <tr r="M158" s="18"/>
      </tp>
      <tp t="e">
        <v>#N/A</v>
        <stp/>
        <stp>BDH|3241557734212745273</stp>
        <tr r="K31" s="12"/>
      </tp>
      <tp t="e">
        <v>#N/A</v>
        <stp/>
        <stp>BDH|7785134993973145958</stp>
        <tr r="G6" s="15"/>
        <tr r="G12" s="2"/>
        <tr r="G11" s="4"/>
        <tr r="G6" s="10"/>
      </tp>
      <tp t="e">
        <v>#N/A</v>
        <stp/>
        <stp>BDH|9457930944796331739</stp>
        <tr r="U33" s="6"/>
        <tr r="W9" s="8"/>
      </tp>
      <tp t="e">
        <v>#N/A</v>
        <stp/>
        <stp>BDH|4547238116973490174</stp>
        <tr r="Z79" s="12"/>
      </tp>
      <tp t="e">
        <v>#N/A</v>
        <stp/>
        <stp>BDH|3086123264289141846</stp>
        <tr r="L8" s="22"/>
      </tp>
      <tp t="e">
        <v>#N/A</v>
        <stp/>
        <stp>BDH|6369439296049522706</stp>
        <tr r="N45" s="18"/>
      </tp>
      <tp t="e">
        <v>#N/A</v>
        <stp/>
        <stp>BDH|9549687536800803900</stp>
        <tr r="K70" s="18"/>
      </tp>
      <tp t="e">
        <v>#N/A</v>
        <stp/>
        <stp>BDH|1743461502198565859</stp>
        <tr r="I11" s="9"/>
      </tp>
      <tp t="e">
        <v>#N/A</v>
        <stp/>
        <stp>BDH|6785034609282677183</stp>
        <tr r="P23" s="18"/>
      </tp>
      <tp t="e">
        <v>#N/A</v>
        <stp/>
        <stp>BDH|9033860455727905699</stp>
        <tr r="E13" s="14"/>
      </tp>
      <tp t="e">
        <v>#N/A</v>
        <stp/>
        <stp>BDH|3493111432155570113</stp>
        <tr r="J7" s="4"/>
      </tp>
      <tp t="e">
        <v>#N/A</v>
        <stp/>
        <stp>BDH|6791065102463327036</stp>
        <tr r="H87" s="17"/>
        <tr r="H20" s="3"/>
        <tr r="F6" s="7"/>
      </tp>
      <tp t="e">
        <v>#N/A</v>
        <stp/>
        <stp>BDH|1914718261413873625</stp>
        <tr r="F8" s="27"/>
      </tp>
      <tp t="e">
        <v>#N/A</v>
        <stp/>
        <stp>BDH|6328816122801259816</stp>
        <tr r="I77" s="12"/>
      </tp>
      <tp t="e">
        <v>#N/A</v>
        <stp/>
        <stp>BDH|2898017112703031585</stp>
        <tr r="G63" s="18"/>
      </tp>
      <tp t="e">
        <v>#N/A</v>
        <stp/>
        <stp>BDH|8676909107336643247</stp>
        <tr r="U13" s="11"/>
      </tp>
      <tp t="e">
        <v>#N/A</v>
        <stp/>
        <stp>BDH|6205577938374729198</stp>
        <tr r="C33" s="12"/>
      </tp>
      <tp t="e">
        <v>#N/A</v>
        <stp/>
        <stp>BDH|7324397195909754188</stp>
        <tr r="M22" s="24"/>
      </tp>
      <tp t="e">
        <v>#N/A</v>
        <stp/>
        <stp>BDH|8275172589331432584</stp>
        <tr r="X33" s="26"/>
      </tp>
      <tp t="e">
        <v>#N/A</v>
        <stp/>
        <stp>BDH|9249123805508778524</stp>
        <tr r="AA42" s="17"/>
      </tp>
      <tp t="e">
        <v>#N/A</v>
        <stp/>
        <stp>BDH|6448343030103819087</stp>
        <tr r="U52" s="10"/>
        <tr r="U46" s="11"/>
        <tr r="U16" s="7"/>
      </tp>
      <tp t="e">
        <v>#N/A</v>
        <stp/>
        <stp>BDH|8192216263851754842</stp>
        <tr r="X162" s="18"/>
      </tp>
      <tp t="e">
        <v>#N/A</v>
        <stp/>
        <stp>BDH|9140863717016057302</stp>
        <tr r="Q90" s="17"/>
      </tp>
      <tp t="e">
        <v>#N/A</v>
        <stp/>
        <stp>BDH|9321000346358165047</stp>
        <tr r="R25" s="6"/>
      </tp>
      <tp t="e">
        <v>#N/A</v>
        <stp/>
        <stp>BDH|3299992414209611798</stp>
        <tr r="C53" s="18"/>
      </tp>
      <tp t="e">
        <v>#N/A</v>
        <stp/>
        <stp>BDH|7198028531641400067</stp>
        <tr r="J28" s="12"/>
      </tp>
      <tp t="e">
        <v>#N/A</v>
        <stp/>
        <stp>BDH|1614712402714345763</stp>
        <tr r="Y45" s="21"/>
      </tp>
      <tp t="e">
        <v>#N/A</v>
        <stp/>
        <stp>BDH|6490939582706151441</stp>
        <tr r="L107" s="18"/>
        <tr r="J7" s="20"/>
      </tp>
      <tp t="e">
        <v>#N/A</v>
        <stp/>
        <stp>BDH|2460853393733326513</stp>
        <tr r="C36" s="22"/>
      </tp>
      <tp t="e">
        <v>#N/A</v>
        <stp/>
        <stp>BDH|1861140799099575502</stp>
        <tr r="D21" s="30"/>
        <tr r="D24" s="23"/>
      </tp>
      <tp t="e">
        <v>#N/A</v>
        <stp/>
        <stp>BDH|7744369362920250713</stp>
        <tr r="V8" s="14"/>
      </tp>
      <tp t="e">
        <v>#N/A</v>
        <stp/>
        <stp>BDH|7031052549190559690</stp>
        <tr r="R51" s="18"/>
      </tp>
      <tp t="e">
        <v>#N/A</v>
        <stp/>
        <stp>BDH|6204137125308737832</stp>
        <tr r="O22" s="17"/>
      </tp>
      <tp t="e">
        <v>#N/A</v>
        <stp/>
        <stp>BDH|9044826445779104960</stp>
        <tr r="O141" s="18"/>
      </tp>
      <tp t="e">
        <v>#N/A</v>
        <stp/>
        <stp>BDH|7196426606044338269</stp>
        <tr r="O37" s="12"/>
      </tp>
      <tp t="e">
        <v>#N/A</v>
        <stp/>
        <stp>BDH|7152630151713678250</stp>
        <tr r="F9" s="27"/>
      </tp>
      <tp t="e">
        <v>#N/A</v>
        <stp/>
        <stp>BDH|8969502739349500252</stp>
        <tr r="R13" s="10"/>
      </tp>
      <tp t="e">
        <v>#N/A</v>
        <stp/>
        <stp>BDH|1464709605800167305</stp>
        <tr r="T116" s="18"/>
      </tp>
      <tp t="e">
        <v>#N/A</v>
        <stp/>
        <stp>BDH|2300210953406400650</stp>
        <tr r="N63" s="12"/>
      </tp>
      <tp t="e">
        <v>#N/A</v>
        <stp/>
        <stp>BDH|4022089819942138206</stp>
        <tr r="I24" s="21"/>
      </tp>
      <tp t="e">
        <v>#N/A</v>
        <stp/>
        <stp>BDH|6668832188337483498</stp>
        <tr r="O82" s="18"/>
      </tp>
      <tp t="e">
        <v>#N/A</v>
        <stp/>
        <stp>BDH|2138551437204757542</stp>
        <tr r="W109" s="18"/>
        <tr r="U9" s="20"/>
      </tp>
      <tp t="e">
        <v>#N/A</v>
        <stp/>
        <stp>BDH|2678293987078163594</stp>
        <tr r="S58" s="17"/>
      </tp>
      <tp t="e">
        <v>#N/A</v>
        <stp/>
        <stp>BDH|1706573617734265454</stp>
        <tr r="C10" s="23"/>
      </tp>
      <tp t="e">
        <v>#N/A</v>
        <stp/>
        <stp>BDH|1727008779935902675</stp>
        <tr r="G16" s="21"/>
      </tp>
      <tp t="e">
        <v>#N/A</v>
        <stp/>
        <stp>BDH|5208919982959306826</stp>
        <tr r="H9" s="18"/>
      </tp>
      <tp t="e">
        <v>#N/A</v>
        <stp/>
        <stp>BDH|2662580549456651011</stp>
        <tr r="Y7" s="14"/>
      </tp>
      <tp t="e">
        <v>#N/A</v>
        <stp/>
        <stp>BDH|4755501846472743262</stp>
        <tr r="I26" s="21"/>
      </tp>
      <tp t="e">
        <v>#N/A</v>
        <stp/>
        <stp>BDH|3217604345913367743</stp>
        <tr r="W9" s="21"/>
      </tp>
      <tp t="e">
        <v>#N/A</v>
        <stp/>
        <stp>BDH|3717201847750166018</stp>
        <tr r="X164" s="18"/>
      </tp>
      <tp t="e">
        <v>#N/A</v>
        <stp/>
        <stp>BDH|3027580471900107483</stp>
        <tr r="D10" s="22"/>
      </tp>
      <tp t="e">
        <v>#N/A</v>
        <stp/>
        <stp>BDH|7544392719909433914</stp>
        <tr r="X30" s="24"/>
      </tp>
      <tp t="e">
        <v>#N/A</v>
        <stp/>
        <stp>BDH|7633776756989163962</stp>
        <tr r="O14" s="6"/>
      </tp>
      <tp t="e">
        <v>#N/A</v>
        <stp/>
        <stp>BDH|4164323020349752948</stp>
        <tr r="Z9" s="28"/>
      </tp>
      <tp t="e">
        <v>#N/A</v>
        <stp/>
        <stp>BDH|9739381536814070896</stp>
        <tr r="N20" s="6"/>
      </tp>
      <tp t="e">
        <v>#N/A</v>
        <stp/>
        <stp>BDH|9891178357791083985</stp>
        <tr r="F25" s="6"/>
      </tp>
      <tp t="e">
        <v>#N/A</v>
        <stp/>
        <stp>BDH|3538739105265044437</stp>
        <tr r="Q28" s="9"/>
      </tp>
      <tp t="e">
        <v>#N/A</v>
        <stp/>
        <stp>BDH|4159206406810148365</stp>
        <tr r="X38" s="6"/>
      </tp>
      <tp t="e">
        <v>#N/A</v>
        <stp/>
        <stp>BDH|4633548544747572731</stp>
        <tr r="M22" s="26"/>
      </tp>
      <tp t="e">
        <v>#N/A</v>
        <stp/>
        <stp>BDH|8233934456432098370</stp>
        <tr r="C70" s="10"/>
        <tr r="C64" s="11"/>
      </tp>
      <tp t="e">
        <v>#N/A</v>
        <stp/>
        <stp>BDH|4517565867823650123</stp>
        <tr r="S24" s="13"/>
      </tp>
      <tp t="e">
        <v>#N/A</v>
        <stp/>
        <stp>BDH|3673936264868055111</stp>
        <tr r="P44" s="17"/>
      </tp>
      <tp t="e">
        <v>#N/A</v>
        <stp/>
        <stp>BDH|5971652515963136483</stp>
        <tr r="W14" s="26"/>
      </tp>
      <tp t="e">
        <v>#N/A</v>
        <stp/>
        <stp>BDH|9211877543364585431</stp>
        <tr r="R13" s="12"/>
      </tp>
      <tp t="e">
        <v>#N/A</v>
        <stp/>
        <stp>BDH|6939235627662589184</stp>
        <tr r="T108" s="18"/>
        <tr r="R8" s="20"/>
      </tp>
      <tp t="e">
        <v>#N/A</v>
        <stp/>
        <stp>BDH|4653315526193194304</stp>
        <tr r="M29" s="24"/>
      </tp>
      <tp t="e">
        <v>#N/A</v>
        <stp/>
        <stp>BDH|2830069536332807606</stp>
        <tr r="M144" s="18"/>
      </tp>
      <tp t="e">
        <v>#N/A</v>
        <stp/>
        <stp>BDH|9575388077621205986</stp>
        <tr r="T23" s="25"/>
        <tr r="T13" s="27"/>
      </tp>
      <tp t="e">
        <v>#N/A</v>
        <stp/>
        <stp>BDH|8495839225711385611</stp>
        <tr r="W27" s="7"/>
      </tp>
      <tp t="e">
        <v>#N/A</v>
        <stp/>
        <stp>BDH|6113451765692193301</stp>
        <tr r="O14" s="30"/>
      </tp>
      <tp t="e">
        <v>#N/A</v>
        <stp/>
        <stp>BDH|7440160246721627630</stp>
        <tr r="O68" s="18"/>
      </tp>
      <tp t="e">
        <v>#N/A</v>
        <stp/>
        <stp>BDH|6445177198619276283</stp>
        <tr r="T71" s="17"/>
      </tp>
      <tp t="e">
        <v>#N/A</v>
        <stp/>
        <stp>BDH|1678503271952193475</stp>
        <tr r="Q70" s="17"/>
      </tp>
      <tp t="e">
        <v>#N/A</v>
        <stp/>
        <stp>BDH|2996795996319782006</stp>
        <tr r="F30" s="26"/>
      </tp>
      <tp t="e">
        <v>#N/A</v>
        <stp/>
        <stp>BDH|8678211983284714324</stp>
        <tr r="J38" s="6"/>
      </tp>
      <tp t="e">
        <v>#N/A</v>
        <stp/>
        <stp>BDH|7170385008589876881</stp>
        <tr r="Z22" s="25"/>
        <tr r="Z12" s="27"/>
      </tp>
      <tp t="e">
        <v>#N/A</v>
        <stp/>
        <stp>BDH|4023507854630402112</stp>
        <tr r="E21" s="5"/>
      </tp>
      <tp t="e">
        <v>#N/A</v>
        <stp/>
        <stp>BDH|4365237266530134567</stp>
        <tr r="E63" s="18"/>
      </tp>
      <tp t="e">
        <v>#N/A</v>
        <stp/>
        <stp>BDH|6616417230602288648</stp>
        <tr r="K25" s="7"/>
      </tp>
      <tp t="e">
        <v>#N/A</v>
        <stp/>
        <stp>BDH|9388627334778705138</stp>
        <tr r="H76" s="17"/>
      </tp>
      <tp t="e">
        <v>#N/A</v>
        <stp/>
        <stp>BDH|5043442770216406517</stp>
        <tr r="G10" s="28"/>
      </tp>
      <tp t="e">
        <v>#N/A</v>
        <stp/>
        <stp>BDH|1128220424873493720</stp>
        <tr r="X33" s="12"/>
      </tp>
      <tp t="e">
        <v>#N/A</v>
        <stp/>
        <stp>BDH|4760270114307416516</stp>
        <tr r="S48" s="17"/>
      </tp>
      <tp t="e">
        <v>#N/A</v>
        <stp/>
        <stp>BDH|5966685877092580329</stp>
        <tr r="R32" s="17"/>
      </tp>
      <tp t="e">
        <v>#N/A</v>
        <stp/>
        <stp>BDH|6627546306541150746</stp>
        <tr r="I18" s="22"/>
      </tp>
      <tp t="e">
        <v>#N/A</v>
        <stp/>
        <stp>BDH|5508066775054756306</stp>
        <tr r="Q29" s="24"/>
      </tp>
      <tp t="e">
        <v>#N/A</v>
        <stp/>
        <stp>BDH|5692214413172207178</stp>
        <tr r="C14" s="30"/>
      </tp>
      <tp t="e">
        <v>#N/A</v>
        <stp/>
        <stp>BDH|8045501518778848112</stp>
        <tr r="R42" s="17"/>
      </tp>
      <tp t="e">
        <v>#N/A</v>
        <stp/>
        <stp>BDH|7640098946946068084</stp>
        <tr r="J68" s="10"/>
      </tp>
      <tp t="e">
        <v>#N/A</v>
        <stp/>
        <stp>BDH|6168725902074110015</stp>
        <tr r="C111" s="18"/>
      </tp>
      <tp t="e">
        <v>#N/A</v>
        <stp/>
        <stp>BDH|7609882395465950634</stp>
        <tr r="AA78" s="18"/>
      </tp>
      <tp t="e">
        <v>#N/A</v>
        <stp/>
        <stp>BDH|1604309627387594254</stp>
        <tr r="K50" s="17"/>
      </tp>
      <tp t="e">
        <v>#N/A</v>
        <stp/>
        <stp>BDH|3322140434117220307</stp>
        <tr r="L103" s="18"/>
      </tp>
      <tp t="e">
        <v>#N/A</v>
        <stp/>
        <stp>BDH|3216645500596376640</stp>
        <tr r="Y77" s="12"/>
      </tp>
      <tp t="e">
        <v>#N/A</v>
        <stp/>
        <stp>BDH|2103197173488270982</stp>
        <tr r="S27" s="7"/>
      </tp>
      <tp t="e">
        <v>#N/A</v>
        <stp/>
        <stp>BDH|5591453480785496952</stp>
        <tr r="K6" s="28"/>
      </tp>
      <tp t="e">
        <v>#N/A</v>
        <stp/>
        <stp>BDH|2517966292947025005</stp>
        <tr r="K49" s="4"/>
      </tp>
      <tp t="e">
        <v>#N/A</v>
        <stp/>
        <stp>BDH|1297764205456540554</stp>
        <tr r="D37" s="24"/>
      </tp>
      <tp t="e">
        <v>#N/A</v>
        <stp/>
        <stp>BDH|5323861749214494891</stp>
        <tr r="S31" s="21"/>
      </tp>
      <tp t="e">
        <v>#N/A</v>
        <stp/>
        <stp>BDH|3699318127730985787</stp>
        <tr r="G168" s="18"/>
      </tp>
      <tp t="e">
        <v>#N/A</v>
        <stp/>
        <stp>BDH|4748239539648451886</stp>
        <tr r="T78" s="17"/>
      </tp>
      <tp t="e">
        <v>#N/A</v>
        <stp/>
        <stp>BDH|6222253222574382777</stp>
        <tr r="X14" s="11"/>
      </tp>
      <tp t="e">
        <v>#N/A</v>
        <stp/>
        <stp>BDH|3320919406207774825</stp>
        <tr r="Q16" s="14"/>
      </tp>
      <tp t="e">
        <v>#N/A</v>
        <stp/>
        <stp>BDH|3322979495260702672</stp>
        <tr r="W40" s="29"/>
      </tp>
      <tp t="e">
        <v>#N/A</v>
        <stp/>
        <stp>BDH|1763540077180747628</stp>
        <tr r="Y21" s="4"/>
      </tp>
      <tp t="e">
        <v>#N/A</v>
        <stp/>
        <stp>BDH|4658126135093915098</stp>
        <tr r="N39" s="34"/>
      </tp>
      <tp t="e">
        <v>#N/A</v>
        <stp/>
        <stp>BDH|1906498015911031048</stp>
        <tr r="C16" s="26"/>
      </tp>
      <tp t="e">
        <v>#N/A</v>
        <stp/>
        <stp>BDH|5273849999034906574</stp>
        <tr r="K59" s="12"/>
      </tp>
      <tp t="e">
        <v>#N/A</v>
        <stp/>
        <stp>BDH|2139202157653454338</stp>
        <tr r="X8" s="24"/>
      </tp>
      <tp t="e">
        <v>#N/A</v>
        <stp/>
        <stp>BDH|3180273386725800991</stp>
        <tr r="W11" s="21"/>
      </tp>
      <tp t="e">
        <v>#N/A</v>
        <stp/>
        <stp>BDH|4786131156523064637</stp>
        <tr r="D66" s="24"/>
      </tp>
      <tp t="e">
        <v>#N/A</v>
        <stp/>
        <stp>BDH|2371441070197738318</stp>
        <tr r="G68" s="24"/>
      </tp>
      <tp t="e">
        <v>#N/A</v>
        <stp/>
        <stp>BDH|6327161946547396113</stp>
        <tr r="N29" s="10"/>
        <tr r="P34" s="13"/>
      </tp>
      <tp t="e">
        <v>#N/A</v>
        <stp/>
        <stp>BDH|3446278843503639375</stp>
        <tr r="K90" s="18"/>
      </tp>
      <tp t="e">
        <v>#N/A</v>
        <stp/>
        <stp>BDH|3807511605410483392</stp>
        <tr r="T70" s="18"/>
      </tp>
      <tp t="e">
        <v>#N/A</v>
        <stp/>
        <stp>BDH|6216750690978739514</stp>
        <tr r="G60" s="24"/>
      </tp>
      <tp t="e">
        <v>#N/A</v>
        <stp/>
        <stp>BDH|8489662234010449830</stp>
        <tr r="M33" s="10"/>
        <tr r="M27" s="11"/>
      </tp>
      <tp t="e">
        <v>#N/A</v>
        <stp/>
        <stp>BDH|6273852265658449579</stp>
        <tr r="V70" s="12"/>
      </tp>
      <tp t="e">
        <v>#N/A</v>
        <stp/>
        <stp>BDH|8479990019912323762</stp>
        <tr r="E48" s="12"/>
      </tp>
      <tp t="e">
        <v>#N/A</v>
        <stp/>
        <stp>BDH|7044410076373511247</stp>
        <tr r="E40" s="18"/>
      </tp>
      <tp t="e">
        <v>#N/A</v>
        <stp/>
        <stp>BDH|5987578128924617369</stp>
        <tr r="Q62" s="11"/>
      </tp>
      <tp t="e">
        <v>#N/A</v>
        <stp/>
        <stp>BDH|6656218846837339246</stp>
        <tr r="G72" s="12"/>
      </tp>
      <tp t="e">
        <v>#N/A</v>
        <stp/>
        <stp>BDH|2761605176217634112</stp>
        <tr r="S22" s="30"/>
        <tr r="S25" s="23"/>
      </tp>
      <tp t="e">
        <v>#N/A</v>
        <stp/>
        <stp>BDH|1878785354127431160</stp>
        <tr r="T56" s="17"/>
        <tr r="T17" s="3"/>
      </tp>
      <tp t="e">
        <v>#N/A</v>
        <stp/>
        <stp>BDH|7643356422641457232</stp>
        <tr r="M16" s="24"/>
      </tp>
      <tp t="e">
        <v>#N/A</v>
        <stp/>
        <stp>BDH|8250936068036857474</stp>
        <tr r="Y47" s="24"/>
      </tp>
      <tp t="e">
        <v>#N/A</v>
        <stp/>
        <stp>BDH|4678647175275476557</stp>
        <tr r="K87" s="17"/>
        <tr r="K20" s="3"/>
        <tr r="I6" s="7"/>
      </tp>
      <tp t="e">
        <v>#N/A</v>
        <stp/>
        <stp>BDH|4818681769474723584</stp>
        <tr r="D21" s="12"/>
      </tp>
      <tp t="e">
        <v>#N/A</v>
        <stp/>
        <stp>BDH|1858335078412724223</stp>
        <tr r="U46" s="10"/>
        <tr r="U40" s="11"/>
      </tp>
      <tp t="e">
        <v>#N/A</v>
        <stp/>
        <stp>BDH|1165162202393116623</stp>
        <tr r="S68" s="24"/>
      </tp>
      <tp t="e">
        <v>#N/A</v>
        <stp/>
        <stp>BDH|3634143702464587338</stp>
        <tr r="K22" s="5"/>
      </tp>
      <tp t="e">
        <v>#N/A</v>
        <stp/>
        <stp>BDH|8466666997542500061</stp>
        <tr r="C10" s="22"/>
      </tp>
      <tp t="e">
        <v>#N/A</v>
        <stp/>
        <stp>BDH|2789206851035815588</stp>
        <tr r="D16" s="13"/>
        <tr r="D27" s="13"/>
      </tp>
      <tp t="e">
        <v>#N/A</v>
        <stp/>
        <stp>BDH|3678836323389422546</stp>
        <tr r="J38" s="10"/>
        <tr r="J32" s="11"/>
      </tp>
      <tp t="e">
        <v>#N/A</v>
        <stp/>
        <stp>BDH|4115657963376419752</stp>
        <tr r="W44" s="13"/>
      </tp>
      <tp t="e">
        <v>#N/A</v>
        <stp/>
        <stp>BDH|2358335105473425770</stp>
        <tr r="G26" s="12"/>
      </tp>
      <tp t="e">
        <v>#N/A</v>
        <stp/>
        <stp>BDH|2584907873368017104</stp>
        <tr r="E35" s="25"/>
        <tr r="E7" s="3"/>
        <tr r="C18" s="11"/>
        <tr r="E22" s="13"/>
        <tr r="E7" s="13"/>
      </tp>
      <tp t="e">
        <v>#N/A</v>
        <stp/>
        <stp>BDH|1300084793484690980</stp>
        <tr r="E20" s="23"/>
      </tp>
      <tp t="e">
        <v>#N/A</v>
        <stp/>
        <stp>BDH|9172324290335403318</stp>
        <tr r="H32" s="22"/>
      </tp>
      <tp t="e">
        <v>#N/A</v>
        <stp/>
        <stp>BDH|8473784563519076599</stp>
        <tr r="O89" s="17"/>
      </tp>
      <tp t="e">
        <v>#N/A</v>
        <stp/>
        <stp>BDH|5745086599851639861</stp>
        <tr r="O96" s="17"/>
      </tp>
      <tp t="e">
        <v>#N/A</v>
        <stp/>
        <stp>BDH|4102698868743211246</stp>
        <tr r="F6" s="2"/>
        <tr r="E6" s="5"/>
        <tr r="E6" s="9"/>
        <tr r="G12" s="8"/>
        <tr r="H10" s="29"/>
        <tr r="H19" s="29"/>
        <tr r="H25" s="29"/>
      </tp>
      <tp t="e">
        <v>#N/A</v>
        <stp/>
        <stp>BDH|2747261712940217476</stp>
        <tr r="F61" s="21"/>
      </tp>
      <tp t="e">
        <v>#N/A</v>
        <stp/>
        <stp>BDH|8131069874282449817</stp>
        <tr r="W26" s="29"/>
      </tp>
      <tp t="e">
        <v>#N/A</v>
        <stp/>
        <stp>BDH|5132373456846252047</stp>
        <tr r="G31" s="17"/>
      </tp>
      <tp t="e">
        <v>#N/A</v>
        <stp/>
        <stp>BDH|4290471551594502477</stp>
        <tr r="T9" s="28"/>
      </tp>
      <tp t="e">
        <v>#N/A</v>
        <stp/>
        <stp>BDH|1126649376515310062</stp>
        <tr r="X46" s="4"/>
        <tr r="X24" s="10"/>
        <tr r="Z35" s="13"/>
      </tp>
      <tp t="e">
        <v>#N/A</v>
        <stp/>
        <stp>BDH|2584025229190039582</stp>
        <tr r="Y16" s="26"/>
      </tp>
      <tp t="e">
        <v>#N/A</v>
        <stp/>
        <stp>BDH|5123439955385639476</stp>
        <tr r="AA51" s="17"/>
      </tp>
      <tp t="e">
        <v>#N/A</v>
        <stp/>
        <stp>BDH|9549870954476095705</stp>
        <tr r="H70" s="24"/>
      </tp>
      <tp t="e">
        <v>#N/A</v>
        <stp/>
        <stp>BDH|4781618611270056618</stp>
        <tr r="S120" s="18"/>
      </tp>
      <tp t="e">
        <v>#N/A</v>
        <stp/>
        <stp>BDH|6361654083624093932</stp>
        <tr r="D25" s="18"/>
      </tp>
      <tp t="e">
        <v>#N/A</v>
        <stp/>
        <stp>BDH|7024460428941074583</stp>
        <tr r="E35" s="21"/>
      </tp>
      <tp t="e">
        <v>#N/A</v>
        <stp/>
        <stp>BDH|5651529355362096279</stp>
        <tr r="S37" s="10"/>
        <tr r="S31" s="11"/>
        <tr r="U40" s="13"/>
      </tp>
      <tp t="e">
        <v>#N/A</v>
        <stp/>
        <stp>BDH|4988593117834744168</stp>
        <tr r="N28" s="10"/>
        <tr r="P33" s="13"/>
      </tp>
      <tp t="e">
        <v>#N/A</v>
        <stp/>
        <stp>BDH|2898766047734643092</stp>
        <tr r="H13" s="9"/>
      </tp>
      <tp t="e">
        <v>#N/A</v>
        <stp/>
        <stp>BDH|4435572555156140705</stp>
        <tr r="AA22" s="22"/>
      </tp>
      <tp t="e">
        <v>#N/A</v>
        <stp/>
        <stp>BDH|7351916757686653840</stp>
        <tr r="Q103" s="18"/>
      </tp>
      <tp t="e">
        <v>#N/A</v>
        <stp/>
        <stp>BDH|1233740202117764447</stp>
        <tr r="C12" s="22"/>
      </tp>
      <tp t="e">
        <v>#N/A</v>
        <stp/>
        <stp>BDH|5401355534317110734</stp>
        <tr r="W49" s="12"/>
      </tp>
      <tp t="e">
        <v>#N/A</v>
        <stp/>
        <stp>BDH|1747513504940441119</stp>
        <tr r="C25" s="34"/>
      </tp>
      <tp t="e">
        <v>#N/A</v>
        <stp/>
        <stp>BDH|7327820397896900589</stp>
        <tr r="O47" s="24"/>
      </tp>
      <tp t="e">
        <v>#N/A</v>
        <stp/>
        <stp>BDH|5010423506496166223</stp>
        <tr r="Z66" s="21"/>
      </tp>
      <tp t="e">
        <v>#N/A</v>
        <stp/>
        <stp>BDH|3820273347208908861</stp>
        <tr r="W25" s="17"/>
      </tp>
      <tp t="e">
        <v>#N/A</v>
        <stp/>
        <stp>BDH|2261060197657610924</stp>
        <tr r="J141" s="18"/>
      </tp>
      <tp t="e">
        <v>#N/A</v>
        <stp/>
        <stp>BDH|7197066314162732138</stp>
        <tr r="S47" s="21"/>
      </tp>
      <tp t="e">
        <v>#N/A</v>
        <stp/>
        <stp>BDH|1844767029152033304</stp>
        <tr r="H18" s="10"/>
        <tr r="J16" s="13"/>
        <tr r="J27" s="13"/>
      </tp>
      <tp t="e">
        <v>#N/A</v>
        <stp/>
        <stp>BDH|2076907824055364903</stp>
        <tr r="N23" s="11"/>
      </tp>
      <tp t="e">
        <v>#N/A</v>
        <stp/>
        <stp>BDH|9204838947871900185</stp>
        <tr r="T28" s="24"/>
      </tp>
      <tp t="e">
        <v>#N/A</v>
        <stp/>
        <stp>BDH|2093163617945238244</stp>
        <tr r="V40" s="17"/>
      </tp>
      <tp t="e">
        <v>#N/A</v>
        <stp/>
        <stp>BDH|3550142989368775787</stp>
        <tr r="J63" s="17"/>
      </tp>
      <tp t="e">
        <v>#N/A</v>
        <stp/>
        <stp>BDH|6564756635805359219</stp>
        <tr r="O55" s="12"/>
      </tp>
      <tp t="e">
        <v>#N/A</v>
        <stp/>
        <stp>BDH|6084220066874722344</stp>
        <tr r="T67" s="10"/>
      </tp>
      <tp t="e">
        <v>#N/A</v>
        <stp/>
        <stp>BDH|4633508725950673623</stp>
        <tr r="V21" s="5"/>
      </tp>
      <tp t="e">
        <v>#N/A</v>
        <stp/>
        <stp>BDH|9686853173367087479</stp>
        <tr r="E21" s="17"/>
      </tp>
      <tp t="e">
        <v>#N/A</v>
        <stp/>
        <stp>BDH|1695037213606330322</stp>
        <tr r="F65" s="18"/>
      </tp>
      <tp t="e">
        <v>#N/A</v>
        <stp/>
        <stp>BDH|5398071373930618769</stp>
        <tr r="L164" s="18"/>
      </tp>
      <tp t="e">
        <v>#N/A</v>
        <stp/>
        <stp>BDH|7513903028128830129</stp>
        <tr r="E24" s="20"/>
      </tp>
      <tp t="e">
        <v>#N/A</v>
        <stp/>
        <stp>BDH|1634103706111000478</stp>
        <tr r="T26" s="18"/>
      </tp>
      <tp t="e">
        <v>#N/A</v>
        <stp/>
        <stp>BDH|3121596089563522838</stp>
        <tr r="J9" s="18"/>
      </tp>
      <tp t="e">
        <v>#N/A</v>
        <stp/>
        <stp>BDH|8038806366971371220</stp>
        <tr r="X13" s="29"/>
        <tr r="X22" s="29"/>
        <tr r="X33" s="29"/>
      </tp>
      <tp t="e">
        <v>#N/A</v>
        <stp/>
        <stp>BDH|2958518487833164998</stp>
        <tr r="V19" s="24"/>
      </tp>
      <tp t="e">
        <v>#N/A</v>
        <stp/>
        <stp>BDH|4371800588162947358</stp>
        <tr r="S16" s="12"/>
      </tp>
      <tp t="e">
        <v>#N/A</v>
        <stp/>
        <stp>BDH|9794317239045817905</stp>
        <tr r="O124" s="18"/>
      </tp>
      <tp t="e">
        <v>#N/A</v>
        <stp/>
        <stp>BDH|5096015266874563258</stp>
        <tr r="L54" s="18"/>
      </tp>
      <tp t="e">
        <v>#N/A</v>
        <stp/>
        <stp>BDH|8552285618716458868</stp>
        <tr r="V28" s="25"/>
        <tr r="V18" s="27"/>
      </tp>
      <tp t="e">
        <v>#N/A</v>
        <stp/>
        <stp>BDH|4531646160671589031</stp>
        <tr r="D19" s="24"/>
      </tp>
      <tp t="e">
        <v>#N/A</v>
        <stp/>
        <stp>BDH|5188861207488002070</stp>
        <tr r="O43" s="17"/>
      </tp>
      <tp t="e">
        <v>#N/A</v>
        <stp/>
        <stp>BDH|1718909071412438852</stp>
        <tr r="Y33" s="22"/>
      </tp>
      <tp t="e">
        <v>#N/A</v>
        <stp/>
        <stp>BDH|1234828096073541642</stp>
        <tr r="U63" s="17"/>
      </tp>
      <tp t="e">
        <v>#N/A</v>
        <stp/>
        <stp>BDH|7994215861873901579</stp>
        <tr r="T87" s="18"/>
      </tp>
      <tp t="e">
        <v>#N/A</v>
        <stp/>
        <stp>BDH|7776429763016740666</stp>
        <tr r="P65" s="12"/>
      </tp>
      <tp t="e">
        <v>#N/A</v>
        <stp/>
        <stp>BDH|4185023012197265740</stp>
        <tr r="J16" s="10"/>
      </tp>
      <tp t="e">
        <v>#N/A</v>
        <stp/>
        <stp>BDH|4350750638881924403</stp>
        <tr r="D77" s="17"/>
      </tp>
      <tp t="e">
        <v>#N/A</v>
        <stp/>
        <stp>BDH|5686154014202395238</stp>
        <tr r="M43" s="22"/>
      </tp>
      <tp t="e">
        <v>#N/A</v>
        <stp/>
        <stp>BDH|8885614572589921554</stp>
        <tr r="H64" s="17"/>
      </tp>
      <tp t="e">
        <v>#N/A</v>
        <stp/>
        <stp>BDH|6899799464580691242</stp>
        <tr r="J12" s="22"/>
      </tp>
      <tp t="e">
        <v>#N/A</v>
        <stp/>
        <stp>BDH|1685556514424834487</stp>
        <tr r="T10" s="30"/>
      </tp>
      <tp t="e">
        <v>#N/A</v>
        <stp/>
        <stp>BDH|3797071455200461362</stp>
        <tr r="I58" s="24"/>
      </tp>
      <tp t="e">
        <v>#N/A</v>
        <stp/>
        <stp>BDH|2345168166229263959</stp>
        <tr r="T33" s="22"/>
      </tp>
      <tp t="e">
        <v>#N/A</v>
        <stp/>
        <stp>BDH|4591157767773706548</stp>
        <tr r="K14" s="18"/>
      </tp>
      <tp t="e">
        <v>#N/A</v>
        <stp/>
        <stp>BDH|9233391345142836921</stp>
        <tr r="Y45" s="4"/>
        <tr r="Y30" s="10"/>
        <tr r="Y24" s="11"/>
        <tr r="AA30" s="13"/>
      </tp>
      <tp t="e">
        <v>#N/A</v>
        <stp/>
        <stp>BDH|8538118007108525429</stp>
        <tr r="C25" s="7"/>
      </tp>
      <tp t="e">
        <v>#N/A</v>
        <stp/>
        <stp>BDH|3958191044426062507</stp>
        <tr r="R17" s="29"/>
        <tr r="R37" s="29"/>
      </tp>
      <tp t="e">
        <v>#N/A</v>
        <stp/>
        <stp>BDH|4812091617985020528</stp>
        <tr r="G35" s="26"/>
      </tp>
      <tp t="e">
        <v>#N/A</v>
        <stp/>
        <stp>BDH|1492829033048008713</stp>
        <tr r="P37" s="18"/>
      </tp>
      <tp t="e">
        <v>#N/A</v>
        <stp/>
        <stp>BDH|1645485111204956524</stp>
        <tr r="U18" s="18"/>
      </tp>
      <tp t="e">
        <v>#N/A</v>
        <stp/>
        <stp>BDH|5351007646522426657</stp>
        <tr r="Y69" s="10"/>
        <tr r="Y63" s="11"/>
        <tr r="Y20" s="7"/>
      </tp>
      <tp t="e">
        <v>#N/A</v>
        <stp/>
        <stp>BDH|8979419595682128288</stp>
        <tr r="H55" s="18"/>
      </tp>
      <tp t="e">
        <v>#N/A</v>
        <stp/>
        <stp>BDH|9926073290493265681</stp>
        <tr r="E51" s="17"/>
      </tp>
      <tp t="e">
        <v>#N/A</v>
        <stp/>
        <stp>BDH|6207219909894718595</stp>
        <tr r="R81" s="17"/>
        <tr r="O9" s="5"/>
        <tr r="O9" s="9"/>
      </tp>
      <tp t="e">
        <v>#N/A</v>
        <stp/>
        <stp>BDH|7799147405775742658</stp>
        <tr r="D22" s="30"/>
        <tr r="D25" s="23"/>
      </tp>
      <tp t="e">
        <v>#N/A</v>
        <stp/>
        <stp>BDH|3206002247086608476</stp>
        <tr r="F70" s="17"/>
      </tp>
      <tp t="e">
        <v>#N/A</v>
        <stp/>
        <stp>BDH|7722840685187258502</stp>
        <tr r="P99" s="18"/>
      </tp>
      <tp t="e">
        <v>#N/A</v>
        <stp/>
        <stp>BDH|4019820280629568835</stp>
        <tr r="K24" s="2"/>
      </tp>
      <tp t="e">
        <v>#N/A</v>
        <stp/>
        <stp>BDH|4885650345911821244</stp>
        <tr r="X42" s="10"/>
        <tr r="X36" s="11"/>
      </tp>
      <tp t="e">
        <v>#N/A</v>
        <stp/>
        <stp>BDH|5773426890858398527</stp>
        <tr r="T15" s="6"/>
      </tp>
      <tp t="e">
        <v>#N/A</v>
        <stp/>
        <stp>BDH|3877753278300404650</stp>
        <tr r="E8" s="11"/>
      </tp>
      <tp t="e">
        <v>#N/A</v>
        <stp/>
        <stp>BDH|8678202297791277773</stp>
        <tr r="W74" s="17"/>
      </tp>
      <tp t="e">
        <v>#N/A</v>
        <stp/>
        <stp>BDH|2843625724702804120</stp>
        <tr r="E41" s="24"/>
      </tp>
      <tp t="e">
        <v>#N/A</v>
        <stp/>
        <stp>BDH|1468255715547736073</stp>
        <tr r="L25" s="2"/>
        <tr r="N62" s="21"/>
      </tp>
      <tp t="e">
        <v>#N/A</v>
        <stp/>
        <stp>BDH|6918260514570665094</stp>
        <tr r="R45" s="4"/>
        <tr r="R30" s="10"/>
        <tr r="R24" s="11"/>
        <tr r="T30" s="13"/>
      </tp>
      <tp t="e">
        <v>#N/A</v>
        <stp/>
        <stp>BDH|9088879601982020623</stp>
        <tr r="I12" s="30"/>
      </tp>
      <tp t="e">
        <v>#N/A</v>
        <stp/>
        <stp>BDH|4263329097123602857</stp>
        <tr r="O38" s="24"/>
      </tp>
      <tp t="e">
        <v>#N/A</v>
        <stp/>
        <stp>BDH|5936411649622681235</stp>
        <tr r="H9" s="29"/>
      </tp>
      <tp t="e">
        <v>#N/A</v>
        <stp/>
        <stp>BDH|1788161804544250131</stp>
        <tr r="S20" s="12"/>
      </tp>
      <tp t="e">
        <v>#N/A</v>
        <stp/>
        <stp>BDH|8098186499304333167</stp>
        <tr r="X34" s="18"/>
      </tp>
      <tp t="e">
        <v>#N/A</v>
        <stp/>
        <stp>BDH|4216117587071986995</stp>
        <tr r="N38" s="10"/>
        <tr r="N32" s="11"/>
      </tp>
      <tp t="e">
        <v>#N/A</v>
        <stp/>
        <stp>BDH|4006859144485071851</stp>
        <tr r="Z59" s="18"/>
      </tp>
      <tp t="e">
        <v>#N/A</v>
        <stp/>
        <stp>BDH|3692440310113126070</stp>
        <tr r="AA56" s="18"/>
      </tp>
      <tp t="e">
        <v>#N/A</v>
        <stp/>
        <stp>BDH|4797353610102237142</stp>
        <tr r="U34" s="6"/>
        <tr r="W10" s="8"/>
      </tp>
      <tp t="e">
        <v>#N/A</v>
        <stp/>
        <stp>BDH|3726401627839519917</stp>
        <tr r="I22" s="12"/>
      </tp>
      <tp t="e">
        <v>#N/A</v>
        <stp/>
        <stp>BDH|2874571830409861838</stp>
        <tr r="Z23" s="23"/>
      </tp>
      <tp t="e">
        <v>#N/A</v>
        <stp/>
        <stp>BDH|6327037863350282552</stp>
        <tr r="P25" s="12"/>
      </tp>
      <tp t="e">
        <v>#N/A</v>
        <stp/>
        <stp>BDH|2050637146817759263</stp>
        <tr r="E49" s="21"/>
      </tp>
      <tp t="e">
        <v>#N/A</v>
        <stp/>
        <stp>BDH|5825290466991473570</stp>
        <tr r="K17" s="18"/>
      </tp>
      <tp t="e">
        <v>#N/A</v>
        <stp/>
        <stp>BDH|8164424045865749852</stp>
        <tr r="S22" s="7"/>
      </tp>
      <tp t="e">
        <v>#N/A</v>
        <stp/>
        <stp>BDH|1168665834959646811</stp>
        <tr r="Z63" s="17"/>
      </tp>
      <tp t="e">
        <v>#N/A</v>
        <stp/>
        <stp>BDH|7850478704914935268</stp>
        <tr r="M14" s="30"/>
      </tp>
      <tp t="e">
        <v>#N/A</v>
        <stp/>
        <stp>BDH|1028342421757083210</stp>
        <tr r="N9" s="12"/>
      </tp>
      <tp t="e">
        <v>#N/A</v>
        <stp/>
        <stp>BDH|2576468971694330054</stp>
        <tr r="Q43" s="24"/>
      </tp>
      <tp t="e">
        <v>#N/A</v>
        <stp/>
        <stp>BDH|1553757733447314756</stp>
        <tr r="R22" s="18"/>
      </tp>
      <tp t="e">
        <v>#N/A</v>
        <stp/>
        <stp>BDH|5981612613230714798</stp>
        <tr r="Q88" s="17"/>
      </tp>
      <tp t="e">
        <v>#N/A</v>
        <stp/>
        <stp>BDH|6834052276033809760</stp>
        <tr r="AA12" s="24"/>
      </tp>
      <tp t="e">
        <v>#N/A</v>
        <stp/>
        <stp>BDH|9689460090412295374</stp>
        <tr r="W22" s="25"/>
        <tr r="W12" s="27"/>
      </tp>
      <tp t="e">
        <v>#N/A</v>
        <stp/>
        <stp>BDH|7268779644473132259</stp>
        <tr r="AA21" s="3"/>
      </tp>
      <tp t="e">
        <v>#N/A</v>
        <stp/>
        <stp>BDH|5542400262236672441</stp>
        <tr r="W116" s="18"/>
      </tp>
      <tp t="e">
        <v>#N/A</v>
        <stp/>
        <stp>BDH|4455020714602650216</stp>
        <tr r="AA161" s="18"/>
      </tp>
      <tp t="e">
        <v>#N/A</v>
        <stp/>
        <stp>BDH|6458116474935187052</stp>
        <tr r="E132" s="18"/>
      </tp>
      <tp t="e">
        <v>#N/A</v>
        <stp/>
        <stp>BDH|3361926487157555067</stp>
        <tr r="V48" s="18"/>
      </tp>
      <tp t="e">
        <v>#N/A</v>
        <stp/>
        <stp>BDH|2051794176403850423</stp>
        <tr r="AA31" s="17"/>
      </tp>
      <tp t="e">
        <v>#N/A</v>
        <stp/>
        <stp>BDH|5023849789771882107</stp>
        <tr r="G32" s="12"/>
      </tp>
      <tp t="e">
        <v>#N/A</v>
        <stp/>
        <stp>BDH|4829062478911332709</stp>
        <tr r="F17" s="23"/>
      </tp>
      <tp t="e">
        <v>#N/A</v>
        <stp/>
        <stp>BDH|8277744145306178874</stp>
        <tr r="V15" s="25"/>
      </tp>
      <tp t="e">
        <v>#N/A</v>
        <stp/>
        <stp>BDH|6154274529443231082</stp>
        <tr r="U19" s="11"/>
      </tp>
      <tp t="e">
        <v>#N/A</v>
        <stp/>
        <stp>BDH|7339509970862306256</stp>
        <tr r="Y36" s="18"/>
      </tp>
      <tp t="e">
        <v>#N/A</v>
        <stp/>
        <stp>BDH|5850392675015418152</stp>
        <tr r="S40" s="21"/>
      </tp>
      <tp t="e">
        <v>#N/A</v>
        <stp/>
        <stp>BDH|1856625649593660507</stp>
        <tr r="H25" s="24"/>
      </tp>
      <tp t="e">
        <v>#N/A</v>
        <stp/>
        <stp>BDH|1438215825723578701</stp>
        <tr r="M9" s="3"/>
        <tr r="K50" s="10"/>
        <tr r="K44" s="11"/>
        <tr r="K14" s="7"/>
      </tp>
      <tp t="e">
        <v>#N/A</v>
        <stp/>
        <stp>BDH|1360653041480179630</stp>
        <tr r="T8" s="28"/>
      </tp>
      <tp t="e">
        <v>#N/A</v>
        <stp/>
        <stp>BDH|4750218632667414753</stp>
        <tr r="R34" s="25"/>
      </tp>
      <tp t="e">
        <v>#N/A</v>
        <stp/>
        <stp>BDH|7814559750030168297</stp>
        <tr r="D111" s="18"/>
      </tp>
      <tp t="e">
        <v>#N/A</v>
        <stp/>
        <stp>BDH|8789807813665917180</stp>
        <tr r="I44" s="13"/>
      </tp>
      <tp t="e">
        <v>#N/A</v>
        <stp/>
        <stp>BDH|1818328776371165184</stp>
        <tr r="P68" s="12"/>
      </tp>
      <tp t="e">
        <v>#N/A</v>
        <stp/>
        <stp>BDH|4689797199269743641</stp>
        <tr r="M17" s="9"/>
      </tp>
      <tp t="e">
        <v>#N/A</v>
        <stp/>
        <stp>BDH|2899211820780407787</stp>
        <tr r="X58" s="18"/>
      </tp>
      <tp t="e">
        <v>#N/A</v>
        <stp/>
        <stp>BDH|9697262137678079522</stp>
        <tr r="S58" s="21"/>
        <tr r="S33" s="25"/>
        <tr r="Q31" s="4"/>
        <tr r="Q55" s="11"/>
      </tp>
      <tp t="e">
        <v>#N/A</v>
        <stp/>
        <stp>BDH|7458580758277972588</stp>
        <tr r="F23" s="21"/>
      </tp>
      <tp t="e">
        <v>#N/A</v>
        <stp/>
        <stp>BDH|5507013244335683133</stp>
        <tr r="N167" s="18"/>
      </tp>
      <tp t="e">
        <v>#N/A</v>
        <stp/>
        <stp>BDH|5523336242921033615</stp>
        <tr r="Q9" s="26"/>
      </tp>
      <tp t="e">
        <v>#N/A</v>
        <stp/>
        <stp>BDH|4597260401384209751</stp>
        <tr r="S12" s="10"/>
      </tp>
      <tp t="e">
        <v>#N/A</v>
        <stp/>
        <stp>BDH|1525824372292590956</stp>
        <tr r="L24" s="13"/>
      </tp>
      <tp t="e">
        <v>#N/A</v>
        <stp/>
        <stp>BDH|9703641676948157517</stp>
        <tr r="I11" s="18"/>
      </tp>
      <tp t="e">
        <v>#N/A</v>
        <stp/>
        <stp>BDH|3027830743823473917</stp>
        <tr r="P70" s="17"/>
      </tp>
      <tp t="e">
        <v>#N/A</v>
        <stp/>
        <stp>BDH|3910240378842564153</stp>
        <tr r="F68" s="17"/>
      </tp>
      <tp t="e">
        <v>#N/A</v>
        <stp/>
        <stp>BDH|7355209034290632341</stp>
        <tr r="G63" s="12"/>
      </tp>
      <tp t="e">
        <v>#N/A</v>
        <stp/>
        <stp>BDH|6298518600276099065</stp>
        <tr r="I36" s="34"/>
      </tp>
      <tp t="e">
        <v>#N/A</v>
        <stp/>
        <stp>BDH|4243500757606149719</stp>
        <tr r="AA12" s="22"/>
      </tp>
      <tp t="e">
        <v>#N/A</v>
        <stp/>
        <stp>BDH|6747697475193941179</stp>
        <tr r="N58" s="18"/>
      </tp>
      <tp t="e">
        <v>#N/A</v>
        <stp/>
        <stp>BDH|70751497214045244</stp>
        <tr r="Y13" s="8"/>
      </tp>
      <tp t="e">
        <v>#N/A</v>
        <stp/>
        <stp>BDH|75111153689236561</stp>
        <tr r="Q54" s="17"/>
      </tp>
      <tp t="e">
        <v>#N/A</v>
        <stp/>
        <stp>BDH|36517082045785030</stp>
        <tr r="S33" s="17"/>
      </tp>
      <tp t="e">
        <v>#N/A</v>
        <stp/>
        <stp>BDH|26549495472261664</stp>
        <tr r="U23" s="13"/>
      </tp>
      <tp t="e">
        <v>#N/A</v>
        <stp/>
        <stp>BDH|47258872188045545</stp>
        <tr r="U14" s="2"/>
        <tr r="U11" s="10"/>
      </tp>
      <tp t="e">
        <v>#N/A</v>
        <stp/>
        <stp>BDH|87361282837680423</stp>
        <tr r="D153" s="18"/>
      </tp>
      <tp t="e">
        <v>#N/A</v>
        <stp/>
        <stp>BDH|95891309980710086</stp>
        <tr r="T20" s="27"/>
      </tp>
      <tp t="e">
        <v>#N/A</v>
        <stp/>
        <stp>BDH|95019293808822975</stp>
        <tr r="N8" s="26"/>
        <tr r="K10" s="9"/>
      </tp>
      <tp t="e">
        <v>#N/A</v>
        <stp/>
        <stp>BDH|37345635388231094</stp>
        <tr r="L44" s="24"/>
      </tp>
      <tp t="e">
        <v>#N/A</v>
        <stp/>
        <stp>BDH|5248361476336054183</stp>
        <tr r="L21" s="9"/>
      </tp>
      <tp t="e">
        <v>#N/A</v>
        <stp/>
        <stp>BDH|9694494186903070030</stp>
        <tr r="K39" s="24"/>
      </tp>
      <tp t="e">
        <v>#N/A</v>
        <stp/>
        <stp>BDH|3392210241440979309</stp>
        <tr r="L26" s="34"/>
      </tp>
      <tp t="e">
        <v>#N/A</v>
        <stp/>
        <stp>BDH|8997530924008531119</stp>
        <tr r="Q26" s="21"/>
      </tp>
      <tp t="e">
        <v>#N/A</v>
        <stp/>
        <stp>BDH|4631595954770137200</stp>
        <tr r="X14" s="8"/>
      </tp>
      <tp t="e">
        <v>#N/A</v>
        <stp/>
        <stp>BDH|4129693435285470231</stp>
        <tr r="C16" s="14"/>
      </tp>
      <tp t="e">
        <v>#N/A</v>
        <stp/>
        <stp>BDH|6902344617144206620</stp>
        <tr r="G158" s="18"/>
      </tp>
      <tp t="e">
        <v>#N/A</v>
        <stp/>
        <stp>BDH|4127204522736930407</stp>
        <tr r="F7" s="8"/>
      </tp>
      <tp t="e">
        <v>#N/A</v>
        <stp/>
        <stp>BDH|8859411290542202114</stp>
        <tr r="T30" s="17"/>
      </tp>
      <tp t="e">
        <v>#N/A</v>
        <stp/>
        <stp>BDH|5822317626684752623</stp>
        <tr r="I9" s="18"/>
      </tp>
      <tp t="e">
        <v>#N/A</v>
        <stp/>
        <stp>BDH|7982118933956440558</stp>
        <tr r="I23" s="23"/>
      </tp>
      <tp t="e">
        <v>#N/A</v>
        <stp/>
        <stp>BDH|9592712835829207297</stp>
        <tr r="Y21" s="30"/>
        <tr r="Y24" s="23"/>
      </tp>
      <tp t="e">
        <v>#N/A</v>
        <stp/>
        <stp>BDH|5906151432386270761</stp>
        <tr r="Y55" s="24"/>
      </tp>
      <tp t="e">
        <v>#N/A</v>
        <stp/>
        <stp>BDH|3034224942466300597</stp>
        <tr r="O7" s="10"/>
      </tp>
      <tp t="e">
        <v>#N/A</v>
        <stp/>
        <stp>BDH|9673797545774875887</stp>
        <tr r="V62" s="24"/>
      </tp>
      <tp t="e">
        <v>#N/A</v>
        <stp/>
        <stp>BDH|1481191905871514777</stp>
        <tr r="G37" s="24"/>
      </tp>
      <tp t="e">
        <v>#N/A</v>
        <stp/>
        <stp>BDH|7535382466065148103</stp>
        <tr r="M28" s="26"/>
      </tp>
      <tp t="e">
        <v>#N/A</v>
        <stp/>
        <stp>BDH|3167694327645029450</stp>
        <tr r="L65" s="17"/>
      </tp>
      <tp t="e">
        <v>#N/A</v>
        <stp/>
        <stp>BDH|1027768209395288578</stp>
        <tr r="O50" s="13"/>
      </tp>
      <tp t="e">
        <v>#N/A</v>
        <stp/>
        <stp>BDH|5976489181188211787</stp>
        <tr r="F108" s="18"/>
        <tr r="D8" s="20"/>
      </tp>
      <tp t="e">
        <v>#N/A</v>
        <stp/>
        <stp>BDH|6164752306813958410</stp>
        <tr r="R89" s="18"/>
      </tp>
      <tp t="e">
        <v>#N/A</v>
        <stp/>
        <stp>BDH|2338250495336016998</stp>
        <tr r="M22" s="12"/>
      </tp>
      <tp t="e">
        <v>#N/A</v>
        <stp/>
        <stp>BDH|5887321625613717126</stp>
        <tr r="W98" s="17"/>
        <tr r="W13" s="28"/>
      </tp>
      <tp t="e">
        <v>#N/A</v>
        <stp/>
        <stp>BDH|9758675841044803938</stp>
        <tr r="R14" s="26"/>
      </tp>
      <tp t="e">
        <v>#N/A</v>
        <stp/>
        <stp>BDH|8366587778544199885</stp>
        <tr r="D27" s="25"/>
        <tr r="D17" s="27"/>
      </tp>
      <tp t="e">
        <v>#N/A</v>
        <stp/>
        <stp>BDH|7079492773720591253</stp>
        <tr r="G21" s="10"/>
      </tp>
      <tp t="e">
        <v>#N/A</v>
        <stp/>
        <stp>BDH|1388494726332626305</stp>
        <tr r="L93" s="17"/>
      </tp>
      <tp t="e">
        <v>#N/A</v>
        <stp/>
        <stp>BDH|5744720183648595490</stp>
        <tr r="Q44" s="12"/>
      </tp>
      <tp t="e">
        <v>#N/A</v>
        <stp/>
        <stp>BDH|3975715143856064017</stp>
        <tr r="J32" s="12"/>
      </tp>
      <tp t="e">
        <v>#N/A</v>
        <stp/>
        <stp>BDH|2522708338047085779</stp>
        <tr r="E14" s="10"/>
      </tp>
      <tp t="e">
        <v>#N/A</v>
        <stp/>
        <stp>BDH|3091234779623424342</stp>
        <tr r="Y7" s="28"/>
      </tp>
      <tp t="e">
        <v>#N/A</v>
        <stp/>
        <stp>BDH|1938245251860603005</stp>
        <tr r="M53" s="24"/>
      </tp>
      <tp t="e">
        <v>#N/A</v>
        <stp/>
        <stp>BDH|3637976324906902866</stp>
        <tr r="Z15" s="24"/>
      </tp>
      <tp t="e">
        <v>#N/A</v>
        <stp/>
        <stp>BDH|9246765329828046277</stp>
        <tr r="V59" s="18"/>
      </tp>
      <tp t="e">
        <v>#N/A</v>
        <stp/>
        <stp>BDH|7349380825387684725</stp>
        <tr r="I40" s="22"/>
      </tp>
      <tp t="e">
        <v>#N/A</v>
        <stp/>
        <stp>BDH|7694262851340971625</stp>
        <tr r="W60" s="17"/>
      </tp>
      <tp t="e">
        <v>#N/A</v>
        <stp/>
        <stp>BDH|2709507202083880272</stp>
        <tr r="T126" s="18"/>
      </tp>
      <tp t="e">
        <v>#N/A</v>
        <stp/>
        <stp>BDH|4687680134307335035</stp>
        <tr r="F7" s="23"/>
      </tp>
      <tp t="e">
        <v>#N/A</v>
        <stp/>
        <stp>BDH|2521337657806848434</stp>
        <tr r="N72" s="24"/>
      </tp>
      <tp t="e">
        <v>#N/A</v>
        <stp/>
        <stp>BDH|5586621860213975040</stp>
        <tr r="AA44" s="24"/>
      </tp>
      <tp t="e">
        <v>#N/A</v>
        <stp/>
        <stp>BDH|8236011252279373288</stp>
        <tr r="J126" s="18"/>
      </tp>
      <tp t="e">
        <v>#N/A</v>
        <stp/>
        <stp>BDH|3068487236205455709</stp>
        <tr r="D74" s="18"/>
      </tp>
      <tp t="e">
        <v>#N/A</v>
        <stp/>
        <stp>BDH|6897763826593272606</stp>
        <tr r="Y95" s="18"/>
      </tp>
      <tp t="e">
        <v>#N/A</v>
        <stp/>
        <stp>BDH|1102785618466280797</stp>
        <tr r="X8" s="10"/>
      </tp>
      <tp t="e">
        <v>#N/A</v>
        <stp/>
        <stp>BDH|5510922978334475919</stp>
        <tr r="J11" s="28"/>
      </tp>
      <tp t="e">
        <v>#N/A</v>
        <stp/>
        <stp>BDH|7242115688051541954</stp>
        <tr r="AA15" s="17"/>
        <tr r="AA18" s="28"/>
      </tp>
      <tp t="e">
        <v>#N/A</v>
        <stp/>
        <stp>BDH|6095179549592776723</stp>
        <tr r="Z81" s="18"/>
      </tp>
      <tp t="e">
        <v>#N/A</v>
        <stp/>
        <stp>BDH|1188141539614164168</stp>
        <tr r="X67" s="17"/>
      </tp>
      <tp t="e">
        <v>#N/A</v>
        <stp/>
        <stp>BDH|3809669327250424169</stp>
        <tr r="J144" s="18"/>
      </tp>
      <tp t="e">
        <v>#N/A</v>
        <stp/>
        <stp>BDH|7387452801635498087</stp>
        <tr r="C8" s="12"/>
      </tp>
      <tp t="e">
        <v>#N/A</v>
        <stp/>
        <stp>BDH|1765445209466738566</stp>
        <tr r="U32" s="21"/>
      </tp>
      <tp t="e">
        <v>#N/A</v>
        <stp/>
        <stp>BDH|7058923198992794363</stp>
        <tr r="C10" s="12"/>
      </tp>
      <tp t="e">
        <v>#N/A</v>
        <stp/>
        <stp>BDH|6506232369256222267</stp>
        <tr r="S69" s="12"/>
      </tp>
      <tp t="e">
        <v>#N/A</v>
        <stp/>
        <stp>BDH|1698587933643259248</stp>
        <tr r="T8" s="2"/>
      </tp>
      <tp t="e">
        <v>#N/A</v>
        <stp/>
        <stp>BDH|6011906995307886769</stp>
        <tr r="I24" s="26"/>
      </tp>
      <tp t="e">
        <v>#N/A</v>
        <stp/>
        <stp>BDH|3414952600468914432</stp>
        <tr r="S40" s="18"/>
      </tp>
      <tp t="e">
        <v>#N/A</v>
        <stp/>
        <stp>BDH|2812102159545290588</stp>
        <tr r="D26" s="18"/>
      </tp>
      <tp t="e">
        <v>#N/A</v>
        <stp/>
        <stp>BDH|2929341014122609445</stp>
        <tr r="N13" s="29"/>
        <tr r="N22" s="29"/>
        <tr r="N33" s="29"/>
      </tp>
      <tp t="e">
        <v>#N/A</v>
        <stp/>
        <stp>BDH|3613693111195063752</stp>
        <tr r="Y7" s="10"/>
      </tp>
      <tp t="e">
        <v>#N/A</v>
        <stp/>
        <stp>BDH|3512511407029803906</stp>
        <tr r="E62" s="17"/>
      </tp>
      <tp t="e">
        <v>#N/A</v>
        <stp/>
        <stp>BDH|7007233040846042189</stp>
        <tr r="N12" s="30"/>
      </tp>
      <tp t="e">
        <v>#N/A</v>
        <stp/>
        <stp>BDH|1197077142624947765</stp>
        <tr r="N70" s="12"/>
      </tp>
      <tp t="e">
        <v>#N/A</v>
        <stp/>
        <stp>BDH|3054908801464949834</stp>
        <tr r="V69" s="17"/>
      </tp>
      <tp t="e">
        <v>#N/A</v>
        <stp/>
        <stp>BDH|1096422360414161181</stp>
        <tr r="W72" s="12"/>
      </tp>
      <tp t="e">
        <v>#N/A</v>
        <stp/>
        <stp>BDH|7380730768660554063</stp>
        <tr r="Z36" s="22"/>
      </tp>
      <tp t="e">
        <v>#N/A</v>
        <stp/>
        <stp>BDH|3335598514297249675</stp>
        <tr r="H24" s="12"/>
      </tp>
      <tp t="e">
        <v>#N/A</v>
        <stp/>
        <stp>BDH|6964308093559628371</stp>
        <tr r="Z9" s="29"/>
      </tp>
      <tp t="e">
        <v>#N/A</v>
        <stp/>
        <stp>BDH|6680400749798652821</stp>
        <tr r="M65" s="12"/>
      </tp>
      <tp t="e">
        <v>#N/A</v>
        <stp/>
        <stp>BDH|5577096004961730247</stp>
        <tr r="T18" s="5"/>
        <tr r="T30" s="6"/>
      </tp>
      <tp t="e">
        <v>#N/A</v>
        <stp/>
        <stp>BDH|3335718669657578356</stp>
        <tr r="I11" s="22"/>
      </tp>
      <tp t="e">
        <v>#N/A</v>
        <stp/>
        <stp>BDH|3552305367540137089</stp>
        <tr r="F24" s="4"/>
        <tr r="F58" s="11"/>
      </tp>
      <tp t="e">
        <v>#N/A</v>
        <stp/>
        <stp>BDH|7899595838327560076</stp>
        <tr r="H8" s="28"/>
      </tp>
      <tp t="e">
        <v>#N/A</v>
        <stp/>
        <stp>BDH|7798079204044773588</stp>
        <tr r="R37" s="22"/>
      </tp>
      <tp t="e">
        <v>#N/A</v>
        <stp/>
        <stp>BDH|2708349058300701275</stp>
        <tr r="T140" s="18"/>
      </tp>
      <tp t="e">
        <v>#N/A</v>
        <stp/>
        <stp>BDH|7983486088199241404</stp>
        <tr r="D18" s="22"/>
      </tp>
      <tp t="e">
        <v>#N/A</v>
        <stp/>
        <stp>BDH|4178774619997465302</stp>
        <tr r="U59" s="21"/>
        <tr r="S56" s="11"/>
      </tp>
      <tp t="e">
        <v>#N/A</v>
        <stp/>
        <stp>BDH|4074430167234550491</stp>
        <tr r="V23" s="26"/>
      </tp>
      <tp t="e">
        <v>#N/A</v>
        <stp/>
        <stp>BDH|7644195430617723404</stp>
        <tr r="K60" s="17"/>
      </tp>
      <tp t="e">
        <v>#N/A</v>
        <stp/>
        <stp>BDH|3683488830103667104</stp>
        <tr r="M28" s="18"/>
      </tp>
      <tp t="e">
        <v>#N/A</v>
        <stp/>
        <stp>BDH|1748435921123553287</stp>
        <tr r="X42" s="12"/>
      </tp>
      <tp t="e">
        <v>#N/A</v>
        <stp/>
        <stp>BDH|4234267492381914874</stp>
        <tr r="X43" s="21"/>
      </tp>
      <tp t="e">
        <v>#N/A</v>
        <stp/>
        <stp>BDH|3098320419907263014</stp>
        <tr r="F22" s="4"/>
      </tp>
      <tp t="e">
        <v>#N/A</v>
        <stp/>
        <stp>BDH|3396423027183685081</stp>
        <tr r="N31" s="22"/>
      </tp>
      <tp t="e">
        <v>#N/A</v>
        <stp/>
        <stp>BDH|6090223438896018726</stp>
        <tr r="Y132" s="18"/>
      </tp>
      <tp t="e">
        <v>#N/A</v>
        <stp/>
        <stp>BDH|2141640479637601227</stp>
        <tr r="J25" s="10"/>
      </tp>
      <tp t="e">
        <v>#N/A</v>
        <stp/>
        <stp>BDH|4931365933585510717</stp>
        <tr r="F34" s="21"/>
      </tp>
      <tp t="e">
        <v>#N/A</v>
        <stp/>
        <stp>BDH|3859140802493109775</stp>
        <tr r="G43" s="17"/>
      </tp>
      <tp t="e">
        <v>#N/A</v>
        <stp/>
        <stp>BDH|9004905070146018781</stp>
        <tr r="L28" s="10"/>
        <tr r="N33" s="13"/>
      </tp>
      <tp t="e">
        <v>#N/A</v>
        <stp/>
        <stp>BDH|1112588895993648820</stp>
        <tr r="P26" s="12"/>
      </tp>
      <tp t="e">
        <v>#N/A</v>
        <stp/>
        <stp>BDH|7597628310756818070</stp>
        <tr r="F46" s="4"/>
        <tr r="F24" s="10"/>
        <tr r="H35" s="13"/>
      </tp>
      <tp t="e">
        <v>#N/A</v>
        <stp/>
        <stp>BDH|9331417826669812045</stp>
        <tr r="K109" s="18"/>
        <tr r="I9" s="20"/>
      </tp>
      <tp t="e">
        <v>#N/A</v>
        <stp/>
        <stp>BDH|3364601831906812629</stp>
        <tr r="D41" s="34"/>
      </tp>
      <tp t="e">
        <v>#N/A</v>
        <stp/>
        <stp>BDH|1342896392677151119</stp>
        <tr r="F42" s="13"/>
      </tp>
      <tp t="e">
        <v>#N/A</v>
        <stp/>
        <stp>BDH|6688740588678334715</stp>
        <tr r="H17" s="21"/>
      </tp>
      <tp t="e">
        <v>#N/A</v>
        <stp/>
        <stp>BDH|7809784753044855739</stp>
        <tr r="X115" s="18"/>
      </tp>
      <tp t="e">
        <v>#N/A</v>
        <stp/>
        <stp>BDH|5743680157387888784</stp>
        <tr r="Z16" s="22"/>
      </tp>
      <tp t="e">
        <v>#N/A</v>
        <stp/>
        <stp>BDH|3234040932436954059</stp>
        <tr r="Q8" s="24"/>
      </tp>
      <tp t="e">
        <v>#N/A</v>
        <stp/>
        <stp>BDH|9883566107708635270</stp>
        <tr r="C85" s="18"/>
      </tp>
      <tp t="e">
        <v>#N/A</v>
        <stp/>
        <stp>BDH|8278640288736528638</stp>
        <tr r="D12" s="22"/>
      </tp>
      <tp t="e">
        <v>#N/A</v>
        <stp/>
        <stp>BDH|7842717282846217817</stp>
        <tr r="N20" s="27"/>
      </tp>
      <tp t="e">
        <v>#N/A</v>
        <stp/>
        <stp>BDH|2719583151926746212</stp>
        <tr r="G14" s="2"/>
        <tr r="G11" s="10"/>
      </tp>
      <tp t="e">
        <v>#N/A</v>
        <stp/>
        <stp>BDH|5840780229360139608</stp>
        <tr r="Q10" s="30"/>
      </tp>
      <tp t="e">
        <v>#N/A</v>
        <stp/>
        <stp>BDH|2990433861305651350</stp>
        <tr r="W30" s="17"/>
      </tp>
      <tp t="e">
        <v>#N/A</v>
        <stp/>
        <stp>BDH|2799290953552370164</stp>
        <tr r="J22" s="11"/>
      </tp>
      <tp t="e">
        <v>#N/A</v>
        <stp/>
        <stp>BDH|3590359662568393893</stp>
        <tr r="M66" s="21"/>
      </tp>
      <tp t="e">
        <v>#N/A</v>
        <stp/>
        <stp>BDH|8122288610545025813</stp>
        <tr r="V90" s="17"/>
      </tp>
      <tp t="e">
        <v>#N/A</v>
        <stp/>
        <stp>BDH|6800462635665637259</stp>
        <tr r="W39" s="12"/>
      </tp>
      <tp t="e">
        <v>#N/A</v>
        <stp/>
        <stp>BDH|8819130482965819297</stp>
        <tr r="Y28" s="25"/>
        <tr r="Y18" s="27"/>
      </tp>
      <tp t="e">
        <v>#N/A</v>
        <stp/>
        <stp>BDH|4809363276177980194</stp>
        <tr r="G27" s="26"/>
        <tr r="D14" s="9"/>
      </tp>
      <tp t="e">
        <v>#N/A</v>
        <stp/>
        <stp>BDH|6553940439439098306</stp>
        <tr r="C38" s="34"/>
      </tp>
      <tp t="e">
        <v>#N/A</v>
        <stp/>
        <stp>BDH|4483383917024453470</stp>
        <tr r="O102" s="18"/>
      </tp>
      <tp t="e">
        <v>#N/A</v>
        <stp/>
        <stp>BDH|9635634391266402694</stp>
        <tr r="T50" s="4"/>
      </tp>
      <tp t="e">
        <v>#N/A</v>
        <stp/>
        <stp>BDH|4823471396056466944</stp>
        <tr r="V9" s="22"/>
      </tp>
      <tp t="e">
        <v>#N/A</v>
        <stp/>
        <stp>BDH|6921648772858658906</stp>
        <tr r="D128" s="18"/>
      </tp>
      <tp t="e">
        <v>#N/A</v>
        <stp/>
        <stp>BDH|2747318289518590730</stp>
        <tr r="D110" s="18"/>
      </tp>
      <tp t="e">
        <v>#N/A</v>
        <stp/>
        <stp>BDH|7574183363973561528</stp>
        <tr r="J64" s="17"/>
      </tp>
      <tp t="e">
        <v>#N/A</v>
        <stp/>
        <stp>BDH|2861058928157549199</stp>
        <tr r="T36" s="10"/>
        <tr r="T30" s="11"/>
        <tr r="V39" s="13"/>
      </tp>
      <tp t="e">
        <v>#N/A</v>
        <stp/>
        <stp>BDH|1180429778162671645</stp>
        <tr r="Y161" s="18"/>
      </tp>
      <tp t="e">
        <v>#N/A</v>
        <stp/>
        <stp>BDH|5351174811152928157</stp>
        <tr r="F14" s="25"/>
      </tp>
      <tp t="e">
        <v>#N/A</v>
        <stp/>
        <stp>BDH|1277350947733008395</stp>
        <tr r="Z30" s="17"/>
      </tp>
      <tp t="e">
        <v>#N/A</v>
        <stp/>
        <stp>BDH|9202144087720856602</stp>
        <tr r="G16" s="25"/>
      </tp>
      <tp t="e">
        <v>#N/A</v>
        <stp/>
        <stp>BDH|3070088334062734428</stp>
        <tr r="X6" s="27"/>
      </tp>
      <tp t="e">
        <v>#N/A</v>
        <stp/>
        <stp>BDH|5297287052132097612</stp>
        <tr r="U16" s="29"/>
        <tr r="U36" s="29"/>
      </tp>
      <tp t="e">
        <v>#N/A</v>
        <stp/>
        <stp>BDH|2518646245341431793</stp>
        <tr r="F23" s="11"/>
      </tp>
      <tp t="e">
        <v>#N/A</v>
        <stp/>
        <stp>BDH|7410351612180208386</stp>
        <tr r="L26" s="18"/>
      </tp>
      <tp t="e">
        <v>#N/A</v>
        <stp/>
        <stp>BDH|7767012701716616785</stp>
        <tr r="U154" s="18"/>
      </tp>
      <tp t="e">
        <v>#N/A</v>
        <stp/>
        <stp>BDH|9931001087864653319</stp>
        <tr r="G20" s="5"/>
        <tr r="G20" s="9"/>
      </tp>
      <tp t="e">
        <v>#N/A</v>
        <stp/>
        <stp>BDH|6177061518056390756</stp>
        <tr r="V9" s="18"/>
      </tp>
      <tp t="e">
        <v>#N/A</v>
        <stp/>
        <stp>BDH|8093691260158399639</stp>
        <tr r="F53" s="13"/>
      </tp>
      <tp t="e">
        <v>#N/A</v>
        <stp/>
        <stp>BDH|1825028476099356966</stp>
        <tr r="P61" s="21"/>
      </tp>
      <tp t="e">
        <v>#N/A</v>
        <stp/>
        <stp>BDH|7803411138861021783</stp>
        <tr r="L10" s="21"/>
      </tp>
      <tp t="e">
        <v>#N/A</v>
        <stp/>
        <stp>BDH|3699513847567117386</stp>
        <tr r="O8" s="2"/>
      </tp>
      <tp t="e">
        <v>#N/A</v>
        <stp/>
        <stp>BDH|9160869359192268050</stp>
        <tr r="F52" s="17"/>
      </tp>
      <tp t="e">
        <v>#N/A</v>
        <stp/>
        <stp>BDH|7318919413300860905</stp>
        <tr r="L9" s="34"/>
      </tp>
      <tp t="e">
        <v>#N/A</v>
        <stp/>
        <stp>BDH|9788179371999802002</stp>
        <tr r="F43" s="13"/>
      </tp>
      <tp t="e">
        <v>#N/A</v>
        <stp/>
        <stp>BDH|7198855333199970376</stp>
        <tr r="P25" s="10"/>
      </tp>
      <tp t="e">
        <v>#N/A</v>
        <stp/>
        <stp>BDH|4426737842757477689</stp>
        <tr r="D70" s="10"/>
        <tr r="D64" s="11"/>
      </tp>
      <tp t="e">
        <v>#N/A</v>
        <stp/>
        <stp>BDH|5800851000483521818</stp>
        <tr r="G44" s="18"/>
      </tp>
      <tp t="e">
        <v>#N/A</v>
        <stp/>
        <stp>BDH|1027711969662698472</stp>
        <tr r="U19" s="10"/>
      </tp>
      <tp t="e">
        <v>#N/A</v>
        <stp/>
        <stp>BDH|1708322278730389373</stp>
        <tr r="T133" s="18"/>
      </tp>
      <tp t="e">
        <v>#N/A</v>
        <stp/>
        <stp>BDH|6617342834360188099</stp>
        <tr r="M68" s="17"/>
      </tp>
      <tp t="e">
        <v>#N/A</v>
        <stp/>
        <stp>BDH|4821157051561255704</stp>
        <tr r="C69" s="12"/>
      </tp>
      <tp t="e">
        <v>#N/A</v>
        <stp/>
        <stp>BDH|3614982835048576705</stp>
        <tr r="Q15" s="24"/>
      </tp>
      <tp t="e">
        <v>#N/A</v>
        <stp/>
        <stp>BDH|8413481914409421227</stp>
        <tr r="G24" s="18"/>
      </tp>
      <tp t="e">
        <v>#N/A</v>
        <stp/>
        <stp>BDH|3563169240269443999</stp>
        <tr r="AA19" s="20"/>
      </tp>
      <tp t="e">
        <v>#N/A</v>
        <stp/>
        <stp>BDH|9864505093524165740</stp>
        <tr r="R41" s="18"/>
      </tp>
      <tp t="e">
        <v>#N/A</v>
        <stp/>
        <stp>BDH|1632625476546509093</stp>
        <tr r="S9" s="23"/>
      </tp>
      <tp t="e">
        <v>#N/A</v>
        <stp/>
        <stp>BDH|1650082534244477001</stp>
        <tr r="E141" s="18"/>
      </tp>
      <tp t="e">
        <v>#N/A</v>
        <stp/>
        <stp>BDH|2101291366141040107</stp>
        <tr r="L13" s="5"/>
      </tp>
      <tp t="e">
        <v>#N/A</v>
        <stp/>
        <stp>BDH|7516560041673906354</stp>
        <tr r="H16" s="18"/>
      </tp>
      <tp t="e">
        <v>#N/A</v>
        <stp/>
        <stp>BDH|9392216794850972413</stp>
        <tr r="P8" s="4"/>
      </tp>
      <tp t="e">
        <v>#N/A</v>
        <stp/>
        <stp>BDH|6955491313635472097</stp>
        <tr r="F57" s="24"/>
      </tp>
      <tp t="e">
        <v>#N/A</v>
        <stp/>
        <stp>BDH|9780829707080853741</stp>
        <tr r="J24" s="25"/>
        <tr r="J14" s="27"/>
      </tp>
      <tp t="e">
        <v>#N/A</v>
        <stp/>
        <stp>BDH|4732670271227850470</stp>
        <tr r="K35" s="34"/>
      </tp>
      <tp t="e">
        <v>#N/A</v>
        <stp/>
        <stp>BDH|3884708837147656670</stp>
        <tr r="N36" s="18"/>
      </tp>
      <tp t="e">
        <v>#N/A</v>
        <stp/>
        <stp>BDH|2987189534991353789</stp>
        <tr r="J36" s="4"/>
      </tp>
      <tp t="e">
        <v>#N/A</v>
        <stp/>
        <stp>BDH|5522202209303225206</stp>
        <tr r="O66" s="24"/>
      </tp>
      <tp t="e">
        <v>#N/A</v>
        <stp/>
        <stp>BDH|7176298505430392305</stp>
        <tr r="U26" s="22"/>
      </tp>
      <tp t="e">
        <v>#N/A</v>
        <stp/>
        <stp>BDH|3069427108763530212</stp>
        <tr r="P18" s="17"/>
      </tp>
      <tp t="e">
        <v>#N/A</v>
        <stp/>
        <stp>BDH|9618041315218844611</stp>
        <tr r="P38" s="34"/>
      </tp>
      <tp t="e">
        <v>#N/A</v>
        <stp/>
        <stp>BDH|3961758951831150624</stp>
        <tr r="T36" s="4"/>
      </tp>
      <tp t="e">
        <v>#N/A</v>
        <stp/>
        <stp>BDH|7308151214320823147</stp>
        <tr r="W15" s="22"/>
      </tp>
      <tp t="e">
        <v>#N/A</v>
        <stp/>
        <stp>BDH|2424445617490148181</stp>
        <tr r="G24" s="12"/>
      </tp>
      <tp t="e">
        <v>#N/A</v>
        <stp/>
        <stp>BDH|7291434679385609707</stp>
        <tr r="J33" s="34"/>
      </tp>
      <tp t="e">
        <v>#N/A</v>
        <stp/>
        <stp>BDH|1605584470306893387</stp>
        <tr r="W67" s="12"/>
      </tp>
      <tp t="e">
        <v>#N/A</v>
        <stp/>
        <stp>BDH|4129568038763453751</stp>
        <tr r="L39" s="12"/>
      </tp>
      <tp t="e">
        <v>#N/A</v>
        <stp/>
        <stp>BDH|8772937645863609091</stp>
        <tr r="Y16" s="14"/>
      </tp>
      <tp t="e">
        <v>#N/A</v>
        <stp/>
        <stp>BDH|3250726184648343299</stp>
        <tr r="E20" s="29"/>
      </tp>
      <tp t="e">
        <v>#N/A</v>
        <stp/>
        <stp>BDH|8530193501889116621</stp>
        <tr r="W17" s="29"/>
        <tr r="W37" s="29"/>
      </tp>
      <tp t="e">
        <v>#N/A</v>
        <stp/>
        <stp>BDH|5470337695990409982</stp>
        <tr r="N68" s="24"/>
      </tp>
      <tp t="e">
        <v>#N/A</v>
        <stp/>
        <stp>BDH|5483631550687157781</stp>
        <tr r="N135" s="18"/>
      </tp>
      <tp t="e">
        <v>#N/A</v>
        <stp/>
        <stp>BDH|5741887914858279271</stp>
        <tr r="G81" s="17"/>
        <tr r="D9" s="5"/>
        <tr r="D9" s="9"/>
      </tp>
      <tp t="e">
        <v>#N/A</v>
        <stp/>
        <stp>BDH|7057128608403419305</stp>
        <tr r="Y65" s="18"/>
      </tp>
      <tp t="e">
        <v>#N/A</v>
        <stp/>
        <stp>BDH|9986839057422103029</stp>
        <tr r="N15" s="29"/>
        <tr r="N35" s="29"/>
      </tp>
      <tp t="e">
        <v>#N/A</v>
        <stp/>
        <stp>BDH|4663623577750985345</stp>
        <tr r="I71" s="12"/>
      </tp>
      <tp t="e">
        <v>#N/A</v>
        <stp/>
        <stp>BDH|6004083743162587604</stp>
        <tr r="Y65" s="24"/>
      </tp>
      <tp t="e">
        <v>#N/A</v>
        <stp/>
        <stp>BDH|1070841629329388403</stp>
        <tr r="Z45" s="13"/>
      </tp>
      <tp t="e">
        <v>#N/A</v>
        <stp/>
        <stp>BDH|6406106515043963371</stp>
        <tr r="D30" s="26"/>
      </tp>
      <tp t="e">
        <v>#N/A</v>
        <stp/>
        <stp>BDH|4610005378590688578</stp>
        <tr r="F86" s="18"/>
      </tp>
      <tp t="e">
        <v>#N/A</v>
        <stp/>
        <stp>BDH|2987376978962171281</stp>
        <tr r="S11" s="12"/>
      </tp>
      <tp t="e">
        <v>#N/A</v>
        <stp/>
        <stp>BDH|5642002938595117502</stp>
        <tr r="AA121" s="18"/>
      </tp>
      <tp t="e">
        <v>#N/A</v>
        <stp/>
        <stp>BDH|5101558329124798050</stp>
        <tr r="V11" s="11"/>
      </tp>
      <tp t="e">
        <v>#N/A</v>
        <stp/>
        <stp>BDH|4589242251880766587</stp>
        <tr r="Y74" s="12"/>
      </tp>
      <tp t="e">
        <v>#N/A</v>
        <stp/>
        <stp>BDH|9927705472659524610</stp>
        <tr r="V89" s="17"/>
      </tp>
      <tp t="e">
        <v>#N/A</v>
        <stp/>
        <stp>BDH|2051021138292113544</stp>
        <tr r="X23" s="21"/>
      </tp>
      <tp t="e">
        <v>#N/A</v>
        <stp/>
        <stp>BDH|6662319463696824338</stp>
        <tr r="T49" s="4"/>
      </tp>
      <tp t="e">
        <v>#N/A</v>
        <stp/>
        <stp>BDH|6107057108111018135</stp>
        <tr r="M11" s="18"/>
      </tp>
      <tp t="e">
        <v>#N/A</v>
        <stp/>
        <stp>BDH|1805696573677471192</stp>
        <tr r="U140" s="18"/>
      </tp>
      <tp t="e">
        <v>#N/A</v>
        <stp/>
        <stp>BDH|7775151499748714135</stp>
        <tr r="H25" s="2"/>
        <tr r="J62" s="21"/>
      </tp>
      <tp t="e">
        <v>#N/A</v>
        <stp/>
        <stp>BDH|9268726493739903852</stp>
        <tr r="U55" s="17"/>
      </tp>
      <tp t="e">
        <v>#N/A</v>
        <stp/>
        <stp>BDH|6156621410306529190</stp>
        <tr r="K10" s="22"/>
      </tp>
      <tp t="e">
        <v>#N/A</v>
        <stp/>
        <stp>BDH|7964735547350001224</stp>
        <tr r="H14" s="29"/>
        <tr r="H23" s="29"/>
        <tr r="H34" s="29"/>
      </tp>
      <tp t="e">
        <v>#N/A</v>
        <stp/>
        <stp>BDH|2798102155657921748</stp>
        <tr r="J61" s="12"/>
      </tp>
      <tp t="e">
        <v>#N/A</v>
        <stp/>
        <stp>BDH|2445727658061040711</stp>
        <tr r="K55" s="13"/>
      </tp>
      <tp t="e">
        <v>#N/A</v>
        <stp/>
        <stp>BDH|8048563059119798779</stp>
        <tr r="K13" s="11"/>
      </tp>
      <tp t="e">
        <v>#N/A</v>
        <stp/>
        <stp>BDH|5113766628006746075</stp>
        <tr r="N20" s="22"/>
      </tp>
      <tp t="e">
        <v>#N/A</v>
        <stp/>
        <stp>BDH|3631094047940461133</stp>
        <tr r="Z163" s="18"/>
      </tp>
      <tp t="e">
        <v>#N/A</v>
        <stp/>
        <stp>BDH|8978305216179907598</stp>
        <tr r="C24" s="25"/>
        <tr r="C14" s="27"/>
      </tp>
      <tp t="e">
        <v>#N/A</v>
        <stp/>
        <stp>BDH|9888449203832014902</stp>
        <tr r="Q55" s="13"/>
      </tp>
      <tp t="e">
        <v>#N/A</v>
        <stp/>
        <stp>BDH|3005511511908606995</stp>
        <tr r="I35" s="21"/>
      </tp>
      <tp t="e">
        <v>#N/A</v>
        <stp/>
        <stp>BDH|2145508938102744014</stp>
        <tr r="M27" s="34"/>
      </tp>
      <tp t="e">
        <v>#N/A</v>
        <stp/>
        <stp>BDH|3689623383973165899</stp>
        <tr r="Q13" s="2"/>
      </tp>
      <tp t="e">
        <v>#N/A</v>
        <stp/>
        <stp>BDH|8985568356286377858</stp>
        <tr r="N13" s="5"/>
      </tp>
      <tp t="e">
        <v>#N/A</v>
        <stp/>
        <stp>BDH|6622403878795838698</stp>
        <tr r="H26" s="34"/>
      </tp>
      <tp t="e">
        <v>#N/A</v>
        <stp/>
        <stp>BDH|2596644989383077975</stp>
        <tr r="U108" s="18"/>
        <tr r="S8" s="20"/>
      </tp>
      <tp t="e">
        <v>#N/A</v>
        <stp/>
        <stp>BDH|5658690146288004968</stp>
        <tr r="R73" s="17"/>
        <tr r="O8" s="5"/>
        <tr r="O8" s="9"/>
      </tp>
      <tp t="e">
        <v>#N/A</v>
        <stp/>
        <stp>BDH|4982922410702724830</stp>
        <tr r="C16" s="22"/>
      </tp>
      <tp t="e">
        <v>#N/A</v>
        <stp/>
        <stp>BDH|4021549557771414383</stp>
        <tr r="N27" s="25"/>
        <tr r="K14" s="5"/>
        <tr r="N17" s="27"/>
      </tp>
      <tp t="e">
        <v>#N/A</v>
        <stp/>
        <stp>BDH|8036528318422495818</stp>
        <tr r="X45" s="18"/>
      </tp>
      <tp t="e">
        <v>#N/A</v>
        <stp/>
        <stp>BDH|2397578023922138195</stp>
        <tr r="P60" s="11"/>
        <tr r="R15" s="23"/>
      </tp>
      <tp t="e">
        <v>#N/A</v>
        <stp/>
        <stp>BDH|6576430743709399997</stp>
        <tr r="P32" s="21"/>
      </tp>
      <tp t="e">
        <v>#N/A</v>
        <stp/>
        <stp>BDH|7432185253915109011</stp>
        <tr r="R27" s="26"/>
        <tr r="O14" s="9"/>
      </tp>
      <tp t="e">
        <v>#N/A</v>
        <stp/>
        <stp>BDH|6040327268505499011</stp>
        <tr r="E8" s="26"/>
      </tp>
      <tp t="e">
        <v>#N/A</v>
        <stp/>
        <stp>BDH|8317460774028924542</stp>
        <tr r="K72" s="24"/>
      </tp>
      <tp t="e">
        <v>#N/A</v>
        <stp/>
        <stp>BDH|2322158039515184327</stp>
        <tr r="P11" s="9"/>
      </tp>
      <tp t="e">
        <v>#N/A</v>
        <stp/>
        <stp>BDH|1526017456636722491</stp>
        <tr r="G39" s="34"/>
      </tp>
      <tp t="e">
        <v>#N/A</v>
        <stp/>
        <stp>BDH|3990134021921671713</stp>
        <tr r="N75" s="12"/>
      </tp>
      <tp t="e">
        <v>#N/A</v>
        <stp/>
        <stp>BDH|8960246665739456302</stp>
        <tr r="E23" s="13"/>
      </tp>
      <tp t="e">
        <v>#N/A</v>
        <stp/>
        <stp>BDH|9512979369192595220</stp>
        <tr r="D10" s="23"/>
      </tp>
      <tp t="e">
        <v>#N/A</v>
        <stp/>
        <stp>BDH|7702180425690321254</stp>
        <tr r="D8" s="22"/>
      </tp>
      <tp t="e">
        <v>#N/A</v>
        <stp/>
        <stp>BDH|4280661571723093095</stp>
        <tr r="H34" s="17"/>
      </tp>
      <tp t="e">
        <v>#N/A</v>
        <stp/>
        <stp>BDH|6899327499002999865</stp>
        <tr r="H33" s="12"/>
      </tp>
      <tp t="e">
        <v>#N/A</v>
        <stp/>
        <stp>BDH|1108495531714679437</stp>
        <tr r="J37" s="6"/>
      </tp>
      <tp t="e">
        <v>#N/A</v>
        <stp/>
        <stp>BDH|2162290652610417323</stp>
        <tr r="I7" s="28"/>
      </tp>
      <tp t="e">
        <v>#N/A</v>
        <stp/>
        <stp>BDH|9315831918497316177</stp>
        <tr r="Z11" s="17"/>
      </tp>
      <tp t="e">
        <v>#N/A</v>
        <stp/>
        <stp>BDH|2025535387241073887</stp>
        <tr r="O52" s="12"/>
      </tp>
      <tp t="e">
        <v>#N/A</v>
        <stp/>
        <stp>BDH|2779636554780578794</stp>
        <tr r="M86" s="18"/>
      </tp>
      <tp t="e">
        <v>#N/A</v>
        <stp/>
        <stp>BDH|7221221004386177593</stp>
        <tr r="F10" s="23"/>
      </tp>
      <tp t="e">
        <v>#N/A</v>
        <stp/>
        <stp>BDH|6386694561855247556</stp>
        <tr r="L24" s="21"/>
      </tp>
      <tp t="e">
        <v>#N/A</v>
        <stp/>
        <stp>BDH|6680551669350382354</stp>
        <tr r="J48" s="18"/>
      </tp>
      <tp t="e">
        <v>#N/A</v>
        <stp/>
        <stp>BDH|4829830787451395339</stp>
        <tr r="N10" s="22"/>
      </tp>
      <tp t="e">
        <v>#N/A</v>
        <stp/>
        <stp>BDH|6690268938478250966</stp>
        <tr r="W25" s="2"/>
        <tr r="Y62" s="21"/>
      </tp>
      <tp t="e">
        <v>#N/A</v>
        <stp/>
        <stp>BDH|6806172330397300508</stp>
        <tr r="E50" s="17"/>
      </tp>
      <tp t="e">
        <v>#N/A</v>
        <stp/>
        <stp>BDH|6002098580589465112</stp>
        <tr r="F55" s="12"/>
      </tp>
      <tp t="e">
        <v>#N/A</v>
        <stp/>
        <stp>BDH|5858080247806801134</stp>
        <tr r="W113" s="18"/>
        <tr r="U14" s="20"/>
      </tp>
      <tp t="e">
        <v>#N/A</v>
        <stp/>
        <stp>BDH|4119987096913429175</stp>
        <tr r="C33" s="22"/>
      </tp>
      <tp t="e">
        <v>#N/A</v>
        <stp/>
        <stp>BDH|3683965567728376285</stp>
        <tr r="D68" s="18"/>
      </tp>
      <tp t="e">
        <v>#N/A</v>
        <stp/>
        <stp>BDH|6864949880734273527</stp>
        <tr r="O62" s="12"/>
      </tp>
      <tp t="e">
        <v>#N/A</v>
        <stp/>
        <stp>BDH|8388333566373327892</stp>
        <tr r="L67" s="10"/>
      </tp>
      <tp t="e">
        <v>#N/A</v>
        <stp/>
        <stp>BDH|9391691184262168336</stp>
        <tr r="P8" s="22"/>
      </tp>
      <tp t="e">
        <v>#N/A</v>
        <stp/>
        <stp>BDH|1107048119710776675</stp>
        <tr r="E72" s="17"/>
        <tr r="E18" s="3"/>
      </tp>
      <tp t="e">
        <v>#N/A</v>
        <stp/>
        <stp>BDH|1724398026012774431</stp>
        <tr r="S31" s="24"/>
      </tp>
      <tp t="e">
        <v>#N/A</v>
        <stp/>
        <stp>BDH|2131351538466030209</stp>
        <tr r="X21" s="5"/>
      </tp>
      <tp t="e">
        <v>#N/A</v>
        <stp/>
        <stp>BDH|5019441309907520047</stp>
        <tr r="U19" s="6"/>
      </tp>
      <tp t="e">
        <v>#N/A</v>
        <stp/>
        <stp>BDH|7271570211480841509</stp>
        <tr r="L16" s="24"/>
      </tp>
      <tp t="e">
        <v>#N/A</v>
        <stp/>
        <stp>BDH|9694998650291609242</stp>
        <tr r="X23" s="26"/>
      </tp>
      <tp t="e">
        <v>#N/A</v>
        <stp/>
        <stp>BDH|2474177324602232585</stp>
        <tr r="O78" s="17"/>
      </tp>
      <tp t="e">
        <v>#N/A</v>
        <stp/>
        <stp>BDH|4429595220342228726</stp>
        <tr r="O143" s="18"/>
      </tp>
      <tp t="e">
        <v>#N/A</v>
        <stp/>
        <stp>BDH|5105634048706714702</stp>
        <tr r="G65" s="12"/>
      </tp>
      <tp t="e">
        <v>#N/A</v>
        <stp/>
        <stp>BDH|2453039261886931427</stp>
        <tr r="M20" s="17"/>
      </tp>
      <tp t="e">
        <v>#N/A</v>
        <stp/>
        <stp>BDH|1654157874303916230</stp>
        <tr r="K21" s="17"/>
      </tp>
      <tp t="e">
        <v>#N/A</v>
        <stp/>
        <stp>BDH|3833695691913943948</stp>
        <tr r="T11" s="13"/>
      </tp>
      <tp t="e">
        <v>#N/A</v>
        <stp/>
        <stp>BDH|3711237778108966882</stp>
        <tr r="T34" s="26"/>
      </tp>
      <tp t="e">
        <v>#N/A</v>
        <stp/>
        <stp>BDH|9983582096113881020</stp>
        <tr r="H51" s="13"/>
      </tp>
      <tp t="e">
        <v>#N/A</v>
        <stp/>
        <stp>BDH|4976006004517462540</stp>
        <tr r="K34" s="18"/>
      </tp>
      <tp t="e">
        <v>#N/A</v>
        <stp/>
        <stp>BDH|5812665222256629176</stp>
        <tr r="O139" s="18"/>
      </tp>
      <tp t="e">
        <v>#N/A</v>
        <stp/>
        <stp>BDH|6197274558456546168</stp>
        <tr r="R20" s="22"/>
      </tp>
      <tp t="e">
        <v>#N/A</v>
        <stp/>
        <stp>BDH|4179580855030202231</stp>
        <tr r="Y11" s="29"/>
      </tp>
      <tp t="e">
        <v>#N/A</v>
        <stp/>
        <stp>BDH|4907190618451347366</stp>
        <tr r="J18" s="13"/>
      </tp>
      <tp t="e">
        <v>#N/A</v>
        <stp/>
        <stp>BDH|5113461884839995677</stp>
        <tr r="Y7" s="8"/>
      </tp>
      <tp t="e">
        <v>#N/A</v>
        <stp/>
        <stp>BDH|2857000036790129729</stp>
        <tr r="F56" s="13"/>
      </tp>
      <tp t="e">
        <v>#N/A</v>
        <stp/>
        <stp>BDH|1346322509027763329</stp>
        <tr r="E23" s="23"/>
      </tp>
      <tp t="e">
        <v>#N/A</v>
        <stp/>
        <stp>BDH|2841006244736653679</stp>
        <tr r="O21" s="25"/>
        <tr r="O10" s="27"/>
      </tp>
      <tp t="e">
        <v>#N/A</v>
        <stp/>
        <stp>BDH|2722092226864409211</stp>
        <tr r="L29" s="10"/>
        <tr r="N34" s="13"/>
      </tp>
      <tp t="e">
        <v>#N/A</v>
        <stp/>
        <stp>BDH|5798374363703812562</stp>
        <tr r="O25" s="6"/>
      </tp>
      <tp t="e">
        <v>#N/A</v>
        <stp/>
        <stp>BDH|7651303846050547689</stp>
        <tr r="O44" s="12"/>
      </tp>
      <tp t="e">
        <v>#N/A</v>
        <stp/>
        <stp>BDH|4680444068741236152</stp>
        <tr r="AA72" s="17"/>
        <tr r="AA18" s="3"/>
      </tp>
      <tp t="e">
        <v>#N/A</v>
        <stp/>
        <stp>BDH|9228795378796650988</stp>
        <tr r="C21" s="17"/>
      </tp>
      <tp t="e">
        <v>#N/A</v>
        <stp/>
        <stp>BDH|1813729992758377165</stp>
        <tr r="Z18" s="17"/>
      </tp>
      <tp t="e">
        <v>#N/A</v>
        <stp/>
        <stp>BDH|1226981895787220009</stp>
        <tr r="U22" s="20"/>
      </tp>
      <tp t="e">
        <v>#N/A</v>
        <stp/>
        <stp>BDH|4494297608145493537</stp>
        <tr r="AA21" s="26"/>
      </tp>
      <tp t="e">
        <v>#N/A</v>
        <stp/>
        <stp>BDH|7786366940211641759</stp>
        <tr r="E24" s="29"/>
      </tp>
      <tp t="e">
        <v>#N/A</v>
        <stp/>
        <stp>BDH|3967031644748983958</stp>
        <tr r="Q11" s="28"/>
      </tp>
      <tp t="e">
        <v>#N/A</v>
        <stp/>
        <stp>BDH|7652064844857619208</stp>
        <tr r="W9" s="12"/>
      </tp>
      <tp t="e">
        <v>#N/A</v>
        <stp/>
        <stp>BDH|4233411989439134796</stp>
        <tr r="G8" s="4"/>
      </tp>
      <tp t="e">
        <v>#N/A</v>
        <stp/>
        <stp>BDH|2537239207347029138</stp>
        <tr r="V46" s="12"/>
      </tp>
      <tp t="e">
        <v>#N/A</v>
        <stp/>
        <stp>BDH|2233113367257133473</stp>
        <tr r="C33" s="21"/>
      </tp>
      <tp t="e">
        <v>#N/A</v>
        <stp/>
        <stp>BDH|8041086044309917372</stp>
        <tr r="O56" s="17"/>
        <tr r="O17" s="3"/>
      </tp>
      <tp t="e">
        <v>#N/A</v>
        <stp/>
        <stp>BDH|9308933796376773935</stp>
        <tr r="O140" s="18"/>
      </tp>
      <tp t="e">
        <v>#N/A</v>
        <stp/>
        <stp>BDH|8149733484617303674</stp>
        <tr r="E15" s="18"/>
      </tp>
      <tp t="e">
        <v>#N/A</v>
        <stp/>
        <stp>BDH|5419216077082611462</stp>
        <tr r="Y61" s="21"/>
      </tp>
      <tp t="e">
        <v>#N/A</v>
        <stp/>
        <stp>BDH|6612401307843268718</stp>
        <tr r="T6" s="2"/>
        <tr r="S6" s="5"/>
        <tr r="S6" s="9"/>
        <tr r="U12" s="8"/>
        <tr r="V10" s="29"/>
        <tr r="V19" s="29"/>
        <tr r="V25" s="29"/>
      </tp>
      <tp t="e">
        <v>#N/A</v>
        <stp/>
        <stp>BDH|1347092522243968634</stp>
        <tr r="M7" s="14"/>
      </tp>
      <tp t="e">
        <v>#N/A</v>
        <stp/>
        <stp>BDH|1443074634950035453</stp>
        <tr r="K21" s="18"/>
      </tp>
      <tp t="e">
        <v>#N/A</v>
        <stp/>
        <stp>BDH|9877164189974128241</stp>
        <tr r="G63" s="21"/>
      </tp>
      <tp t="e">
        <v>#N/A</v>
        <stp/>
        <stp>BDH|8125158300449726617</stp>
        <tr r="I61" s="21"/>
      </tp>
      <tp t="e">
        <v>#N/A</v>
        <stp/>
        <stp>BDH|9202644310850247863</stp>
        <tr r="R105" s="18"/>
      </tp>
      <tp t="e">
        <v>#N/A</v>
        <stp/>
        <stp>BDH|2035107877457026559</stp>
        <tr r="P55" s="13"/>
      </tp>
      <tp t="e">
        <v>#N/A</v>
        <stp/>
        <stp>BDH|1764568195912051968</stp>
        <tr r="W21" s="24"/>
      </tp>
      <tp t="e">
        <v>#N/A</v>
        <stp/>
        <stp>BDH|1948094546924479704</stp>
        <tr r="N10" s="11"/>
      </tp>
      <tp t="e">
        <v>#N/A</v>
        <stp/>
        <stp>BDH|9520700490906405736</stp>
        <tr r="AA26" s="12"/>
      </tp>
      <tp t="e">
        <v>#N/A</v>
        <stp/>
        <stp>BDH|9006950126111856598</stp>
        <tr r="J43" s="22"/>
      </tp>
      <tp t="e">
        <v>#N/A</v>
        <stp/>
        <stp>BDH|6056145403414584502</stp>
        <tr r="R40" s="10"/>
        <tr r="R34" s="11"/>
      </tp>
      <tp t="e">
        <v>#N/A</v>
        <stp/>
        <stp>BDH|4786701923963674409</stp>
        <tr r="I95" s="17"/>
        <tr r="I30" s="25"/>
      </tp>
      <tp t="e">
        <v>#N/A</v>
        <stp/>
        <stp>BDH|2451915089054896178</stp>
        <tr r="X25" s="6"/>
      </tp>
      <tp t="e">
        <v>#N/A</v>
        <stp/>
        <stp>BDH|8167513966004057951</stp>
        <tr r="H16" s="14"/>
      </tp>
      <tp t="e">
        <v>#N/A</v>
        <stp/>
        <stp>BDH|8806385695656513232</stp>
        <tr r="Z112" s="18"/>
        <tr r="Y13" s="20"/>
      </tp>
      <tp t="e">
        <v>#N/A</v>
        <stp/>
        <stp>BDH|6927836086329957962</stp>
        <tr r="N35" s="22"/>
      </tp>
      <tp t="e">
        <v>#N/A</v>
        <stp/>
        <stp>BDH|2449509585268074128</stp>
        <tr r="S43" s="4"/>
      </tp>
      <tp t="e">
        <v>#N/A</v>
        <stp/>
        <stp>BDH|4278236312764115517</stp>
        <tr r="J50" s="13"/>
      </tp>
      <tp t="e">
        <v>#N/A</v>
        <stp/>
        <stp>BDH|3606080320904932349</stp>
        <tr r="N58" s="17"/>
      </tp>
      <tp t="e">
        <v>#N/A</v>
        <stp/>
        <stp>BDH|7273595829815902389</stp>
        <tr r="W82" s="17"/>
        <tr r="W19" s="3"/>
      </tp>
      <tp t="e">
        <v>#N/A</v>
        <stp/>
        <stp>BDH|4768203733384420736</stp>
        <tr r="P45" s="21"/>
      </tp>
      <tp t="e">
        <v>#N/A</v>
        <stp/>
        <stp>BDH|9793162366871579916</stp>
        <tr r="E83" s="18"/>
      </tp>
      <tp t="e">
        <v>#N/A</v>
        <stp/>
        <stp>BDH|4844598687549383664</stp>
        <tr r="L43" s="13"/>
      </tp>
      <tp t="e">
        <v>#N/A</v>
        <stp/>
        <stp>BDH|3156849661338736308</stp>
        <tr r="K47" s="17"/>
      </tp>
      <tp t="e">
        <v>#N/A</v>
        <stp/>
        <stp>BDH|8261302267903022868</stp>
        <tr r="G74" s="17"/>
      </tp>
      <tp t="e">
        <v>#N/A</v>
        <stp/>
        <stp>BDH|5380195232666946728</stp>
        <tr r="Q35" s="18"/>
      </tp>
      <tp t="e">
        <v>#N/A</v>
        <stp/>
        <stp>BDH|4704521037787360327</stp>
        <tr r="X34" s="26"/>
      </tp>
      <tp t="e">
        <v>#N/A</v>
        <stp/>
        <stp>BDH|4143288262167888102</stp>
        <tr r="Y62" s="18"/>
      </tp>
      <tp t="e">
        <v>#N/A</v>
        <stp/>
        <stp>BDH|9312186188782324435</stp>
        <tr r="Y29" s="17"/>
      </tp>
      <tp t="e">
        <v>#N/A</v>
        <stp/>
        <stp>BDH|5890413860350395197</stp>
        <tr r="X19" s="10"/>
      </tp>
      <tp t="e">
        <v>#N/A</v>
        <stp/>
        <stp>BDH|8559844100045775351</stp>
        <tr r="N7" s="21"/>
      </tp>
      <tp t="e">
        <v>#N/A</v>
        <stp/>
        <stp>BDH|4425470617044063372</stp>
        <tr r="M33" s="6"/>
        <tr r="O9" s="8"/>
      </tp>
      <tp t="e">
        <v>#N/A</v>
        <stp/>
        <stp>BDH|2391154598378803458</stp>
        <tr r="D12" s="13"/>
      </tp>
      <tp t="e">
        <v>#N/A</v>
        <stp/>
        <stp>BDH|1923184535421216455</stp>
        <tr r="K63" s="24"/>
      </tp>
      <tp t="e">
        <v>#N/A</v>
        <stp/>
        <stp>BDH|2810251099668035773</stp>
        <tr r="F20" s="11"/>
      </tp>
      <tp t="e">
        <v>#N/A</v>
        <stp/>
        <stp>BDH|7062654407592622573</stp>
        <tr r="G22" s="20"/>
      </tp>
      <tp t="e">
        <v>#N/A</v>
        <stp/>
        <stp>BDH|8768786058268130457</stp>
        <tr r="D12" s="14"/>
      </tp>
      <tp t="e">
        <v>#N/A</v>
        <stp/>
        <stp>BDH|7593367403075355702</stp>
        <tr r="N26" s="13"/>
      </tp>
      <tp t="e">
        <v>#N/A</v>
        <stp/>
        <stp>BDH|4289334826563291069</stp>
        <tr r="H19" s="12"/>
      </tp>
      <tp t="e">
        <v>#N/A</v>
        <stp/>
        <stp>BDH|6927471968881750327</stp>
        <tr r="L20" s="18"/>
      </tp>
      <tp t="e">
        <v>#N/A</v>
        <stp/>
        <stp>BDH|7636021161643250449</stp>
        <tr r="C43" s="21"/>
      </tp>
      <tp t="e">
        <v>#N/A</v>
        <stp/>
        <stp>BDH|8295557883273245050</stp>
        <tr r="U34" s="17"/>
      </tp>
      <tp t="e">
        <v>#N/A</v>
        <stp/>
        <stp>BDH|1310398258885890490</stp>
        <tr r="AA23" s="13"/>
      </tp>
      <tp t="e">
        <v>#N/A</v>
        <stp/>
        <stp>BDH|7770699705381956613</stp>
        <tr r="F59" s="12"/>
      </tp>
      <tp t="e">
        <v>#N/A</v>
        <stp/>
        <stp>BDH|1956792341891557571</stp>
        <tr r="H47" s="12"/>
      </tp>
      <tp t="e">
        <v>#N/A</v>
        <stp/>
        <stp>BDH|5857409246233541080</stp>
        <tr r="L54" s="13"/>
      </tp>
      <tp t="e">
        <v>#N/A</v>
        <stp/>
        <stp>BDH|7145712086396763829</stp>
        <tr r="AA147" s="18"/>
      </tp>
      <tp t="e">
        <v>#N/A</v>
        <stp/>
        <stp>BDH|3393674319530767293</stp>
        <tr r="Q12" s="22"/>
      </tp>
      <tp t="e">
        <v>#N/A</v>
        <stp/>
        <stp>BDH|4014515513967673177</stp>
        <tr r="N118" s="18"/>
      </tp>
      <tp t="e">
        <v>#N/A</v>
        <stp/>
        <stp>BDH|7112096205878803962</stp>
        <tr r="E87" s="17"/>
        <tr r="E20" s="3"/>
        <tr r="C6" s="7"/>
      </tp>
      <tp t="e">
        <v>#N/A</v>
        <stp/>
        <stp>BDH|5486730529986599085</stp>
        <tr r="O14" s="26"/>
      </tp>
      <tp t="e">
        <v>#N/A</v>
        <stp/>
        <stp>BDH|9041702513329985090</stp>
        <tr r="E138" s="18"/>
      </tp>
      <tp t="e">
        <v>#N/A</v>
        <stp/>
        <stp>BDH|5445414997147257939</stp>
        <tr r="G40" s="21"/>
      </tp>
      <tp t="e">
        <v>#N/A</v>
        <stp/>
        <stp>BDH|3002029121405907291</stp>
        <tr r="Y46" s="17"/>
      </tp>
      <tp t="e">
        <v>#N/A</v>
        <stp/>
        <stp>BDH|9453459400628263300</stp>
        <tr r="F22" s="24"/>
      </tp>
      <tp t="e">
        <v>#N/A</v>
        <stp/>
        <stp>BDH|5276883761178931519</stp>
        <tr r="J44" s="17"/>
      </tp>
      <tp t="e">
        <v>#N/A</v>
        <stp/>
        <stp>BDH|2790908488942900756</stp>
        <tr r="Y27" s="25"/>
        <tr r="V14" s="5"/>
        <tr r="Y17" s="27"/>
      </tp>
      <tp t="e">
        <v>#N/A</v>
        <stp/>
        <stp>BDH|2311010233146485166</stp>
        <tr r="I33" s="18"/>
      </tp>
      <tp t="e">
        <v>#N/A</v>
        <stp/>
        <stp>BDH|9767874732420291431</stp>
        <tr r="X63" s="10"/>
      </tp>
      <tp t="e">
        <v>#N/A</v>
        <stp/>
        <stp>BDH|1488130003735293358</stp>
        <tr r="E25" s="13"/>
      </tp>
      <tp t="e">
        <v>#N/A</v>
        <stp/>
        <stp>BDH|2744801794270536565</stp>
        <tr r="G154" s="18"/>
      </tp>
      <tp t="e">
        <v>#N/A</v>
        <stp/>
        <stp>BDH|6814773061004716592</stp>
        <tr r="S31" s="17"/>
      </tp>
      <tp t="e">
        <v>#N/A</v>
        <stp/>
        <stp>BDH|7391351098669894266</stp>
        <tr r="T28" s="12"/>
      </tp>
      <tp t="e">
        <v>#N/A</v>
        <stp/>
        <stp>BDH|9279856666646534745</stp>
        <tr r="V132" s="18"/>
      </tp>
      <tp t="e">
        <v>#N/A</v>
        <stp/>
        <stp>BDH|2203553626394857794</stp>
        <tr r="X62" s="24"/>
      </tp>
      <tp t="e">
        <v>#N/A</v>
        <stp/>
        <stp>BDH|4536037257635545246</stp>
        <tr r="I33" s="17"/>
      </tp>
      <tp t="e">
        <v>#N/A</v>
        <stp/>
        <stp>BDH|5349715087169214571</stp>
        <tr r="X27" s="26"/>
        <tr r="U14" s="9"/>
      </tp>
      <tp t="e">
        <v>#N/A</v>
        <stp/>
        <stp>BDH|9946318488901319534</stp>
        <tr r="M64" s="12"/>
      </tp>
      <tp t="e">
        <v>#N/A</v>
        <stp/>
        <stp>BDH|1449665471246576067</stp>
        <tr r="C25" s="10"/>
      </tp>
      <tp t="e">
        <v>#N/A</v>
        <stp/>
        <stp>BDH|3965343109780525613</stp>
        <tr r="X45" s="17"/>
        <tr r="X9" s="25"/>
      </tp>
      <tp t="e">
        <v>#N/A</v>
        <stp/>
        <stp>BDH|2241732172223442772</stp>
        <tr r="M15" s="18"/>
      </tp>
      <tp t="e">
        <v>#N/A</v>
        <stp/>
        <stp>BDH|2884519512661974122</stp>
        <tr r="C10" s="2"/>
        <tr r="E31" s="29"/>
        <tr r="E39" s="29"/>
      </tp>
      <tp t="e">
        <v>#N/A</v>
        <stp/>
        <stp>BDH|5638702231204196368</stp>
        <tr r="I88" s="18"/>
      </tp>
      <tp t="e">
        <v>#N/A</v>
        <stp/>
        <stp>BDH|2933148951923915351</stp>
        <tr r="Y72" s="18"/>
      </tp>
      <tp t="e">
        <v>#N/A</v>
        <stp/>
        <stp>BDH|4268497049440754252</stp>
        <tr r="H36" s="22"/>
      </tp>
      <tp t="e">
        <v>#N/A</v>
        <stp/>
        <stp>BDH|2192866930786344949</stp>
        <tr r="G54" s="17"/>
      </tp>
      <tp t="e">
        <v>#N/A</v>
        <stp/>
        <stp>BDH|4464875342346350820</stp>
        <tr r="N20" s="24"/>
      </tp>
      <tp t="e">
        <v>#N/A</v>
        <stp/>
        <stp>BDH|5902120149286438064</stp>
        <tr r="E22" s="30"/>
        <tr r="E25" s="23"/>
      </tp>
      <tp t="e">
        <v>#N/A</v>
        <stp/>
        <stp>BDH|9228742146558141414</stp>
        <tr r="AA10" s="12"/>
      </tp>
      <tp t="e">
        <v>#N/A</v>
        <stp/>
        <stp>BDH|7003391996593766886</stp>
        <tr r="M19" s="20"/>
      </tp>
      <tp t="e">
        <v>#N/A</v>
        <stp/>
        <stp>BDH|1512730489370629894</stp>
        <tr r="P12" s="10"/>
      </tp>
      <tp t="e">
        <v>#N/A</v>
        <stp/>
        <stp>BDH|3725627242552646513</stp>
        <tr r="D33" s="34"/>
      </tp>
      <tp t="e">
        <v>#N/A</v>
        <stp/>
        <stp>BDH|4034913042249110624</stp>
        <tr r="Y10" s="11"/>
      </tp>
      <tp t="e">
        <v>#N/A</v>
        <stp/>
        <stp>BDH|7196405848337116689</stp>
        <tr r="I32" s="17"/>
      </tp>
      <tp t="e">
        <v>#N/A</v>
        <stp/>
        <stp>BDH|5406137339094939572</stp>
        <tr r="K27" s="6"/>
      </tp>
      <tp t="e">
        <v>#N/A</v>
        <stp/>
        <stp>BDH|7212552849581815161</stp>
        <tr r="W70" s="18"/>
      </tp>
      <tp t="e">
        <v>#N/A</v>
        <stp/>
        <stp>BDH|4942901331681022987</stp>
        <tr r="T75" s="17"/>
      </tp>
      <tp t="e">
        <v>#N/A</v>
        <stp/>
        <stp>BDH|4880180835231667135</stp>
        <tr r="M17" s="10"/>
      </tp>
      <tp t="e">
        <v>#N/A</v>
        <stp/>
        <stp>BDH|7003826594823355353</stp>
        <tr r="M7" s="24"/>
      </tp>
      <tp t="e">
        <v>#N/A</v>
        <stp/>
        <stp>BDH|3681772854650632737</stp>
        <tr r="Q24" s="29"/>
      </tp>
      <tp t="e">
        <v>#N/A</v>
        <stp/>
        <stp>BDH|8115963675068412868</stp>
        <tr r="K32" s="6"/>
        <tr r="M6" s="8"/>
      </tp>
      <tp t="e">
        <v>#N/A</v>
        <stp/>
        <stp>BDH|9989717360068858600</stp>
        <tr r="L7" s="21"/>
      </tp>
      <tp t="e">
        <v>#N/A</v>
        <stp/>
        <stp>BDH|2165686114332592180</stp>
        <tr r="J15" s="9"/>
      </tp>
      <tp t="e">
        <v>#N/A</v>
        <stp/>
        <stp>BDH|4970697246999511932</stp>
        <tr r="X13" s="2"/>
      </tp>
      <tp t="e">
        <v>#N/A</v>
        <stp/>
        <stp>BDH|1100587748232681470</stp>
        <tr r="V91" s="17"/>
      </tp>
      <tp t="e">
        <v>#N/A</v>
        <stp/>
        <stp>BDH|3187312365528039851</stp>
        <tr r="W78" s="17"/>
      </tp>
      <tp t="e">
        <v>#N/A</v>
        <stp/>
        <stp>BDH|1202511943725930398</stp>
        <tr r="T24" s="24"/>
      </tp>
      <tp t="e">
        <v>#N/A</v>
        <stp/>
        <stp>BDH|9134095209846344926</stp>
        <tr r="O18" s="22"/>
      </tp>
      <tp t="e">
        <v>#N/A</v>
        <stp/>
        <stp>BDH|8390406491862293102</stp>
        <tr r="N122" s="18"/>
      </tp>
      <tp t="e">
        <v>#N/A</v>
        <stp/>
        <stp>BDH|2584334920173728613</stp>
        <tr r="T36" s="21"/>
      </tp>
      <tp t="e">
        <v>#N/A</v>
        <stp/>
        <stp>BDH|4195473919627781088</stp>
        <tr r="K62" s="17"/>
      </tp>
      <tp t="e">
        <v>#N/A</v>
        <stp/>
        <stp>BDH|5261333917798592934</stp>
        <tr r="D27" s="7"/>
      </tp>
      <tp t="e">
        <v>#N/A</v>
        <stp/>
        <stp>BDH|6297734196319423732</stp>
        <tr r="D112" s="18"/>
      </tp>
      <tp t="e">
        <v>#N/A</v>
        <stp/>
        <stp>BDH|8143603601248685063</stp>
        <tr r="U142" s="18"/>
      </tp>
      <tp t="e">
        <v>#N/A</v>
        <stp/>
        <stp>BDH|8432659995832196355</stp>
        <tr r="I35" s="22"/>
      </tp>
      <tp t="e">
        <v>#N/A</v>
        <stp/>
        <stp>BDH|6257871084488580859</stp>
        <tr r="X98" s="17"/>
        <tr r="X13" s="28"/>
      </tp>
      <tp t="e">
        <v>#N/A</v>
        <stp/>
        <stp>BDH|2147347438333834743</stp>
        <tr r="N17" s="4"/>
        <tr r="P10" s="3"/>
        <tr r="N55" s="10"/>
        <tr r="N49" s="11"/>
        <tr r="N17" s="7"/>
        <tr r="P49" s="13"/>
      </tp>
      <tp t="e">
        <v>#N/A</v>
        <stp/>
        <stp>BDH|1248717576921088642</stp>
        <tr r="K44" s="12"/>
      </tp>
      <tp t="e">
        <v>#N/A</v>
        <stp/>
        <stp>BDH|3588159739787976011</stp>
        <tr r="H67" s="18"/>
      </tp>
      <tp t="e">
        <v>#N/A</v>
        <stp/>
        <stp>BDH|6326294775012711797</stp>
        <tr r="V57" s="18"/>
      </tp>
      <tp t="e">
        <v>#N/A</v>
        <stp/>
        <stp>BDH|3701006350983462329</stp>
        <tr r="W75" s="17"/>
      </tp>
      <tp t="e">
        <v>#N/A</v>
        <stp/>
        <stp>BDH|5028858291492689036</stp>
        <tr r="F14" s="28"/>
      </tp>
      <tp t="e">
        <v>#N/A</v>
        <stp/>
        <stp>BDH|5195114154671038658</stp>
        <tr r="X160" s="18"/>
      </tp>
      <tp t="e">
        <v>#N/A</v>
        <stp/>
        <stp>BDH|8774657137413358872</stp>
        <tr r="X14" s="28"/>
      </tp>
      <tp t="e">
        <v>#N/A</v>
        <stp/>
        <stp>BDH|3371094275281800362</stp>
        <tr r="Q20" s="12"/>
      </tp>
      <tp t="e">
        <v>#N/A</v>
        <stp/>
        <stp>BDH|6475125047597103215</stp>
        <tr r="C10" s="34"/>
      </tp>
      <tp t="e">
        <v>#N/A</v>
        <stp/>
        <stp>BDH|5217657212580445405</stp>
        <tr r="U43" s="21"/>
      </tp>
      <tp t="e">
        <v>#N/A</v>
        <stp/>
        <stp>BDH|9266039013746287815</stp>
        <tr r="F19" s="20"/>
      </tp>
      <tp t="e">
        <v>#N/A</v>
        <stp/>
        <stp>BDH|1649671331284802692</stp>
        <tr r="K10" s="23"/>
      </tp>
      <tp t="e">
        <v>#N/A</v>
        <stp/>
        <stp>BDH|8314622135442202973</stp>
        <tr r="U67" s="10"/>
      </tp>
      <tp t="e">
        <v>#N/A</v>
        <stp/>
        <stp>BDH|3938593806488007870</stp>
        <tr r="N18" s="6"/>
      </tp>
      <tp t="e">
        <v>#N/A</v>
        <stp/>
        <stp>BDH|9818864410837880171</stp>
        <tr r="M23" s="2"/>
        <tr r="O18" s="21"/>
        <tr r="O23" s="3"/>
      </tp>
      <tp t="e">
        <v>#N/A</v>
        <stp/>
        <stp>BDH|2707282877657810611</stp>
        <tr r="K10" s="13"/>
      </tp>
      <tp t="e">
        <v>#N/A</v>
        <stp/>
        <stp>BDH|8521760572609762775</stp>
        <tr r="P21" s="10"/>
      </tp>
      <tp t="e">
        <v>#N/A</v>
        <stp/>
        <stp>BDH|2209555064134336310</stp>
        <tr r="P6" s="2"/>
        <tr r="O6" s="5"/>
        <tr r="O6" s="9"/>
        <tr r="Q12" s="8"/>
        <tr r="R10" s="29"/>
        <tr r="R19" s="29"/>
        <tr r="R25" s="29"/>
      </tp>
      <tp t="e">
        <v>#N/A</v>
        <stp/>
        <stp>BDH|6171404685494442814</stp>
        <tr r="E50" s="12"/>
      </tp>
      <tp t="e">
        <v>#N/A</v>
        <stp/>
        <stp>BDH|5635890985533949024</stp>
        <tr r="J104" s="18"/>
      </tp>
      <tp t="e">
        <v>#N/A</v>
        <stp/>
        <stp>BDH|1625678574917160153</stp>
        <tr r="C26" s="21"/>
      </tp>
      <tp t="e">
        <v>#N/A</v>
        <stp/>
        <stp>BDH|2860594964500661727</stp>
        <tr r="I164" s="18"/>
      </tp>
      <tp t="e">
        <v>#N/A</v>
        <stp/>
        <stp>BDH|3130915450288304122</stp>
        <tr r="K23" s="21"/>
      </tp>
      <tp t="e">
        <v>#N/A</v>
        <stp/>
        <stp>BDH|5579028034598650846</stp>
        <tr r="Z54" s="18"/>
      </tp>
      <tp t="e">
        <v>#N/A</v>
        <stp/>
        <stp>BDH|6039581336711656799</stp>
        <tr r="X60" s="12"/>
      </tp>
      <tp t="e">
        <v>#N/A</v>
        <stp/>
        <stp>BDH|3383447419604902461</stp>
        <tr r="S116" s="18"/>
      </tp>
      <tp t="e">
        <v>#N/A</v>
        <stp/>
        <stp>BDH|8140550452527093970</stp>
        <tr r="V17" s="9"/>
      </tp>
      <tp t="e">
        <v>#N/A</v>
        <stp/>
        <stp>BDH|4982042331454533586</stp>
        <tr r="P133" s="18"/>
      </tp>
      <tp t="e">
        <v>#N/A</v>
        <stp/>
        <stp>BDH|8293600589226864626</stp>
        <tr r="R35" s="12"/>
      </tp>
      <tp t="e">
        <v>#N/A</v>
        <stp/>
        <stp>BDH|5894065739226360653</stp>
        <tr r="C12" s="24"/>
      </tp>
      <tp t="e">
        <v>#N/A</v>
        <stp/>
        <stp>BDH|3899330700113903533</stp>
        <tr r="I60" s="24"/>
      </tp>
      <tp t="e">
        <v>#N/A</v>
        <stp/>
        <stp>BDH|8347541886846410547</stp>
        <tr r="F54" s="21"/>
      </tp>
      <tp t="e">
        <v>#N/A</v>
        <stp/>
        <stp>BDH|2216723415755667729</stp>
        <tr r="Z55" s="24"/>
      </tp>
      <tp t="e">
        <v>#N/A</v>
        <stp/>
        <stp>BDH|5036738906365659127</stp>
        <tr r="S62" s="10"/>
      </tp>
      <tp t="e">
        <v>#N/A</v>
        <stp/>
        <stp>BDH|6629192729483776009</stp>
        <tr r="P56" s="17"/>
        <tr r="P17" s="3"/>
      </tp>
      <tp t="e">
        <v>#N/A</v>
        <stp/>
        <stp>BDH|2289329641840922391</stp>
        <tr r="H71" s="17"/>
      </tp>
      <tp t="e">
        <v>#N/A</v>
        <stp/>
        <stp>BDH|6341299725429643980</stp>
        <tr r="D7" s="28"/>
      </tp>
      <tp t="e">
        <v>#N/A</v>
        <stp/>
        <stp>BDH|6384138479836919014</stp>
        <tr r="E10" s="2"/>
        <tr r="D11" s="5"/>
        <tr r="D36" s="6"/>
        <tr r="G31" s="29"/>
        <tr r="G39" s="29"/>
      </tp>
      <tp t="e">
        <v>#N/A</v>
        <stp/>
        <stp>BDH|6420533643811361063</stp>
        <tr r="L143" s="18"/>
      </tp>
      <tp t="e">
        <v>#N/A</v>
        <stp/>
        <stp>BDH|2081683124397458791</stp>
        <tr r="AA73" s="24"/>
      </tp>
      <tp t="e">
        <v>#N/A</v>
        <stp/>
        <stp>BDH|5155162463674396067</stp>
        <tr r="N16" s="29"/>
        <tr r="N36" s="29"/>
      </tp>
      <tp t="e">
        <v>#N/A</v>
        <stp/>
        <stp>BDH|6957899385339614921</stp>
        <tr r="F31" s="25"/>
      </tp>
      <tp t="e">
        <v>#N/A</v>
        <stp/>
        <stp>BDH|2487404614250202130</stp>
        <tr r="U76" s="17"/>
      </tp>
      <tp t="e">
        <v>#N/A</v>
        <stp/>
        <stp>BDH|6743617742637600544</stp>
        <tr r="H10" s="22"/>
      </tp>
      <tp t="e">
        <v>#N/A</v>
        <stp/>
        <stp>BDH|7757363726727845794</stp>
        <tr r="E40" s="29"/>
      </tp>
      <tp t="e">
        <v>#N/A</v>
        <stp/>
        <stp>BDH|1605898678109091111</stp>
        <tr r="N18" s="24"/>
      </tp>
      <tp t="e">
        <v>#N/A</v>
        <stp/>
        <stp>BDH|4838302712034982458</stp>
        <tr r="D69" s="10"/>
        <tr r="D63" s="11"/>
        <tr r="D20" s="7"/>
      </tp>
      <tp t="e">
        <v>#N/A</v>
        <stp/>
        <stp>BDH|6833289465363299711</stp>
        <tr r="S27" s="5"/>
        <tr r="S27" s="9"/>
      </tp>
      <tp t="e">
        <v>#N/A</v>
        <stp/>
        <stp>BDH|1149352250607372616</stp>
        <tr r="H7" s="4"/>
      </tp>
      <tp t="e">
        <v>#N/A</v>
        <stp/>
        <stp>BDH|1078675906629247850</stp>
        <tr r="E22" s="5"/>
      </tp>
      <tp t="e">
        <v>#N/A</v>
        <stp/>
        <stp>BDH|8044126080711131656</stp>
        <tr r="H58" s="17"/>
      </tp>
      <tp t="e">
        <v>#N/A</v>
        <stp/>
        <stp>BDH|4135606066477614570</stp>
        <tr r="U10" s="17"/>
      </tp>
      <tp t="e">
        <v>#N/A</v>
        <stp/>
        <stp>BDH|2450680774204659182</stp>
        <tr r="N61" s="24"/>
      </tp>
      <tp t="e">
        <v>#N/A</v>
        <stp/>
        <stp>BDH|4570533676626052664</stp>
        <tr r="G16" s="18"/>
      </tp>
      <tp t="e">
        <v>#N/A</v>
        <stp/>
        <stp>BDH|4871872586664684698</stp>
        <tr r="E26" s="18"/>
      </tp>
      <tp t="e">
        <v>#N/A</v>
        <stp/>
        <stp>BDH|9500477017122539866</stp>
        <tr r="C39" s="22"/>
      </tp>
      <tp t="e">
        <v>#N/A</v>
        <stp/>
        <stp>BDH|9738914197698143767</stp>
        <tr r="R85" s="18"/>
      </tp>
      <tp t="e">
        <v>#N/A</v>
        <stp/>
        <stp>BDH|8309585184473928006</stp>
        <tr r="H67" s="12"/>
      </tp>
      <tp t="e">
        <v>#N/A</v>
        <stp/>
        <stp>BDH|1391358023461744744</stp>
        <tr r="K151" s="18"/>
      </tp>
      <tp t="e">
        <v>#N/A</v>
        <stp/>
        <stp>BDH|2144010800334502032</stp>
        <tr r="R8" s="2"/>
      </tp>
      <tp t="e">
        <v>#N/A</v>
        <stp/>
        <stp>BDH|5388331075335674258</stp>
        <tr r="F24" s="20"/>
      </tp>
      <tp t="e">
        <v>#N/A</v>
        <stp/>
        <stp>BDH|5127502534130210514</stp>
        <tr r="Z32" s="22"/>
      </tp>
      <tp t="e">
        <v>#N/A</v>
        <stp/>
        <stp>BDH|8172274600229217524</stp>
        <tr r="L22" s="27"/>
      </tp>
      <tp t="e">
        <v>#N/A</v>
        <stp/>
        <stp>BDH|8835348189983014637</stp>
        <tr r="H24" s="2"/>
      </tp>
      <tp t="e">
        <v>#N/A</v>
        <stp/>
        <stp>BDH|3655494079841567758</stp>
        <tr r="J120" s="18"/>
      </tp>
      <tp t="e">
        <v>#N/A</v>
        <stp/>
        <stp>BDH|1505456335095641555</stp>
        <tr r="D18" s="10"/>
        <tr r="F16" s="13"/>
        <tr r="F27" s="13"/>
      </tp>
      <tp t="e">
        <v>#N/A</v>
        <stp/>
        <stp>BDH|9727315648121899908</stp>
        <tr r="K132" s="18"/>
      </tp>
      <tp t="e">
        <v>#N/A</v>
        <stp/>
        <stp>BDH|6943797374849398914</stp>
        <tr r="O74" s="17"/>
      </tp>
      <tp t="e">
        <v>#N/A</v>
        <stp/>
        <stp>BDH|2758271701750637616</stp>
        <tr r="Y59" s="18"/>
      </tp>
      <tp t="e">
        <v>#N/A</v>
        <stp/>
        <stp>BDH|2347826088696920260</stp>
        <tr r="X76" s="17"/>
      </tp>
      <tp t="e">
        <v>#N/A</v>
        <stp/>
        <stp>BDH|1106443048770379785</stp>
        <tr r="H10" s="6"/>
      </tp>
      <tp t="e">
        <v>#N/A</v>
        <stp/>
        <stp>BDH|4257892541278582694</stp>
        <tr r="U6" s="15"/>
        <tr r="U12" s="2"/>
        <tr r="U11" s="4"/>
        <tr r="U6" s="10"/>
      </tp>
      <tp t="e">
        <v>#N/A</v>
        <stp/>
        <stp>BDH|8668966853361227378</stp>
        <tr r="Q70" s="18"/>
      </tp>
      <tp t="e">
        <v>#N/A</v>
        <stp/>
        <stp>BDH|7813828829928291370</stp>
        <tr r="Z89" s="18"/>
      </tp>
      <tp t="e">
        <v>#N/A</v>
        <stp/>
        <stp>BDH|1592791008468428866</stp>
        <tr r="D47" s="21"/>
      </tp>
      <tp t="e">
        <v>#N/A</v>
        <stp/>
        <stp>BDH|5662675139055898362</stp>
        <tr r="I77" s="18"/>
      </tp>
      <tp t="e">
        <v>#N/A</v>
        <stp/>
        <stp>BDH|8766981059593619168</stp>
        <tr r="P40" s="34"/>
      </tp>
      <tp t="e">
        <v>#N/A</v>
        <stp/>
        <stp>BDH|4881693784108641455</stp>
        <tr r="Y153" s="18"/>
      </tp>
      <tp t="e">
        <v>#N/A</v>
        <stp/>
        <stp>BDH|1449566565505782164</stp>
        <tr r="G63" s="17"/>
      </tp>
      <tp t="e">
        <v>#N/A</v>
        <stp/>
        <stp>BDH|3713229273036528651</stp>
        <tr r="Y54" s="18"/>
      </tp>
      <tp t="e">
        <v>#N/A</v>
        <stp/>
        <stp>BDH|4037533304235811299</stp>
        <tr r="V17" s="23"/>
      </tp>
      <tp t="e">
        <v>#N/A</v>
        <stp/>
        <stp>BDH|9368906090997346867</stp>
        <tr r="H152" s="18"/>
      </tp>
      <tp t="e">
        <v>#N/A</v>
        <stp/>
        <stp>BDH|8180862350983018018</stp>
        <tr r="F52" s="12"/>
      </tp>
      <tp t="e">
        <v>#N/A</v>
        <stp/>
        <stp>BDH|9672591187404900678</stp>
        <tr r="K44" s="17"/>
      </tp>
      <tp t="e">
        <v>#N/A</v>
        <stp/>
        <stp>BDH|2283156360777849497</stp>
        <tr r="X15" s="24"/>
      </tp>
      <tp t="e">
        <v>#N/A</v>
        <stp/>
        <stp>BDH|1229369763834105609</stp>
        <tr r="W49" s="21"/>
      </tp>
      <tp t="e">
        <v>#N/A</v>
        <stp/>
        <stp>BDH|8869836783936766895</stp>
        <tr r="G48" s="17"/>
      </tp>
      <tp t="e">
        <v>#N/A</v>
        <stp/>
        <stp>BDH|3325852492603795752</stp>
        <tr r="AA13" s="18"/>
      </tp>
      <tp t="e">
        <v>#N/A</v>
        <stp/>
        <stp>BDH|6374719955730869292</stp>
        <tr r="Y121" s="18"/>
      </tp>
      <tp t="e">
        <v>#N/A</v>
        <stp/>
        <stp>BDH|8384631828193805965</stp>
        <tr r="N68" s="18"/>
      </tp>
      <tp t="e">
        <v>#N/A</v>
        <stp/>
        <stp>BDH|3667699229749472842</stp>
        <tr r="O99" s="17"/>
      </tp>
      <tp t="e">
        <v>#N/A</v>
        <stp/>
        <stp>BDH|6373656880496511859</stp>
        <tr r="G9" s="11"/>
      </tp>
      <tp t="e">
        <v>#N/A</v>
        <stp/>
        <stp>BDH|5989253510849266988</stp>
        <tr r="N66" s="17"/>
      </tp>
      <tp t="e">
        <v>#N/A</v>
        <stp/>
        <stp>BDH|4097368925334467719</stp>
        <tr r="D45" s="17"/>
        <tr r="D9" s="25"/>
      </tp>
      <tp t="e">
        <v>#N/A</v>
        <stp/>
        <stp>BDH|9476921981586665879</stp>
        <tr r="N61" s="18"/>
      </tp>
      <tp t="e">
        <v>#N/A</v>
        <stp/>
        <stp>BDH|8179107692605296373</stp>
        <tr r="P88" s="18"/>
      </tp>
      <tp t="e">
        <v>#N/A</v>
        <stp/>
        <stp>BDH|7630403245881301064</stp>
        <tr r="G127" s="18"/>
      </tp>
      <tp t="e">
        <v>#N/A</v>
        <stp/>
        <stp>BDH|5395055968712029786</stp>
        <tr r="AA127" s="18"/>
      </tp>
      <tp t="e">
        <v>#N/A</v>
        <stp/>
        <stp>BDH|1005660631414734668</stp>
        <tr r="O22" s="21"/>
      </tp>
      <tp t="e">
        <v>#N/A</v>
        <stp/>
        <stp>BDH|8167752963678457758</stp>
        <tr r="H22" s="26"/>
      </tp>
      <tp t="e">
        <v>#N/A</v>
        <stp/>
        <stp>BDH|7463794674711977073</stp>
        <tr r="V99" s="18"/>
      </tp>
      <tp t="e">
        <v>#N/A</v>
        <stp/>
        <stp>BDH|2157017168406849472</stp>
        <tr r="Q89" s="17"/>
      </tp>
      <tp t="e">
        <v>#N/A</v>
        <stp/>
        <stp>BDH|6021600064641672150</stp>
        <tr r="T41" s="21"/>
      </tp>
      <tp t="e">
        <v>#N/A</v>
        <stp/>
        <stp>BDH|8595600991868246916</stp>
        <tr r="Y9" s="18"/>
      </tp>
      <tp t="e">
        <v>#N/A</v>
        <stp/>
        <stp>BDH|6922571790194802811</stp>
        <tr r="E27" s="17"/>
      </tp>
      <tp t="e">
        <v>#N/A</v>
        <stp/>
        <stp>BDH|3022155483425977986</stp>
        <tr r="I105" s="18"/>
      </tp>
      <tp t="e">
        <v>#N/A</v>
        <stp/>
        <stp>BDH|8520681233598106384</stp>
        <tr r="C17" s="4"/>
        <tr r="E10" s="3"/>
        <tr r="C55" s="10"/>
        <tr r="C49" s="11"/>
        <tr r="C17" s="7"/>
        <tr r="E49" s="13"/>
      </tp>
      <tp t="e">
        <v>#N/A</v>
        <stp/>
        <stp>BDH|2820760036501727180</stp>
        <tr r="D69" s="12"/>
      </tp>
      <tp t="e">
        <v>#N/A</v>
        <stp/>
        <stp>BDH|4822202732263833054</stp>
        <tr r="T14" s="8"/>
      </tp>
      <tp t="e">
        <v>#N/A</v>
        <stp/>
        <stp>BDH|9786228851920241818</stp>
        <tr r="R65" s="18"/>
      </tp>
      <tp t="e">
        <v>#N/A</v>
        <stp/>
        <stp>BDH|8951074492020209794</stp>
        <tr r="I48" s="17"/>
      </tp>
      <tp t="e">
        <v>#N/A</v>
        <stp/>
        <stp>BDH|2201123365600615340</stp>
        <tr r="E134" s="18"/>
      </tp>
      <tp t="e">
        <v>#N/A</v>
        <stp/>
        <stp>BDH|4101861097197364442</stp>
        <tr r="M10" s="26"/>
      </tp>
      <tp t="e">
        <v>#N/A</v>
        <stp/>
        <stp>BDH|5765767897274424955</stp>
        <tr r="S10" s="11"/>
      </tp>
      <tp t="e">
        <v>#N/A</v>
        <stp/>
        <stp>BDH|7742834195175253543</stp>
        <tr r="V28" s="4"/>
      </tp>
      <tp t="e">
        <v>#N/A</v>
        <stp/>
        <stp>BDH|4756662433060763728</stp>
        <tr r="R24" s="21"/>
      </tp>
      <tp t="e">
        <v>#N/A</v>
        <stp/>
        <stp>BDH|1057678368663950417</stp>
        <tr r="J9" s="27"/>
      </tp>
      <tp t="e">
        <v>#N/A</v>
        <stp/>
        <stp>BDH|1073678446246574332</stp>
        <tr r="V22" s="4"/>
      </tp>
      <tp t="e">
        <v>#N/A</v>
        <stp/>
        <stp>BDH|9056852272831724175</stp>
        <tr r="G57" s="18"/>
      </tp>
      <tp t="e">
        <v>#N/A</v>
        <stp/>
        <stp>BDH|1568710509810930035</stp>
        <tr r="AA48" s="12"/>
      </tp>
      <tp t="e">
        <v>#N/A</v>
        <stp/>
        <stp>BDH|7340343862563088721</stp>
        <tr r="X96" s="18"/>
      </tp>
      <tp t="e">
        <v>#N/A</v>
        <stp/>
        <stp>BDH|2655759354533662564</stp>
        <tr r="Z59" s="17"/>
      </tp>
      <tp t="e">
        <v>#N/A</v>
        <stp/>
        <stp>BDH|2742738285113670801</stp>
        <tr r="V13" s="2"/>
      </tp>
      <tp t="e">
        <v>#N/A</v>
        <stp/>
        <stp>BDH|7927454411473212789</stp>
        <tr r="Q73" s="17"/>
        <tr r="N8" s="5"/>
        <tr r="N8" s="9"/>
      </tp>
      <tp t="e">
        <v>#N/A</v>
        <stp/>
        <stp>BDH|5188921576685365815</stp>
        <tr r="G29" s="9"/>
      </tp>
      <tp t="e">
        <v>#N/A</v>
        <stp/>
        <stp>BDH|7830794846626651468</stp>
        <tr r="O43" s="4"/>
      </tp>
      <tp t="e">
        <v>#N/A</v>
        <stp/>
        <stp>BDH|9854138094170054786</stp>
        <tr r="M16" s="18"/>
      </tp>
      <tp t="e">
        <v>#N/A</v>
        <stp/>
        <stp>BDH|3239479119136855630</stp>
        <tr r="V31" s="24"/>
      </tp>
      <tp t="e">
        <v>#N/A</v>
        <stp/>
        <stp>BDH|1422554819930762387</stp>
        <tr r="Q124" s="18"/>
      </tp>
      <tp t="e">
        <v>#N/A</v>
        <stp/>
        <stp>BDH|8766997151447376583</stp>
        <tr r="T80" s="17"/>
      </tp>
      <tp t="e">
        <v>#N/A</v>
        <stp/>
        <stp>BDH|4881882315939741266</stp>
        <tr r="V36" s="22"/>
      </tp>
      <tp t="e">
        <v>#N/A</v>
        <stp/>
        <stp>BDH|6306468707842742614</stp>
        <tr r="D33" s="13"/>
      </tp>
      <tp t="e">
        <v>#N/A</v>
        <stp/>
        <stp>BDH|5125413131162492619</stp>
        <tr r="K41" s="21"/>
      </tp>
      <tp t="e">
        <v>#N/A</v>
        <stp/>
        <stp>BDH|7178880037938287286</stp>
        <tr r="G15" s="26"/>
      </tp>
      <tp t="e">
        <v>#N/A</v>
        <stp/>
        <stp>BDH|2141240007773115571</stp>
        <tr r="T119" s="18"/>
      </tp>
      <tp t="e">
        <v>#N/A</v>
        <stp/>
        <stp>BDH|9510760395769079822</stp>
        <tr r="C9" s="6"/>
      </tp>
      <tp t="e">
        <v>#N/A</v>
        <stp/>
        <stp>BDH|5832087713696386449</stp>
        <tr r="K27" s="7"/>
      </tp>
      <tp t="e">
        <v>#N/A</v>
        <stp/>
        <stp>BDH|8947374298326163237</stp>
        <tr r="S65" s="21"/>
        <tr r="Q23" s="7"/>
      </tp>
      <tp t="e">
        <v>#N/A</v>
        <stp/>
        <stp>BDH|2079371254982294054</stp>
        <tr r="Z13" s="12"/>
      </tp>
      <tp t="e">
        <v>#N/A</v>
        <stp/>
        <stp>BDH|3552596683628321085</stp>
        <tr r="G10" s="17"/>
      </tp>
      <tp t="e">
        <v>#N/A</v>
        <stp/>
        <stp>BDH|7788894884536854768</stp>
        <tr r="J46" s="17"/>
      </tp>
      <tp t="e">
        <v>#N/A</v>
        <stp/>
        <stp>BDH|7174097653386808277</stp>
        <tr r="D39" s="10"/>
        <tr r="D33" s="11"/>
      </tp>
      <tp t="e">
        <v>#N/A</v>
        <stp/>
        <stp>BDH|9622400821460150927</stp>
        <tr r="H13" s="7"/>
      </tp>
      <tp t="e">
        <v>#N/A</v>
        <stp/>
        <stp>BDH|1691616111296501679</stp>
        <tr r="X19" s="11"/>
      </tp>
      <tp t="e">
        <v>#N/A</v>
        <stp/>
        <stp>BDH|6917191830676101451</stp>
        <tr r="L20" s="12"/>
      </tp>
      <tp t="e">
        <v>#N/A</v>
        <stp/>
        <stp>BDH|7798818500581411863</stp>
        <tr r="I14" s="13"/>
      </tp>
      <tp t="e">
        <v>#N/A</v>
        <stp/>
        <stp>BDH|8964115456509832323</stp>
        <tr r="F9" s="18"/>
      </tp>
      <tp t="e">
        <v>#N/A</v>
        <stp/>
        <stp>BDH|1406256359625814547</stp>
        <tr r="E11" s="9"/>
      </tp>
      <tp t="e">
        <v>#N/A</v>
        <stp/>
        <stp>BDH|6079502583048145568</stp>
        <tr r="I41" s="10"/>
        <tr r="I35" s="11"/>
      </tp>
      <tp t="e">
        <v>#N/A</v>
        <stp/>
        <stp>BDH|3718069073210217242</stp>
        <tr r="T65" s="12"/>
      </tp>
      <tp t="e">
        <v>#N/A</v>
        <stp/>
        <stp>BDH|9057617987262180331</stp>
        <tr r="X31" s="24"/>
      </tp>
      <tp t="e">
        <v>#N/A</v>
        <stp/>
        <stp>BDH|2135010917647452279</stp>
        <tr r="W35" s="12"/>
      </tp>
      <tp t="e">
        <v>#N/A</v>
        <stp/>
        <stp>BDH|8788490189545057731</stp>
        <tr r="O25" s="18"/>
      </tp>
      <tp t="e">
        <v>#N/A</v>
        <stp/>
        <stp>BDH|4941589209442493588</stp>
        <tr r="X21" s="18"/>
      </tp>
      <tp t="e">
        <v>#N/A</v>
        <stp/>
        <stp>BDH|7913678778964717459</stp>
        <tr r="W50" s="18"/>
      </tp>
      <tp t="e">
        <v>#N/A</v>
        <stp/>
        <stp>BDH|1627114033815341032</stp>
        <tr r="X42" s="4"/>
      </tp>
      <tp t="e">
        <v>#N/A</v>
        <stp/>
        <stp>BDH|8747270122227088966</stp>
        <tr r="P40" s="18"/>
      </tp>
      <tp t="e">
        <v>#N/A</v>
        <stp/>
        <stp>BDH|4082134737450408043</stp>
        <tr r="V68" s="10"/>
      </tp>
      <tp t="e">
        <v>#N/A</v>
        <stp/>
        <stp>BDH|8038378694692416636</stp>
        <tr r="J146" s="18"/>
      </tp>
      <tp t="e">
        <v>#N/A</v>
        <stp/>
        <stp>BDH|3106176426923453507</stp>
        <tr r="Y20" s="29"/>
      </tp>
      <tp t="e">
        <v>#N/A</v>
        <stp/>
        <stp>BDH|2601870840560789821</stp>
        <tr r="M145" s="18"/>
      </tp>
      <tp t="e">
        <v>#N/A</v>
        <stp/>
        <stp>BDH|5394442466566226770</stp>
        <tr r="V94" s="18"/>
      </tp>
      <tp t="e">
        <v>#N/A</v>
        <stp/>
        <stp>BDH|7268721371711588004</stp>
        <tr r="X23" s="23"/>
      </tp>
      <tp t="e">
        <v>#N/A</v>
        <stp/>
        <stp>BDH|4328092920591615188</stp>
        <tr r="M36" s="18"/>
      </tp>
      <tp t="e">
        <v>#N/A</v>
        <stp/>
        <stp>BDH|5579856420950133957</stp>
        <tr r="S49" s="17"/>
      </tp>
      <tp t="e">
        <v>#N/A</v>
        <stp/>
        <stp>BDH|3022137733141094642</stp>
        <tr r="R91" s="17"/>
      </tp>
      <tp t="e">
        <v>#N/A</v>
        <stp/>
        <stp>BDH|8756329151790259821</stp>
        <tr r="J23" s="10"/>
      </tp>
      <tp t="e">
        <v>#N/A</v>
        <stp/>
        <stp>BDH|6116143044830745521</stp>
        <tr r="J53" s="17"/>
      </tp>
      <tp t="e">
        <v>#N/A</v>
        <stp/>
        <stp>BDH|5330425031371096543</stp>
        <tr r="Z31" s="24"/>
      </tp>
      <tp t="e">
        <v>#N/A</v>
        <stp/>
        <stp>BDH|1837779871450801721</stp>
        <tr r="U56" s="12"/>
      </tp>
      <tp t="e">
        <v>#N/A</v>
        <stp/>
        <stp>BDH|5475650524880195708</stp>
        <tr r="F40" s="21"/>
      </tp>
      <tp t="e">
        <v>#N/A</v>
        <stp/>
        <stp>BDH|8899997923195446025</stp>
        <tr r="S24" s="29"/>
      </tp>
      <tp t="e">
        <v>#N/A</v>
        <stp/>
        <stp>BDH|7964395651197142048</stp>
        <tr r="L21" s="12"/>
      </tp>
      <tp t="e">
        <v>#N/A</v>
        <stp/>
        <stp>BDH|9108636508829616081</stp>
        <tr r="M17" s="4"/>
        <tr r="O10" s="3"/>
        <tr r="M55" s="10"/>
        <tr r="M49" s="11"/>
        <tr r="M17" s="7"/>
        <tr r="O49" s="13"/>
      </tp>
      <tp t="e">
        <v>#N/A</v>
        <stp/>
        <stp>BDH|4526174565463273604</stp>
        <tr r="R33" s="18"/>
      </tp>
      <tp t="e">
        <v>#N/A</v>
        <stp/>
        <stp>BDH|8331599185793292085</stp>
        <tr r="P13" s="17"/>
        <tr r="P16" s="28"/>
      </tp>
      <tp t="e">
        <v>#N/A</v>
        <stp/>
        <stp>BDH|9236360873118352317</stp>
        <tr r="W16" s="26"/>
      </tp>
      <tp t="e">
        <v>#N/A</v>
        <stp/>
        <stp>BDH|3089836963318386366</stp>
        <tr r="L9" s="11"/>
      </tp>
      <tp t="e">
        <v>#N/A</v>
        <stp/>
        <stp>BDH|3651370847294223616</stp>
        <tr r="E21" s="25"/>
        <tr r="E10" s="27"/>
      </tp>
      <tp t="e">
        <v>#N/A</v>
        <stp/>
        <stp>BDH|5156446151701429355</stp>
        <tr r="W32" s="21"/>
      </tp>
      <tp t="e">
        <v>#N/A</v>
        <stp/>
        <stp>BDH|2203787130730739080</stp>
        <tr r="L98" s="17"/>
        <tr r="L13" s="28"/>
      </tp>
      <tp t="e">
        <v>#N/A</v>
        <stp/>
        <stp>BDH|9512523871799411476</stp>
        <tr r="J102" s="18"/>
      </tp>
      <tp t="e">
        <v>#N/A</v>
        <stp/>
        <stp>BDH|1694779372287113071</stp>
        <tr r="L22" s="20"/>
      </tp>
      <tp t="e">
        <v>#N/A</v>
        <stp/>
        <stp>BDH|3675283889467037821</stp>
        <tr r="E122" s="18"/>
      </tp>
      <tp t="e">
        <v>#N/A</v>
        <stp/>
        <stp>BDH|5208232140115551014</stp>
        <tr r="W14" s="29"/>
        <tr r="W23" s="29"/>
        <tr r="W34" s="29"/>
      </tp>
      <tp t="e">
        <v>#N/A</v>
        <stp/>
        <stp>BDH|1186409658380993659</stp>
        <tr r="H10" s="13"/>
      </tp>
      <tp t="e">
        <v>#N/A</v>
        <stp/>
        <stp>BDH|4340315672461483718</stp>
        <tr r="G50" s="18"/>
      </tp>
      <tp t="e">
        <v>#N/A</v>
        <stp/>
        <stp>BDH|2766249273437064659</stp>
        <tr r="J137" s="18"/>
      </tp>
      <tp t="e">
        <v>#N/A</v>
        <stp/>
        <stp>BDH|6949628238461280447</stp>
        <tr r="T32" s="18"/>
      </tp>
      <tp t="e">
        <v>#N/A</v>
        <stp/>
        <stp>BDH|9170818359846929452</stp>
        <tr r="D24" s="13"/>
      </tp>
      <tp t="e">
        <v>#N/A</v>
        <stp/>
        <stp>BDH|6364604797828847798</stp>
        <tr r="H62" s="24"/>
      </tp>
      <tp t="e">
        <v>#N/A</v>
        <stp/>
        <stp>BDH|8193718690118746822</stp>
        <tr r="I13" s="7"/>
      </tp>
      <tp t="e">
        <v>#N/A</v>
        <stp/>
        <stp>BDH|5436867636518918089</stp>
        <tr r="E16" s="21"/>
      </tp>
      <tp t="e">
        <v>#N/A</v>
        <stp/>
        <stp>BDH|6199170295098416020</stp>
        <tr r="M13" s="6"/>
      </tp>
      <tp t="e">
        <v>#N/A</v>
        <stp/>
        <stp>BDH|1134945585790004659</stp>
        <tr r="Q22" s="18"/>
      </tp>
      <tp t="e">
        <v>#N/A</v>
        <stp/>
        <stp>BDH|7706168203715348543</stp>
        <tr r="Z144" s="18"/>
      </tp>
      <tp t="e">
        <v>#N/A</v>
        <stp/>
        <stp>BDH|6424421402566841299</stp>
        <tr r="F17" s="14"/>
      </tp>
      <tp t="e">
        <v>#N/A</v>
        <stp/>
        <stp>BDH|7963512870855579680</stp>
        <tr r="Q19" s="20"/>
      </tp>
      <tp t="e">
        <v>#N/A</v>
        <stp/>
        <stp>BDH|1252946086316392062</stp>
        <tr r="D135" s="18"/>
      </tp>
      <tp t="e">
        <v>#N/A</v>
        <stp/>
        <stp>BDH|6495541803205427023</stp>
        <tr r="Y27" s="22"/>
      </tp>
      <tp t="e">
        <v>#N/A</v>
        <stp/>
        <stp>BDH|7279136142871145576</stp>
        <tr r="P37" s="10"/>
        <tr r="P31" s="11"/>
        <tr r="R40" s="13"/>
      </tp>
      <tp t="e">
        <v>#N/A</v>
        <stp/>
        <stp>BDH|4387010030523250252</stp>
        <tr r="P41" s="24"/>
      </tp>
      <tp t="e">
        <v>#N/A</v>
        <stp/>
        <stp>BDH|5149171246105387366</stp>
        <tr r="W154" s="18"/>
      </tp>
      <tp t="e">
        <v>#N/A</v>
        <stp/>
        <stp>BDH|1552551000307387562</stp>
        <tr r="I63" s="21"/>
      </tp>
      <tp t="e">
        <v>#N/A</v>
        <stp/>
        <stp>BDH|6625410652848958992</stp>
        <tr r="S15" s="17"/>
        <tr r="S18" s="28"/>
      </tp>
      <tp t="e">
        <v>#N/A</v>
        <stp/>
        <stp>BDH|9087907282689625716</stp>
        <tr r="P52" s="21"/>
      </tp>
      <tp t="e">
        <v>#N/A</v>
        <stp/>
        <stp>BDH|9365306540218396057</stp>
        <tr r="G36" s="22"/>
      </tp>
      <tp t="e">
        <v>#N/A</v>
        <stp/>
        <stp>BDH|5293230915013319324</stp>
        <tr r="C26" s="29"/>
      </tp>
      <tp t="e">
        <v>#N/A</v>
        <stp/>
        <stp>BDH|7790436937073232540</stp>
        <tr r="M27" s="17"/>
      </tp>
      <tp t="e">
        <v>#N/A</v>
        <stp/>
        <stp>BDH|3068610987818469377</stp>
        <tr r="M75" s="17"/>
      </tp>
      <tp t="e">
        <v>#N/A</v>
        <stp/>
        <stp>BDH|4120000392172650908</stp>
        <tr r="M83" s="18"/>
      </tp>
      <tp t="e">
        <v>#N/A</v>
        <stp/>
        <stp>BDH|7777161103950772006</stp>
        <tr r="V12" s="7"/>
      </tp>
      <tp t="e">
        <v>#N/A</v>
        <stp/>
        <stp>BDH|15431970691708965</stp>
        <tr r="E38" s="10"/>
        <tr r="E32" s="11"/>
      </tp>
      <tp t="e">
        <v>#N/A</v>
        <stp/>
        <stp>BDH|29596335799711404</stp>
        <tr r="J162" s="18"/>
      </tp>
      <tp t="e">
        <v>#N/A</v>
        <stp/>
        <stp>BDH|8642490231011343971</stp>
        <tr r="R36" s="18"/>
      </tp>
      <tp t="e">
        <v>#N/A</v>
        <stp/>
        <stp>BDH|8396668865166317990</stp>
        <tr r="L17" s="4"/>
        <tr r="N10" s="3"/>
        <tr r="L55" s="10"/>
        <tr r="L49" s="11"/>
        <tr r="L17" s="7"/>
        <tr r="N49" s="13"/>
      </tp>
      <tp t="e">
        <v>#N/A</v>
        <stp/>
        <stp>BDH|5618626870093741092</stp>
        <tr r="D22" s="22"/>
      </tp>
      <tp t="e">
        <v>#N/A</v>
        <stp/>
        <stp>BDH|4010875099121517314</stp>
        <tr r="V39" s="6"/>
      </tp>
      <tp t="e">
        <v>#N/A</v>
        <stp/>
        <stp>BDH|6312224627467993658</stp>
        <tr r="I12" s="22"/>
      </tp>
      <tp t="e">
        <v>#N/A</v>
        <stp/>
        <stp>BDH|2247015712004833032</stp>
        <tr r="D9" s="2"/>
        <tr r="F8" s="25"/>
        <tr r="C10" s="5"/>
      </tp>
      <tp t="e">
        <v>#N/A</v>
        <stp/>
        <stp>BDH|8789681292442444239</stp>
        <tr r="X130" s="18"/>
      </tp>
      <tp t="e">
        <v>#N/A</v>
        <stp/>
        <stp>BDH|7989351944833346416</stp>
        <tr r="S16" s="21"/>
      </tp>
      <tp t="e">
        <v>#N/A</v>
        <stp/>
        <stp>BDH|7511574199689998589</stp>
        <tr r="O23" s="18"/>
      </tp>
      <tp t="e">
        <v>#N/A</v>
        <stp/>
        <stp>BDH|8161075245073163887</stp>
        <tr r="U13" s="18"/>
      </tp>
      <tp t="e">
        <v>#N/A</v>
        <stp/>
        <stp>BDH|1819677129277449585</stp>
        <tr r="U32" s="18"/>
      </tp>
      <tp t="e">
        <v>#N/A</v>
        <stp/>
        <stp>BDH|4890664505992754764</stp>
        <tr r="P50" s="24"/>
      </tp>
      <tp t="e">
        <v>#N/A</v>
        <stp/>
        <stp>BDH|6936022612522334203</stp>
        <tr r="C55" s="12"/>
      </tp>
      <tp t="e">
        <v>#N/A</v>
        <stp/>
        <stp>BDH|2775090276590766250</stp>
        <tr r="F69" s="17"/>
      </tp>
      <tp t="e">
        <v>#N/A</v>
        <stp/>
        <stp>BDH|4408715753830906159</stp>
        <tr r="F27" s="10"/>
        <tr r="H32" s="13"/>
      </tp>
      <tp t="e">
        <v>#N/A</v>
        <stp/>
        <stp>BDH|7814564310293689728</stp>
        <tr r="AA51" s="24"/>
      </tp>
      <tp t="e">
        <v>#N/A</v>
        <stp/>
        <stp>BDH|4791061718640519268</stp>
        <tr r="K56" s="18"/>
      </tp>
      <tp t="e">
        <v>#N/A</v>
        <stp/>
        <stp>BDH|7357756503436603191</stp>
        <tr r="D23" s="10"/>
      </tp>
      <tp t="e">
        <v>#N/A</v>
        <stp/>
        <stp>BDH|1752707411495832543</stp>
        <tr r="H17" s="4"/>
        <tr r="J10" s="3"/>
        <tr r="H55" s="10"/>
        <tr r="H49" s="11"/>
        <tr r="H17" s="7"/>
        <tr r="J49" s="13"/>
      </tp>
      <tp t="e">
        <v>#N/A</v>
        <stp/>
        <stp>BDH|9788076155973776886</stp>
        <tr r="G33" s="18"/>
      </tp>
      <tp t="e">
        <v>#N/A</v>
        <stp/>
        <stp>BDH|3970013583245886997</stp>
        <tr r="Z41" s="12"/>
      </tp>
      <tp t="e">
        <v>#N/A</v>
        <stp/>
        <stp>BDH|7725392482848124373</stp>
        <tr r="W118" s="18"/>
      </tp>
      <tp t="e">
        <v>#N/A</v>
        <stp/>
        <stp>BDH|7516368735544427487</stp>
        <tr r="Z157" s="18"/>
      </tp>
      <tp t="e">
        <v>#N/A</v>
        <stp/>
        <stp>BDH|5982150211616049473</stp>
        <tr r="H75" s="12"/>
      </tp>
      <tp t="e">
        <v>#N/A</v>
        <stp/>
        <stp>BDH|2011076680208846559</stp>
        <tr r="P45" s="12"/>
      </tp>
      <tp t="e">
        <v>#N/A</v>
        <stp/>
        <stp>BDH|7860311124712312349</stp>
        <tr r="N8" s="18"/>
      </tp>
      <tp t="e">
        <v>#N/A</v>
        <stp/>
        <stp>BDH|1870306843923971287</stp>
        <tr r="X86" s="18"/>
      </tp>
      <tp t="e">
        <v>#N/A</v>
        <stp/>
        <stp>BDH|7323489381378906493</stp>
        <tr r="Z44" s="12"/>
      </tp>
      <tp t="e">
        <v>#N/A</v>
        <stp/>
        <stp>BDH|6595314899173224855</stp>
        <tr r="D10" s="34"/>
      </tp>
      <tp t="e">
        <v>#N/A</v>
        <stp/>
        <stp>BDH|5199286160127325106</stp>
        <tr r="D12" s="11"/>
      </tp>
      <tp t="e">
        <v>#N/A</v>
        <stp/>
        <stp>BDH|9089097599463983439</stp>
        <tr r="S142" s="18"/>
      </tp>
      <tp t="e">
        <v>#N/A</v>
        <stp/>
        <stp>BDH|5550919639260139861</stp>
        <tr r="M23" s="18"/>
      </tp>
      <tp t="e">
        <v>#N/A</v>
        <stp/>
        <stp>BDH|9700621413888422184</stp>
        <tr r="R132" s="18"/>
      </tp>
      <tp t="e">
        <v>#N/A</v>
        <stp/>
        <stp>BDH|6207809388439918892</stp>
        <tr r="G64" s="21"/>
      </tp>
      <tp t="e">
        <v>#N/A</v>
        <stp/>
        <stp>BDH|1802078141371530309</stp>
        <tr r="F80" s="17"/>
      </tp>
      <tp t="e">
        <v>#N/A</v>
        <stp/>
        <stp>BDH|8947515845546338856</stp>
        <tr r="AA44" s="18"/>
      </tp>
      <tp t="e">
        <v>#N/A</v>
        <stp/>
        <stp>BDH|6841521566707323540</stp>
        <tr r="L47" s="12"/>
      </tp>
      <tp t="e">
        <v>#N/A</v>
        <stp/>
        <stp>BDH|4453866211359800303</stp>
        <tr r="M25" s="34"/>
      </tp>
      <tp t="e">
        <v>#N/A</v>
        <stp/>
        <stp>BDH|7442387117031455345</stp>
        <tr r="O10" s="22"/>
      </tp>
      <tp t="e">
        <v>#N/A</v>
        <stp/>
        <stp>BDH|9626855350023836007</stp>
        <tr r="S14" s="10"/>
      </tp>
      <tp t="e">
        <v>#N/A</v>
        <stp/>
        <stp>BDH|6175680997717111942</stp>
        <tr r="G15" s="4"/>
      </tp>
      <tp t="e">
        <v>#N/A</v>
        <stp/>
        <stp>BDH|3679274879553661252</stp>
        <tr r="S135" s="18"/>
      </tp>
      <tp t="e">
        <v>#N/A</v>
        <stp/>
        <stp>BDH|7925448033920490718</stp>
        <tr r="R12" s="11"/>
      </tp>
      <tp t="e">
        <v>#N/A</v>
        <stp/>
        <stp>BDH|8390499994072012053</stp>
        <tr r="O28" s="26"/>
      </tp>
      <tp t="e">
        <v>#N/A</v>
        <stp/>
        <stp>BDH|7822813141345242913</stp>
        <tr r="W21" s="27"/>
      </tp>
      <tp t="e">
        <v>#N/A</v>
        <stp/>
        <stp>BDH|1540174469268754972</stp>
        <tr r="I31" s="22"/>
      </tp>
      <tp t="e">
        <v>#N/A</v>
        <stp/>
        <stp>BDH|6339336263255829100</stp>
        <tr r="Y22" s="30"/>
        <tr r="Y25" s="23"/>
      </tp>
      <tp t="e">
        <v>#N/A</v>
        <stp/>
        <stp>BDH|1167483175346262354</stp>
        <tr r="L15" s="22"/>
      </tp>
      <tp t="e">
        <v>#N/A</v>
        <stp/>
        <stp>BDH|6860342977696400346</stp>
        <tr r="F9" s="11"/>
      </tp>
      <tp t="e">
        <v>#N/A</v>
        <stp/>
        <stp>BDH|6348203432613919337</stp>
        <tr r="T10" s="12"/>
      </tp>
      <tp t="e">
        <v>#N/A</v>
        <stp/>
        <stp>BDH|7920675797676414967</stp>
        <tr r="U20" s="12"/>
      </tp>
      <tp t="e">
        <v>#N/A</v>
        <stp/>
        <stp>BDH|6187416779200135238</stp>
        <tr r="J21" s="4"/>
      </tp>
      <tp t="e">
        <v>#N/A</v>
        <stp/>
        <stp>BDH|1446378539824977284</stp>
        <tr r="O36" s="34"/>
      </tp>
      <tp t="e">
        <v>#N/A</v>
        <stp/>
        <stp>BDH|6565107113492801352</stp>
        <tr r="L15" s="13"/>
      </tp>
      <tp t="e">
        <v>#N/A</v>
        <stp/>
        <stp>BDH|6137738968176287635</stp>
        <tr r="D28" s="12"/>
      </tp>
      <tp t="e">
        <v>#N/A</v>
        <stp/>
        <stp>BDH|9200062109736017862</stp>
        <tr r="J15" s="10"/>
      </tp>
      <tp t="e">
        <v>#N/A</v>
        <stp/>
        <stp>BDH|1845350235900489673</stp>
        <tr r="X143" s="18"/>
      </tp>
      <tp t="e">
        <v>#N/A</v>
        <stp/>
        <stp>BDH|7691482201390250464</stp>
        <tr r="Z82" s="17"/>
        <tr r="Z19" s="3"/>
      </tp>
      <tp t="e">
        <v>#N/A</v>
        <stp/>
        <stp>BDH|4714659469762361131</stp>
        <tr r="J6" s="28"/>
      </tp>
      <tp t="e">
        <v>#N/A</v>
        <stp/>
        <stp>BDH|7011638454311954254</stp>
        <tr r="V64" s="18"/>
      </tp>
      <tp t="e">
        <v>#N/A</v>
        <stp/>
        <stp>BDH|4116119428575661551</stp>
        <tr r="J22" s="7"/>
      </tp>
      <tp t="e">
        <v>#N/A</v>
        <stp/>
        <stp>BDH|2432521399881353875</stp>
        <tr r="T51" s="18"/>
      </tp>
      <tp t="e">
        <v>#N/A</v>
        <stp/>
        <stp>BDH|9466286186877114305</stp>
        <tr r="Y20" s="2"/>
        <tr r="Y18" s="4"/>
        <tr r="Y57" s="10"/>
        <tr r="Y51" s="11"/>
        <tr r="Y19" s="7"/>
        <tr r="AA57" s="13"/>
      </tp>
      <tp t="e">
        <v>#N/A</v>
        <stp/>
        <stp>BDH|5889578655120448259</stp>
        <tr r="W101" s="18"/>
      </tp>
      <tp t="e">
        <v>#N/A</v>
        <stp/>
        <stp>BDH|7015541194898939424</stp>
        <tr r="J11" s="18"/>
      </tp>
      <tp t="e">
        <v>#N/A</v>
        <stp/>
        <stp>BDH|7274652179603189245</stp>
        <tr r="C8" s="4"/>
      </tp>
      <tp t="e">
        <v>#N/A</v>
        <stp/>
        <stp>BDH|4234777322643889544</stp>
        <tr r="L9" s="24"/>
      </tp>
      <tp t="e">
        <v>#N/A</v>
        <stp/>
        <stp>BDH|7804767047191468251</stp>
        <tr r="M76" s="18"/>
      </tp>
      <tp t="e">
        <v>#N/A</v>
        <stp/>
        <stp>BDH|3575102018916142249</stp>
        <tr r="N9" s="26"/>
      </tp>
      <tp t="e">
        <v>#N/A</v>
        <stp/>
        <stp>BDH|2733545040524210093</stp>
        <tr r="E7" s="30"/>
      </tp>
      <tp t="e">
        <v>#N/A</v>
        <stp/>
        <stp>BDH|1328539184538586397</stp>
        <tr r="AA71" s="17"/>
      </tp>
      <tp t="e">
        <v>#N/A</v>
        <stp/>
        <stp>BDH|3597433541191684593</stp>
        <tr r="I39" s="6"/>
      </tp>
      <tp t="e">
        <v>#N/A</v>
        <stp/>
        <stp>BDH|4820174527986172618</stp>
        <tr r="X64" s="17"/>
      </tp>
      <tp t="e">
        <v>#N/A</v>
        <stp/>
        <stp>BDH|8292678250468539486</stp>
        <tr r="F11" s="3"/>
        <tr r="D49" s="10"/>
        <tr r="D43" s="11"/>
        <tr r="D8" s="7"/>
      </tp>
      <tp t="e">
        <v>#N/A</v>
        <stp/>
        <stp>BDH|5535210312894924579</stp>
        <tr r="R13" s="11"/>
      </tp>
      <tp t="e">
        <v>#N/A</v>
        <stp/>
        <stp>BDH|8630893452292776025</stp>
        <tr r="C27" s="18"/>
      </tp>
      <tp t="e">
        <v>#N/A</v>
        <stp/>
        <stp>BDH|2053170859112148373</stp>
        <tr r="D75" s="17"/>
      </tp>
      <tp t="e">
        <v>#N/A</v>
        <stp/>
        <stp>BDH|1819001409530965600</stp>
        <tr r="C47" s="12"/>
      </tp>
      <tp t="e">
        <v>#N/A</v>
        <stp/>
        <stp>BDH|2265343083476939841</stp>
        <tr r="J87" s="18"/>
      </tp>
      <tp t="e">
        <v>#N/A</v>
        <stp/>
        <stp>BDH|7222802902219171196</stp>
        <tr r="H35" s="34"/>
      </tp>
      <tp t="e">
        <v>#N/A</v>
        <stp/>
        <stp>BDH|6509656667382786388</stp>
        <tr r="S7" s="2"/>
        <tr r="R7" s="5"/>
        <tr r="R7" s="9"/>
        <tr r="U14" s="3"/>
      </tp>
      <tp t="e">
        <v>#N/A</v>
        <stp/>
        <stp>BDH|6626096660424258351</stp>
        <tr r="Q13" s="11"/>
      </tp>
      <tp t="e">
        <v>#N/A</v>
        <stp/>
        <stp>BDH|6553856258215518959</stp>
        <tr r="R67" s="18"/>
      </tp>
      <tp t="e">
        <v>#N/A</v>
        <stp/>
        <stp>BDH|5376225853972908733</stp>
        <tr r="G106" s="18"/>
        <tr r="E6" s="20"/>
      </tp>
      <tp t="e">
        <v>#N/A</v>
        <stp/>
        <stp>BDH|1859571630920025077</stp>
        <tr r="K15" s="26"/>
      </tp>
      <tp t="e">
        <v>#N/A</v>
        <stp/>
        <stp>BDH|6355238339288165801</stp>
        <tr r="D25" s="21"/>
      </tp>
      <tp t="e">
        <v>#N/A</v>
        <stp/>
        <stp>BDH|6432258938299015913</stp>
        <tr r="V32" s="17"/>
      </tp>
      <tp t="e">
        <v>#N/A</v>
        <stp/>
        <stp>BDH|9439099394194301320</stp>
        <tr r="T68" s="12"/>
      </tp>
      <tp t="e">
        <v>#N/A</v>
        <stp/>
        <stp>BDH|5085984163158652553</stp>
        <tr r="J52" s="10"/>
        <tr r="J46" s="11"/>
        <tr r="J16" s="7"/>
      </tp>
      <tp t="e">
        <v>#N/A</v>
        <stp/>
        <stp>BDH|7898223776656407307</stp>
        <tr r="E59" s="24"/>
      </tp>
      <tp t="e">
        <v>#N/A</v>
        <stp/>
        <stp>BDH|8644943462935051581</stp>
        <tr r="F60" s="11"/>
        <tr r="H15" s="23"/>
      </tp>
      <tp t="e">
        <v>#N/A</v>
        <stp/>
        <stp>BDH|9190804169750224025</stp>
        <tr r="W22" s="12"/>
      </tp>
      <tp t="e">
        <v>#N/A</v>
        <stp/>
        <stp>BDH|3125363369855052461</stp>
        <tr r="R16" s="20"/>
      </tp>
      <tp t="e">
        <v>#N/A</v>
        <stp/>
        <stp>BDH|9299043305989995726</stp>
        <tr r="P42" s="34"/>
      </tp>
      <tp t="e">
        <v>#N/A</v>
        <stp/>
        <stp>BDH|3394019781845213996</stp>
        <tr r="E145" s="18"/>
      </tp>
      <tp t="e">
        <v>#N/A</v>
        <stp/>
        <stp>BDH|1412888326348433466</stp>
        <tr r="R17" s="9"/>
      </tp>
      <tp t="e">
        <v>#N/A</v>
        <stp/>
        <stp>BDH|1679436108257143548</stp>
        <tr r="J57" s="24"/>
      </tp>
      <tp t="e">
        <v>#N/A</v>
        <stp/>
        <stp>BDH|3925076278767793494</stp>
        <tr r="D17" s="5"/>
        <tr r="D24" s="6"/>
      </tp>
      <tp t="e">
        <v>#N/A</v>
        <stp/>
        <stp>BDH|4372819376075879947</stp>
        <tr r="G61" s="12"/>
      </tp>
      <tp t="e">
        <v>#N/A</v>
        <stp/>
        <stp>BDH|9438717231759901342</stp>
        <tr r="P66" s="21"/>
      </tp>
      <tp t="e">
        <v>#N/A</v>
        <stp/>
        <stp>BDH|2404302850113519082</stp>
        <tr r="X22" s="26"/>
      </tp>
      <tp t="e">
        <v>#N/A</v>
        <stp/>
        <stp>BDH|7365019961312848428</stp>
        <tr r="X22" s="11"/>
      </tp>
      <tp t="e">
        <v>#N/A</v>
        <stp/>
        <stp>BDH|3470419296861335895</stp>
        <tr r="V31" s="18"/>
      </tp>
      <tp t="e">
        <v>#N/A</v>
        <stp/>
        <stp>BDH|5648364540367079294</stp>
        <tr r="Q79" s="18"/>
      </tp>
      <tp t="e">
        <v>#N/A</v>
        <stp/>
        <stp>BDH|3012654503100747283</stp>
        <tr r="H40" s="24"/>
      </tp>
      <tp t="e">
        <v>#N/A</v>
        <stp/>
        <stp>BDH|9815502022161350804</stp>
        <tr r="F11" s="21"/>
      </tp>
      <tp t="e">
        <v>#N/A</v>
        <stp/>
        <stp>BDH|8304991446040659237</stp>
        <tr r="T85" s="18"/>
      </tp>
      <tp t="e">
        <v>#N/A</v>
        <stp/>
        <stp>BDH|3523017618853065659</stp>
        <tr r="X23" s="25"/>
        <tr r="X13" s="27"/>
      </tp>
      <tp t="e">
        <v>#N/A</v>
        <stp/>
        <stp>BDH|7676773721621856415</stp>
        <tr r="F26" s="25"/>
        <tr r="F16" s="27"/>
      </tp>
      <tp t="e">
        <v>#N/A</v>
        <stp/>
        <stp>BDH|8218725797634879567</stp>
        <tr r="S13" s="12"/>
      </tp>
      <tp t="e">
        <v>#N/A</v>
        <stp/>
        <stp>BDH|8788160748239884380</stp>
        <tr r="Y110" s="18"/>
        <tr r="X11" s="20"/>
      </tp>
      <tp t="e">
        <v>#N/A</v>
        <stp/>
        <stp>BDH|2933610837332721210</stp>
        <tr r="S11" s="9"/>
      </tp>
      <tp t="e">
        <v>#N/A</v>
        <stp/>
        <stp>BDH|5901234285430044861</stp>
        <tr r="E15" s="17"/>
        <tr r="E18" s="28"/>
      </tp>
      <tp t="e">
        <v>#N/A</v>
        <stp/>
        <stp>BDH|3007714213610200295</stp>
        <tr r="R44" s="21"/>
      </tp>
      <tp t="e">
        <v>#N/A</v>
        <stp/>
        <stp>BDH|6803135059044912123</stp>
        <tr r="E130" s="18"/>
      </tp>
      <tp t="e">
        <v>#N/A</v>
        <stp/>
        <stp>BDH|6598651408832913586</stp>
        <tr r="Z7" s="30"/>
      </tp>
      <tp t="e">
        <v>#N/A</v>
        <stp/>
        <stp>BDH|2918215363844587573</stp>
        <tr r="K22" s="18"/>
      </tp>
      <tp t="e">
        <v>#N/A</v>
        <stp/>
        <stp>BDH|2182822926148846748</stp>
        <tr r="R16" s="10"/>
      </tp>
      <tp t="e">
        <v>#N/A</v>
        <stp/>
        <stp>BDH|8353587450048649741</stp>
        <tr r="T23" s="2"/>
        <tr r="V18" s="21"/>
        <tr r="V23" s="3"/>
      </tp>
      <tp t="e">
        <v>#N/A</v>
        <stp/>
        <stp>BDH|5487876399212333109</stp>
        <tr r="K42" s="12"/>
      </tp>
      <tp t="e">
        <v>#N/A</v>
        <stp/>
        <stp>BDH|1084782584859745020</stp>
        <tr r="O10" s="4"/>
        <tr r="N6" s="16"/>
        <tr r="Q6" s="3"/>
        <tr r="O6" s="11"/>
      </tp>
      <tp t="e">
        <v>#N/A</v>
        <stp/>
        <stp>BDH|1001133200253290481</stp>
        <tr r="C12" s="13"/>
      </tp>
      <tp t="e">
        <v>#N/A</v>
        <stp/>
        <stp>BDH|2274654956724047289</stp>
        <tr r="G21" s="20"/>
      </tp>
      <tp t="e">
        <v>#N/A</v>
        <stp/>
        <stp>BDH|1866436561110614458</stp>
        <tr r="N59" s="17"/>
      </tp>
      <tp t="e">
        <v>#N/A</v>
        <stp/>
        <stp>BDH|5801306775855465300</stp>
        <tr r="V73" s="10"/>
        <tr r="V67" s="11"/>
      </tp>
      <tp t="e">
        <v>#N/A</v>
        <stp/>
        <stp>BDH|4330511807805408382</stp>
        <tr r="C63" s="17"/>
      </tp>
      <tp t="e">
        <v>#N/A</v>
        <stp/>
        <stp>BDH|5271330956812613686</stp>
        <tr r="F31" s="34"/>
      </tp>
      <tp t="e">
        <v>#N/A</v>
        <stp/>
        <stp>BDH|9914748694500227024</stp>
        <tr r="E21" s="21"/>
      </tp>
      <tp t="e">
        <v>#N/A</v>
        <stp/>
        <stp>BDH|3328042957628944908</stp>
        <tr r="P51" s="10"/>
        <tr r="P45" s="11"/>
        <tr r="P15" s="7"/>
      </tp>
      <tp t="e">
        <v>#N/A</v>
        <stp/>
        <stp>BDH|3219032244522945258</stp>
        <tr r="C82" s="17"/>
        <tr r="C19" s="3"/>
      </tp>
      <tp t="e">
        <v>#N/A</v>
        <stp/>
        <stp>BDH|6189685056804682607</stp>
        <tr r="I8" s="23"/>
      </tp>
      <tp t="e">
        <v>#N/A</v>
        <stp/>
        <stp>BDH|3308588302592111311</stp>
        <tr r="Z43" s="21"/>
      </tp>
      <tp t="e">
        <v>#N/A</v>
        <stp/>
        <stp>BDH|3268978023956680992</stp>
        <tr r="O120" s="18"/>
      </tp>
      <tp t="e">
        <v>#N/A</v>
        <stp/>
        <stp>BDH|2547146034502425589</stp>
        <tr r="G51" s="10"/>
        <tr r="G45" s="11"/>
        <tr r="G15" s="7"/>
      </tp>
      <tp t="e">
        <v>#N/A</v>
        <stp/>
        <stp>BDH|1416521551977809165</stp>
        <tr r="G23" s="2"/>
        <tr r="I18" s="21"/>
        <tr r="I23" s="3"/>
      </tp>
      <tp t="e">
        <v>#N/A</v>
        <stp/>
        <stp>BDH|3485544152091379584</stp>
        <tr r="Q42" s="22"/>
      </tp>
      <tp t="e">
        <v>#N/A</v>
        <stp/>
        <stp>BDH|7419222776880121586</stp>
        <tr r="R93" s="18"/>
      </tp>
      <tp t="e">
        <v>#N/A</v>
        <stp/>
        <stp>BDH|9257701373969155797</stp>
        <tr r="C24" s="24"/>
      </tp>
      <tp t="e">
        <v>#N/A</v>
        <stp/>
        <stp>BDH|7560715130890518484</stp>
        <tr r="C26" s="6"/>
      </tp>
      <tp t="e">
        <v>#N/A</v>
        <stp/>
        <stp>BDH|3688695615260174359</stp>
        <tr r="Y10" s="21"/>
      </tp>
      <tp t="e">
        <v>#N/A</v>
        <stp/>
        <stp>BDH|4168398713907532605</stp>
        <tr r="F100" s="18"/>
      </tp>
      <tp t="e">
        <v>#N/A</v>
        <stp/>
        <stp>BDH|5141482466796306620</stp>
        <tr r="U53" s="17"/>
      </tp>
      <tp t="e">
        <v>#N/A</v>
        <stp/>
        <stp>BDH|8260859858636093410</stp>
        <tr r="X20" s="6"/>
      </tp>
      <tp t="e">
        <v>#N/A</v>
        <stp/>
        <stp>BDH|8669192088891999705</stp>
        <tr r="O35" s="18"/>
      </tp>
      <tp t="e">
        <v>#N/A</v>
        <stp/>
        <stp>BDH|4883623056817743754</stp>
        <tr r="J18" s="6"/>
      </tp>
      <tp t="e">
        <v>#N/A</v>
        <stp/>
        <stp>BDH|9002356608629778444</stp>
        <tr r="N30" s="22"/>
      </tp>
      <tp t="e">
        <v>#N/A</v>
        <stp/>
        <stp>BDH|2666229115996978063</stp>
        <tr r="U35" s="17"/>
      </tp>
      <tp t="e">
        <v>#N/A</v>
        <stp/>
        <stp>BDH|3525539209098792960</stp>
        <tr r="J35" s="17"/>
      </tp>
      <tp t="e">
        <v>#N/A</v>
        <stp/>
        <stp>BDH|3832443825772341046</stp>
        <tr r="K30" s="22"/>
      </tp>
      <tp t="e">
        <v>#N/A</v>
        <stp/>
        <stp>BDH|8591420899533106119</stp>
        <tr r="S107" s="18"/>
        <tr r="Q7" s="20"/>
      </tp>
      <tp t="e">
        <v>#N/A</v>
        <stp/>
        <stp>BDH|7870166912798376815</stp>
        <tr r="U11" s="17"/>
      </tp>
      <tp t="e">
        <v>#N/A</v>
        <stp/>
        <stp>BDH|1511790890209538174</stp>
        <tr r="Z10" s="26"/>
      </tp>
      <tp t="e">
        <v>#N/A</v>
        <stp/>
        <stp>BDH|7170174011010979000</stp>
        <tr r="Y28" s="24"/>
      </tp>
      <tp t="e">
        <v>#N/A</v>
        <stp/>
        <stp>BDH|5429902077724852855</stp>
        <tr r="I126" s="18"/>
      </tp>
      <tp t="e">
        <v>#N/A</v>
        <stp/>
        <stp>BDH|2268652885562810946</stp>
        <tr r="F32" s="18"/>
      </tp>
      <tp t="e">
        <v>#N/A</v>
        <stp/>
        <stp>BDH|6118136843021780589</stp>
        <tr r="N9" s="34"/>
      </tp>
      <tp t="e">
        <v>#N/A</v>
        <stp/>
        <stp>BDH|6833019924191152227</stp>
        <tr r="C7" s="10"/>
      </tp>
      <tp t="e">
        <v>#N/A</v>
        <stp/>
        <stp>BDH|1418086663800406057</stp>
        <tr r="C49" s="17"/>
      </tp>
      <tp t="e">
        <v>#N/A</v>
        <stp/>
        <stp>BDH|1412277861257985554</stp>
        <tr r="W25" s="6"/>
      </tp>
      <tp t="e">
        <v>#N/A</v>
        <stp/>
        <stp>BDH|7799068568695053379</stp>
        <tr r="F54" s="18"/>
      </tp>
      <tp t="e">
        <v>#N/A</v>
        <stp/>
        <stp>BDH|6473593614393342649</stp>
        <tr r="D7" s="8"/>
      </tp>
      <tp t="e">
        <v>#N/A</v>
        <stp/>
        <stp>BDH|9753361559101598936</stp>
        <tr r="Y131" s="18"/>
      </tp>
      <tp t="e">
        <v>#N/A</v>
        <stp/>
        <stp>BDH|5763035425993628395</stp>
        <tr r="M17" s="5"/>
        <tr r="M24" s="6"/>
      </tp>
      <tp t="e">
        <v>#N/A</v>
        <stp/>
        <stp>BDH|8244830177101113199</stp>
        <tr r="E24" s="24"/>
      </tp>
      <tp t="e">
        <v>#N/A</v>
        <stp/>
        <stp>BDH|7998936932368667206</stp>
        <tr r="E34" s="26"/>
      </tp>
      <tp t="e">
        <v>#N/A</v>
        <stp/>
        <stp>BDH|7219486726347119139</stp>
        <tr r="AA85" s="18"/>
      </tp>
      <tp t="e">
        <v>#N/A</v>
        <stp/>
        <stp>BDH|6505117658806444364</stp>
        <tr r="J9" s="10"/>
      </tp>
      <tp t="e">
        <v>#N/A</v>
        <stp/>
        <stp>BDH|2739664299162611808</stp>
        <tr r="L34" s="21"/>
      </tp>
      <tp t="e">
        <v>#N/A</v>
        <stp/>
        <stp>BDH|2603414661893956416</stp>
        <tr r="K63" s="10"/>
      </tp>
      <tp t="e">
        <v>#N/A</v>
        <stp/>
        <stp>BDH|3639859396855985025</stp>
        <tr r="J6" s="15"/>
        <tr r="J12" s="2"/>
        <tr r="J11" s="4"/>
        <tr r="J6" s="10"/>
      </tp>
      <tp t="e">
        <v>#N/A</v>
        <stp/>
        <stp>BDH|3018985852220272870</stp>
        <tr r="AA14" s="28"/>
      </tp>
      <tp t="e">
        <v>#N/A</v>
        <stp/>
        <stp>BDH|1866546507813513018</stp>
        <tr r="L10" s="23"/>
      </tp>
      <tp t="e">
        <v>#N/A</v>
        <stp/>
        <stp>BDH|8086299970332038861</stp>
        <tr r="R37" s="10"/>
        <tr r="R31" s="11"/>
        <tr r="T40" s="13"/>
      </tp>
      <tp t="e">
        <v>#N/A</v>
        <stp/>
        <stp>BDH|6657064413022482289</stp>
        <tr r="K8" s="11"/>
      </tp>
      <tp t="e">
        <v>#N/A</v>
        <stp/>
        <stp>BDH|5832353247051627431</stp>
        <tr r="Z120" s="18"/>
      </tp>
      <tp t="e">
        <v>#N/A</v>
        <stp/>
        <stp>BDH|8281388195793631667</stp>
        <tr r="N56" s="12"/>
      </tp>
      <tp t="e">
        <v>#N/A</v>
        <stp/>
        <stp>BDH|3662731639502472277</stp>
        <tr r="Q12" s="21"/>
      </tp>
      <tp t="e">
        <v>#N/A</v>
        <stp/>
        <stp>BDH|7485121695919844146</stp>
        <tr r="O47" s="12"/>
      </tp>
      <tp t="e">
        <v>#N/A</v>
        <stp/>
        <stp>BDH|6333169484930748895</stp>
        <tr r="J66" s="17"/>
      </tp>
      <tp t="e">
        <v>#N/A</v>
        <stp/>
        <stp>BDH|2745482672505568377</stp>
        <tr r="I102" s="18"/>
      </tp>
      <tp t="e">
        <v>#N/A</v>
        <stp/>
        <stp>BDH|3855956705568140567</stp>
        <tr r="R122" s="18"/>
      </tp>
      <tp t="e">
        <v>#N/A</v>
        <stp/>
        <stp>BDH|8025495293044347666</stp>
        <tr r="S20" s="22"/>
      </tp>
      <tp t="e">
        <v>#N/A</v>
        <stp/>
        <stp>BDH|3697495950805948094</stp>
        <tr r="R29" s="29"/>
        <tr r="R7" s="29"/>
      </tp>
      <tp t="e">
        <v>#N/A</v>
        <stp/>
        <stp>BDH|1827260917047663202</stp>
        <tr r="W155" s="18"/>
      </tp>
      <tp t="e">
        <v>#N/A</v>
        <stp/>
        <stp>BDH|7626626923194142098</stp>
        <tr r="G40" s="29"/>
      </tp>
      <tp t="e">
        <v>#N/A</v>
        <stp/>
        <stp>BDH|8820164716216443939</stp>
        <tr r="H157" s="18"/>
      </tp>
      <tp t="e">
        <v>#N/A</v>
        <stp/>
        <stp>BDH|9095650595649951863</stp>
        <tr r="D50" s="13"/>
      </tp>
      <tp t="e">
        <v>#N/A</v>
        <stp/>
        <stp>BDH|2455292488926370990</stp>
        <tr r="J109" s="18"/>
        <tr r="H9" s="20"/>
      </tp>
      <tp t="e">
        <v>#N/A</v>
        <stp/>
        <stp>BDH|6910846422658998391</stp>
        <tr r="I27" s="25"/>
        <tr r="F14" s="5"/>
        <tr r="I17" s="27"/>
      </tp>
      <tp t="e">
        <v>#N/A</v>
        <stp/>
        <stp>BDH|2853367577337083661</stp>
        <tr r="J63" s="21"/>
      </tp>
      <tp t="e">
        <v>#N/A</v>
        <stp/>
        <stp>BDH|2864869289813891606</stp>
        <tr r="M20" s="27"/>
      </tp>
      <tp t="e">
        <v>#N/A</v>
        <stp/>
        <stp>BDH|7767108037312649091</stp>
        <tr r="N50" s="4"/>
      </tp>
      <tp t="e">
        <v>#N/A</v>
        <stp/>
        <stp>BDH|2831118268432869062</stp>
        <tr r="G62" s="17"/>
      </tp>
      <tp t="e">
        <v>#N/A</v>
        <stp/>
        <stp>BDH|5956501221066794307</stp>
        <tr r="V13" s="13"/>
      </tp>
      <tp t="e">
        <v>#N/A</v>
        <stp/>
        <stp>BDH|6517213215251759398</stp>
        <tr r="W168" s="18"/>
      </tp>
      <tp t="e">
        <v>#N/A</v>
        <stp/>
        <stp>BDH|1541956689212768519</stp>
        <tr r="K95" s="18"/>
      </tp>
      <tp t="e">
        <v>#N/A</v>
        <stp/>
        <stp>BDH|9331808674619044887</stp>
        <tr r="O83" s="18"/>
      </tp>
      <tp t="e">
        <v>#N/A</v>
        <stp/>
        <stp>BDH|9249974291938336684</stp>
        <tr r="E51" s="12"/>
      </tp>
      <tp t="e">
        <v>#N/A</v>
        <stp/>
        <stp>BDH|5187186996363771974</stp>
        <tr r="J20" s="22"/>
      </tp>
      <tp t="e">
        <v>#N/A</v>
        <stp/>
        <stp>BDH|8717937734662408781</stp>
        <tr r="S21" s="26"/>
      </tp>
      <tp t="e">
        <v>#N/A</v>
        <stp/>
        <stp>BDH|9506927139296253200</stp>
        <tr r="H16" s="12"/>
      </tp>
      <tp t="e">
        <v>#N/A</v>
        <stp/>
        <stp>BDH|6815711300662469413</stp>
        <tr r="S101" s="18"/>
      </tp>
      <tp t="e">
        <v>#N/A</v>
        <stp/>
        <stp>BDH|2664282780177322815</stp>
        <tr r="Z22" s="22"/>
      </tp>
      <tp t="e">
        <v>#N/A</v>
        <stp/>
        <stp>BDH|9441467205199367386</stp>
        <tr r="Y82" s="18"/>
      </tp>
      <tp t="e">
        <v>#N/A</v>
        <stp/>
        <stp>BDH|2240689961814762101</stp>
        <tr r="J114" s="18"/>
      </tp>
      <tp t="e">
        <v>#N/A</v>
        <stp/>
        <stp>BDH|8589955168594581415</stp>
        <tr r="R52" s="4"/>
        <tr r="T8" s="3"/>
        <tr r="R43" s="10"/>
        <tr r="R37" s="11"/>
        <tr r="T38" s="13"/>
      </tp>
      <tp t="e">
        <v>#N/A</v>
        <stp/>
        <stp>BDH|8956306492105646012</stp>
        <tr r="R30" s="29"/>
        <tr r="R8" s="29"/>
      </tp>
      <tp t="e">
        <v>#N/A</v>
        <stp/>
        <stp>BDH|4605033738214256430</stp>
        <tr r="U20" s="22"/>
      </tp>
      <tp t="e">
        <v>#N/A</v>
        <stp/>
        <stp>BDH|8116597538400963950</stp>
        <tr r="X72" s="10"/>
        <tr r="X66" s="11"/>
      </tp>
      <tp t="e">
        <v>#N/A</v>
        <stp/>
        <stp>BDH|6976244712430343207</stp>
        <tr r="C13" s="24"/>
      </tp>
      <tp t="e">
        <v>#N/A</v>
        <stp/>
        <stp>BDH|6059971879538430766</stp>
        <tr r="S108" s="18"/>
        <tr r="Q8" s="20"/>
      </tp>
      <tp t="e">
        <v>#N/A</v>
        <stp/>
        <stp>BDH|5300525362086932762</stp>
        <tr r="R34" s="6"/>
        <tr r="T10" s="8"/>
      </tp>
      <tp t="e">
        <v>#N/A</v>
        <stp/>
        <stp>BDH|6075074373426084088</stp>
        <tr r="G135" s="18"/>
      </tp>
      <tp t="e">
        <v>#N/A</v>
        <stp/>
        <stp>BDH|2216799964143264718</stp>
        <tr r="V31" s="26"/>
      </tp>
      <tp t="e">
        <v>#N/A</v>
        <stp/>
        <stp>BDH|1111903116397342982</stp>
        <tr r="X7" s="14"/>
      </tp>
      <tp t="e">
        <v>#N/A</v>
        <stp/>
        <stp>BDH|1910861612458564744</stp>
        <tr r="R36" s="10"/>
        <tr r="R30" s="11"/>
        <tr r="T39" s="13"/>
      </tp>
      <tp t="e">
        <v>#N/A</v>
        <stp/>
        <stp>BDH|3101766479850188430</stp>
        <tr r="D18" s="12"/>
      </tp>
      <tp t="e">
        <v>#N/A</v>
        <stp/>
        <stp>BDH|7365357858575073325</stp>
        <tr r="G155" s="18"/>
      </tp>
      <tp t="e">
        <v>#N/A</v>
        <stp/>
        <stp>BDH|8407139822345908903</stp>
        <tr r="C28" s="25"/>
        <tr r="C18" s="27"/>
      </tp>
      <tp t="e">
        <v>#N/A</v>
        <stp/>
        <stp>BDH|5544128972474187089</stp>
        <tr r="S80" s="18"/>
      </tp>
      <tp t="e">
        <v>#N/A</v>
        <stp/>
        <stp>BDH|1607903469271012838</stp>
        <tr r="O28" s="18"/>
      </tp>
      <tp t="e">
        <v>#N/A</v>
        <stp/>
        <stp>BDH|1467926164568997174</stp>
        <tr r="M79" s="17"/>
      </tp>
      <tp t="e">
        <v>#N/A</v>
        <stp/>
        <stp>BDH|6836570193648493547</stp>
        <tr r="N40" s="10"/>
        <tr r="N34" s="11"/>
      </tp>
      <tp t="e">
        <v>#N/A</v>
        <stp/>
        <stp>BDH|1409119269989421849</stp>
        <tr r="M34" s="6"/>
        <tr r="O10" s="8"/>
      </tp>
      <tp t="e">
        <v>#N/A</v>
        <stp/>
        <stp>BDH|3911765905724485720</stp>
        <tr r="N47" s="24"/>
      </tp>
      <tp t="e">
        <v>#N/A</v>
        <stp/>
        <stp>BDH|6131936859644285950</stp>
        <tr r="G47" s="21"/>
      </tp>
      <tp t="e">
        <v>#N/A</v>
        <stp/>
        <stp>BDH|9351888419866884167</stp>
        <tr r="W19" s="20"/>
      </tp>
      <tp t="e">
        <v>#N/A</v>
        <stp/>
        <stp>BDH|7484684714286205163</stp>
        <tr r="L14" s="17"/>
        <tr r="L17" s="28"/>
      </tp>
      <tp t="e">
        <v>#N/A</v>
        <stp/>
        <stp>BDH|9627508192167808506</stp>
        <tr r="X90" s="18"/>
      </tp>
      <tp t="e">
        <v>#N/A</v>
        <stp/>
        <stp>BDH|8157891184898826783</stp>
        <tr r="U61" s="21"/>
      </tp>
      <tp t="e">
        <v>#N/A</v>
        <stp/>
        <stp>BDH|2571342551677464489</stp>
        <tr r="AA148" s="18"/>
      </tp>
      <tp t="e">
        <v>#N/A</v>
        <stp/>
        <stp>BDH|9669893568853815330</stp>
        <tr r="S51" s="12"/>
      </tp>
      <tp t="e">
        <v>#N/A</v>
        <stp/>
        <stp>BDH|9651250509825398958</stp>
        <tr r="X50" s="12"/>
      </tp>
      <tp t="e">
        <v>#N/A</v>
        <stp/>
        <stp>BDH|6390387822542607237</stp>
        <tr r="W117" s="18"/>
      </tp>
      <tp t="e">
        <v>#N/A</v>
        <stp/>
        <stp>BDH|1699308573196998406</stp>
        <tr r="Q18" s="6"/>
      </tp>
      <tp t="e">
        <v>#N/A</v>
        <stp/>
        <stp>BDH|9883846567996516629</stp>
        <tr r="H65" s="12"/>
      </tp>
      <tp t="e">
        <v>#N/A</v>
        <stp/>
        <stp>BDH|5415526269357384602</stp>
        <tr r="H21" s="18"/>
      </tp>
      <tp t="e">
        <v>#N/A</v>
        <stp/>
        <stp>BDH|5889760634697774108</stp>
        <tr r="E25" s="18"/>
      </tp>
      <tp t="e">
        <v>#N/A</v>
        <stp/>
        <stp>BDH|7236905187366155790</stp>
        <tr r="P58" s="17"/>
      </tp>
      <tp t="e">
        <v>#N/A</v>
        <stp/>
        <stp>BDH|6470097101492874390</stp>
        <tr r="Q8" s="14"/>
      </tp>
      <tp t="e">
        <v>#N/A</v>
        <stp/>
        <stp>BDH|7499622460820221092</stp>
        <tr r="F154" s="18"/>
      </tp>
      <tp t="e">
        <v>#N/A</v>
        <stp/>
        <stp>BDH|9830568623918699169</stp>
        <tr r="M32" s="17"/>
      </tp>
      <tp t="e">
        <v>#N/A</v>
        <stp/>
        <stp>BDH|8255233818244104851</stp>
        <tr r="Q78" s="17"/>
      </tp>
      <tp t="e">
        <v>#N/A</v>
        <stp/>
        <stp>BDH|5092105529922554314</stp>
        <tr r="I10" s="18"/>
      </tp>
      <tp t="e">
        <v>#N/A</v>
        <stp/>
        <stp>BDH|1701479434993922206</stp>
        <tr r="Z93" s="18"/>
      </tp>
      <tp t="e">
        <v>#N/A</v>
        <stp/>
        <stp>BDH|5172155433449256984</stp>
        <tr r="C10" s="29"/>
        <tr r="C19" s="29"/>
        <tr r="C25" s="29"/>
      </tp>
      <tp t="e">
        <v>#N/A</v>
        <stp/>
        <stp>BDH|5346105115491854337</stp>
        <tr r="L14" s="25"/>
      </tp>
      <tp t="e">
        <v>#N/A</v>
        <stp/>
        <stp>BDH|3976562912005739570</stp>
        <tr r="V72" s="12"/>
      </tp>
      <tp t="e">
        <v>#N/A</v>
        <stp/>
        <stp>BDH|6352545518044510177</stp>
        <tr r="S23" s="10"/>
      </tp>
      <tp t="e">
        <v>#N/A</v>
        <stp/>
        <stp>BDH|5833141734926561604</stp>
        <tr r="P156" s="18"/>
      </tp>
      <tp t="e">
        <v>#N/A</v>
        <stp/>
        <stp>BDH|6200758527440576482</stp>
        <tr r="W10" s="11"/>
      </tp>
      <tp t="e">
        <v>#N/A</v>
        <stp/>
        <stp>BDH|4866109097362022927</stp>
        <tr r="T12" s="10"/>
      </tp>
      <tp t="e">
        <v>#N/A</v>
        <stp/>
        <stp>BDH|5719431557636970578</stp>
        <tr r="Y36" s="4"/>
      </tp>
      <tp t="e">
        <v>#N/A</v>
        <stp/>
        <stp>BDH|1389292520176028072</stp>
        <tr r="V21" s="20"/>
      </tp>
      <tp t="e">
        <v>#N/A</v>
        <stp/>
        <stp>BDH|2928013650719681935</stp>
        <tr r="Y96" s="18"/>
      </tp>
      <tp t="e">
        <v>#N/A</v>
        <stp/>
        <stp>BDH|2518044136742894420</stp>
        <tr r="L12" s="7"/>
      </tp>
      <tp t="e">
        <v>#N/A</v>
        <stp/>
        <stp>BDH|4829307734806704566</stp>
        <tr r="P45" s="13"/>
      </tp>
      <tp t="e">
        <v>#N/A</v>
        <stp/>
        <stp>BDH|2821074233534991280</stp>
        <tr r="G130" s="18"/>
      </tp>
      <tp t="e">
        <v>#N/A</v>
        <stp/>
        <stp>BDH|5123173668876330300</stp>
        <tr r="E34" s="12"/>
      </tp>
      <tp t="e">
        <v>#N/A</v>
        <stp/>
        <stp>BDH|4059798914383221626</stp>
        <tr r="D44" s="13"/>
      </tp>
      <tp t="e">
        <v>#N/A</v>
        <stp/>
        <stp>BDH|5850561409331293682</stp>
        <tr r="D43" s="17"/>
      </tp>
      <tp t="e">
        <v>#N/A</v>
        <stp/>
        <stp>BDH|2467189793379692449</stp>
        <tr r="P157" s="18"/>
      </tp>
      <tp t="e">
        <v>#N/A</v>
        <stp/>
        <stp>BDH|4158763685354706889</stp>
        <tr r="N18" s="2"/>
        <tr r="N53" s="4"/>
        <tr r="N45" s="10"/>
        <tr r="N39" s="11"/>
        <tr r="P46" s="13"/>
      </tp>
      <tp t="e">
        <v>#N/A</v>
        <stp/>
        <stp>BDH|1894496302603103108</stp>
        <tr r="I20" s="22"/>
      </tp>
      <tp t="e">
        <v>#N/A</v>
        <stp/>
        <stp>BDH|6020235416101066371</stp>
        <tr r="M11" s="12"/>
      </tp>
      <tp t="e">
        <v>#N/A</v>
        <stp/>
        <stp>BDH|4855778363521798390</stp>
        <tr r="N8" s="14"/>
      </tp>
      <tp t="e">
        <v>#N/A</v>
        <stp/>
        <stp>BDH|9043883446471467385</stp>
        <tr r="Q45" s="4"/>
        <tr r="Q30" s="10"/>
        <tr r="Q24" s="11"/>
        <tr r="S30" s="13"/>
      </tp>
      <tp t="e">
        <v>#N/A</v>
        <stp/>
        <stp>BDH|1919236909435269135</stp>
        <tr r="I41" s="22"/>
      </tp>
      <tp t="e">
        <v>#N/A</v>
        <stp/>
        <stp>BDH|8037647563167419817</stp>
        <tr r="Z95" s="17"/>
        <tr r="Z30" s="25"/>
      </tp>
      <tp t="e">
        <v>#N/A</v>
        <stp/>
        <stp>BDH|4963576443086734480</stp>
        <tr r="F7" s="4"/>
      </tp>
      <tp t="e">
        <v>#N/A</v>
        <stp/>
        <stp>BDH|5071764031702575401</stp>
        <tr r="E17" s="23"/>
      </tp>
      <tp t="e">
        <v>#N/A</v>
        <stp/>
        <stp>BDH|7437911377506977892</stp>
        <tr r="G145" s="18"/>
      </tp>
      <tp t="e">
        <v>#N/A</v>
        <stp/>
        <stp>BDH|2601494441141405480</stp>
        <tr r="U10" s="24"/>
      </tp>
      <tp t="e">
        <v>#N/A</v>
        <stp/>
        <stp>BDH|9334941240774067756</stp>
        <tr r="I90" s="17"/>
      </tp>
      <tp t="e">
        <v>#N/A</v>
        <stp/>
        <stp>BDH|5695573485508084763</stp>
        <tr r="P92" s="17"/>
      </tp>
      <tp t="e">
        <v>#N/A</v>
        <stp/>
        <stp>BDH|1146151483259527601</stp>
        <tr r="V22" s="21"/>
      </tp>
      <tp t="e">
        <v>#N/A</v>
        <stp/>
        <stp>BDH|1434634821052109053</stp>
        <tr r="W22" s="27"/>
      </tp>
      <tp t="e">
        <v>#N/A</v>
        <stp/>
        <stp>BDH|8152057394344674242</stp>
        <tr r="L11" s="18"/>
      </tp>
      <tp t="e">
        <v>#N/A</v>
        <stp/>
        <stp>BDH|8783838561266673712</stp>
        <tr r="Y77" s="18"/>
      </tp>
      <tp t="e">
        <v>#N/A</v>
        <stp/>
        <stp>BDH|3856363310304905253</stp>
        <tr r="O40" s="21"/>
      </tp>
      <tp t="e">
        <v>#N/A</v>
        <stp/>
        <stp>BDH|1701297082469644581</stp>
        <tr r="R165" s="18"/>
      </tp>
      <tp t="e">
        <v>#N/A</v>
        <stp/>
        <stp>BDH|1154677306716681644</stp>
        <tr r="T12" s="24"/>
      </tp>
      <tp t="e">
        <v>#N/A</v>
        <stp/>
        <stp>BDH|8152996761724394484</stp>
        <tr r="AA113" s="18"/>
        <tr r="Z14" s="20"/>
      </tp>
      <tp t="e">
        <v>#N/A</v>
        <stp/>
        <stp>BDH|9913366665562897903</stp>
        <tr r="F18" s="5"/>
        <tr r="F30" s="6"/>
      </tp>
      <tp t="e">
        <v>#N/A</v>
        <stp/>
        <stp>BDH|6052965227192708849</stp>
        <tr r="G9" s="27"/>
      </tp>
      <tp t="e">
        <v>#N/A</v>
        <stp/>
        <stp>BDH|7973788925283378652</stp>
        <tr r="L44" s="12"/>
      </tp>
      <tp t="e">
        <v>#N/A</v>
        <stp/>
        <stp>BDH|8079071580296292176</stp>
        <tr r="K57" s="17"/>
        <tr r="K10" s="25"/>
      </tp>
      <tp t="e">
        <v>#N/A</v>
        <stp/>
        <stp>BDH|2807937492562815738</stp>
        <tr r="M26" s="7"/>
      </tp>
      <tp t="e">
        <v>#N/A</v>
        <stp/>
        <stp>BDH|4280737174682578125</stp>
        <tr r="F66" s="17"/>
      </tp>
      <tp t="e">
        <v>#N/A</v>
        <stp/>
        <stp>BDH|7061481335832703584</stp>
        <tr r="U14" s="22"/>
      </tp>
      <tp t="e">
        <v>#N/A</v>
        <stp/>
        <stp>BDH|2341342518553597480</stp>
        <tr r="E43" s="24"/>
      </tp>
      <tp t="e">
        <v>#N/A</v>
        <stp/>
        <stp>BDH|6352735767592363269</stp>
        <tr r="F46" s="21"/>
      </tp>
      <tp t="e">
        <v>#N/A</v>
        <stp/>
        <stp>BDH|6437166639322824118</stp>
        <tr r="K65" s="18"/>
      </tp>
      <tp t="e">
        <v>#N/A</v>
        <stp/>
        <stp>BDH|9237022606896179852</stp>
        <tr r="D9" s="27"/>
      </tp>
      <tp t="e">
        <v>#N/A</v>
        <stp/>
        <stp>BDH|7731951795166446618</stp>
        <tr r="O73" s="10"/>
        <tr r="O67" s="11"/>
      </tp>
      <tp t="e">
        <v>#N/A</v>
        <stp/>
        <stp>BDH|1492256866502022057</stp>
        <tr r="E32" s="6"/>
        <tr r="G6" s="8"/>
      </tp>
      <tp t="e">
        <v>#N/A</v>
        <stp/>
        <stp>BDH|2218779018374964762</stp>
        <tr r="G7" s="14"/>
      </tp>
      <tp t="e">
        <v>#N/A</v>
        <stp/>
        <stp>BDH|4835301255954600195</stp>
        <tr r="E35" s="4"/>
      </tp>
      <tp t="e">
        <v>#N/A</v>
        <stp/>
        <stp>BDH|2425117828957724180</stp>
        <tr r="F17" s="29"/>
        <tr r="F37" s="29"/>
      </tp>
      <tp t="e">
        <v>#N/A</v>
        <stp/>
        <stp>BDH|5382831104343329956</stp>
        <tr r="T7" s="2"/>
        <tr r="S7" s="5"/>
        <tr r="S7" s="9"/>
        <tr r="V14" s="3"/>
      </tp>
      <tp t="e">
        <v>#N/A</v>
        <stp/>
        <stp>BDH|1570636764483085503</stp>
        <tr r="L82" s="18"/>
      </tp>
      <tp t="e">
        <v>#N/A</v>
        <stp/>
        <stp>BDH|9516850813152839583</stp>
        <tr r="V33" s="22"/>
      </tp>
      <tp t="e">
        <v>#N/A</v>
        <stp/>
        <stp>BDH|2296562957341387430</stp>
        <tr r="C90" s="17"/>
      </tp>
      <tp t="e">
        <v>#N/A</v>
        <stp/>
        <stp>BDH|5257051416651688249</stp>
        <tr r="E56" s="13"/>
      </tp>
      <tp t="e">
        <v>#N/A</v>
        <stp/>
        <stp>BDH|2629566420726270417</stp>
        <tr r="M23" s="22"/>
      </tp>
      <tp t="e">
        <v>#N/A</v>
        <stp/>
        <stp>BDH|1980369118634713033</stp>
        <tr r="Q33" s="17"/>
      </tp>
      <tp t="e">
        <v>#N/A</v>
        <stp/>
        <stp>BDH|5875052055327912023</stp>
        <tr r="J21" s="18"/>
      </tp>
      <tp t="e">
        <v>#N/A</v>
        <stp/>
        <stp>BDH|9416304384706230315</stp>
        <tr r="S13" s="18"/>
      </tp>
      <tp t="e">
        <v>#N/A</v>
        <stp/>
        <stp>BDH|2314104665297679534</stp>
        <tr r="W17" s="20"/>
      </tp>
      <tp t="e">
        <v>#N/A</v>
        <stp/>
        <stp>BDH|5602618013765739008</stp>
        <tr r="D22" s="25"/>
        <tr r="D12" s="27"/>
      </tp>
      <tp t="e">
        <v>#N/A</v>
        <stp/>
        <stp>BDH|5371554242641741206</stp>
        <tr r="K38" s="6"/>
      </tp>
      <tp t="e">
        <v>#N/A</v>
        <stp/>
        <stp>BDH|4616577602813386531</stp>
        <tr r="E11" s="18"/>
      </tp>
      <tp t="e">
        <v>#N/A</v>
        <stp/>
        <stp>BDH|5596001206075084707</stp>
        <tr r="N60" s="24"/>
      </tp>
      <tp t="e">
        <v>#N/A</v>
        <stp/>
        <stp>BDH|3772623706663113114</stp>
        <tr r="G36" s="18"/>
      </tp>
      <tp t="e">
        <v>#N/A</v>
        <stp/>
        <stp>BDH|4284298036616607481</stp>
        <tr r="X140" s="18"/>
      </tp>
      <tp t="e">
        <v>#N/A</v>
        <stp/>
        <stp>BDH|4583377475892552515</stp>
        <tr r="X13" s="13"/>
      </tp>
      <tp t="e">
        <v>#N/A</v>
        <stp/>
        <stp>BDH|8434970644293337175</stp>
        <tr r="F16" s="11"/>
      </tp>
      <tp t="e">
        <v>#N/A</v>
        <stp/>
        <stp>BDH|9672374580330315517</stp>
        <tr r="D54" s="21"/>
      </tp>
      <tp t="e">
        <v>#N/A</v>
        <stp/>
        <stp>BDH|1441585393572927850</stp>
        <tr r="X12" s="24"/>
      </tp>
      <tp t="e">
        <v>#N/A</v>
        <stp/>
        <stp>BDH|2270023630334376206</stp>
        <tr r="H71" s="12"/>
      </tp>
      <tp t="e">
        <v>#N/A</v>
        <stp/>
        <stp>BDH|9178129011878972687</stp>
        <tr r="U65" s="21"/>
        <tr r="S23" s="7"/>
      </tp>
      <tp t="e">
        <v>#N/A</v>
        <stp/>
        <stp>BDH|7482701330323715703</stp>
        <tr r="U22" s="9"/>
      </tp>
      <tp t="e">
        <v>#N/A</v>
        <stp/>
        <stp>BDH|2894068409904341174</stp>
        <tr r="V21" s="17"/>
      </tp>
      <tp t="e">
        <v>#N/A</v>
        <stp/>
        <stp>BDH|3307760892839121352</stp>
        <tr r="E25" s="21"/>
      </tp>
      <tp t="e">
        <v>#N/A</v>
        <stp/>
        <stp>BDH|2255548391668473107</stp>
        <tr r="Y58" s="17"/>
      </tp>
      <tp t="e">
        <v>#N/A</v>
        <stp/>
        <stp>BDH|8156555524831757947</stp>
        <tr r="Y9" s="22"/>
      </tp>
      <tp t="e">
        <v>#N/A</v>
        <stp/>
        <stp>BDH|7564179189429037082</stp>
        <tr r="AA153" s="18"/>
      </tp>
      <tp t="e">
        <v>#N/A</v>
        <stp/>
        <stp>BDH|3819867251628921158</stp>
        <tr r="R18" s="13"/>
      </tp>
      <tp t="e">
        <v>#N/A</v>
        <stp/>
        <stp>BDH|4535603734903118532</stp>
        <tr r="AA8" s="18"/>
      </tp>
      <tp t="e">
        <v>#N/A</v>
        <stp/>
        <stp>BDH|1712576467056196353</stp>
        <tr r="J28" s="24"/>
      </tp>
      <tp t="e">
        <v>#N/A</v>
        <stp/>
        <stp>BDH|1074616174644633309</stp>
        <tr r="W63" s="17"/>
      </tp>
      <tp t="e">
        <v>#N/A</v>
        <stp/>
        <stp>BDH|2568564123972418076</stp>
        <tr r="U20" s="27"/>
      </tp>
      <tp t="e">
        <v>#N/A</v>
        <stp/>
        <stp>BDH|9655409425518462040</stp>
        <tr r="K40" s="24"/>
      </tp>
      <tp t="e">
        <v>#N/A</v>
        <stp/>
        <stp>BDH|7613777440971572276</stp>
        <tr r="U26" s="21"/>
      </tp>
      <tp t="e">
        <v>#N/A</v>
        <stp/>
        <stp>BDH|5362022396228206357</stp>
        <tr r="Y16" s="21"/>
      </tp>
      <tp t="e">
        <v>#N/A</v>
        <stp/>
        <stp>BDH|8120656616378170031</stp>
        <tr r="F31" s="24"/>
      </tp>
      <tp t="e">
        <v>#N/A</v>
        <stp/>
        <stp>BDH|2161319400690712679</stp>
        <tr r="D15" s="12"/>
      </tp>
      <tp t="e">
        <v>#N/A</v>
        <stp/>
        <stp>BDH|9425889035021138488</stp>
        <tr r="O118" s="18"/>
      </tp>
      <tp t="e">
        <v>#N/A</v>
        <stp/>
        <stp>BDH|1628851045269044365</stp>
        <tr r="G41" s="21"/>
      </tp>
      <tp t="e">
        <v>#N/A</v>
        <stp/>
        <stp>BDH|4433573103746548050</stp>
        <tr r="N13" s="18"/>
      </tp>
      <tp t="e">
        <v>#N/A</v>
        <stp/>
        <stp>BDH|7832646411503912443</stp>
        <tr r="W138" s="18"/>
      </tp>
      <tp t="e">
        <v>#N/A</v>
        <stp/>
        <stp>BDH|6933679130887908370</stp>
        <tr r="D8" s="27"/>
      </tp>
      <tp t="e">
        <v>#N/A</v>
        <stp/>
        <stp>BDH|8651381561288601294</stp>
        <tr r="E33" s="34"/>
      </tp>
      <tp t="e">
        <v>#N/A</v>
        <stp/>
        <stp>BDH|5499195525343821208</stp>
        <tr r="T31" s="21"/>
      </tp>
      <tp t="e">
        <v>#N/A</v>
        <stp/>
        <stp>BDH|4463928314349512278</stp>
        <tr r="W14" s="4"/>
      </tp>
      <tp t="e">
        <v>#N/A</v>
        <stp/>
        <stp>BDH|6650450833184916292</stp>
        <tr r="C55" s="18"/>
      </tp>
      <tp t="e">
        <v>#N/A</v>
        <stp/>
        <stp>BDH|7533080324323822115</stp>
        <tr r="V18" s="14"/>
      </tp>
      <tp t="e">
        <v>#N/A</v>
        <stp/>
        <stp>BDH|8917424899794635646</stp>
        <tr r="F56" s="10"/>
        <tr r="F50" s="11"/>
        <tr r="F18" s="7"/>
        <tr r="H52" s="13"/>
      </tp>
      <tp t="e">
        <v>#N/A</v>
        <stp/>
        <stp>BDH|8775573085861639338</stp>
        <tr r="V79" s="17"/>
      </tp>
      <tp t="e">
        <v>#N/A</v>
        <stp/>
        <stp>BDH|3244642085739501367</stp>
        <tr r="K16" s="30"/>
      </tp>
      <tp t="e">
        <v>#N/A</v>
        <stp/>
        <stp>BDH|7718576711675054112</stp>
        <tr r="C27" s="34"/>
      </tp>
      <tp t="e">
        <v>#N/A</v>
        <stp/>
        <stp>BDH|6751342561345359117</stp>
        <tr r="J21" s="20"/>
      </tp>
      <tp t="e">
        <v>#N/A</v>
        <stp/>
        <stp>BDH|6762036501559439810</stp>
        <tr r="K161" s="18"/>
      </tp>
      <tp t="e">
        <v>#N/A</v>
        <stp/>
        <stp>BDH|3655163754418296862</stp>
        <tr r="W18" s="6"/>
      </tp>
      <tp t="e">
        <v>#N/A</v>
        <stp/>
        <stp>BDH|2819861008939386458</stp>
        <tr r="G16" s="20"/>
      </tp>
      <tp t="e">
        <v>#N/A</v>
        <stp/>
        <stp>BDH|8500389791070869547</stp>
        <tr r="Y30" s="26"/>
      </tp>
      <tp t="e">
        <v>#N/A</v>
        <stp/>
        <stp>BDH|3689753975641632505</stp>
        <tr r="Z34" s="12"/>
      </tp>
      <tp t="e">
        <v>#N/A</v>
        <stp/>
        <stp>BDH|5937669182054835852</stp>
        <tr r="T23" s="13"/>
      </tp>
      <tp t="e">
        <v>#N/A</v>
        <stp/>
        <stp>BDH|2580915363113039974</stp>
        <tr r="I51" s="17"/>
      </tp>
      <tp t="e">
        <v>#N/A</v>
        <stp/>
        <stp>BDH|7012276502486098450</stp>
        <tr r="L50" s="24"/>
      </tp>
      <tp t="e">
        <v>#N/A</v>
        <stp/>
        <stp>BDH|8872877227385186091</stp>
        <tr r="K18" s="17"/>
      </tp>
      <tp t="e">
        <v>#N/A</v>
        <stp/>
        <stp>BDH|7304265939125577499</stp>
        <tr r="O29" s="5"/>
      </tp>
      <tp t="e">
        <v>#N/A</v>
        <stp/>
        <stp>BDH|2176720042116980083</stp>
        <tr r="X32" s="12"/>
      </tp>
      <tp t="e">
        <v>#N/A</v>
        <stp/>
        <stp>BDH|7411239421950492025</stp>
        <tr r="O15" s="26"/>
      </tp>
      <tp t="e">
        <v>#N/A</v>
        <stp/>
        <stp>BDH|5349487234741600499</stp>
        <tr r="X40" s="29"/>
      </tp>
      <tp t="e">
        <v>#N/A</v>
        <stp/>
        <stp>BDH|2517809196795520161</stp>
        <tr r="O72" s="18"/>
      </tp>
      <tp t="e">
        <v>#N/A</v>
        <stp/>
        <stp>BDH|5777617343824729426</stp>
        <tr r="M40" s="17"/>
      </tp>
      <tp t="e">
        <v>#N/A</v>
        <stp/>
        <stp>BDH|2989934331557329884</stp>
        <tr r="O44" s="17"/>
      </tp>
      <tp t="e">
        <v>#N/A</v>
        <stp/>
        <stp>BDH|4580486779823297360</stp>
        <tr r="L18" s="9"/>
      </tp>
      <tp t="e">
        <v>#N/A</v>
        <stp/>
        <stp>BDH|4714075434090334078</stp>
        <tr r="D79" s="12"/>
      </tp>
      <tp t="e">
        <v>#N/A</v>
        <stp/>
        <stp>BDH|7089415133860283702</stp>
        <tr r="E18" s="13"/>
      </tp>
      <tp t="e">
        <v>#N/A</v>
        <stp/>
        <stp>BDH|6285150656817677279</stp>
        <tr r="W89" s="17"/>
      </tp>
      <tp t="e">
        <v>#N/A</v>
        <stp/>
        <stp>BDH|8315906172486356728</stp>
        <tr r="L165" s="18"/>
      </tp>
      <tp t="e">
        <v>#N/A</v>
        <stp/>
        <stp>BDH|9734531787663635046</stp>
        <tr r="Q32" s="10"/>
        <tr r="Q26" s="11"/>
      </tp>
      <tp t="e">
        <v>#N/A</v>
        <stp/>
        <stp>BDH|2243730845097474113</stp>
        <tr r="O114" s="18"/>
      </tp>
      <tp t="e">
        <v>#N/A</v>
        <stp/>
        <stp>BDH|5350431016437762006</stp>
        <tr r="R118" s="18"/>
      </tp>
      <tp t="e">
        <v>#N/A</v>
        <stp/>
        <stp>BDH|4630203460026435133</stp>
        <tr r="X12" s="21"/>
      </tp>
      <tp t="e">
        <v>#N/A</v>
        <stp/>
        <stp>BDH|6273932647699058575</stp>
        <tr r="G12" s="11"/>
      </tp>
      <tp t="e">
        <v>#N/A</v>
        <stp/>
        <stp>BDH|2337772036295008430</stp>
        <tr r="N14" s="18"/>
      </tp>
      <tp t="e">
        <v>#N/A</v>
        <stp/>
        <stp>BDH|5591440610913845487</stp>
        <tr r="R8" s="22"/>
      </tp>
      <tp t="e">
        <v>#N/A</v>
        <stp/>
        <stp>BDH|1541211946512141227</stp>
        <tr r="X32" s="18"/>
      </tp>
      <tp t="e">
        <v>#N/A</v>
        <stp/>
        <stp>BDH|7464528977615227729</stp>
        <tr r="M17" s="6"/>
      </tp>
      <tp t="e">
        <v>#N/A</v>
        <stp/>
        <stp>BDH|4762760561064951681</stp>
        <tr r="E44" s="21"/>
      </tp>
      <tp t="e">
        <v>#N/A</v>
        <stp/>
        <stp>BDH|8673150084871333759</stp>
        <tr r="N70" s="24"/>
      </tp>
      <tp t="e">
        <v>#N/A</v>
        <stp/>
        <stp>BDH|2574034459220730097</stp>
        <tr r="S94" s="17"/>
      </tp>
      <tp t="e">
        <v>#N/A</v>
        <stp/>
        <stp>BDH|1426147232144758044</stp>
        <tr r="J54" s="21"/>
      </tp>
      <tp t="e">
        <v>#N/A</v>
        <stp/>
        <stp>BDH|1567186113642665494</stp>
        <tr r="O24" s="21"/>
      </tp>
      <tp t="e">
        <v>#N/A</v>
        <stp/>
        <stp>BDH|4412538545916106424</stp>
        <tr r="I21" s="21"/>
      </tp>
      <tp t="e">
        <v>#N/A</v>
        <stp/>
        <stp>BDH|1089243177190170339</stp>
        <tr r="M30" s="12"/>
      </tp>
      <tp t="e">
        <v>#N/A</v>
        <stp/>
        <stp>BDH|4882268672635413390</stp>
        <tr r="J78" s="17"/>
      </tp>
      <tp t="e">
        <v>#N/A</v>
        <stp/>
        <stp>BDH|5127974787054478746</stp>
        <tr r="T21" s="17"/>
      </tp>
      <tp t="e">
        <v>#N/A</v>
        <stp/>
        <stp>BDH|9344324092846669249</stp>
        <tr r="K21" s="10"/>
      </tp>
      <tp t="e">
        <v>#N/A</v>
        <stp/>
        <stp>BDH|2097064950467397746</stp>
        <tr r="S69" s="10"/>
        <tr r="S63" s="11"/>
        <tr r="S20" s="7"/>
      </tp>
      <tp t="e">
        <v>#N/A</v>
        <stp/>
        <stp>BDH|4303756349083881368</stp>
        <tr r="C76" s="12"/>
      </tp>
      <tp t="e">
        <v>#N/A</v>
        <stp/>
        <stp>BDH|2068829486285040050</stp>
        <tr r="L36" s="21"/>
      </tp>
      <tp t="e">
        <v>#N/A</v>
        <stp/>
        <stp>BDH|6361433441175482445</stp>
        <tr r="S139" s="18"/>
      </tp>
      <tp t="e">
        <v>#N/A</v>
        <stp/>
        <stp>BDH|3348613661830603446</stp>
        <tr r="D55" s="13"/>
      </tp>
      <tp t="e">
        <v>#N/A</v>
        <stp/>
        <stp>BDH|1909823848853221901</stp>
        <tr r="F7" s="34"/>
      </tp>
      <tp t="e">
        <v>#N/A</v>
        <stp/>
        <stp>BDH|9180478282770460219</stp>
        <tr r="U22" s="4"/>
      </tp>
      <tp t="e">
        <v>#N/A</v>
        <stp/>
        <stp>BDH|5592564572043370332</stp>
        <tr r="Z66" s="24"/>
      </tp>
      <tp t="e">
        <v>#N/A</v>
        <stp/>
        <stp>BDH|2017551910202331379</stp>
        <tr r="X83" s="17"/>
      </tp>
      <tp t="e">
        <v>#N/A</v>
        <stp/>
        <stp>BDH|9618862431142130719</stp>
        <tr r="M65" s="18"/>
      </tp>
      <tp t="e">
        <v>#N/A</v>
        <stp/>
        <stp>BDH|2281471817636254611</stp>
        <tr r="J143" s="18"/>
      </tp>
      <tp t="e">
        <v>#N/A</v>
        <stp/>
        <stp>BDH|1248021975413786234</stp>
        <tr r="O10" s="11"/>
      </tp>
      <tp t="e">
        <v>#N/A</v>
        <stp/>
        <stp>BDH|8226496334870643885</stp>
        <tr r="H17" s="23"/>
      </tp>
      <tp t="e">
        <v>#N/A</v>
        <stp/>
        <stp>BDH|2008491438863835187</stp>
        <tr r="R131" s="18"/>
      </tp>
      <tp t="e">
        <v>#N/A</v>
        <stp/>
        <stp>BDH|4498874040519607644</stp>
        <tr r="E96" s="17"/>
      </tp>
      <tp t="e">
        <v>#N/A</v>
        <stp/>
        <stp>BDH|6412253505190467319</stp>
        <tr r="V24" s="17"/>
      </tp>
      <tp t="e">
        <v>#N/A</v>
        <stp/>
        <stp>BDH|1824225275806652585</stp>
        <tr r="J22" s="20"/>
      </tp>
      <tp t="e">
        <v>#N/A</v>
        <stp/>
        <stp>BDH|3387809366743788931</stp>
        <tr r="N40" s="24"/>
      </tp>
      <tp t="e">
        <v>#N/A</v>
        <stp/>
        <stp>BDH|8710968153677520463</stp>
        <tr r="Y37" s="12"/>
      </tp>
      <tp t="e">
        <v>#N/A</v>
        <stp/>
        <stp>BDH|7193331308406957527</stp>
        <tr r="R39" s="4"/>
        <tr r="R65" s="10"/>
      </tp>
      <tp t="e">
        <v>#N/A</v>
        <stp/>
        <stp>BDH|6040239253632220437</stp>
        <tr r="K66" s="10"/>
      </tp>
      <tp t="e">
        <v>#N/A</v>
        <stp/>
        <stp>BDH|7384046316633137215</stp>
        <tr r="R126" s="18"/>
      </tp>
      <tp t="e">
        <v>#N/A</v>
        <stp/>
        <stp>BDH|3893194226757278043</stp>
        <tr r="I93" s="18"/>
      </tp>
      <tp t="e">
        <v>#N/A</v>
        <stp/>
        <stp>BDH|1384662357192031736</stp>
        <tr r="S20" s="30"/>
      </tp>
      <tp t="e">
        <v>#N/A</v>
        <stp/>
        <stp>BDH|7844957780997852641</stp>
        <tr r="E15" s="24"/>
      </tp>
      <tp t="e">
        <v>#N/A</v>
        <stp/>
        <stp>BDH|7327970273186719863</stp>
        <tr r="Z43" s="18"/>
      </tp>
      <tp t="e">
        <v>#N/A</v>
        <stp/>
        <stp>BDH|5376231287269635176</stp>
        <tr r="M127" s="18"/>
      </tp>
      <tp t="e">
        <v>#N/A</v>
        <stp/>
        <stp>BDH|6331623601852115578</stp>
        <tr r="P26" s="21"/>
      </tp>
      <tp t="e">
        <v>#N/A</v>
        <stp/>
        <stp>BDH|6125424044182423354</stp>
        <tr r="AA15" s="26"/>
      </tp>
      <tp t="e">
        <v>#N/A</v>
        <stp/>
        <stp>BDH|2527365445491253327</stp>
        <tr r="O14" s="28"/>
      </tp>
      <tp t="e">
        <v>#N/A</v>
        <stp/>
        <stp>BDH|5935484820191440532</stp>
        <tr r="W160" s="18"/>
      </tp>
      <tp t="e">
        <v>#N/A</v>
        <stp/>
        <stp>BDH|9570770611899165149</stp>
        <tr r="AA88" s="18"/>
      </tp>
      <tp t="e">
        <v>#N/A</v>
        <stp/>
        <stp>BDH|6985220498228603239</stp>
        <tr r="T23" s="20"/>
      </tp>
      <tp t="e">
        <v>#N/A</v>
        <stp/>
        <stp>BDH|2915087608173673692</stp>
        <tr r="G9" s="29"/>
      </tp>
      <tp t="e">
        <v>#N/A</v>
        <stp/>
        <stp>BDH|9554393018579364517</stp>
        <tr r="O50" s="17"/>
      </tp>
      <tp t="e">
        <v>#N/A</v>
        <stp/>
        <stp>BDH|3758775255520249616</stp>
        <tr r="Z57" s="17"/>
        <tr r="Z10" s="25"/>
      </tp>
      <tp t="e">
        <v>#N/A</v>
        <stp/>
        <stp>BDH|9690756994072392221</stp>
        <tr r="U51" s="24"/>
      </tp>
      <tp t="e">
        <v>#N/A</v>
        <stp/>
        <stp>BDH|5020823180733466106</stp>
        <tr r="K35" s="18"/>
      </tp>
      <tp t="e">
        <v>#N/A</v>
        <stp/>
        <stp>BDH|7000626721747512306</stp>
        <tr r="N9" s="21"/>
      </tp>
      <tp t="e">
        <v>#N/A</v>
        <stp/>
        <stp>BDH|6605253950052189442</stp>
        <tr r="E13" s="24"/>
      </tp>
      <tp t="e">
        <v>#N/A</v>
        <stp/>
        <stp>BDH|3527608222155664575</stp>
        <tr r="D51" s="13"/>
      </tp>
      <tp t="e">
        <v>#N/A</v>
        <stp/>
        <stp>BDH|3178119130417738111</stp>
        <tr r="C40" s="17"/>
      </tp>
      <tp t="e">
        <v>#N/A</v>
        <stp/>
        <stp>BDH|9640564393884536603</stp>
        <tr r="J32" s="34"/>
      </tp>
      <tp t="e">
        <v>#N/A</v>
        <stp/>
        <stp>BDH|8146945510156320109</stp>
        <tr r="U128" s="18"/>
      </tp>
      <tp t="e">
        <v>#N/A</v>
        <stp/>
        <stp>BDH|2136685135321382196</stp>
        <tr r="K28" s="12"/>
      </tp>
      <tp t="e">
        <v>#N/A</v>
        <stp/>
        <stp>BDH|2651119346952366248</stp>
        <tr r="V20" s="17"/>
      </tp>
      <tp t="e">
        <v>#N/A</v>
        <stp/>
        <stp>BDH|5138740863626779579</stp>
        <tr r="Z67" s="17"/>
      </tp>
      <tp t="e">
        <v>#N/A</v>
        <stp/>
        <stp>BDH|2092455211027350713</stp>
        <tr r="AA41" s="13"/>
      </tp>
      <tp t="e">
        <v>#N/A</v>
        <stp/>
        <stp>BDH|7352325414611439378</stp>
        <tr r="T63" s="17"/>
      </tp>
      <tp t="e">
        <v>#N/A</v>
        <stp/>
        <stp>BDH|9420577480167696431</stp>
        <tr r="Y9" s="11"/>
      </tp>
      <tp t="e">
        <v>#N/A</v>
        <stp/>
        <stp>BDH|5350634013021290474</stp>
        <tr r="I78" s="12"/>
      </tp>
      <tp t="e">
        <v>#N/A</v>
        <stp/>
        <stp>BDH|8102162426664393841</stp>
        <tr r="D40" s="17"/>
      </tp>
      <tp t="e">
        <v>#N/A</v>
        <stp/>
        <stp>BDH|8697406503688136326</stp>
        <tr r="W37" s="18"/>
      </tp>
      <tp t="e">
        <v>#N/A</v>
        <stp/>
        <stp>BDH|8056727277318271719</stp>
        <tr r="T27" s="22"/>
      </tp>
      <tp t="e">
        <v>#N/A</v>
        <stp/>
        <stp>BDH|1295129672364040448</stp>
        <tr r="L16" s="20"/>
      </tp>
      <tp t="e">
        <v>#N/A</v>
        <stp/>
        <stp>BDH|9480840871274568523</stp>
        <tr r="H25" s="3"/>
      </tp>
      <tp t="e">
        <v>#N/A</v>
        <stp/>
        <stp>BDH|7915276469023491750</stp>
        <tr r="J130" s="18"/>
      </tp>
      <tp t="e">
        <v>#N/A</v>
        <stp/>
        <stp>BDH|8498894269404549573</stp>
        <tr r="Z72" s="18"/>
      </tp>
      <tp t="e">
        <v>#N/A</v>
        <stp/>
        <stp>BDH|1848879600147066994</stp>
        <tr r="K64" s="12"/>
      </tp>
      <tp t="e">
        <v>#N/A</v>
        <stp/>
        <stp>BDH|4352178426427301769</stp>
        <tr r="Y22" s="11"/>
      </tp>
      <tp t="e">
        <v>#N/A</v>
        <stp/>
        <stp>BDH|6354835165819015629</stp>
        <tr r="T21" s="27"/>
      </tp>
      <tp t="e">
        <v>#N/A</v>
        <stp/>
        <stp>BDH|8108847711435093339</stp>
        <tr r="G23" s="25"/>
        <tr r="G13" s="27"/>
      </tp>
      <tp t="e">
        <v>#N/A</v>
        <stp/>
        <stp>BDH|3555956596683450753</stp>
        <tr r="R147" s="18"/>
      </tp>
      <tp t="e">
        <v>#N/A</v>
        <stp/>
        <stp>BDH|5950606515126965326</stp>
        <tr r="X68" s="10"/>
      </tp>
      <tp t="e">
        <v>#N/A</v>
        <stp/>
        <stp>BDH|8251713939549992248</stp>
        <tr r="C30" s="34"/>
      </tp>
      <tp t="e">
        <v>#N/A</v>
        <stp/>
        <stp>BDH|9019218655951733841</stp>
        <tr r="D60" s="21"/>
      </tp>
      <tp t="e">
        <v>#N/A</v>
        <stp/>
        <stp>BDH|9180548261528210511</stp>
        <tr r="Z9" s="21"/>
      </tp>
      <tp t="e">
        <v>#N/A</v>
        <stp/>
        <stp>BDH|4927070499089019306</stp>
        <tr r="D10" s="21"/>
      </tp>
      <tp t="e">
        <v>#N/A</v>
        <stp/>
        <stp>BDH|2270566514647747607</stp>
        <tr r="C52" s="10"/>
        <tr r="C46" s="11"/>
        <tr r="C16" s="7"/>
      </tp>
      <tp t="e">
        <v>#N/A</v>
        <stp/>
        <stp>BDH|3266057210513765676</stp>
        <tr r="G91" s="18"/>
      </tp>
      <tp t="e">
        <v>#N/A</v>
        <stp/>
        <stp>BDH|1407841699437860067</stp>
        <tr r="P13" s="14"/>
      </tp>
      <tp t="e">
        <v>#N/A</v>
        <stp/>
        <stp>BDH|4620469608876741180</stp>
        <tr r="K17" s="9"/>
      </tp>
      <tp t="e">
        <v>#N/A</v>
        <stp/>
        <stp>BDH|8425485239181699949</stp>
        <tr r="U19" s="17"/>
      </tp>
      <tp t="e">
        <v>#N/A</v>
        <stp/>
        <stp>BDH|2784057635751575759</stp>
        <tr r="F34" s="12"/>
      </tp>
      <tp t="e">
        <v>#N/A</v>
        <stp/>
        <stp>BDH|3861689997288107314</stp>
        <tr r="AA11" s="22"/>
      </tp>
      <tp t="e">
        <v>#N/A</v>
        <stp/>
        <stp>BDH|2221312850946797539</stp>
        <tr r="Z76" s="17"/>
      </tp>
      <tp t="e">
        <v>#N/A</v>
        <stp/>
        <stp>BDH|7780289916487991474</stp>
        <tr r="L9" s="10"/>
      </tp>
      <tp t="e">
        <v>#N/A</v>
        <stp/>
        <stp>BDH|5890418810173794491</stp>
        <tr r="K149" s="18"/>
      </tp>
      <tp t="e">
        <v>#N/A</v>
        <stp/>
        <stp>BDH|4209417283896426936</stp>
        <tr r="C34" s="21"/>
      </tp>
      <tp t="e">
        <v>#N/A</v>
        <stp/>
        <stp>BDH|6895240149324683349</stp>
        <tr r="E11" s="29"/>
      </tp>
      <tp t="e">
        <v>#N/A</v>
        <stp/>
        <stp>BDH|4053903727631120919</stp>
        <tr r="Z100" s="18"/>
      </tp>
      <tp t="e">
        <v>#N/A</v>
        <stp/>
        <stp>BDH|6238542042532798246</stp>
        <tr r="H59" s="24"/>
      </tp>
      <tp t="e">
        <v>#N/A</v>
        <stp/>
        <stp>BDH|4121006283509797222</stp>
        <tr r="N64" s="21"/>
      </tp>
      <tp t="e">
        <v>#N/A</v>
        <stp/>
        <stp>BDH|8403903950947122422</stp>
        <tr r="P48" s="17"/>
      </tp>
      <tp t="e">
        <v>#N/A</v>
        <stp/>
        <stp>BDH|3164112114737782346</stp>
        <tr r="V49" s="4"/>
      </tp>
      <tp t="e">
        <v>#N/A</v>
        <stp/>
        <stp>BDH|2287571746244258063</stp>
        <tr r="W17" s="5"/>
        <tr r="W24" s="6"/>
      </tp>
      <tp t="e">
        <v>#N/A</v>
        <stp/>
        <stp>BDH|5346668634427116075</stp>
        <tr r="N33" s="26"/>
      </tp>
      <tp t="e">
        <v>#N/A</v>
        <stp/>
        <stp>BDH|2012607514321797340</stp>
        <tr r="V13" s="12"/>
      </tp>
      <tp t="e">
        <v>#N/A</v>
        <stp/>
        <stp>BDH|5562567487277679858</stp>
        <tr r="V19" s="17"/>
      </tp>
      <tp t="e">
        <v>#N/A</v>
        <stp/>
        <stp>BDH|1218913446503225809</stp>
        <tr r="U62" s="17"/>
      </tp>
      <tp t="e">
        <v>#N/A</v>
        <stp/>
        <stp>BDH|4929403469622235358</stp>
        <tr r="T14" s="11"/>
      </tp>
      <tp t="e">
        <v>#N/A</v>
        <stp/>
        <stp>BDH|2766735000654398600</stp>
        <tr r="P28" s="26"/>
      </tp>
      <tp t="e">
        <v>#N/A</v>
        <stp/>
        <stp>BDH|5471640061825170777</stp>
        <tr r="H42" s="12"/>
      </tp>
      <tp t="e">
        <v>#N/A</v>
        <stp/>
        <stp>BDH|4083505379300738192</stp>
        <tr r="C52" s="13"/>
      </tp>
      <tp t="e">
        <v>#N/A</v>
        <stp/>
        <stp>BDH|1698430605135479731</stp>
        <tr r="Q60" s="24"/>
      </tp>
      <tp t="e">
        <v>#N/A</v>
        <stp/>
        <stp>BDH|8380639618830767881</stp>
        <tr r="S24" s="25"/>
        <tr r="S14" s="27"/>
      </tp>
      <tp t="e">
        <v>#N/A</v>
        <stp/>
        <stp>BDH|6639614449114228785</stp>
        <tr r="N56" s="17"/>
        <tr r="N17" s="3"/>
      </tp>
      <tp t="e">
        <v>#N/A</v>
        <stp/>
        <stp>BDH|5400259923986210440</stp>
        <tr r="V31" s="12"/>
      </tp>
      <tp t="e">
        <v>#N/A</v>
        <stp/>
        <stp>BDH|4292793559189582832</stp>
        <tr r="Q30" s="29"/>
        <tr r="Q8" s="29"/>
      </tp>
      <tp t="e">
        <v>#N/A</v>
        <stp/>
        <stp>BDH|9004742751224905880</stp>
        <tr r="Y13" s="22"/>
      </tp>
      <tp t="e">
        <v>#N/A</v>
        <stp/>
        <stp>BDH|1310397510405834161</stp>
        <tr r="D13" s="18"/>
      </tp>
      <tp t="e">
        <v>#N/A</v>
        <stp/>
        <stp>BDH|9711460502173232953</stp>
        <tr r="I71" s="24"/>
      </tp>
      <tp t="e">
        <v>#N/A</v>
        <stp/>
        <stp>BDH|2436516952085721044</stp>
        <tr r="W32" s="18"/>
      </tp>
      <tp t="e">
        <v>#N/A</v>
        <stp/>
        <stp>BDH|3420473279654701394</stp>
        <tr r="H12" s="3"/>
        <tr r="F54" s="10"/>
        <tr r="F48" s="11"/>
        <tr r="F7" s="7"/>
      </tp>
      <tp t="e">
        <v>#N/A</v>
        <stp/>
        <stp>BDH|1861456919647717475</stp>
        <tr r="G83" s="18"/>
      </tp>
      <tp t="e">
        <v>#N/A</v>
        <stp/>
        <stp>BDH|2697619632776977685</stp>
        <tr r="R56" s="12"/>
      </tp>
      <tp t="e">
        <v>#N/A</v>
        <stp/>
        <stp>BDH|6187686446414265798</stp>
        <tr r="Q104" s="18"/>
      </tp>
      <tp t="e">
        <v>#N/A</v>
        <stp/>
        <stp>BDH|6153446166546325540</stp>
        <tr r="J10" s="28"/>
      </tp>
      <tp t="e">
        <v>#N/A</v>
        <stp/>
        <stp>BDH|1460695385160432886</stp>
        <tr r="M45" s="13"/>
      </tp>
      <tp t="e">
        <v>#N/A</v>
        <stp/>
        <stp>BDH|7929008335382172199</stp>
        <tr r="R20" s="12"/>
      </tp>
      <tp t="e">
        <v>#N/A</v>
        <stp/>
        <stp>BDH|3649159813643347778</stp>
        <tr r="Q18" s="24"/>
      </tp>
      <tp t="e">
        <v>#N/A</v>
        <stp/>
        <stp>BDH|9959119803837670894</stp>
        <tr r="E37" s="10"/>
        <tr r="E31" s="11"/>
        <tr r="G40" s="13"/>
      </tp>
      <tp t="e">
        <v>#N/A</v>
        <stp/>
        <stp>BDH|3611555860250392748</stp>
        <tr r="E31" s="34"/>
      </tp>
      <tp t="e">
        <v>#N/A</v>
        <stp/>
        <stp>BDH|7673097831700253385</stp>
        <tr r="C14" s="2"/>
        <tr r="C11" s="10"/>
      </tp>
      <tp t="e">
        <v>#N/A</v>
        <stp/>
        <stp>BDH|1616611903608045805</stp>
        <tr r="K8" s="8"/>
      </tp>
      <tp t="e">
        <v>#N/A</v>
        <stp/>
        <stp>BDH|9687172675231965998</stp>
        <tr r="V13" s="17"/>
        <tr r="V16" s="28"/>
      </tp>
      <tp t="e">
        <v>#N/A</v>
        <stp/>
        <stp>BDH|6202403694708536471</stp>
        <tr r="E93" s="18"/>
      </tp>
      <tp t="e">
        <v>#N/A</v>
        <stp/>
        <stp>BDH|6133473277922776027</stp>
        <tr r="H10" s="24"/>
      </tp>
      <tp t="e">
        <v>#N/A</v>
        <stp/>
        <stp>BDH|7174810995882037315</stp>
        <tr r="U12" s="30"/>
      </tp>
      <tp t="e">
        <v>#N/A</v>
        <stp/>
        <stp>BDH|3785555651896359249</stp>
        <tr r="J25" s="34"/>
      </tp>
      <tp t="e">
        <v>#N/A</v>
        <stp/>
        <stp>BDH|6399435577015450770</stp>
        <tr r="W31" s="25"/>
      </tp>
      <tp t="e">
        <v>#N/A</v>
        <stp/>
        <stp>BDH|5443503758151979318</stp>
        <tr r="T24" s="4"/>
        <tr r="T58" s="11"/>
      </tp>
      <tp t="e">
        <v>#N/A</v>
        <stp/>
        <stp>BDH|4364699529593629410</stp>
        <tr r="P22" s="18"/>
      </tp>
      <tp t="e">
        <v>#N/A</v>
        <stp/>
        <stp>BDH|7681845715631673857</stp>
        <tr r="N28" s="17"/>
      </tp>
      <tp t="e">
        <v>#N/A</v>
        <stp/>
        <stp>BDH|4594159106270081221</stp>
        <tr r="G62" s="11"/>
      </tp>
      <tp t="e">
        <v>#N/A</v>
        <stp/>
        <stp>BDH|4495115521799554955</stp>
        <tr r="D24" s="4"/>
        <tr r="D58" s="11"/>
      </tp>
      <tp t="e">
        <v>#N/A</v>
        <stp/>
        <stp>BDH|5388553875090092079</stp>
        <tr r="G7" s="6"/>
      </tp>
      <tp t="e">
        <v>#N/A</v>
        <stp/>
        <stp>BDH|6772433777843036175</stp>
        <tr r="T47" s="12"/>
      </tp>
      <tp t="e">
        <v>#N/A</v>
        <stp/>
        <stp>BDH|2436376139521697483</stp>
        <tr r="L18" s="13"/>
      </tp>
      <tp t="e">
        <v>#N/A</v>
        <stp/>
        <stp>BDH|3093110035143969594</stp>
        <tr r="D9" s="21"/>
      </tp>
      <tp t="e">
        <v>#N/A</v>
        <stp/>
        <stp>BDH|9193027210516419937</stp>
        <tr r="L20" s="24"/>
      </tp>
      <tp t="e">
        <v>#N/A</v>
        <stp/>
        <stp>BDH|3818489580330054843</stp>
        <tr r="J22" s="27"/>
      </tp>
      <tp t="e">
        <v>#N/A</v>
        <stp/>
        <stp>BDH|7289621395557249834</stp>
        <tr r="D15" s="17"/>
        <tr r="D18" s="28"/>
      </tp>
      <tp t="e">
        <v>#N/A</v>
        <stp/>
        <stp>BDH|2944452138470790277</stp>
        <tr r="M45" s="17"/>
        <tr r="M9" s="25"/>
      </tp>
      <tp t="e">
        <v>#N/A</v>
        <stp/>
        <stp>BDH|7451200571537076219</stp>
        <tr r="T15" s="13"/>
      </tp>
      <tp t="e">
        <v>#N/A</v>
        <stp/>
        <stp>BDH|1676410274621599426</stp>
        <tr r="J62" s="18"/>
      </tp>
      <tp t="e">
        <v>#N/A</v>
        <stp/>
        <stp>BDH|6691417027510518714</stp>
        <tr r="N127" s="18"/>
      </tp>
      <tp t="e">
        <v>#N/A</v>
        <stp/>
        <stp>BDH|5955616177106223581</stp>
        <tr r="E164" s="18"/>
      </tp>
      <tp t="e">
        <v>#N/A</v>
        <stp/>
        <stp>BDH|1681448033024342575</stp>
        <tr r="D42" s="13"/>
      </tp>
      <tp t="e">
        <v>#N/A</v>
        <stp/>
        <stp>BDH|1459010421372035615</stp>
        <tr r="N71" s="10"/>
        <tr r="N65" s="11"/>
      </tp>
      <tp t="e">
        <v>#N/A</v>
        <stp/>
        <stp>BDH|5886557230796914219</stp>
        <tr r="E24" s="25"/>
        <tr r="E14" s="27"/>
      </tp>
      <tp t="e">
        <v>#N/A</v>
        <stp/>
        <stp>BDH|7340460952690005121</stp>
        <tr r="W18" s="18"/>
      </tp>
      <tp t="e">
        <v>#N/A</v>
        <stp/>
        <stp>BDH|6024274214743503132</stp>
        <tr r="G20" s="11"/>
      </tp>
      <tp t="e">
        <v>#N/A</v>
        <stp/>
        <stp>BDH|7439600832563278612</stp>
        <tr r="H83" s="18"/>
      </tp>
      <tp t="e">
        <v>#N/A</v>
        <stp/>
        <stp>BDH|2583513108525989505</stp>
        <tr r="W73" s="12"/>
      </tp>
      <tp t="e">
        <v>#N/A</v>
        <stp/>
        <stp>BDH|7394476215956577314</stp>
        <tr r="H12" s="18"/>
      </tp>
      <tp t="e">
        <v>#N/A</v>
        <stp/>
        <stp>BDH|6870536469217506526</stp>
        <tr r="Y130" s="18"/>
      </tp>
      <tp t="e">
        <v>#N/A</v>
        <stp/>
        <stp>BDH|6080985060417581985</stp>
        <tr r="Y18" s="14"/>
      </tp>
      <tp t="e">
        <v>#N/A</v>
        <stp/>
        <stp>BDH|3493639166234635026</stp>
        <tr r="H72" s="24"/>
      </tp>
      <tp t="e">
        <v>#N/A</v>
        <stp/>
        <stp>BDH|6351310774012275715</stp>
        <tr r="G131" s="18"/>
      </tp>
      <tp t="e">
        <v>#N/A</v>
        <stp/>
        <stp>BDH|4662235038315108797</stp>
        <tr r="Z54" s="21"/>
      </tp>
      <tp t="e">
        <v>#N/A</v>
        <stp/>
        <stp>BDH|1991482353303692418</stp>
        <tr r="D44" s="21"/>
      </tp>
      <tp t="e">
        <v>#N/A</v>
        <stp/>
        <stp>BDH|6664712940795031728</stp>
        <tr r="K43" s="18"/>
      </tp>
      <tp t="e">
        <v>#N/A</v>
        <stp/>
        <stp>BDH|7451949184118411954</stp>
        <tr r="H17" s="20"/>
      </tp>
      <tp t="e">
        <v>#N/A</v>
        <stp/>
        <stp>BDH|2659951852299181056</stp>
        <tr r="K10" s="10"/>
      </tp>
      <tp t="e">
        <v>#N/A</v>
        <stp/>
        <stp>BDH|6212517070585233648</stp>
        <tr r="O49" s="12"/>
      </tp>
      <tp t="e">
        <v>#N/A</v>
        <stp/>
        <stp>BDH|4688825370679429552</stp>
        <tr r="F94" s="18"/>
      </tp>
      <tp t="e">
        <v>#N/A</v>
        <stp/>
        <stp>BDH|6637995310538985130</stp>
        <tr r="H37" s="21"/>
        <tr r="H24" s="3"/>
      </tp>
      <tp t="e">
        <v>#N/A</v>
        <stp/>
        <stp>BDH|6623220442902645555</stp>
        <tr r="E35" s="18"/>
      </tp>
      <tp t="e">
        <v>#N/A</v>
        <stp/>
        <stp>BDH|2542408618204918415</stp>
        <tr r="J65" s="21"/>
        <tr r="H23" s="7"/>
      </tp>
      <tp t="e">
        <v>#N/A</v>
        <stp/>
        <stp>BDH|6655616222443787673</stp>
        <tr r="K7" s="2"/>
        <tr r="J7" s="5"/>
        <tr r="J7" s="9"/>
        <tr r="M14" s="3"/>
      </tp>
      <tp t="e">
        <v>#N/A</v>
        <stp/>
        <stp>BDH|4450126339971954033</stp>
        <tr r="M41" s="18"/>
      </tp>
      <tp t="e">
        <v>#N/A</v>
        <stp/>
        <stp>BDH|2055549906031212151</stp>
        <tr r="N32" s="34"/>
      </tp>
      <tp t="e">
        <v>#N/A</v>
        <stp/>
        <stp>BDH|8705224503158392503</stp>
        <tr r="AA15" s="21"/>
      </tp>
      <tp t="e">
        <v>#N/A</v>
        <stp/>
        <stp>BDH|7804982741805642821</stp>
        <tr r="J47" s="24"/>
      </tp>
      <tp t="e">
        <v>#N/A</v>
        <stp/>
        <stp>BDH|9431272817859877491</stp>
        <tr r="G163" s="18"/>
      </tp>
      <tp t="e">
        <v>#N/A</v>
        <stp/>
        <stp>BDH|8989994594328568747</stp>
        <tr r="X10" s="10"/>
      </tp>
      <tp t="e">
        <v>#N/A</v>
        <stp/>
        <stp>BDH|6146124486951146913</stp>
        <tr r="E8" s="14"/>
      </tp>
      <tp t="e">
        <v>#N/A</v>
        <stp/>
        <stp>BDH|8920617408848152146</stp>
        <tr r="C34" s="34"/>
      </tp>
      <tp t="e">
        <v>#N/A</v>
        <stp/>
        <stp>BDH|3177348541227873494</stp>
        <tr r="AA24" s="13"/>
      </tp>
      <tp t="e">
        <v>#N/A</v>
        <stp/>
        <stp>BDH|5165075323994701474</stp>
        <tr r="R52" s="17"/>
      </tp>
      <tp t="e">
        <v>#N/A</v>
        <stp/>
        <stp>BDH|8393226133426508825</stp>
        <tr r="T7" s="23"/>
      </tp>
      <tp t="e">
        <v>#N/A</v>
        <stp/>
        <stp>BDH|16876901305967781</stp>
        <tr r="Y13" s="21"/>
      </tp>
      <tp t="e">
        <v>#N/A</v>
        <stp/>
        <stp>BDH|24734889487208289</stp>
        <tr r="G18" s="12"/>
      </tp>
      <tp t="e">
        <v>#N/A</v>
        <stp/>
        <stp>BDH|55043370379075498</stp>
        <tr r="D47" s="24"/>
      </tp>
      <tp t="e">
        <v>#N/A</v>
        <stp/>
        <stp>BDH|45861919405028626</stp>
        <tr r="P86" s="18"/>
      </tp>
      <tp t="e">
        <v>#N/A</v>
        <stp/>
        <stp>BDH|3887379679374876344</stp>
        <tr r="C11" s="12"/>
      </tp>
      <tp t="e">
        <v>#N/A</v>
        <stp/>
        <stp>BDH|2238209637006780583</stp>
        <tr r="C45" s="12"/>
      </tp>
      <tp t="e">
        <v>#N/A</v>
        <stp/>
        <stp>BDH|1035756075154221586</stp>
        <tr r="AA94" s="17"/>
      </tp>
      <tp t="e">
        <v>#N/A</v>
        <stp/>
        <stp>BDH|7478351028565138323</stp>
        <tr r="R120" s="18"/>
      </tp>
      <tp t="e">
        <v>#N/A</v>
        <stp/>
        <stp>BDH|3610193038453415294</stp>
        <tr r="O13" s="5"/>
      </tp>
      <tp t="e">
        <v>#N/A</v>
        <stp/>
        <stp>BDH|2641351852871365588</stp>
        <tr r="G17" s="13"/>
      </tp>
      <tp t="e">
        <v>#N/A</v>
        <stp/>
        <stp>BDH|4320917399504770065</stp>
        <tr r="F44" s="18"/>
      </tp>
      <tp t="e">
        <v>#N/A</v>
        <stp/>
        <stp>BDH|4985768825204897589</stp>
        <tr r="K88" s="18"/>
      </tp>
      <tp t="e">
        <v>#N/A</v>
        <stp/>
        <stp>BDH|1502686170048413832</stp>
        <tr r="F8" s="10"/>
      </tp>
      <tp t="e">
        <v>#N/A</v>
        <stp/>
        <stp>BDH|2976334267143757402</stp>
        <tr r="U15" s="5"/>
      </tp>
      <tp t="e">
        <v>#N/A</v>
        <stp/>
        <stp>BDH|6175632131757176480</stp>
        <tr r="D72" s="17"/>
        <tr r="D18" s="3"/>
      </tp>
      <tp t="e">
        <v>#N/A</v>
        <stp/>
        <stp>BDH|8196488223216074801</stp>
        <tr r="P12" s="30"/>
      </tp>
      <tp t="e">
        <v>#N/A</v>
        <stp/>
        <stp>BDH|4169297385116449831</stp>
        <tr r="N21" s="12"/>
      </tp>
      <tp t="e">
        <v>#N/A</v>
        <stp/>
        <stp>BDH|3000225321397062495</stp>
        <tr r="F31" s="10"/>
        <tr r="F25" s="11"/>
      </tp>
      <tp t="e">
        <v>#N/A</v>
        <stp/>
        <stp>BDH|8077646318697559835</stp>
        <tr r="I46" s="21"/>
      </tp>
      <tp t="e">
        <v>#N/A</v>
        <stp/>
        <stp>BDH|2142705716250521486</stp>
        <tr r="K16" s="18"/>
      </tp>
      <tp t="e">
        <v>#N/A</v>
        <stp/>
        <stp>BDH|3646962800358228280</stp>
        <tr r="T30" s="12"/>
      </tp>
      <tp t="e">
        <v>#N/A</v>
        <stp/>
        <stp>BDH|4039510833287115597</stp>
        <tr r="K30" s="18"/>
      </tp>
      <tp t="e">
        <v>#N/A</v>
        <stp/>
        <stp>BDH|2554472461708097890</stp>
        <tr r="Q7" s="6"/>
      </tp>
      <tp t="e">
        <v>#N/A</v>
        <stp/>
        <stp>BDH|9897446390880784416</stp>
        <tr r="Q31" s="26"/>
      </tp>
      <tp t="e">
        <v>#N/A</v>
        <stp/>
        <stp>BDH|7880754970170144760</stp>
        <tr r="T76" s="17"/>
      </tp>
      <tp t="e">
        <v>#N/A</v>
        <stp/>
        <stp>BDH|9023222901008910308</stp>
        <tr r="R24" s="18"/>
      </tp>
      <tp t="e">
        <v>#N/A</v>
        <stp/>
        <stp>BDH|7639853990873912501</stp>
        <tr r="W31" s="21"/>
      </tp>
      <tp t="e">
        <v>#N/A</v>
        <stp/>
        <stp>BDH|1345222913003091184</stp>
        <tr r="W12" s="30"/>
      </tp>
      <tp t="e">
        <v>#N/A</v>
        <stp/>
        <stp>BDH|7114791569474366288</stp>
        <tr r="T26" s="29"/>
      </tp>
      <tp t="e">
        <v>#N/A</v>
        <stp/>
        <stp>BDH|2857411176331488015</stp>
        <tr r="G121" s="18"/>
      </tp>
      <tp t="e">
        <v>#N/A</v>
        <stp/>
        <stp>BDH|8388277778208430524</stp>
        <tr r="F31" s="22"/>
      </tp>
      <tp t="e">
        <v>#N/A</v>
        <stp/>
        <stp>BDH|6425366258147688767</stp>
        <tr r="W55" s="12"/>
      </tp>
      <tp t="e">
        <v>#N/A</v>
        <stp/>
        <stp>BDH|2247045920213860348</stp>
        <tr r="P49" s="17"/>
      </tp>
      <tp t="e">
        <v>#N/A</v>
        <stp/>
        <stp>BDH|5456005206575993010</stp>
        <tr r="X117" s="18"/>
      </tp>
      <tp t="e">
        <v>#N/A</v>
        <stp/>
        <stp>BDH|7492161512550822723</stp>
        <tr r="Q67" s="10"/>
      </tp>
      <tp t="e">
        <v>#N/A</v>
        <stp/>
        <stp>BDH|1570329962983733788</stp>
        <tr r="X126" s="18"/>
      </tp>
      <tp t="e">
        <v>#N/A</v>
        <stp/>
        <stp>BDH|9618278295775912773</stp>
        <tr r="K13" s="6"/>
      </tp>
      <tp t="e">
        <v>#N/A</v>
        <stp/>
        <stp>BDH|6980572875786327221</stp>
        <tr r="E23" s="17"/>
        <tr r="E15" s="3"/>
      </tp>
      <tp t="e">
        <v>#N/A</v>
        <stp/>
        <stp>BDH|6535549559725748357</stp>
        <tr r="P74" s="12"/>
      </tp>
      <tp t="e">
        <v>#N/A</v>
        <stp/>
        <stp>BDH|3700125252711817642</stp>
        <tr r="N86" s="18"/>
      </tp>
      <tp t="e">
        <v>#N/A</v>
        <stp/>
        <stp>BDH|3486583954886301502</stp>
        <tr r="T79" s="12"/>
      </tp>
      <tp t="e">
        <v>#N/A</v>
        <stp/>
        <stp>BDH|4831394009792403571</stp>
        <tr r="W15" s="18"/>
      </tp>
      <tp t="e">
        <v>#N/A</v>
        <stp/>
        <stp>BDH|6041478174953927617</stp>
        <tr r="W15" s="6"/>
      </tp>
      <tp t="e">
        <v>#N/A</v>
        <stp/>
        <stp>BDH|1257506722785801334</stp>
        <tr r="P7" s="34"/>
      </tp>
      <tp t="e">
        <v>#N/A</v>
        <stp/>
        <stp>BDH|1005385765614009063</stp>
        <tr r="G157" s="18"/>
      </tp>
      <tp t="e">
        <v>#N/A</v>
        <stp/>
        <stp>BDH|7561166999178831790</stp>
        <tr r="H88" s="17"/>
      </tp>
      <tp t="e">
        <v>#N/A</v>
        <stp/>
        <stp>BDH|2216394191311240937</stp>
        <tr r="R20" s="24"/>
      </tp>
      <tp t="e">
        <v>#N/A</v>
        <stp/>
        <stp>BDH|5708209724930901515</stp>
        <tr r="X33" s="21"/>
      </tp>
      <tp t="e">
        <v>#N/A</v>
        <stp/>
        <stp>BDH|8071819924576970479</stp>
        <tr r="I8" s="11"/>
      </tp>
      <tp t="e">
        <v>#N/A</v>
        <stp/>
        <stp>BDH|8332884192078075127</stp>
        <tr r="S29" s="24"/>
      </tp>
      <tp t="e">
        <v>#N/A</v>
        <stp/>
        <stp>BDH|8672862068682261412</stp>
        <tr r="L14" s="10"/>
      </tp>
      <tp t="e">
        <v>#N/A</v>
        <stp/>
        <stp>BDH|2043289314815205453</stp>
        <tr r="X21" s="21"/>
      </tp>
      <tp t="e">
        <v>#N/A</v>
        <stp/>
        <stp>BDH|7983131829823048783</stp>
        <tr r="AA70" s="12"/>
      </tp>
      <tp t="e">
        <v>#N/A</v>
        <stp/>
        <stp>BDH|4729676427143965355</stp>
        <tr r="T35" s="25"/>
        <tr r="T7" s="3"/>
        <tr r="R18" s="11"/>
        <tr r="T22" s="13"/>
        <tr r="T7" s="13"/>
      </tp>
      <tp t="e">
        <v>#N/A</v>
        <stp/>
        <stp>BDH|2987306247091785420</stp>
        <tr r="Y62" s="12"/>
      </tp>
      <tp t="e">
        <v>#N/A</v>
        <stp/>
        <stp>BDH|4816321826115108069</stp>
        <tr r="V30" s="17"/>
      </tp>
      <tp t="e">
        <v>#N/A</v>
        <stp/>
        <stp>BDH|4499060098815182801</stp>
        <tr r="U18" s="17"/>
      </tp>
      <tp t="e">
        <v>#N/A</v>
        <stp/>
        <stp>BDH|5662105617171929438</stp>
        <tr r="Z26" s="26"/>
      </tp>
      <tp t="e">
        <v>#N/A</v>
        <stp/>
        <stp>BDH|3138614772887800515</stp>
        <tr r="M41" s="22"/>
      </tp>
      <tp t="e">
        <v>#N/A</v>
        <stp/>
        <stp>BDH|4290222629356074225</stp>
        <tr r="O62" s="10"/>
      </tp>
      <tp t="e">
        <v>#N/A</v>
        <stp/>
        <stp>BDH|3484551075732720381</stp>
        <tr r="N9" s="28"/>
      </tp>
      <tp t="e">
        <v>#N/A</v>
        <stp/>
        <stp>BDH|4264131137562595487</stp>
        <tr r="E21" s="26"/>
      </tp>
      <tp t="e">
        <v>#N/A</v>
        <stp/>
        <stp>BDH|8502211955068987735</stp>
        <tr r="U28" s="22"/>
      </tp>
      <tp t="e">
        <v>#N/A</v>
        <stp/>
        <stp>BDH|3592689616442024609</stp>
        <tr r="U92" s="17"/>
      </tp>
      <tp t="e">
        <v>#N/A</v>
        <stp/>
        <stp>BDH|4436493906931676161</stp>
        <tr r="F25" s="10"/>
      </tp>
      <tp t="e">
        <v>#N/A</v>
        <stp/>
        <stp>BDH|1803212282419605268</stp>
        <tr r="Y12" s="13"/>
      </tp>
      <tp t="e">
        <v>#N/A</v>
        <stp/>
        <stp>BDH|2849159219183644196</stp>
        <tr r="T45" s="12"/>
      </tp>
      <tp t="e">
        <v>#N/A</v>
        <stp/>
        <stp>BDH|6027551865590306588</stp>
        <tr r="U131" s="18"/>
      </tp>
      <tp t="e">
        <v>#N/A</v>
        <stp/>
        <stp>BDH|1749581064242881081</stp>
        <tr r="P61" s="18"/>
      </tp>
      <tp t="e">
        <v>#N/A</v>
        <stp/>
        <stp>BDH|3887496926266417383</stp>
        <tr r="L31" s="25"/>
      </tp>
      <tp t="e">
        <v>#N/A</v>
        <stp/>
        <stp>BDH|3546544309015926392</stp>
        <tr r="G64" s="12"/>
      </tp>
      <tp t="e">
        <v>#N/A</v>
        <stp/>
        <stp>BDH|3888418662013560266</stp>
        <tr r="P50" s="17"/>
      </tp>
      <tp t="e">
        <v>#N/A</v>
        <stp/>
        <stp>BDH|2602656149488200802</stp>
        <tr r="S38" s="6"/>
      </tp>
      <tp t="e">
        <v>#N/A</v>
        <stp/>
        <stp>BDH|4630162631380808611</stp>
        <tr r="J51" s="12"/>
      </tp>
      <tp t="e">
        <v>#N/A</v>
        <stp/>
        <stp>BDH|1282694905787592031</stp>
        <tr r="AA61" s="24"/>
      </tp>
      <tp t="e">
        <v>#N/A</v>
        <stp/>
        <stp>BDH|3810324380388119034</stp>
        <tr r="C25" s="4"/>
        <tr r="C64" s="10"/>
      </tp>
      <tp t="e">
        <v>#N/A</v>
        <stp/>
        <stp>BDH|4194291714425094247</stp>
        <tr r="D17" s="18"/>
      </tp>
      <tp t="e">
        <v>#N/A</v>
        <stp/>
        <stp>BDH|7184716409013681374</stp>
        <tr r="Q73" s="12"/>
      </tp>
      <tp t="e">
        <v>#N/A</v>
        <stp/>
        <stp>BDH|6037648554173806608</stp>
        <tr r="Z26" s="25"/>
        <tr r="Z16" s="27"/>
      </tp>
      <tp t="e">
        <v>#N/A</v>
        <stp/>
        <stp>BDH|2520222030303838072</stp>
        <tr r="U29" s="29"/>
        <tr r="U7" s="29"/>
      </tp>
      <tp t="e">
        <v>#N/A</v>
        <stp/>
        <stp>BDH|6265925793517223190</stp>
        <tr r="C68" s="17"/>
      </tp>
      <tp t="e">
        <v>#N/A</v>
        <stp/>
        <stp>BDH|7841217011977385336</stp>
        <tr r="D163" s="18"/>
      </tp>
      <tp t="e">
        <v>#N/A</v>
        <stp/>
        <stp>BDH|4650982943441606837</stp>
        <tr r="X9" s="10"/>
      </tp>
      <tp t="e">
        <v>#N/A</v>
        <stp/>
        <stp>BDH|2912598396758991670</stp>
        <tr r="H16" s="25"/>
      </tp>
      <tp t="e">
        <v>#N/A</v>
        <stp/>
        <stp>BDH|7743788252073634638</stp>
        <tr r="Q45" s="21"/>
      </tp>
      <tp t="e">
        <v>#N/A</v>
        <stp/>
        <stp>BDH|8960446384056174200</stp>
        <tr r="O20" s="23"/>
      </tp>
      <tp t="e">
        <v>#N/A</v>
        <stp/>
        <stp>BDH|6549730464231947635</stp>
        <tr r="I100" s="18"/>
      </tp>
      <tp t="e">
        <v>#N/A</v>
        <stp/>
        <stp>BDH|4531390996196094822</stp>
        <tr r="O163" s="18"/>
      </tp>
      <tp t="e">
        <v>#N/A</v>
        <stp/>
        <stp>BDH|9623167661937056990</stp>
        <tr r="V20" s="5"/>
        <tr r="V20" s="9"/>
      </tp>
      <tp t="e">
        <v>#N/A</v>
        <stp/>
        <stp>BDH|3864734059422999336</stp>
        <tr r="P7" s="4"/>
      </tp>
      <tp t="e">
        <v>#N/A</v>
        <stp/>
        <stp>BDH|2889417813152731555</stp>
        <tr r="G81" s="18"/>
      </tp>
      <tp t="e">
        <v>#N/A</v>
        <stp/>
        <stp>BDH|8992146953145238945</stp>
        <tr r="Q31" s="10"/>
        <tr r="Q25" s="11"/>
      </tp>
      <tp t="e">
        <v>#N/A</v>
        <stp/>
        <stp>BDH|5720615760461681480</stp>
        <tr r="S52" s="17"/>
      </tp>
      <tp t="e">
        <v>#N/A</v>
        <stp/>
        <stp>BDH|5423296155171284326</stp>
        <tr r="I20" s="29"/>
      </tp>
      <tp t="e">
        <v>#N/A</v>
        <stp/>
        <stp>BDH|1649199086449844196</stp>
        <tr r="AA35" s="12"/>
      </tp>
      <tp t="e">
        <v>#N/A</v>
        <stp/>
        <stp>BDH|2613991551229591736</stp>
        <tr r="G7" s="8"/>
      </tp>
      <tp t="e">
        <v>#N/A</v>
        <stp/>
        <stp>BDH|8023356098886106441</stp>
        <tr r="W9" s="13"/>
      </tp>
      <tp t="e">
        <v>#N/A</v>
        <stp/>
        <stp>BDH|4488709972073699785</stp>
        <tr r="W62" s="10"/>
      </tp>
      <tp t="e">
        <v>#N/A</v>
        <stp/>
        <stp>BDH|7896020071795630550</stp>
        <tr r="N33" s="10"/>
        <tr r="N27" s="11"/>
      </tp>
      <tp t="e">
        <v>#N/A</v>
        <stp/>
        <stp>BDH|9982813429201969202</stp>
        <tr r="W46" s="4"/>
        <tr r="W24" s="10"/>
        <tr r="Y35" s="13"/>
      </tp>
      <tp t="e">
        <v>#N/A</v>
        <stp/>
        <stp>BDH|4293055019632219746</stp>
        <tr r="P9" s="2"/>
        <tr r="R8" s="25"/>
        <tr r="O10" s="5"/>
      </tp>
      <tp t="e">
        <v>#N/A</v>
        <stp/>
        <stp>BDH|9964250072129232548</stp>
        <tr r="H62" s="10"/>
      </tp>
      <tp t="e">
        <v>#N/A</v>
        <stp/>
        <stp>BDH|5461085432721511739</stp>
        <tr r="Z64" s="17"/>
      </tp>
      <tp t="e">
        <v>#N/A</v>
        <stp/>
        <stp>BDH|3784766194075415893</stp>
        <tr r="Z50" s="13"/>
      </tp>
      <tp t="e">
        <v>#N/A</v>
        <stp/>
        <stp>BDH|4115488756347319247</stp>
        <tr r="X20" s="18"/>
      </tp>
      <tp t="e">
        <v>#N/A</v>
        <stp/>
        <stp>BDH|2898601145726512602</stp>
        <tr r="V13" s="5"/>
      </tp>
      <tp t="e">
        <v>#N/A</v>
        <stp/>
        <stp>BDH|5708344237862485788</stp>
        <tr r="L90" s="18"/>
      </tp>
      <tp t="e">
        <v>#N/A</v>
        <stp/>
        <stp>BDH|4442004641535982542</stp>
        <tr r="G41" s="34"/>
      </tp>
      <tp t="e">
        <v>#N/A</v>
        <stp/>
        <stp>BDH|4588285773169029860</stp>
        <tr r="L144" s="18"/>
      </tp>
      <tp t="e">
        <v>#N/A</v>
        <stp/>
        <stp>BDH|2349742360650993367</stp>
        <tr r="J26" s="21"/>
      </tp>
      <tp t="e">
        <v>#N/A</v>
        <stp/>
        <stp>BDH|3201267744195817009</stp>
        <tr r="U11" s="3"/>
        <tr r="S49" s="10"/>
        <tr r="S43" s="11"/>
        <tr r="S8" s="7"/>
      </tp>
      <tp t="e">
        <v>#N/A</v>
        <stp/>
        <stp>BDH|4636700453124459299</stp>
        <tr r="F24" s="12"/>
      </tp>
      <tp t="e">
        <v>#N/A</v>
        <stp/>
        <stp>BDH|5324758247643048596</stp>
        <tr r="Z87" s="17"/>
        <tr r="Z20" s="3"/>
        <tr r="X6" s="7"/>
      </tp>
      <tp t="e">
        <v>#N/A</v>
        <stp/>
        <stp>BDH|5216243144750326387</stp>
        <tr r="N34" s="26"/>
      </tp>
      <tp t="e">
        <v>#N/A</v>
        <stp/>
        <stp>BDH|5041401102814297594</stp>
        <tr r="X25" s="17"/>
      </tp>
      <tp t="e">
        <v>#N/A</v>
        <stp/>
        <stp>BDH|2166001406555770795</stp>
        <tr r="N163" s="18"/>
      </tp>
      <tp t="e">
        <v>#N/A</v>
        <stp/>
        <stp>BDH|2288079889349036351</stp>
        <tr r="V19" s="12"/>
      </tp>
      <tp t="e">
        <v>#N/A</v>
        <stp/>
        <stp>BDH|5026106548881255139</stp>
        <tr r="W69" s="18"/>
      </tp>
      <tp t="e">
        <v>#N/A</v>
        <stp/>
        <stp>BDH|5396308433996984300</stp>
        <tr r="H17" s="17"/>
        <tr r="H20" s="28"/>
      </tp>
      <tp t="e">
        <v>#N/A</v>
        <stp/>
        <stp>BDH|7836953686485367312</stp>
        <tr r="X19" s="22"/>
      </tp>
      <tp t="e">
        <v>#N/A</v>
        <stp/>
        <stp>BDH|8888484036456686993</stp>
        <tr r="F9" s="17"/>
      </tp>
      <tp t="e">
        <v>#N/A</v>
        <stp/>
        <stp>BDH|9573822585751368887</stp>
        <tr r="H7" s="11"/>
      </tp>
      <tp t="e">
        <v>#N/A</v>
        <stp/>
        <stp>BDH|7512380147582677251</stp>
        <tr r="V51" s="18"/>
      </tp>
      <tp t="e">
        <v>#N/A</v>
        <stp/>
        <stp>BDH|7918108767137690713</stp>
        <tr r="X8" s="8"/>
      </tp>
      <tp t="e">
        <v>#N/A</v>
        <stp/>
        <stp>BDH|5838443931956096445</stp>
        <tr r="M42" s="34"/>
      </tp>
      <tp t="e">
        <v>#N/A</v>
        <stp/>
        <stp>BDH|7777607536376956413</stp>
        <tr r="E66" s="17"/>
      </tp>
      <tp t="e">
        <v>#N/A</v>
        <stp/>
        <stp>BDH|3813913891500707362</stp>
        <tr r="AA20" s="24"/>
      </tp>
      <tp t="e">
        <v>#N/A</v>
        <stp/>
        <stp>BDH|6550023763777552780</stp>
        <tr r="Z18" s="14"/>
      </tp>
      <tp t="e">
        <v>#N/A</v>
        <stp/>
        <stp>BDH|5833499565861536686</stp>
        <tr r="O34" s="24"/>
      </tp>
      <tp t="e">
        <v>#N/A</v>
        <stp/>
        <stp>BDH|4173393441451610266</stp>
        <tr r="E36" s="24"/>
      </tp>
      <tp t="e">
        <v>#N/A</v>
        <stp/>
        <stp>BDH|2605072559817708063</stp>
        <tr r="G57" s="24"/>
      </tp>
      <tp t="e">
        <v>#N/A</v>
        <stp/>
        <stp>BDH|9240699733458114400</stp>
        <tr r="F130" s="18"/>
      </tp>
      <tp t="e">
        <v>#N/A</v>
        <stp/>
        <stp>BDH|3000589911036545155</stp>
        <tr r="H83" s="17"/>
      </tp>
      <tp t="e">
        <v>#N/A</v>
        <stp/>
        <stp>BDH|2595374174696709080</stp>
        <tr r="U20" s="29"/>
      </tp>
      <tp t="e">
        <v>#N/A</v>
        <stp/>
        <stp>BDH|4163371940093794084</stp>
        <tr r="D8" s="13"/>
      </tp>
      <tp t="e">
        <v>#N/A</v>
        <stp/>
        <stp>BDH|8358931909846001701</stp>
        <tr r="N33" s="22"/>
      </tp>
      <tp t="e">
        <v>#N/A</v>
        <stp/>
        <stp>BDH|4119997837109530739</stp>
        <tr r="D13" s="24"/>
      </tp>
      <tp t="e">
        <v>#N/A</v>
        <stp/>
        <stp>BDH|4293190232780535651</stp>
        <tr r="T37" s="12"/>
      </tp>
      <tp t="e">
        <v>#N/A</v>
        <stp/>
        <stp>BDH|7559544159010590744</stp>
        <tr r="G46" s="12"/>
      </tp>
      <tp t="e">
        <v>#N/A</v>
        <stp/>
        <stp>BDH|6422767317136988650</stp>
        <tr r="H153" s="18"/>
      </tp>
      <tp t="e">
        <v>#N/A</v>
        <stp/>
        <stp>BDH|7452810190370806649</stp>
        <tr r="S41" s="13"/>
      </tp>
      <tp t="e">
        <v>#N/A</v>
        <stp/>
        <stp>BDH|7109608102673859225</stp>
        <tr r="T20" s="10"/>
      </tp>
      <tp t="e">
        <v>#N/A</v>
        <stp/>
        <stp>BDH|4930934882231662402</stp>
        <tr r="J11" s="21"/>
      </tp>
      <tp t="e">
        <v>#N/A</v>
        <stp/>
        <stp>BDH|5219794547910443668</stp>
        <tr r="E27" s="18"/>
      </tp>
      <tp t="e">
        <v>#N/A</v>
        <stp/>
        <stp>BDH|6073065773784329584</stp>
        <tr r="N27" s="18"/>
      </tp>
      <tp t="e">
        <v>#N/A</v>
        <stp/>
        <stp>BDH|8593637398990403744</stp>
        <tr r="N37" s="34"/>
      </tp>
      <tp t="e">
        <v>#N/A</v>
        <stp/>
        <stp>BDH|7463663949170306567</stp>
        <tr r="P41" s="12"/>
      </tp>
      <tp t="e">
        <v>#N/A</v>
        <stp/>
        <stp>BDH|7768638337262866059</stp>
        <tr r="O61" s="24"/>
      </tp>
      <tp t="e">
        <v>#N/A</v>
        <stp/>
        <stp>BDH|3631515437022651781</stp>
        <tr r="Z127" s="18"/>
      </tp>
      <tp t="e">
        <v>#N/A</v>
        <stp/>
        <stp>BDH|3333616635656012090</stp>
        <tr r="F68" s="18"/>
      </tp>
      <tp t="e">
        <v>#N/A</v>
        <stp/>
        <stp>BDH|7138200063472870142</stp>
        <tr r="H31" s="10"/>
        <tr r="H25" s="11"/>
      </tp>
      <tp t="e">
        <v>#N/A</v>
        <stp/>
        <stp>BDH|8692967378470295646</stp>
        <tr r="M63" s="21"/>
      </tp>
      <tp t="e">
        <v>#N/A</v>
        <stp/>
        <stp>BDH|7747298701095085011</stp>
        <tr r="J86" s="18"/>
      </tp>
      <tp t="e">
        <v>#N/A</v>
        <stp/>
        <stp>BDH|9627992615037077643</stp>
        <tr r="Y12" s="21"/>
      </tp>
      <tp t="e">
        <v>#N/A</v>
        <stp/>
        <stp>BDH|4116691220429621902</stp>
        <tr r="L8" s="4"/>
      </tp>
      <tp t="e">
        <v>#N/A</v>
        <stp/>
        <stp>BDH|9805457521447602844</stp>
        <tr r="H25" s="7"/>
      </tp>
      <tp t="e">
        <v>#N/A</v>
        <stp/>
        <stp>BDH|1614621289177051833</stp>
        <tr r="T18" s="18"/>
      </tp>
      <tp t="e">
        <v>#N/A</v>
        <stp/>
        <stp>BDH|1179895795490259014</stp>
        <tr r="R151" s="18"/>
      </tp>
      <tp t="e">
        <v>#N/A</v>
        <stp/>
        <stp>BDH|7221065202513838406</stp>
        <tr r="K55" s="24"/>
      </tp>
      <tp t="e">
        <v>#N/A</v>
        <stp/>
        <stp>BDH|7531158069810055070</stp>
        <tr r="I20" s="11"/>
      </tp>
      <tp t="e">
        <v>#N/A</v>
        <stp/>
        <stp>BDH|3659306857004963163</stp>
        <tr r="U90" s="17"/>
      </tp>
      <tp t="e">
        <v>#N/A</v>
        <stp/>
        <stp>BDH|3350092033097262757</stp>
        <tr r="L22" s="11"/>
      </tp>
      <tp t="e">
        <v>#N/A</v>
        <stp/>
        <stp>BDH|9155448613558964417</stp>
        <tr r="F22" s="25"/>
        <tr r="F12" s="27"/>
      </tp>
      <tp t="e">
        <v>#N/A</v>
        <stp/>
        <stp>BDH|4815132445505385436</stp>
        <tr r="Q44" s="17"/>
      </tp>
      <tp t="e">
        <v>#N/A</v>
        <stp/>
        <stp>BDH|2068782325525391200</stp>
        <tr r="I13" s="17"/>
        <tr r="I16" s="28"/>
      </tp>
      <tp t="e">
        <v>#N/A</v>
        <stp/>
        <stp>BDH|5460286022534987196</stp>
        <tr r="L52" s="4"/>
        <tr r="N8" s="3"/>
        <tr r="L43" s="10"/>
        <tr r="L37" s="11"/>
        <tr r="N38" s="13"/>
      </tp>
      <tp t="e">
        <v>#N/A</v>
        <stp/>
        <stp>BDH|8584532913228208492</stp>
        <tr r="R49" s="21"/>
      </tp>
      <tp t="e">
        <v>#N/A</v>
        <stp/>
        <stp>BDH|2439194410474119628</stp>
        <tr r="G92" s="18"/>
      </tp>
      <tp t="e">
        <v>#N/A</v>
        <stp/>
        <stp>BDH|4191395677042758263</stp>
        <tr r="Y14" s="29"/>
        <tr r="Y23" s="29"/>
        <tr r="Y34" s="29"/>
      </tp>
      <tp t="e">
        <v>#N/A</v>
        <stp/>
        <stp>BDH|3480919391991818224</stp>
        <tr r="N8" s="24"/>
      </tp>
      <tp t="e">
        <v>#N/A</v>
        <stp/>
        <stp>BDH|5589734268515260122</stp>
        <tr r="L54" s="12"/>
      </tp>
      <tp t="e">
        <v>#N/A</v>
        <stp/>
        <stp>BDH|6611213271603980010</stp>
        <tr r="L24" s="17"/>
      </tp>
      <tp t="e">
        <v>#N/A</v>
        <stp/>
        <stp>BDH|2569570263211787080</stp>
        <tr r="P144" s="18"/>
      </tp>
      <tp t="e">
        <v>#N/A</v>
        <stp/>
        <stp>BDH|7201782682831069960</stp>
        <tr r="W58" s="24"/>
      </tp>
      <tp t="e">
        <v>#N/A</v>
        <stp/>
        <stp>BDH|4873761160640398535</stp>
        <tr r="X41" s="17"/>
      </tp>
      <tp t="e">
        <v>#N/A</v>
        <stp/>
        <stp>BDH|4763481051022581750</stp>
        <tr r="S10" s="26"/>
      </tp>
      <tp t="e">
        <v>#N/A</v>
        <stp/>
        <stp>BDH|5337286674278384820</stp>
        <tr r="D60" s="24"/>
      </tp>
      <tp t="e">
        <v>#N/A</v>
        <stp/>
        <stp>BDH|1916547329976969036</stp>
        <tr r="I38" s="22"/>
      </tp>
      <tp t="e">
        <v>#N/A</v>
        <stp/>
        <stp>BDH|5939028350152360262</stp>
        <tr r="G16" s="2"/>
        <tr r="G32" s="4"/>
        <tr r="G61" s="10"/>
        <tr r="I19" s="13"/>
      </tp>
      <tp t="e">
        <v>#N/A</v>
        <stp/>
        <stp>BDH|5008440202195032493</stp>
        <tr r="W21" s="5"/>
      </tp>
      <tp t="e">
        <v>#N/A</v>
        <stp/>
        <stp>BDH|1655874099559660912</stp>
        <tr r="D66" s="17"/>
      </tp>
      <tp t="e">
        <v>#N/A</v>
        <stp/>
        <stp>BDH|5153809854131388995</stp>
        <tr r="C10" s="11"/>
      </tp>
      <tp t="e">
        <v>#N/A</v>
        <stp/>
        <stp>BDH|2870004426494930484</stp>
        <tr r="S27" s="17"/>
      </tp>
      <tp t="e">
        <v>#N/A</v>
        <stp/>
        <stp>BDH|5171673986302673990</stp>
        <tr r="Y55" s="12"/>
      </tp>
      <tp t="e">
        <v>#N/A</v>
        <stp/>
        <stp>BDH|8638028209900738852</stp>
        <tr r="W16" s="25"/>
      </tp>
      <tp t="e">
        <v>#N/A</v>
        <stp/>
        <stp>BDH|2019704166130056392</stp>
        <tr r="L22" s="26"/>
      </tp>
      <tp t="e">
        <v>#N/A</v>
        <stp/>
        <stp>BDH|1146990510878592127</stp>
        <tr r="K71" s="10"/>
        <tr r="K65" s="11"/>
      </tp>
      <tp t="e">
        <v>#N/A</v>
        <stp/>
        <stp>BDH|3866165383638759252</stp>
        <tr r="S37" s="18"/>
      </tp>
      <tp t="e">
        <v>#N/A</v>
        <stp/>
        <stp>BDH|3483071821871418095</stp>
        <tr r="U19" s="25"/>
        <tr r="S21" s="11"/>
      </tp>
      <tp t="e">
        <v>#N/A</v>
        <stp/>
        <stp>BDH|6302387633630522626</stp>
        <tr r="N41" s="21"/>
      </tp>
      <tp t="e">
        <v>#N/A</v>
        <stp/>
        <stp>BDH|1356567113102907707</stp>
        <tr r="J40" s="10"/>
        <tr r="J34" s="11"/>
      </tp>
      <tp t="e">
        <v>#N/A</v>
        <stp/>
        <stp>BDH|4205992191663160745</stp>
        <tr r="J84" s="18"/>
      </tp>
      <tp t="e">
        <v>#N/A</v>
        <stp/>
        <stp>BDH|1861681619354245246</stp>
        <tr r="V159" s="18"/>
      </tp>
      <tp t="e">
        <v>#N/A</v>
        <stp/>
        <stp>BDH|3796115387979851366</stp>
        <tr r="Y25" s="13"/>
      </tp>
      <tp t="e">
        <v>#N/A</v>
        <stp/>
        <stp>BDH|3948530099338893748</stp>
        <tr r="V62" s="11"/>
      </tp>
      <tp t="e">
        <v>#N/A</v>
        <stp/>
        <stp>BDH|2325383030425787734</stp>
        <tr r="D52" s="24"/>
      </tp>
      <tp t="e">
        <v>#N/A</v>
        <stp/>
        <stp>BDH|5878859028767271887</stp>
        <tr r="L26" s="29"/>
      </tp>
      <tp t="e">
        <v>#N/A</v>
        <stp/>
        <stp>BDH|1257596516333198630</stp>
        <tr r="O49" s="18"/>
      </tp>
      <tp t="e">
        <v>#N/A</v>
        <stp/>
        <stp>BDH|4374532941416607388</stp>
        <tr r="T51" s="12"/>
      </tp>
      <tp t="e">
        <v>#N/A</v>
        <stp/>
        <stp>BDH|9472834543235280091</stp>
        <tr r="P20" s="2"/>
        <tr r="P18" s="4"/>
        <tr r="P57" s="10"/>
        <tr r="P51" s="11"/>
        <tr r="P19" s="7"/>
        <tr r="R57" s="13"/>
      </tp>
      <tp t="e">
        <v>#N/A</v>
        <stp/>
        <stp>BDH|8364388106358136336</stp>
        <tr r="L16" s="12"/>
      </tp>
      <tp t="e">
        <v>#N/A</v>
        <stp/>
        <stp>BDH|3888152989289909320</stp>
        <tr r="D98" s="17"/>
        <tr r="D13" s="28"/>
      </tp>
      <tp t="e">
        <v>#N/A</v>
        <stp/>
        <stp>BDH|7272802599997207164</stp>
        <tr r="U25" s="4"/>
        <tr r="U64" s="10"/>
      </tp>
      <tp t="e">
        <v>#N/A</v>
        <stp/>
        <stp>BDH|3484494972398110815</stp>
        <tr r="G9" s="12"/>
      </tp>
      <tp t="e">
        <v>#N/A</v>
        <stp/>
        <stp>BDH|3620999884805680721</stp>
        <tr r="R47" s="21"/>
      </tp>
      <tp t="e">
        <v>#N/A</v>
        <stp/>
        <stp>BDH|5362480886699598073</stp>
        <tr r="AA19" s="25"/>
        <tr r="Y21" s="11"/>
      </tp>
      <tp t="e">
        <v>#N/A</v>
        <stp/>
        <stp>BDH|1751523225821749787</stp>
        <tr r="D72" s="18"/>
      </tp>
      <tp t="e">
        <v>#N/A</v>
        <stp/>
        <stp>BDH|1313358219295934694</stp>
        <tr r="J153" s="18"/>
      </tp>
      <tp t="e">
        <v>#N/A</v>
        <stp/>
        <stp>BDH|5435400129003278008</stp>
        <tr r="G76" s="17"/>
      </tp>
      <tp t="e">
        <v>#N/A</v>
        <stp/>
        <stp>BDH|7809279447473744206</stp>
        <tr r="N10" s="28"/>
      </tp>
      <tp t="e">
        <v>#N/A</v>
        <stp/>
        <stp>BDH|2601606005996922252</stp>
        <tr r="H13" s="29"/>
        <tr r="H22" s="29"/>
        <tr r="H33" s="29"/>
      </tp>
      <tp t="e">
        <v>#N/A</v>
        <stp/>
        <stp>BDH|7024385716412327710</stp>
        <tr r="S23" s="23"/>
      </tp>
      <tp t="e">
        <v>#N/A</v>
        <stp/>
        <stp>BDH|9576976209562134266</stp>
        <tr r="S81" s="17"/>
        <tr r="P9" s="5"/>
        <tr r="P9" s="9"/>
      </tp>
      <tp t="e">
        <v>#N/A</v>
        <stp/>
        <stp>BDH|7368143250867841438</stp>
        <tr r="L17" s="17"/>
        <tr r="L20" s="28"/>
      </tp>
      <tp t="e">
        <v>#N/A</v>
        <stp/>
        <stp>BDH|9470350899016134554</stp>
        <tr r="M129" s="18"/>
      </tp>
      <tp t="e">
        <v>#N/A</v>
        <stp/>
        <stp>BDH|6992388807106374397</stp>
        <tr r="G133" s="18"/>
      </tp>
      <tp t="e">
        <v>#N/A</v>
        <stp/>
        <stp>BDH|3237340598299382019</stp>
        <tr r="U36" s="12"/>
      </tp>
      <tp t="e">
        <v>#N/A</v>
        <stp/>
        <stp>BDH|3082985864495598950</stp>
        <tr r="AA133" s="18"/>
      </tp>
      <tp t="e">
        <v>#N/A</v>
        <stp/>
        <stp>BDH|8018996455496895289</stp>
        <tr r="X21" s="27"/>
      </tp>
      <tp t="e">
        <v>#N/A</v>
        <stp/>
        <stp>BDH|3655484884186009963</stp>
        <tr r="J35" s="4"/>
      </tp>
      <tp t="e">
        <v>#N/A</v>
        <stp/>
        <stp>BDH|4830312075358369837</stp>
        <tr r="F22" s="30"/>
        <tr r="F25" s="23"/>
      </tp>
      <tp t="e">
        <v>#N/A</v>
        <stp/>
        <stp>BDH|8817780683803939469</stp>
        <tr r="N65" s="17"/>
      </tp>
      <tp t="e">
        <v>#N/A</v>
        <stp/>
        <stp>BDH|7662416539727308715</stp>
        <tr r="N52" s="12"/>
      </tp>
      <tp t="e">
        <v>#N/A</v>
        <stp/>
        <stp>BDH|6149751012383851326</stp>
        <tr r="C135" s="18"/>
      </tp>
      <tp t="e">
        <v>#N/A</v>
        <stp/>
        <stp>BDH|7703602140555303080</stp>
        <tr r="D12" s="21"/>
      </tp>
      <tp t="e">
        <v>#N/A</v>
        <stp/>
        <stp>BDH|4670332193069265785</stp>
        <tr r="S57" s="24"/>
      </tp>
      <tp t="e">
        <v>#N/A</v>
        <stp/>
        <stp>BDH|3326651223316015198</stp>
        <tr r="P168" s="18"/>
      </tp>
      <tp t="e">
        <v>#N/A</v>
        <stp/>
        <stp>BDH|3191778817201895453</stp>
        <tr r="K28" s="22"/>
      </tp>
      <tp t="e">
        <v>#N/A</v>
        <stp/>
        <stp>BDH|3804496307596826128</stp>
        <tr r="X46" s="17"/>
      </tp>
      <tp t="e">
        <v>#N/A</v>
        <stp/>
        <stp>BDH|1295152428777661552</stp>
        <tr r="Y23" s="13"/>
      </tp>
      <tp t="e">
        <v>#N/A</v>
        <stp/>
        <stp>BDH|1643335542892382489</stp>
        <tr r="N130" s="18"/>
      </tp>
      <tp t="e">
        <v>#N/A</v>
        <stp/>
        <stp>BDH|5805109847412374201</stp>
        <tr r="V105" s="18"/>
      </tp>
      <tp t="e">
        <v>#N/A</v>
        <stp/>
        <stp>BDH|7469003112386940038</stp>
        <tr r="G23" s="17"/>
        <tr r="G15" s="3"/>
      </tp>
      <tp t="e">
        <v>#N/A</v>
        <stp/>
        <stp>BDH|6775425865821823542</stp>
        <tr r="T39" s="4"/>
        <tr r="T65" s="10"/>
      </tp>
      <tp t="e">
        <v>#N/A</v>
        <stp/>
        <stp>BDH|7006578155396691188</stp>
        <tr r="W34" s="18"/>
      </tp>
      <tp t="e">
        <v>#N/A</v>
        <stp/>
        <stp>BDH|4798404969852595471</stp>
        <tr r="D32" s="12"/>
      </tp>
      <tp t="e">
        <v>#N/A</v>
        <stp/>
        <stp>BDH|3849465372633636369</stp>
        <tr r="L88" s="17"/>
      </tp>
      <tp t="e">
        <v>#N/A</v>
        <stp/>
        <stp>BDH|4945639167220548447</stp>
        <tr r="AA28" s="25"/>
        <tr r="AA18" s="27"/>
      </tp>
      <tp t="e">
        <v>#N/A</v>
        <stp/>
        <stp>BDH|6519458227560944024</stp>
        <tr r="O42" s="18"/>
      </tp>
      <tp t="e">
        <v>#N/A</v>
        <stp/>
        <stp>BDH|3961539590106208941</stp>
        <tr r="X42" s="17"/>
      </tp>
      <tp t="e">
        <v>#N/A</v>
        <stp/>
        <stp>BDH|1089334722308970847</stp>
        <tr r="L40" s="10"/>
        <tr r="L34" s="11"/>
      </tp>
      <tp t="e">
        <v>#N/A</v>
        <stp/>
        <stp>BDH|3453454029045395076</stp>
        <tr r="L92" s="18"/>
      </tp>
      <tp t="e">
        <v>#N/A</v>
        <stp/>
        <stp>BDH|2791118723037978617</stp>
        <tr r="J39" s="6"/>
      </tp>
      <tp t="e">
        <v>#N/A</v>
        <stp/>
        <stp>BDH|7991388433612906567</stp>
        <tr r="Z55" s="18"/>
      </tp>
      <tp t="e">
        <v>#N/A</v>
        <stp/>
        <stp>BDH|1828424172960387267</stp>
        <tr r="O24" s="13"/>
      </tp>
      <tp t="e">
        <v>#N/A</v>
        <stp/>
        <stp>BDH|9062784633758058560</stp>
        <tr r="Q67" s="18"/>
      </tp>
      <tp t="e">
        <v>#N/A</v>
        <stp/>
        <stp>BDH|8306476637027676882</stp>
        <tr r="H60" s="21"/>
      </tp>
      <tp t="e">
        <v>#N/A</v>
        <stp/>
        <stp>BDH|4202851410168255587</stp>
        <tr r="L13" s="21"/>
      </tp>
      <tp t="e">
        <v>#N/A</v>
        <stp/>
        <stp>BDH|2239735943541808076</stp>
        <tr r="D94" s="18"/>
      </tp>
      <tp t="e">
        <v>#N/A</v>
        <stp/>
        <stp>BDH|7890444806315198660</stp>
        <tr r="R13" s="7"/>
      </tp>
      <tp t="e">
        <v>#N/A</v>
        <stp/>
        <stp>BDH|6944862063121398929</stp>
        <tr r="S67" s="17"/>
      </tp>
      <tp t="e">
        <v>#N/A</v>
        <stp/>
        <stp>BDH|1055312067650957422</stp>
        <tr r="O93" s="17"/>
      </tp>
      <tp t="e">
        <v>#N/A</v>
        <stp/>
        <stp>BDH|6434210578560014301</stp>
        <tr r="L48" s="18"/>
      </tp>
      <tp t="e">
        <v>#N/A</v>
        <stp/>
        <stp>BDH|1071180066450795643</stp>
        <tr r="W23" s="22"/>
      </tp>
      <tp t="e">
        <v>#N/A</v>
        <stp/>
        <stp>BDH|3952747418092190792</stp>
        <tr r="I98" s="18"/>
      </tp>
      <tp t="e">
        <v>#N/A</v>
        <stp/>
        <stp>BDH|5198666469632527762</stp>
        <tr r="F13" s="9"/>
      </tp>
      <tp t="e">
        <v>#N/A</v>
        <stp/>
        <stp>BDH|6316041546732495085</stp>
        <tr r="W20" s="11"/>
      </tp>
      <tp t="e">
        <v>#N/A</v>
        <stp/>
        <stp>BDH|4987005525693816591</stp>
        <tr r="J43" s="21"/>
      </tp>
      <tp t="e">
        <v>#N/A</v>
        <stp/>
        <stp>BDH|5428236114933607586</stp>
        <tr r="V19" s="14"/>
      </tp>
      <tp t="e">
        <v>#N/A</v>
        <stp/>
        <stp>BDH|5595771305581951333</stp>
        <tr r="K22" s="24"/>
      </tp>
      <tp t="e">
        <v>#N/A</v>
        <stp/>
        <stp>BDH|9529539154100638993</stp>
        <tr r="H12" s="22"/>
      </tp>
      <tp t="e">
        <v>#N/A</v>
        <stp/>
        <stp>BDH|3829205755551019509</stp>
        <tr r="R44" s="13"/>
      </tp>
      <tp t="e">
        <v>#N/A</v>
        <stp/>
        <stp>BDH|9123835910917869772</stp>
        <tr r="T61" s="11"/>
        <tr r="V19" s="23"/>
      </tp>
      <tp t="e">
        <v>#N/A</v>
        <stp/>
        <stp>BDH|2944702602041597432</stp>
        <tr r="F49" s="12"/>
      </tp>
      <tp t="e">
        <v>#N/A</v>
        <stp/>
        <stp>BDH|4171333932720977449</stp>
        <tr r="D11" s="7"/>
      </tp>
      <tp t="e">
        <v>#N/A</v>
        <stp/>
        <stp>BDH|6780466498462776931</stp>
        <tr r="X65" s="18"/>
      </tp>
      <tp t="e">
        <v>#N/A</v>
        <stp/>
        <stp>BDH|4074465409860556073</stp>
        <tr r="L110" s="18"/>
        <tr r="J11" s="20"/>
      </tp>
      <tp t="e">
        <v>#N/A</v>
        <stp/>
        <stp>BDH|2256156007634516788</stp>
        <tr r="V75" s="17"/>
      </tp>
      <tp t="e">
        <v>#N/A</v>
        <stp/>
        <stp>BDH|3450140226867867737</stp>
        <tr r="T125" s="18"/>
      </tp>
      <tp t="e">
        <v>#N/A</v>
        <stp/>
        <stp>BDH|3034401923967974270</stp>
        <tr r="X50" s="4"/>
      </tp>
      <tp t="e">
        <v>#N/A</v>
        <stp/>
        <stp>BDH|6471302126633641498</stp>
        <tr r="Y23" s="25"/>
        <tr r="Y13" s="27"/>
      </tp>
      <tp t="e">
        <v>#N/A</v>
        <stp/>
        <stp>BDH|4934817366809563364</stp>
        <tr r="W27" s="6"/>
      </tp>
      <tp t="e">
        <v>#N/A</v>
        <stp/>
        <stp>BDH|2681646676427092463</stp>
        <tr r="U40" s="24"/>
      </tp>
      <tp t="e">
        <v>#N/A</v>
        <stp/>
        <stp>BDH|1930044152117510387</stp>
        <tr r="T60" s="17"/>
      </tp>
      <tp t="e">
        <v>#N/A</v>
        <stp/>
        <stp>BDH|9780846962015568268</stp>
        <tr r="Z12" s="13"/>
      </tp>
      <tp t="e">
        <v>#N/A</v>
        <stp/>
        <stp>BDH|9389804647864574133</stp>
        <tr r="Q17" s="11"/>
      </tp>
      <tp t="e">
        <v>#N/A</v>
        <stp/>
        <stp>BDH|6912623249203637760</stp>
        <tr r="R34" s="12"/>
      </tp>
      <tp t="e">
        <v>#N/A</v>
        <stp/>
        <stp>BDH|1314335907751008350</stp>
        <tr r="I13" s="8"/>
      </tp>
      <tp t="e">
        <v>#N/A</v>
        <stp/>
        <stp>BDH|3640953581996051408</stp>
        <tr r="W26" s="26"/>
      </tp>
      <tp t="e">
        <v>#N/A</v>
        <stp/>
        <stp>BDH|2442163337283420334</stp>
        <tr r="M21" s="5"/>
      </tp>
      <tp t="e">
        <v>#N/A</v>
        <stp/>
        <stp>BDH|8616275432981073819</stp>
        <tr r="P138" s="18"/>
      </tp>
      <tp t="e">
        <v>#N/A</v>
        <stp/>
        <stp>BDH|4945997517685707927</stp>
        <tr r="X16" s="20"/>
      </tp>
      <tp t="e">
        <v>#N/A</v>
        <stp/>
        <stp>BDH|3352666736361234736</stp>
        <tr r="E63" s="24"/>
      </tp>
      <tp t="e">
        <v>#N/A</v>
        <stp/>
        <stp>BDH|9242942323235250754</stp>
        <tr r="I30" s="21"/>
      </tp>
      <tp t="e">
        <v>#N/A</v>
        <stp/>
        <stp>BDH|5562956780123534777</stp>
        <tr r="O21" s="9"/>
      </tp>
      <tp t="e">
        <v>#N/A</v>
        <stp/>
        <stp>BDH|2667641020494575251</stp>
        <tr r="T76" s="18"/>
      </tp>
      <tp t="e">
        <v>#N/A</v>
        <stp/>
        <stp>BDH|8847253542537933945</stp>
        <tr r="T51" s="17"/>
      </tp>
      <tp t="e">
        <v>#N/A</v>
        <stp/>
        <stp>BDH|3201461787826188905</stp>
        <tr r="I161" s="18"/>
      </tp>
      <tp t="e">
        <v>#N/A</v>
        <stp/>
        <stp>BDH|5937166948847192740</stp>
        <tr r="Q98" s="17"/>
        <tr r="Q13" s="28"/>
      </tp>
      <tp t="e">
        <v>#N/A</v>
        <stp/>
        <stp>BDH|1254603344201714232</stp>
        <tr r="X29" s="5"/>
      </tp>
      <tp t="e">
        <v>#N/A</v>
        <stp/>
        <stp>BDH|7302504816127436431</stp>
        <tr r="J22" s="26"/>
      </tp>
      <tp t="e">
        <v>#N/A</v>
        <stp/>
        <stp>BDH|6221141025995986084</stp>
        <tr r="C35" s="10"/>
        <tr r="C47" s="10"/>
        <tr r="C29" s="11"/>
        <tr r="C41" s="11"/>
      </tp>
      <tp t="e">
        <v>#N/A</v>
        <stp/>
        <stp>BDH|1085487050523331390</stp>
        <tr r="Q26" s="18"/>
      </tp>
      <tp t="e">
        <v>#N/A</v>
        <stp/>
        <stp>BDH|5825460913043938368</stp>
        <tr r="C11" s="14"/>
      </tp>
      <tp t="e">
        <v>#N/A</v>
        <stp/>
        <stp>BDH|8150746386703490454</stp>
        <tr r="J16" s="22"/>
      </tp>
      <tp t="e">
        <v>#N/A</v>
        <stp/>
        <stp>BDH|7388811010627304936</stp>
        <tr r="T127" s="18"/>
      </tp>
      <tp t="e">
        <v>#N/A</v>
        <stp/>
        <stp>BDH|8410738902086184969</stp>
        <tr r="T50" s="21"/>
      </tp>
      <tp t="e">
        <v>#N/A</v>
        <stp/>
        <stp>BDH|8799706448608913340</stp>
        <tr r="R72" s="17"/>
        <tr r="R18" s="3"/>
      </tp>
      <tp t="e">
        <v>#N/A</v>
        <stp/>
        <stp>BDH|6144558651433768506</stp>
        <tr r="U10" s="2"/>
        <tr r="T11" s="5"/>
        <tr r="T36" s="6"/>
        <tr r="W31" s="29"/>
        <tr r="W39" s="29"/>
      </tp>
      <tp t="e">
        <v>#N/A</v>
        <stp/>
        <stp>BDH|1568168229683900113</stp>
        <tr r="F72" s="12"/>
      </tp>
      <tp t="e">
        <v>#N/A</v>
        <stp/>
        <stp>BDH|4748161747008561918</stp>
        <tr r="I25" s="21"/>
      </tp>
      <tp t="e">
        <v>#N/A</v>
        <stp/>
        <stp>BDH|1793571894135531831</stp>
        <tr r="AA102" s="18"/>
      </tp>
      <tp t="e">
        <v>#N/A</v>
        <stp/>
        <stp>BDH|9391656864089438047</stp>
        <tr r="Z87" s="18"/>
      </tp>
      <tp t="e">
        <v>#N/A</v>
        <stp/>
        <stp>BDH|8094865315772545345</stp>
        <tr r="P43" s="17"/>
      </tp>
      <tp t="e">
        <v>#N/A</v>
        <stp/>
        <stp>BDH|4360337613975733361</stp>
        <tr r="C11" s="17"/>
      </tp>
      <tp t="e">
        <v>#N/A</v>
        <stp/>
        <stp>BDH|8304382935760992856</stp>
        <tr r="F79" s="12"/>
      </tp>
      <tp t="e">
        <v>#N/A</v>
        <stp/>
        <stp>BDH|1158097023814912701</stp>
        <tr r="Q60" s="17"/>
      </tp>
      <tp t="e">
        <v>#N/A</v>
        <stp/>
        <stp>BDH|7016628001193850291</stp>
        <tr r="S63" s="18"/>
      </tp>
      <tp t="e">
        <v>#N/A</v>
        <stp/>
        <stp>BDH|2884702418385435165</stp>
        <tr r="T40" s="18"/>
      </tp>
      <tp t="e">
        <v>#N/A</v>
        <stp/>
        <stp>BDH|4480454764397614111</stp>
        <tr r="K40" s="29"/>
      </tp>
      <tp t="e">
        <v>#N/A</v>
        <stp/>
        <stp>BDH|8649780770020997852</stp>
        <tr r="L14" s="6"/>
      </tp>
      <tp t="e">
        <v>#N/A</v>
        <stp/>
        <stp>BDH|1995947126102119880</stp>
        <tr r="W144" s="18"/>
      </tp>
      <tp t="e">
        <v>#N/A</v>
        <stp/>
        <stp>BDH|7694834493083332570</stp>
        <tr r="F14" s="2"/>
        <tr r="F11" s="10"/>
      </tp>
      <tp t="e">
        <v>#N/A</v>
        <stp/>
        <stp>BDH|6930680503053050317</stp>
        <tr r="C26" s="10"/>
        <tr r="E31" s="13"/>
      </tp>
      <tp t="e">
        <v>#N/A</v>
        <stp/>
        <stp>BDH|7321281721255986209</stp>
        <tr r="Q80" s="18"/>
      </tp>
      <tp t="e">
        <v>#N/A</v>
        <stp/>
        <stp>BDH|1294741006721786747</stp>
        <tr r="P159" s="18"/>
      </tp>
      <tp t="e">
        <v>#N/A</v>
        <stp/>
        <stp>BDH|8383124295832440230</stp>
        <tr r="K51" s="10"/>
        <tr r="K45" s="11"/>
        <tr r="K15" s="7"/>
      </tp>
      <tp t="e">
        <v>#N/A</v>
        <stp/>
        <stp>BDH|2752345623167378406</stp>
        <tr r="T130" s="18"/>
      </tp>
      <tp t="e">
        <v>#N/A</v>
        <stp/>
        <stp>BDH|6817183368767352683</stp>
        <tr r="T62" s="18"/>
      </tp>
      <tp t="e">
        <v>#N/A</v>
        <stp/>
        <stp>BDH|6271115664355403402</stp>
        <tr r="K33" s="21"/>
      </tp>
      <tp t="e">
        <v>#N/A</v>
        <stp/>
        <stp>BDH|3844928995967474481</stp>
        <tr r="U52" s="21"/>
      </tp>
      <tp t="e">
        <v>#N/A</v>
        <stp/>
        <stp>BDH|6650115753761019375</stp>
        <tr r="T32" s="17"/>
      </tp>
      <tp t="e">
        <v>#N/A</v>
        <stp/>
        <stp>BDH|9688979054157529230</stp>
        <tr r="R17" s="21"/>
      </tp>
      <tp t="e">
        <v>#N/A</v>
        <stp/>
        <stp>BDH|4294900223988363713</stp>
        <tr r="O62" s="18"/>
      </tp>
      <tp t="e">
        <v>#N/A</v>
        <stp/>
        <stp>BDH|4055478596141384810</stp>
        <tr r="H17" s="11"/>
      </tp>
      <tp t="e">
        <v>#N/A</v>
        <stp/>
        <stp>BDH|9947214802569026290</stp>
        <tr r="V31" s="25"/>
      </tp>
      <tp t="e">
        <v>#N/A</v>
        <stp/>
        <stp>BDH|9021735916196469927</stp>
        <tr r="T52" s="17"/>
      </tp>
      <tp t="e">
        <v>#N/A</v>
        <stp/>
        <stp>BDH|6970513206844587782</stp>
        <tr r="L31" s="24"/>
      </tp>
      <tp t="e">
        <v>#N/A</v>
        <stp/>
        <stp>BDH|8813003201489818121</stp>
        <tr r="Y14" s="28"/>
      </tp>
      <tp t="e">
        <v>#N/A</v>
        <stp/>
        <stp>BDH|5277945515174027907</stp>
        <tr r="N68" s="17"/>
      </tp>
      <tp t="e">
        <v>#N/A</v>
        <stp/>
        <stp>BDH|2784046463226614254</stp>
        <tr r="F97" s="17"/>
        <tr r="F7" s="27"/>
      </tp>
      <tp t="e">
        <v>#N/A</v>
        <stp/>
        <stp>BDH|3015160636924770546</stp>
        <tr r="S17" s="9"/>
      </tp>
      <tp t="e">
        <v>#N/A</v>
        <stp/>
        <stp>BDH|5476451326036169559</stp>
        <tr r="N39" s="6"/>
      </tp>
      <tp t="e">
        <v>#N/A</v>
        <stp/>
        <stp>BDH|7589794428855441739</stp>
        <tr r="U54" s="12"/>
      </tp>
      <tp t="e">
        <v>#N/A</v>
        <stp/>
        <stp>BDH|9514979666512672411</stp>
        <tr r="U8" s="12"/>
      </tp>
      <tp t="e">
        <v>#N/A</v>
        <stp/>
        <stp>BDH|4629555851655986182</stp>
        <tr r="Q71" s="24"/>
      </tp>
      <tp t="e">
        <v>#N/A</v>
        <stp/>
        <stp>BDH|4847557739861705300</stp>
        <tr r="H48" s="12"/>
      </tp>
      <tp t="e">
        <v>#N/A</v>
        <stp/>
        <stp>BDH|3392394035896467588</stp>
        <tr r="I34" s="18"/>
      </tp>
      <tp t="e">
        <v>#N/A</v>
        <stp/>
        <stp>BDH|1120931106429352148</stp>
        <tr r="L56" s="12"/>
      </tp>
      <tp t="e">
        <v>#N/A</v>
        <stp/>
        <stp>BDH|5082438189269814019</stp>
        <tr r="Y56" s="12"/>
      </tp>
      <tp t="e">
        <v>#N/A</v>
        <stp/>
        <stp>BDH|7364474705835643644</stp>
        <tr r="T95" s="18"/>
      </tp>
      <tp t="e">
        <v>#N/A</v>
        <stp/>
        <stp>BDH|4145004946807071745</stp>
        <tr r="N37" s="22"/>
      </tp>
      <tp t="e">
        <v>#N/A</v>
        <stp/>
        <stp>BDH|7917950863278996050</stp>
        <tr r="L9" s="12"/>
      </tp>
      <tp t="e">
        <v>#N/A</v>
        <stp/>
        <stp>BDH|7301973590846275151</stp>
        <tr r="X22" s="25"/>
        <tr r="X12" s="27"/>
      </tp>
      <tp t="e">
        <v>#N/A</v>
        <stp/>
        <stp>BDH|1470790848904664605</stp>
        <tr r="H73" s="18"/>
      </tp>
      <tp t="e">
        <v>#N/A</v>
        <stp/>
        <stp>BDH|1943246878135773119</stp>
        <tr r="Q16" s="2"/>
        <tr r="Q32" s="4"/>
        <tr r="Q61" s="10"/>
        <tr r="S19" s="13"/>
      </tp>
      <tp t="e">
        <v>#N/A</v>
        <stp/>
        <stp>BDH|5907458901767873665</stp>
        <tr r="D10" s="2"/>
        <tr r="C11" s="5"/>
        <tr r="C36" s="6"/>
        <tr r="F31" s="29"/>
        <tr r="F39" s="29"/>
      </tp>
      <tp t="e">
        <v>#N/A</v>
        <stp/>
        <stp>BDH|4784870148109223197</stp>
        <tr r="Z17" s="29"/>
        <tr r="Z37" s="29"/>
      </tp>
      <tp t="e">
        <v>#N/A</v>
        <stp/>
        <stp>BDH|9739371957999153652</stp>
        <tr r="Q8" s="28"/>
      </tp>
      <tp t="e">
        <v>#N/A</v>
        <stp/>
        <stp>BDH|5899274778509752932</stp>
        <tr r="X9" s="23"/>
      </tp>
      <tp t="e">
        <v>#N/A</v>
        <stp/>
        <stp>BDH|6761191803684678389</stp>
        <tr r="G44" s="13"/>
      </tp>
      <tp t="e">
        <v>#N/A</v>
        <stp/>
        <stp>BDH|2860343670467767189</stp>
        <tr r="Q42" s="10"/>
        <tr r="Q36" s="11"/>
      </tp>
      <tp t="e">
        <v>#N/A</v>
        <stp/>
        <stp>BDH|4254564818171895177</stp>
        <tr r="C95" s="18"/>
      </tp>
      <tp t="e">
        <v>#N/A</v>
        <stp/>
        <stp>BDH|2785013465260728475</stp>
        <tr r="O51" s="18"/>
      </tp>
      <tp t="e">
        <v>#N/A</v>
        <stp/>
        <stp>BDH|9344102297881066076</stp>
        <tr r="M49" s="17"/>
      </tp>
      <tp t="e">
        <v>#N/A</v>
        <stp/>
        <stp>BDH|7722963564761505907</stp>
        <tr r="K10" s="17"/>
      </tp>
      <tp t="e">
        <v>#N/A</v>
        <stp/>
        <stp>BDH|6006452000253155144</stp>
        <tr r="J10" s="2"/>
        <tr r="I11" s="5"/>
        <tr r="I36" s="6"/>
        <tr r="L31" s="29"/>
        <tr r="L39" s="29"/>
      </tp>
      <tp t="e">
        <v>#N/A</v>
        <stp/>
        <stp>BDH|1063663633305758122</stp>
        <tr r="F60" s="12"/>
      </tp>
      <tp t="e">
        <v>#N/A</v>
        <stp/>
        <stp>BDH|4584062923274083201</stp>
        <tr r="P11" s="21"/>
      </tp>
      <tp t="e">
        <v>#N/A</v>
        <stp/>
        <stp>BDH|3705463081127550857</stp>
        <tr r="F72" s="24"/>
      </tp>
      <tp t="e">
        <v>#N/A</v>
        <stp/>
        <stp>BDH|9406007072776646804</stp>
        <tr r="F44" s="13"/>
      </tp>
      <tp t="e">
        <v>#N/A</v>
        <stp/>
        <stp>BDH|6604147081718045734</stp>
        <tr r="U20" s="24"/>
      </tp>
      <tp t="e">
        <v>#N/A</v>
        <stp/>
        <stp>BDH|5469770659067954033</stp>
        <tr r="D16" s="25"/>
      </tp>
      <tp t="e">
        <v>#N/A</v>
        <stp/>
        <stp>BDH|1878134442427048390</stp>
        <tr r="E22" s="11"/>
      </tp>
      <tp t="e">
        <v>#N/A</v>
        <stp/>
        <stp>BDH|6635758027940219360</stp>
        <tr r="AA126" s="18"/>
      </tp>
      <tp t="e">
        <v>#N/A</v>
        <stp/>
        <stp>BDH|3843492171418923895</stp>
        <tr r="U7" s="8"/>
      </tp>
      <tp t="e">
        <v>#N/A</v>
        <stp/>
        <stp>BDH|9204989826903962153</stp>
        <tr r="I79" s="17"/>
      </tp>
      <tp t="e">
        <v>#N/A</v>
        <stp/>
        <stp>BDH|8948975349010461532</stp>
        <tr r="K18" s="24"/>
      </tp>
      <tp t="e">
        <v>#N/A</v>
        <stp/>
        <stp>BDH|9899637059583395916</stp>
        <tr r="N17" s="29"/>
        <tr r="N37" s="29"/>
      </tp>
      <tp t="e">
        <v>#N/A</v>
        <stp/>
        <stp>BDH|6636491908386367443</stp>
        <tr r="H30" s="12"/>
      </tp>
      <tp t="e">
        <v>#N/A</v>
        <stp/>
        <stp>BDH|9714815401256175766</stp>
        <tr r="T17" s="20"/>
      </tp>
      <tp t="e">
        <v>#N/A</v>
        <stp/>
        <stp>BDH|1503700234622492758</stp>
        <tr r="V48" s="21"/>
      </tp>
      <tp t="e">
        <v>#N/A</v>
        <stp/>
        <stp>BDH|5431649521195904482</stp>
        <tr r="C142" s="18"/>
      </tp>
      <tp t="e">
        <v>#N/A</v>
        <stp/>
        <stp>BDH|8553817110563580217</stp>
        <tr r="T39" s="6"/>
      </tp>
      <tp t="e">
        <v>#N/A</v>
        <stp/>
        <stp>BDH|9820629148249302211</stp>
        <tr r="W45" s="4"/>
        <tr r="W30" s="10"/>
        <tr r="W24" s="11"/>
        <tr r="Y30" s="13"/>
      </tp>
      <tp t="e">
        <v>#N/A</v>
        <stp/>
        <stp>BDH|9788075828579996219</stp>
        <tr r="D63" s="24"/>
      </tp>
      <tp t="e">
        <v>#N/A</v>
        <stp/>
        <stp>BDH|4746370250915566753</stp>
        <tr r="C73" s="12"/>
      </tp>
      <tp t="e">
        <v>#N/A</v>
        <stp/>
        <stp>BDH|5887394437174509135</stp>
        <tr r="Z41" s="22"/>
      </tp>
      <tp t="e">
        <v>#N/A</v>
        <stp/>
        <stp>BDH|3676195559125699202</stp>
        <tr r="F79" s="18"/>
      </tp>
      <tp t="e">
        <v>#N/A</v>
        <stp/>
        <stp>BDH|9449539922386636836</stp>
        <tr r="O15" s="11"/>
      </tp>
      <tp t="e">
        <v>#N/A</v>
        <stp/>
        <stp>BDH|3326421942954142725</stp>
        <tr r="Y42" s="10"/>
        <tr r="Y36" s="11"/>
      </tp>
      <tp t="e">
        <v>#N/A</v>
        <stp/>
        <stp>BDH|2171528845244741713</stp>
        <tr r="M105" s="18"/>
      </tp>
      <tp t="e">
        <v>#N/A</v>
        <stp/>
        <stp>BDH|2141200587921728915</stp>
        <tr r="Z47" s="12"/>
      </tp>
      <tp t="e">
        <v>#N/A</v>
        <stp/>
        <stp>BDH|3300531995558317768</stp>
        <tr r="Z16" s="23"/>
      </tp>
      <tp t="e">
        <v>#N/A</v>
        <stp/>
        <stp>BDH|4748338457686041432</stp>
        <tr r="O7" s="14"/>
      </tp>
      <tp t="e">
        <v>#N/A</v>
        <stp/>
        <stp>BDH|2445648574465709634</stp>
        <tr r="R12" s="17"/>
      </tp>
      <tp t="e">
        <v>#N/A</v>
        <stp/>
        <stp>BDH|9064886057556620299</stp>
        <tr r="U57" s="12"/>
      </tp>
      <tp t="e">
        <v>#N/A</v>
        <stp/>
        <stp>BDH|7105563373342280766</stp>
        <tr r="D74" s="12"/>
      </tp>
      <tp t="e">
        <v>#N/A</v>
        <stp/>
        <stp>BDH|5170432376587089159</stp>
        <tr r="X29" s="4"/>
      </tp>
      <tp t="e">
        <v>#N/A</v>
        <stp/>
        <stp>BDH|4384079306605454173</stp>
        <tr r="X12" s="6"/>
      </tp>
      <tp t="e">
        <v>#N/A</v>
        <stp/>
        <stp>BDH|6284092818695280204</stp>
        <tr r="Q16" s="22"/>
      </tp>
      <tp t="e">
        <v>#N/A</v>
        <stp/>
        <stp>BDH|4107291062924886430</stp>
        <tr r="AA89" s="17"/>
      </tp>
      <tp t="e">
        <v>#N/A</v>
        <stp/>
        <stp>BDH|4557206447234573666</stp>
        <tr r="M96" s="17"/>
      </tp>
      <tp t="e">
        <v>#N/A</v>
        <stp/>
        <stp>BDH|2014108484079118248</stp>
        <tr r="C36" s="4"/>
      </tp>
      <tp t="e">
        <v>#N/A</v>
        <stp/>
        <stp>BDH|6746321020387221064</stp>
        <tr r="C22" s="18"/>
      </tp>
      <tp t="e">
        <v>#N/A</v>
        <stp/>
        <stp>BDH|4510124139783978566</stp>
        <tr r="W105" s="18"/>
      </tp>
      <tp t="e">
        <v>#N/A</v>
        <stp/>
        <stp>BDH|5973206145811820258</stp>
        <tr r="M43" s="24"/>
      </tp>
      <tp t="e">
        <v>#N/A</v>
        <stp/>
        <stp>BDH|8886147727992806925</stp>
        <tr r="Z22" s="24"/>
      </tp>
      <tp t="e">
        <v>#N/A</v>
        <stp/>
        <stp>BDH|4544764572310809480</stp>
        <tr r="E127" s="18"/>
      </tp>
      <tp t="e">
        <v>#N/A</v>
        <stp/>
        <stp>BDH|4302146427501732662</stp>
        <tr r="R8" s="26"/>
        <tr r="O10" s="9"/>
      </tp>
      <tp t="e">
        <v>#N/A</v>
        <stp/>
        <stp>BDH|2510281545383998708</stp>
        <tr r="T12" s="11"/>
      </tp>
      <tp t="e">
        <v>#N/A</v>
        <stp/>
        <stp>BDH|5425879660398586372</stp>
        <tr r="U8" s="13"/>
      </tp>
      <tp t="e">
        <v>#N/A</v>
        <stp/>
        <stp>BDH|8320616903319716774</stp>
        <tr r="R7" s="14"/>
      </tp>
      <tp t="e">
        <v>#N/A</v>
        <stp/>
        <stp>BDH|7754354466081110342</stp>
        <tr r="O51" s="24"/>
      </tp>
      <tp t="e">
        <v>#N/A</v>
        <stp/>
        <stp>BDH|5967711411317176496</stp>
        <tr r="L21" s="27"/>
      </tp>
      <tp t="e">
        <v>#N/A</v>
        <stp/>
        <stp>BDH|6368055344653469176</stp>
        <tr r="N60" s="21"/>
      </tp>
      <tp t="e">
        <v>#N/A</v>
        <stp/>
        <stp>BDH|2811749277655998733</stp>
        <tr r="X67" s="12"/>
      </tp>
      <tp t="e">
        <v>#N/A</v>
        <stp/>
        <stp>BDH|8123670299076851160</stp>
        <tr r="F49" s="4"/>
      </tp>
      <tp t="e">
        <v>#N/A</v>
        <stp/>
        <stp>BDH|3088268072287041151</stp>
        <tr r="K14" s="22"/>
      </tp>
      <tp t="e">
        <v>#N/A</v>
        <stp/>
        <stp>BDH|5636555970642761551</stp>
        <tr r="I32" s="34"/>
      </tp>
      <tp t="e">
        <v>#N/A</v>
        <stp/>
        <stp>BDH|2809728553150162098</stp>
        <tr r="F64" s="21"/>
      </tp>
      <tp t="e">
        <v>#N/A</v>
        <stp/>
        <stp>BDH|6284307466337125448</stp>
        <tr r="P11" s="13"/>
      </tp>
      <tp t="e">
        <v>#N/A</v>
        <stp/>
        <stp>BDH|5668634115891657379</stp>
        <tr r="I17" s="10"/>
      </tp>
      <tp t="e">
        <v>#N/A</v>
        <stp/>
        <stp>BDH|5559987990261576491</stp>
        <tr r="P79" s="17"/>
      </tp>
      <tp t="e">
        <v>#N/A</v>
        <stp/>
        <stp>BDH|1376364091159400214</stp>
        <tr r="H40" s="17"/>
      </tp>
      <tp t="e">
        <v>#N/A</v>
        <stp/>
        <stp>BDH|4875639141804319281</stp>
        <tr r="V46" s="4"/>
        <tr r="V24" s="10"/>
        <tr r="X35" s="13"/>
      </tp>
      <tp t="e">
        <v>#N/A</v>
        <stp/>
        <stp>BDH|7120708963062103422</stp>
        <tr r="AA24" s="21"/>
      </tp>
      <tp t="e">
        <v>#N/A</v>
        <stp/>
        <stp>BDH|7607015980976473923</stp>
        <tr r="O31" s="10"/>
        <tr r="O25" s="11"/>
      </tp>
      <tp t="e">
        <v>#N/A</v>
        <stp/>
        <stp>BDH|7024251775003682170</stp>
        <tr r="M37" s="21"/>
        <tr r="M24" s="3"/>
      </tp>
      <tp t="e">
        <v>#N/A</v>
        <stp/>
        <stp>BDH|4670966796853410732</stp>
        <tr r="W37" s="10"/>
        <tr r="W31" s="11"/>
        <tr r="Y40" s="13"/>
      </tp>
      <tp t="e">
        <v>#N/A</v>
        <stp/>
        <stp>BDH|5130649954505317334</stp>
        <tr r="W17" s="4"/>
        <tr r="Y10" s="3"/>
        <tr r="W55" s="10"/>
        <tr r="W49" s="11"/>
        <tr r="W17" s="7"/>
        <tr r="Y49" s="13"/>
      </tp>
      <tp t="e">
        <v>#N/A</v>
        <stp/>
        <stp>BDH|5613135409946844254</stp>
        <tr r="G24" s="26"/>
      </tp>
      <tp t="e">
        <v>#N/A</v>
        <stp/>
        <stp>BDH|6206228901355179111</stp>
        <tr r="R108" s="18"/>
        <tr r="P8" s="20"/>
      </tp>
      <tp t="e">
        <v>#N/A</v>
        <stp/>
        <stp>BDH|1668761117464294347</stp>
        <tr r="W30" s="12"/>
      </tp>
      <tp t="e">
        <v>#N/A</v>
        <stp/>
        <stp>BDH|2146210949881056585</stp>
        <tr r="K36" s="12"/>
      </tp>
      <tp t="e">
        <v>#N/A</v>
        <stp/>
        <stp>BDH|7793145271071797049</stp>
        <tr r="Q51" s="24"/>
      </tp>
      <tp t="e">
        <v>#N/A</v>
        <stp/>
        <stp>BDH|3452649463025687648</stp>
        <tr r="E54" s="24"/>
      </tp>
      <tp t="e">
        <v>#N/A</v>
        <stp/>
        <stp>BDH|3689337712474665501</stp>
        <tr r="U25" s="2"/>
        <tr r="W62" s="21"/>
      </tp>
      <tp t="e">
        <v>#N/A</v>
        <stp/>
        <stp>BDH|4258151223811059656</stp>
        <tr r="N99" s="18"/>
      </tp>
      <tp t="e">
        <v>#N/A</v>
        <stp/>
        <stp>BDH|5628346145296692400</stp>
        <tr r="V7" s="2"/>
        <tr r="U7" s="5"/>
        <tr r="U7" s="9"/>
        <tr r="X14" s="3"/>
      </tp>
      <tp t="e">
        <v>#N/A</v>
        <stp/>
        <stp>BDH|7862522920729958928</stp>
        <tr r="F22" s="26"/>
      </tp>
      <tp t="e">
        <v>#N/A</v>
        <stp/>
        <stp>BDH|6616888192572962544</stp>
        <tr r="W23" s="10"/>
      </tp>
      <tp t="e">
        <v>#N/A</v>
        <stp/>
        <stp>BDH|2964919158386499824</stp>
        <tr r="P160" s="18"/>
      </tp>
      <tp t="e">
        <v>#N/A</v>
        <stp/>
        <stp>BDH|9151091367266130984</stp>
        <tr r="O17" s="17"/>
        <tr r="O20" s="28"/>
      </tp>
      <tp t="e">
        <v>#N/A</v>
        <stp/>
        <stp>BDH|6048427816597759452</stp>
        <tr r="C13" s="8"/>
      </tp>
      <tp t="e">
        <v>#N/A</v>
        <stp/>
        <stp>BDH|1569873492636335651</stp>
        <tr r="T99" s="18"/>
      </tp>
      <tp t="e">
        <v>#N/A</v>
        <stp/>
        <stp>BDH|4113260625493179752</stp>
        <tr r="H34" s="22"/>
      </tp>
      <tp t="e">
        <v>#N/A</v>
        <stp/>
        <stp>BDH|7669650405331161013</stp>
        <tr r="U77" s="12"/>
      </tp>
      <tp t="e">
        <v>#N/A</v>
        <stp/>
        <stp>BDH|3669504710560223725</stp>
        <tr r="I62" s="10"/>
      </tp>
      <tp t="e">
        <v>#N/A</v>
        <stp/>
        <stp>BDH|7984202829984780318</stp>
        <tr r="M19" s="11"/>
      </tp>
      <tp t="e">
        <v>#N/A</v>
        <stp/>
        <stp>BDH|7967409371473795791</stp>
        <tr r="L28" s="12"/>
      </tp>
      <tp t="e">
        <v>#N/A</v>
        <stp/>
        <stp>BDH|7541797384540874863</stp>
        <tr r="U97" s="17"/>
        <tr r="U7" s="27"/>
      </tp>
      <tp t="e">
        <v>#N/A</v>
        <stp/>
        <stp>BDH|7512164303410553636</stp>
        <tr r="J72" s="17"/>
        <tr r="J18" s="3"/>
      </tp>
      <tp t="e">
        <v>#N/A</v>
        <stp/>
        <stp>BDH|2298360351156083232</stp>
        <tr r="N145" s="18"/>
      </tp>
      <tp t="e">
        <v>#N/A</v>
        <stp/>
        <stp>BDH|1349060175222475423</stp>
        <tr r="Y40" s="17"/>
      </tp>
      <tp t="e">
        <v>#N/A</v>
        <stp/>
        <stp>BDH|3017171670362416757</stp>
        <tr r="Y128" s="18"/>
      </tp>
      <tp t="e">
        <v>#N/A</v>
        <stp/>
        <stp>BDH|2669325476842191456</stp>
        <tr r="C17" s="29"/>
        <tr r="C37" s="29"/>
      </tp>
      <tp t="e">
        <v>#N/A</v>
        <stp/>
        <stp>BDH|7938260808987062218</stp>
        <tr r="H18" s="14"/>
      </tp>
      <tp t="e">
        <v>#N/A</v>
        <stp/>
        <stp>BDH|5591426401956935792</stp>
        <tr r="F83" s="18"/>
      </tp>
      <tp t="e">
        <v>#N/A</v>
        <stp/>
        <stp>BDH|3221472414774592229</stp>
        <tr r="S8" s="14"/>
      </tp>
      <tp t="e">
        <v>#N/A</v>
        <stp/>
        <stp>BDH|7593761945915168110</stp>
        <tr r="U29" s="5"/>
      </tp>
      <tp t="e">
        <v>#N/A</v>
        <stp/>
        <stp>BDH|9140459865618580324</stp>
        <tr r="U115" s="18"/>
      </tp>
      <tp t="e">
        <v>#N/A</v>
        <stp/>
        <stp>BDH|1297841636308241249</stp>
        <tr r="L96" s="17"/>
      </tp>
      <tp t="e">
        <v>#N/A</v>
        <stp/>
        <stp>BDH|6868230963317700593</stp>
        <tr r="L10" s="34"/>
      </tp>
      <tp t="e">
        <v>#N/A</v>
        <stp/>
        <stp>BDH|4157370832726501274</stp>
        <tr r="V11" s="29"/>
      </tp>
      <tp t="e">
        <v>#N/A</v>
        <stp/>
        <stp>BDH|1638975129339774394</stp>
        <tr r="D124" s="18"/>
      </tp>
      <tp t="e">
        <v>#N/A</v>
        <stp/>
        <stp>BDH|1914747406210959647</stp>
        <tr r="D166" s="18"/>
      </tp>
      <tp t="e">
        <v>#N/A</v>
        <stp/>
        <stp>BDH|7244476942874151309</stp>
        <tr r="S29" s="9"/>
      </tp>
      <tp t="e">
        <v>#N/A</v>
        <stp/>
        <stp>BDH|1431719760311512161</stp>
        <tr r="O112" s="18"/>
        <tr r="M13" s="20"/>
      </tp>
      <tp t="e">
        <v>#N/A</v>
        <stp/>
        <stp>BDH|6982654939345208616</stp>
        <tr r="M61" s="11"/>
        <tr r="O19" s="23"/>
      </tp>
      <tp t="e">
        <v>#N/A</v>
        <stp/>
        <stp>BDH|9024434989463422689</stp>
        <tr r="C70" s="24"/>
      </tp>
      <tp t="e">
        <v>#N/A</v>
        <stp/>
        <stp>BDH|3683147134003828284</stp>
        <tr r="M8" s="23"/>
      </tp>
      <tp t="e">
        <v>#N/A</v>
        <stp/>
        <stp>BDH|6369419970186513316</stp>
        <tr r="R71" s="10"/>
        <tr r="R65" s="11"/>
      </tp>
      <tp t="e">
        <v>#N/A</v>
        <stp/>
        <stp>BDH|4492732290728316225</stp>
        <tr r="J32" s="6"/>
        <tr r="L6" s="8"/>
      </tp>
      <tp t="e">
        <v>#N/A</v>
        <stp/>
        <stp>BDH|9503174793707091672</stp>
        <tr r="V17" s="18"/>
      </tp>
      <tp t="e">
        <v>#N/A</v>
        <stp/>
        <stp>BDH|4340009450214149543</stp>
        <tr r="C102" s="18"/>
      </tp>
      <tp t="e">
        <v>#N/A</v>
        <stp/>
        <stp>BDH|5263225969867651696</stp>
        <tr r="Z9" s="24"/>
      </tp>
      <tp t="e">
        <v>#N/A</v>
        <stp/>
        <stp>BDH|1507972986310787052</stp>
        <tr r="Y37" s="10"/>
        <tr r="Y31" s="11"/>
        <tr r="AA40" s="13"/>
      </tp>
      <tp t="e">
        <v>#N/A</v>
        <stp/>
        <stp>BDH|8677759491304002247</stp>
        <tr r="X66" s="18"/>
      </tp>
      <tp t="e">
        <v>#N/A</v>
        <stp/>
        <stp>BDH|4801641695938970362</stp>
        <tr r="O9" s="29"/>
      </tp>
      <tp t="e">
        <v>#N/A</v>
        <stp/>
        <stp>BDH|3595952442659533713</stp>
        <tr r="O67" s="10"/>
      </tp>
      <tp t="e">
        <v>#N/A</v>
        <stp/>
        <stp>BDH|4731594310902861205</stp>
        <tr r="M146" s="18"/>
      </tp>
      <tp t="e">
        <v>#N/A</v>
        <stp/>
        <stp>BDH|2121378961701233633</stp>
        <tr r="I167" s="18"/>
      </tp>
      <tp t="e">
        <v>#N/A</v>
        <stp/>
        <stp>BDH|6991466778773344620</stp>
        <tr r="D61" s="17"/>
      </tp>
      <tp t="e">
        <v>#N/A</v>
        <stp/>
        <stp>BDH|3916979168494938893</stp>
        <tr r="V92" s="17"/>
      </tp>
      <tp t="e">
        <v>#N/A</v>
        <stp/>
        <stp>BDH|8047969977650405637</stp>
        <tr r="AA14" s="22"/>
      </tp>
      <tp t="e">
        <v>#N/A</v>
        <stp/>
        <stp>BDH|8123533859839566183</stp>
        <tr r="AA7" s="24"/>
      </tp>
      <tp t="e">
        <v>#N/A</v>
        <stp/>
        <stp>BDH|4048279746672269052</stp>
        <tr r="O54" s="21"/>
      </tp>
      <tp t="e">
        <v>#N/A</v>
        <stp/>
        <stp>BDH|4688805996254191178</stp>
        <tr r="X47" s="24"/>
      </tp>
      <tp t="e">
        <v>#N/A</v>
        <stp/>
        <stp>BDH|9012970753763216609</stp>
        <tr r="C23" s="17"/>
        <tr r="C15" s="3"/>
      </tp>
      <tp t="e">
        <v>#N/A</v>
        <stp/>
        <stp>BDH|7941139104434963211</stp>
        <tr r="N75" s="18"/>
      </tp>
      <tp t="e">
        <v>#N/A</v>
        <stp/>
        <stp>BDH|6803400080658795291</stp>
        <tr r="E18" s="2"/>
        <tr r="E53" s="4"/>
        <tr r="E45" s="10"/>
        <tr r="E39" s="11"/>
        <tr r="G46" s="13"/>
      </tp>
      <tp t="e">
        <v>#N/A</v>
        <stp/>
        <stp>BDH|2613246124481984395</stp>
        <tr r="D35" s="12"/>
      </tp>
      <tp t="e">
        <v>#N/A</v>
        <stp/>
        <stp>BDH|6119412256743637469</stp>
        <tr r="AA66" s="21"/>
      </tp>
      <tp t="e">
        <v>#N/A</v>
        <stp/>
        <stp>BDH|7131698023381423294</stp>
        <tr r="I14" s="6"/>
      </tp>
      <tp t="e">
        <v>#N/A</v>
        <stp/>
        <stp>BDH|3298397829622614038</stp>
        <tr r="V8" s="12"/>
      </tp>
      <tp t="e">
        <v>#N/A</v>
        <stp/>
        <stp>BDH|4308545997451056975</stp>
        <tr r="I17" s="23"/>
      </tp>
      <tp t="e">
        <v>#N/A</v>
        <stp/>
        <stp>BDH|6389787408986026745</stp>
        <tr r="D63" s="10"/>
      </tp>
      <tp t="e">
        <v>#N/A</v>
        <stp/>
        <stp>BDH|4655106931804033209</stp>
        <tr r="U94" s="18"/>
      </tp>
      <tp t="e">
        <v>#N/A</v>
        <stp/>
        <stp>BDH|8710102691195050516</stp>
        <tr r="D34" s="13"/>
      </tp>
      <tp t="e">
        <v>#N/A</v>
        <stp/>
        <stp>BDH|5772337642267267534</stp>
        <tr r="D27" s="5"/>
        <tr r="D27" s="9"/>
      </tp>
      <tp t="e">
        <v>#N/A</v>
        <stp/>
        <stp>BDH|5274038241970470131</stp>
        <tr r="F11" s="13"/>
      </tp>
      <tp t="e">
        <v>#N/A</v>
        <stp/>
        <stp>BDH|4300810912589135465</stp>
        <tr r="N40" s="18"/>
      </tp>
      <tp t="e">
        <v>#N/A</v>
        <stp/>
        <stp>BDH|1184680440867750496</stp>
        <tr r="Q55" s="17"/>
      </tp>
      <tp t="e">
        <v>#N/A</v>
        <stp/>
        <stp>BDH|3768190329617355736</stp>
        <tr r="G72" s="10"/>
        <tr r="G66" s="11"/>
      </tp>
      <tp t="e">
        <v>#N/A</v>
        <stp/>
        <stp>BDH|7755546881102684839</stp>
        <tr r="F18" s="9"/>
      </tp>
      <tp t="e">
        <v>#N/A</v>
        <stp/>
        <stp>BDH|5304649317890608213</stp>
        <tr r="S16" s="29"/>
        <tr r="S36" s="29"/>
      </tp>
      <tp t="e">
        <v>#N/A</v>
        <stp/>
        <stp>BDH|6340186244090018381</stp>
        <tr r="I29" s="17"/>
      </tp>
      <tp t="e">
        <v>#N/A</v>
        <stp/>
        <stp>BDH|6530820446543003964</stp>
        <tr r="J19" s="26"/>
      </tp>
      <tp t="e">
        <v>#N/A</v>
        <stp/>
        <stp>BDH|1600371427689171902</stp>
        <tr r="P11" s="24"/>
      </tp>
      <tp t="e">
        <v>#N/A</v>
        <stp/>
        <stp>BDH|2045426520747160346</stp>
        <tr r="D59" s="18"/>
      </tp>
      <tp t="e">
        <v>#N/A</v>
        <stp/>
        <stp>BDH|4725952257759108132</stp>
        <tr r="R10" s="17"/>
      </tp>
      <tp t="e">
        <v>#N/A</v>
        <stp/>
        <stp>BDH|6377482948853401508</stp>
        <tr r="C46" s="21"/>
      </tp>
      <tp t="e">
        <v>#N/A</v>
        <stp/>
        <stp>BDH|6378645351642719761</stp>
        <tr r="N80" s="17"/>
      </tp>
      <tp t="e">
        <v>#N/A</v>
        <stp/>
        <stp>BDH|2534581496879878749</stp>
        <tr r="R59" s="17"/>
      </tp>
      <tp t="e">
        <v>#N/A</v>
        <stp/>
        <stp>BDH|7486168500403167545</stp>
        <tr r="Z60" s="12"/>
      </tp>
      <tp t="e">
        <v>#N/A</v>
        <stp/>
        <stp>BDH|6875433357451279690</stp>
        <tr r="V17" s="17"/>
        <tr r="V20" s="28"/>
      </tp>
      <tp t="e">
        <v>#N/A</v>
        <stp/>
        <stp>BDH|4248711416196337411</stp>
        <tr r="I20" s="17"/>
      </tp>
      <tp t="e">
        <v>#N/A</v>
        <stp/>
        <stp>BDH|2736542747884793746</stp>
        <tr r="N90" s="17"/>
      </tp>
      <tp t="e">
        <v>#N/A</v>
        <stp/>
        <stp>BDH|7449538514830392375</stp>
        <tr r="H11" s="14"/>
      </tp>
      <tp t="e">
        <v>#N/A</v>
        <stp/>
        <stp>BDH|2719038147351227760</stp>
        <tr r="R22" s="22"/>
      </tp>
      <tp t="e">
        <v>#N/A</v>
        <stp/>
        <stp>BDH|7699233153437776762</stp>
        <tr r="P34" s="6"/>
        <tr r="R10" s="8"/>
      </tp>
      <tp t="e">
        <v>#N/A</v>
        <stp/>
        <stp>BDH|4837065628720528648</stp>
        <tr r="Q148" s="18"/>
      </tp>
      <tp t="e">
        <v>#N/A</v>
        <stp/>
        <stp>BDH|1032807664608315709</stp>
        <tr r="G39" s="4"/>
        <tr r="G65" s="10"/>
      </tp>
      <tp t="e">
        <v>#N/A</v>
        <stp/>
        <stp>BDH|1599933571316567955</stp>
        <tr r="M28" s="22"/>
      </tp>
      <tp t="e">
        <v>#N/A</v>
        <stp/>
        <stp>BDH|1051498804412339797</stp>
        <tr r="F71" s="17"/>
      </tp>
      <tp t="e">
        <v>#N/A</v>
        <stp/>
        <stp>BDH|3679750323941542727</stp>
        <tr r="K27" s="18"/>
      </tp>
      <tp t="e">
        <v>#N/A</v>
        <stp/>
        <stp>BDH|7768226167242190146</stp>
        <tr r="G49" s="17"/>
      </tp>
      <tp t="e">
        <v>#N/A</v>
        <stp/>
        <stp>BDH|4028306430426555228</stp>
        <tr r="R29" s="24"/>
      </tp>
      <tp t="e">
        <v>#N/A</v>
        <stp/>
        <stp>BDH|1152409337296227030</stp>
        <tr r="U122" s="18"/>
      </tp>
      <tp t="e">
        <v>#N/A</v>
        <stp/>
        <stp>BDH|2318441676789189873</stp>
        <tr r="X41" s="21"/>
      </tp>
      <tp t="e">
        <v>#N/A</v>
        <stp/>
        <stp>BDH|3642628034344677217</stp>
        <tr r="D40" s="24"/>
      </tp>
      <tp t="e">
        <v>#N/A</v>
        <stp/>
        <stp>BDH|4554826567982544821</stp>
        <tr r="S25" s="3"/>
      </tp>
      <tp t="e">
        <v>#N/A</v>
        <stp/>
        <stp>BDH|1095641362797381628</stp>
        <tr r="Q42" s="24"/>
      </tp>
      <tp t="e">
        <v>#N/A</v>
        <stp/>
        <stp>BDH|5857457210454899420</stp>
        <tr r="V66" s="21"/>
      </tp>
      <tp t="e">
        <v>#N/A</v>
        <stp/>
        <stp>BDH|8275911386338095122</stp>
        <tr r="D50" s="18"/>
      </tp>
      <tp t="e">
        <v>#N/A</v>
        <stp/>
        <stp>BDH|1362685501055955277</stp>
        <tr r="J15" s="6"/>
      </tp>
      <tp t="e">
        <v>#N/A</v>
        <stp/>
        <stp>BDH|7945020509625561235</stp>
        <tr r="H13" s="21"/>
      </tp>
      <tp t="e">
        <v>#N/A</v>
        <stp/>
        <stp>BDH|1992445481399977419</stp>
        <tr r="S18" s="20"/>
      </tp>
      <tp t="e">
        <v>#N/A</v>
        <stp/>
        <stp>BDH|1600309760041005529</stp>
        <tr r="L17" s="29"/>
        <tr r="L37" s="29"/>
      </tp>
      <tp t="e">
        <v>#N/A</v>
        <stp/>
        <stp>BDH|3517115158703008483</stp>
        <tr r="H21" s="10"/>
      </tp>
      <tp t="e">
        <v>#N/A</v>
        <stp/>
        <stp>BDH|3213211063097649027</stp>
        <tr r="H91" s="18"/>
      </tp>
      <tp t="e">
        <v>#N/A</v>
        <stp/>
        <stp>BDH|7322747296471320861</stp>
        <tr r="K22" s="11"/>
      </tp>
      <tp t="e">
        <v>#N/A</v>
        <stp/>
        <stp>BDH|3174383341764941055</stp>
        <tr r="Q44" s="24"/>
      </tp>
      <tp t="e">
        <v>#N/A</v>
        <stp/>
        <stp>BDH|5264894893564952050</stp>
        <tr r="P8" s="17"/>
      </tp>
      <tp t="e">
        <v>#N/A</v>
        <stp/>
        <stp>BDH|8761267642686038870</stp>
        <tr r="X33" s="22"/>
      </tp>
      <tp t="e">
        <v>#N/A</v>
        <stp/>
        <stp>BDH|3784561376805263410</stp>
        <tr r="T34" s="25"/>
      </tp>
      <tp t="e">
        <v>#N/A</v>
        <stp/>
        <stp>BDH|4762633821447028714</stp>
        <tr r="T51" s="13"/>
      </tp>
      <tp t="e">
        <v>#N/A</v>
        <stp/>
        <stp>BDH|1043253803082522172</stp>
        <tr r="R17" s="24"/>
      </tp>
      <tp t="e">
        <v>#N/A</v>
        <stp/>
        <stp>BDH|8621261929530467897</stp>
        <tr r="J10" s="10"/>
      </tp>
      <tp t="e">
        <v>#N/A</v>
        <stp/>
        <stp>BDH|4230235577951292000</stp>
        <tr r="R22" s="7"/>
      </tp>
      <tp t="e">
        <v>#N/A</v>
        <stp/>
        <stp>BDH|5528334265008799809</stp>
        <tr r="N16" s="30"/>
      </tp>
      <tp t="e">
        <v>#N/A</v>
        <stp/>
        <stp>BDH|6131626502154532401</stp>
        <tr r="H29" s="24"/>
      </tp>
      <tp t="e">
        <v>#N/A</v>
        <stp/>
        <stp>BDH|2510340592709783107</stp>
        <tr r="C45" s="13"/>
      </tp>
      <tp t="e">
        <v>#N/A</v>
        <stp/>
        <stp>BDH|1436015702867622654</stp>
        <tr r="Z30" s="12"/>
      </tp>
      <tp t="e">
        <v>#N/A</v>
        <stp/>
        <stp>BDH|2528548824710577542</stp>
        <tr r="V10" s="26"/>
      </tp>
      <tp t="e">
        <v>#N/A</v>
        <stp/>
        <stp>BDH|9217839614760010016</stp>
        <tr r="AA97" s="17"/>
        <tr r="AA7" s="27"/>
      </tp>
      <tp t="e">
        <v>#N/A</v>
        <stp/>
        <stp>BDH|5112658831026549645</stp>
        <tr r="N91" s="17"/>
      </tp>
      <tp t="e">
        <v>#N/A</v>
        <stp/>
        <stp>BDH|1116226717896833484</stp>
        <tr r="H7" s="24"/>
      </tp>
      <tp t="e">
        <v>#N/A</v>
        <stp/>
        <stp>BDH|7722778535171214231</stp>
        <tr r="F11" s="12"/>
      </tp>
      <tp t="e">
        <v>#N/A</v>
        <stp/>
        <stp>BDH|6444126114903622502</stp>
        <tr r="U55" s="18"/>
      </tp>
      <tp t="e">
        <v>#N/A</v>
        <stp/>
        <stp>BDH|7565010540971923297</stp>
        <tr r="X63" s="24"/>
      </tp>
      <tp t="e">
        <v>#N/A</v>
        <stp/>
        <stp>BDH|6160611602151143178</stp>
        <tr r="H56" s="17"/>
        <tr r="H17" s="3"/>
      </tp>
      <tp t="e">
        <v>#N/A</v>
        <stp/>
        <stp>BDH|3451858274608768467</stp>
        <tr r="P35" s="18"/>
      </tp>
      <tp t="e">
        <v>#N/A</v>
        <stp/>
        <stp>BDH|2262519954224299619</stp>
        <tr r="W14" s="8"/>
      </tp>
      <tp t="e">
        <v>#N/A</v>
        <stp/>
        <stp>BDH|9908258011203816916</stp>
        <tr r="P8" s="6"/>
      </tp>
      <tp t="e">
        <v>#N/A</v>
        <stp/>
        <stp>BDH|4342103653964280469</stp>
        <tr r="V16" s="11"/>
      </tp>
      <tp t="e">
        <v>#N/A</v>
        <stp/>
        <stp>BDH|5232753840312546469</stp>
        <tr r="Z43" s="24"/>
      </tp>
      <tp t="e">
        <v>#N/A</v>
        <stp/>
        <stp>BDH|8539581459770524859</stp>
        <tr r="Q71" s="17"/>
      </tp>
      <tp t="e">
        <v>#N/A</v>
        <stp/>
        <stp>BDH|3092014914601142301</stp>
        <tr r="R8" s="21"/>
      </tp>
      <tp t="e">
        <v>#N/A</v>
        <stp/>
        <stp>BDH|4576627135148046974</stp>
        <tr r="F36" s="17"/>
      </tp>
      <tp t="e">
        <v>#N/A</v>
        <stp/>
        <stp>BDH|1465671012976594016</stp>
        <tr r="R28" s="24"/>
      </tp>
      <tp t="e">
        <v>#N/A</v>
        <stp/>
        <stp>BDH|7136814150229149340</stp>
        <tr r="L30" s="12"/>
      </tp>
      <tp t="e">
        <v>#N/A</v>
        <stp/>
        <stp>BDH|1266857480137415662</stp>
        <tr r="M25" s="18"/>
      </tp>
      <tp t="e">
        <v>#N/A</v>
        <stp/>
        <stp>BDH|8540054153719663404</stp>
        <tr r="U82" s="17"/>
        <tr r="U19" s="3"/>
      </tp>
      <tp t="e">
        <v>#N/A</v>
        <stp/>
        <stp>BDH|5441295559575279736</stp>
        <tr r="H21" s="2"/>
      </tp>
      <tp t="e">
        <v>#N/A</v>
        <stp/>
        <stp>BDH|9069672918307255986</stp>
        <tr r="W137" s="18"/>
      </tp>
      <tp t="e">
        <v>#N/A</v>
        <stp/>
        <stp>BDH|2613744546426165703</stp>
        <tr r="AA61" s="21"/>
      </tp>
      <tp t="e">
        <v>#N/A</v>
        <stp/>
        <stp>BDH|3460712566655771711</stp>
        <tr r="M114" s="18"/>
      </tp>
      <tp t="e">
        <v>#N/A</v>
        <stp/>
        <stp>BDH|2764730023476771151</stp>
        <tr r="S29" s="4"/>
      </tp>
      <tp t="e">
        <v>#N/A</v>
        <stp/>
        <stp>BDH|4690215102020909698</stp>
        <tr r="T18" s="10"/>
        <tr r="V16" s="13"/>
        <tr r="V27" s="13"/>
      </tp>
      <tp t="e">
        <v>#N/A</v>
        <stp/>
        <stp>BDH|9063032957384495859</stp>
        <tr r="W133" s="18"/>
      </tp>
      <tp t="e">
        <v>#N/A</v>
        <stp/>
        <stp>BDH|2101090279794654125</stp>
        <tr r="P22" s="24"/>
      </tp>
      <tp t="e">
        <v>#N/A</v>
        <stp/>
        <stp>BDH|6492499313630949325</stp>
        <tr r="D58" s="18"/>
      </tp>
      <tp t="e">
        <v>#N/A</v>
        <stp/>
        <stp>BDH|6060760445614567130</stp>
        <tr r="N30" s="12"/>
      </tp>
      <tp t="e">
        <v>#N/A</v>
        <stp/>
        <stp>BDH|3512783191929152488</stp>
        <tr r="Q21" s="30"/>
        <tr r="Q24" s="23"/>
      </tp>
      <tp t="e">
        <v>#N/A</v>
        <stp/>
        <stp>BDH|9659537894091345470</stp>
        <tr r="W19" s="26"/>
      </tp>
      <tp t="e">
        <v>#N/A</v>
        <stp/>
        <stp>BDH|3136353779244997312</stp>
        <tr r="G9" s="6"/>
      </tp>
      <tp t="e">
        <v>#N/A</v>
        <stp/>
        <stp>BDH|6356229753172764302</stp>
        <tr r="U63" s="18"/>
      </tp>
      <tp t="e">
        <v>#N/A</v>
        <stp/>
        <stp>BDH|3490597717747960066</stp>
        <tr r="K31" s="21"/>
      </tp>
      <tp t="e">
        <v>#N/A</v>
        <stp/>
        <stp>BDH|6281806922509315562</stp>
        <tr r="W159" s="18"/>
      </tp>
      <tp t="e">
        <v>#N/A</v>
        <stp/>
        <stp>BDH|2293628525605041308</stp>
        <tr r="K27" s="17"/>
      </tp>
      <tp t="e">
        <v>#N/A</v>
        <stp/>
        <stp>BDH|3968410169117587614</stp>
        <tr r="Q11" s="21"/>
      </tp>
      <tp t="e">
        <v>#N/A</v>
        <stp/>
        <stp>BDH|3473547842390001279</stp>
        <tr r="S17" s="11"/>
      </tp>
      <tp t="e">
        <v>#N/A</v>
        <stp/>
        <stp>BDH|3523955097561016229</stp>
        <tr r="N25" s="6"/>
      </tp>
      <tp t="e">
        <v>#N/A</v>
        <stp/>
        <stp>BDH|5437177375255024639</stp>
        <tr r="C156" s="18"/>
      </tp>
      <tp t="e">
        <v>#N/A</v>
        <stp/>
        <stp>BDH|3328673075291477309</stp>
        <tr r="Y29" s="21"/>
      </tp>
      <tp t="e">
        <v>#N/A</v>
        <stp/>
        <stp>BDH|6130439001640706211</stp>
        <tr r="O12" s="24"/>
      </tp>
      <tp t="e">
        <v>#N/A</v>
        <stp/>
        <stp>BDH|8734849961534731200</stp>
        <tr r="Q8" s="10"/>
      </tp>
      <tp t="e">
        <v>#N/A</v>
        <stp/>
        <stp>BDH|3392315816164665577</stp>
        <tr r="W74" s="12"/>
      </tp>
      <tp t="e">
        <v>#N/A</v>
        <stp/>
        <stp>BDH|2265235031942515104</stp>
        <tr r="AA123" s="18"/>
      </tp>
      <tp t="e">
        <v>#N/A</v>
        <stp/>
        <stp>BDH|8711829084560000842</stp>
        <tr r="S57" s="17"/>
        <tr r="S10" s="25"/>
      </tp>
      <tp t="e">
        <v>#N/A</v>
        <stp/>
        <stp>BDH|9804685066910460974</stp>
        <tr r="N34" s="22"/>
      </tp>
      <tp t="e">
        <v>#N/A</v>
        <stp/>
        <stp>BDH|1468355200497314578</stp>
        <tr r="D43" s="18"/>
      </tp>
      <tp t="e">
        <v>#N/A</v>
        <stp/>
        <stp>BDH|8277646212887012816</stp>
        <tr r="J22" s="12"/>
      </tp>
      <tp t="e">
        <v>#N/A</v>
        <stp/>
        <stp>BDH|5260031623974379347</stp>
        <tr r="X77" s="17"/>
      </tp>
      <tp t="e">
        <v>#N/A</v>
        <stp/>
        <stp>BDH|56805738510540636</stp>
        <tr r="I26" s="34"/>
      </tp>
      <tp t="e">
        <v>#N/A</v>
        <stp/>
        <stp>BDH|34249808928330776</stp>
        <tr r="S66" s="21"/>
      </tp>
      <tp t="e">
        <v>#N/A</v>
        <stp/>
        <stp>BDH|1171415789478200417</stp>
        <tr r="N98" s="17"/>
        <tr r="N13" s="28"/>
      </tp>
      <tp t="e">
        <v>#N/A</v>
        <stp/>
        <stp>BDH|2269825485167831470</stp>
        <tr r="S22" s="26"/>
      </tp>
      <tp t="e">
        <v>#N/A</v>
        <stp/>
        <stp>BDH|8426342489553439176</stp>
        <tr r="L13" s="12"/>
      </tp>
      <tp t="e">
        <v>#N/A</v>
        <stp/>
        <stp>BDH|1302731049376683559</stp>
        <tr r="I65" s="17"/>
      </tp>
      <tp t="e">
        <v>#N/A</v>
        <stp/>
        <stp>BDH|7632057452402864135</stp>
        <tr r="S22" s="22"/>
      </tp>
      <tp t="e">
        <v>#N/A</v>
        <stp/>
        <stp>BDH|3241174663793833647</stp>
        <tr r="N26" s="22"/>
      </tp>
      <tp t="e">
        <v>#N/A</v>
        <stp/>
        <stp>BDH|4645443849247720264</stp>
        <tr r="F71" s="18"/>
      </tp>
      <tp t="e">
        <v>#N/A</v>
        <stp/>
        <stp>BDH|4376853808238766533</stp>
        <tr r="G54" s="13"/>
      </tp>
      <tp t="e">
        <v>#N/A</v>
        <stp/>
        <stp>BDH|5814902253690829895</stp>
        <tr r="R17" s="11"/>
      </tp>
      <tp t="e">
        <v>#N/A</v>
        <stp/>
        <stp>BDH|7254577463813561699</stp>
        <tr r="Y20" s="27"/>
      </tp>
      <tp t="e">
        <v>#N/A</v>
        <stp/>
        <stp>BDH|3824565546012249106</stp>
        <tr r="L7" s="30"/>
      </tp>
      <tp t="e">
        <v>#N/A</v>
        <stp/>
        <stp>BDH|4400004054093825322</stp>
        <tr r="O12" s="18"/>
      </tp>
      <tp t="e">
        <v>#N/A</v>
        <stp/>
        <stp>BDH|2449402097767846911</stp>
        <tr r="AA128" s="18"/>
      </tp>
      <tp t="e">
        <v>#N/A</v>
        <stp/>
        <stp>BDH|5105551801290653191</stp>
        <tr r="H22" s="5"/>
      </tp>
      <tp t="e">
        <v>#N/A</v>
        <stp/>
        <stp>BDH|6127203923196150192</stp>
        <tr r="D36" s="18"/>
      </tp>
      <tp t="e">
        <v>#N/A</v>
        <stp/>
        <stp>BDH|5264803786647876363</stp>
        <tr r="Q28" s="12"/>
      </tp>
      <tp t="e">
        <v>#N/A</v>
        <stp/>
        <stp>BDH|7279104398077104914</stp>
        <tr r="T81" s="17"/>
        <tr r="Q9" s="5"/>
        <tr r="Q9" s="9"/>
      </tp>
      <tp t="e">
        <v>#N/A</v>
        <stp/>
        <stp>BDH|6692054369851642067</stp>
        <tr r="R7" s="24"/>
      </tp>
      <tp t="e">
        <v>#N/A</v>
        <stp/>
        <stp>BDH|7862467871583325660</stp>
        <tr r="D52" s="18"/>
      </tp>
      <tp t="e">
        <v>#N/A</v>
        <stp/>
        <stp>BDH|2163313708709125936</stp>
        <tr r="C10" s="18"/>
      </tp>
      <tp t="e">
        <v>#N/A</v>
        <stp/>
        <stp>BDH|1546240069576494260</stp>
        <tr r="L20" s="6"/>
      </tp>
      <tp t="e">
        <v>#N/A</v>
        <stp/>
        <stp>BDH|1724798844281873287</stp>
        <tr r="Q13" s="12"/>
      </tp>
      <tp t="e">
        <v>#N/A</v>
        <stp/>
        <stp>BDH|7565743855903971773</stp>
        <tr r="I93" s="17"/>
      </tp>
      <tp t="e">
        <v>#N/A</v>
        <stp/>
        <stp>BDH|7771470370433995631</stp>
        <tr r="AA99" s="17"/>
      </tp>
      <tp t="e">
        <v>#N/A</v>
        <stp/>
        <stp>BDH|9885637787402255445</stp>
        <tr r="M23" s="26"/>
      </tp>
      <tp t="e">
        <v>#N/A</v>
        <stp/>
        <stp>BDH|6222488647924709308</stp>
        <tr r="Y41" s="13"/>
      </tp>
      <tp t="e">
        <v>#N/A</v>
        <stp/>
        <stp>BDH|8599122796327877634</stp>
        <tr r="C15" s="29"/>
        <tr r="C35" s="29"/>
      </tp>
      <tp t="e">
        <v>#N/A</v>
        <stp/>
        <stp>BDH|3557430175100873119</stp>
        <tr r="U12" s="24"/>
      </tp>
      <tp t="e">
        <v>#N/A</v>
        <stp/>
        <stp>BDH|5591413765161367787</stp>
        <tr r="R38" s="4"/>
        <tr r="R59" s="11"/>
        <tr r="T13" s="23"/>
      </tp>
      <tp t="e">
        <v>#N/A</v>
        <stp/>
        <stp>BDH|6732250572444837629</stp>
        <tr r="Y86" s="18"/>
      </tp>
      <tp t="e">
        <v>#N/A</v>
        <stp/>
        <stp>BDH|5497121693309721584</stp>
        <tr r="U27" s="6"/>
      </tp>
      <tp t="e">
        <v>#N/A</v>
        <stp/>
        <stp>BDH|8397509548909702164</stp>
        <tr r="W83" s="17"/>
      </tp>
      <tp t="e">
        <v>#N/A</v>
        <stp/>
        <stp>BDH|5675841489457265339</stp>
        <tr r="Q9" s="18"/>
      </tp>
      <tp t="e">
        <v>#N/A</v>
        <stp/>
        <stp>BDH|8297871237590912211</stp>
        <tr r="W13" s="11"/>
      </tp>
      <tp t="e">
        <v>#N/A</v>
        <stp/>
        <stp>BDH|1283341136545392599</stp>
        <tr r="K50" s="18"/>
      </tp>
      <tp t="e">
        <v>#N/A</v>
        <stp/>
        <stp>BDH|7022789801193147222</stp>
        <tr r="R64" s="12"/>
      </tp>
      <tp t="e">
        <v>#N/A</v>
        <stp/>
        <stp>BDH|8493046442308115591</stp>
        <tr r="J82" s="17"/>
        <tr r="J19" s="3"/>
      </tp>
      <tp t="e">
        <v>#N/A</v>
        <stp/>
        <stp>BDH|5659148985338844555</stp>
        <tr r="S36" s="24"/>
      </tp>
      <tp t="e">
        <v>#N/A</v>
        <stp/>
        <stp>BDH|7663224478952321156</stp>
        <tr r="D14" s="10"/>
      </tp>
      <tp t="e">
        <v>#N/A</v>
        <stp/>
        <stp>BDH|9839833243736609249</stp>
        <tr r="M44" s="21"/>
      </tp>
      <tp t="e">
        <v>#N/A</v>
        <stp/>
        <stp>BDH|4433767344435596388</stp>
        <tr r="D57" s="13"/>
      </tp>
      <tp t="e">
        <v>#N/A</v>
        <stp/>
        <stp>BDH|2855503063364315435</stp>
        <tr r="W13" s="18"/>
      </tp>
      <tp t="e">
        <v>#N/A</v>
        <stp/>
        <stp>BDH|2701622129233012470</stp>
        <tr r="J33" s="12"/>
      </tp>
      <tp t="e">
        <v>#N/A</v>
        <stp/>
        <stp>BDH|3624936465044968923</stp>
        <tr r="E13" s="5"/>
      </tp>
      <tp t="e">
        <v>#N/A</v>
        <stp/>
        <stp>BDH|1538337422337621694</stp>
        <tr r="Q22" s="26"/>
      </tp>
      <tp t="e">
        <v>#N/A</v>
        <stp/>
        <stp>BDH|3914749714512343619</stp>
        <tr r="E66" s="21"/>
      </tp>
      <tp t="e">
        <v>#N/A</v>
        <stp/>
        <stp>BDH|3680471392987087888</stp>
        <tr r="AA25" s="13"/>
      </tp>
      <tp t="e">
        <v>#N/A</v>
        <stp/>
        <stp>BDH|9155485357279640035</stp>
        <tr r="O24" s="22"/>
      </tp>
      <tp t="e">
        <v>#N/A</v>
        <stp/>
        <stp>BDH|3604141219256511451</stp>
        <tr r="Z44" s="13"/>
      </tp>
      <tp t="e">
        <v>#N/A</v>
        <stp/>
        <stp>BDH|2225601005900899540</stp>
        <tr r="X52" s="24"/>
      </tp>
      <tp t="e">
        <v>#N/A</v>
        <stp/>
        <stp>BDH|4915325470685177416</stp>
        <tr r="G10" s="12"/>
      </tp>
      <tp t="e">
        <v>#N/A</v>
        <stp/>
        <stp>BDH|5731354428344009117</stp>
        <tr r="Z17" s="17"/>
        <tr r="Z20" s="28"/>
      </tp>
      <tp t="e">
        <v>#N/A</v>
        <stp/>
        <stp>BDH|4265652694232916815</stp>
        <tr r="F35" s="4"/>
      </tp>
      <tp t="e">
        <v>#N/A</v>
        <stp/>
        <stp>BDH|7278105836175936165</stp>
        <tr r="N95" s="18"/>
      </tp>
      <tp t="e">
        <v>#N/A</v>
        <stp/>
        <stp>BDH|7434586526681555042</stp>
        <tr r="X14" s="10"/>
      </tp>
      <tp t="e">
        <v>#N/A</v>
        <stp/>
        <stp>BDH|3712159645644828348</stp>
        <tr r="E29" s="24"/>
      </tp>
      <tp t="e">
        <v>#N/A</v>
        <stp/>
        <stp>BDH|8906875224280624371</stp>
        <tr r="J62" s="11"/>
      </tp>
      <tp t="e">
        <v>#N/A</v>
        <stp/>
        <stp>BDH|8524675189492956592</stp>
        <tr r="C29" s="17"/>
      </tp>
      <tp t="e">
        <v>#N/A</v>
        <stp/>
        <stp>BDH|1681183013439706918</stp>
        <tr r="V51" s="13"/>
      </tp>
      <tp t="e">
        <v>#N/A</v>
        <stp/>
        <stp>BDH|5124051249114773412</stp>
        <tr r="T88" s="18"/>
      </tp>
      <tp t="e">
        <v>#N/A</v>
        <stp/>
        <stp>BDH|6033663124601967206</stp>
        <tr r="O42" s="24"/>
      </tp>
      <tp t="e">
        <v>#N/A</v>
        <stp/>
        <stp>BDH|7090799557695095159</stp>
        <tr r="R50" s="12"/>
      </tp>
      <tp t="e">
        <v>#N/A</v>
        <stp/>
        <stp>BDH|8766879522464926702</stp>
        <tr r="T24" s="13"/>
      </tp>
      <tp t="e">
        <v>#N/A</v>
        <stp/>
        <stp>BDH|4831263815346998097</stp>
        <tr r="N10" s="30"/>
      </tp>
      <tp t="e">
        <v>#N/A</v>
        <stp/>
        <stp>BDH|4066463878992622432</stp>
        <tr r="C16" s="24"/>
      </tp>
      <tp t="e">
        <v>#N/A</v>
        <stp/>
        <stp>BDH|6080665631971991351</stp>
        <tr r="N74" s="12"/>
      </tp>
      <tp t="e">
        <v>#N/A</v>
        <stp/>
        <stp>BDH|4682868282101092494</stp>
        <tr r="I72" s="24"/>
      </tp>
      <tp t="e">
        <v>#N/A</v>
        <stp/>
        <stp>BDH|8721146216621672889</stp>
        <tr r="J20" s="2"/>
        <tr r="J18" s="4"/>
        <tr r="J57" s="10"/>
        <tr r="J51" s="11"/>
        <tr r="J19" s="7"/>
        <tr r="L57" s="13"/>
      </tp>
      <tp t="e">
        <v>#N/A</v>
        <stp/>
        <stp>BDH|8878700529788986434</stp>
        <tr r="Q47" s="12"/>
      </tp>
      <tp t="e">
        <v>#N/A</v>
        <stp/>
        <stp>BDH|3501435643665955779</stp>
        <tr r="L23" s="17"/>
        <tr r="L15" s="3"/>
      </tp>
      <tp t="e">
        <v>#N/A</v>
        <stp/>
        <stp>BDH|6231081571278971898</stp>
        <tr r="D90" s="18"/>
      </tp>
      <tp t="e">
        <v>#N/A</v>
        <stp/>
        <stp>BDH|7644307253410905078</stp>
        <tr r="L6" s="28"/>
      </tp>
      <tp t="e">
        <v>#N/A</v>
        <stp/>
        <stp>BDH|7914338495995263969</stp>
        <tr r="R119" s="18"/>
      </tp>
      <tp t="e">
        <v>#N/A</v>
        <stp/>
        <stp>BDH|3791284060753601524</stp>
        <tr r="G23" s="26"/>
      </tp>
      <tp t="e">
        <v>#N/A</v>
        <stp/>
        <stp>BDH|6841388447347442785</stp>
        <tr r="O142" s="18"/>
      </tp>
      <tp t="e">
        <v>#N/A</v>
        <stp/>
        <stp>BDH|5556913086022927735</stp>
        <tr r="I81" s="18"/>
      </tp>
      <tp t="e">
        <v>#N/A</v>
        <stp/>
        <stp>BDH|3533441367291669186</stp>
        <tr r="J8" s="14"/>
      </tp>
      <tp t="e">
        <v>#N/A</v>
        <stp/>
        <stp>BDH|1044292970355239036</stp>
        <tr r="K27" s="10"/>
        <tr r="M32" s="13"/>
      </tp>
      <tp t="e">
        <v>#N/A</v>
        <stp/>
        <stp>BDH|8980978651955610018</stp>
        <tr r="T83" s="18"/>
      </tp>
      <tp t="e">
        <v>#N/A</v>
        <stp/>
        <stp>BDH|3288670919973178656</stp>
        <tr r="I143" s="18"/>
      </tp>
      <tp t="e">
        <v>#N/A</v>
        <stp/>
        <stp>BDH|8094941171197888052</stp>
        <tr r="U12" s="17"/>
      </tp>
      <tp t="e">
        <v>#N/A</v>
        <stp/>
        <stp>BDH|4200326159371440252</stp>
        <tr r="AA36" s="21"/>
      </tp>
      <tp t="e">
        <v>#N/A</v>
        <stp/>
        <stp>BDH|3654266867915603399</stp>
        <tr r="U16" s="21"/>
      </tp>
      <tp t="e">
        <v>#N/A</v>
        <stp/>
        <stp>BDH|7160720235144844661</stp>
        <tr r="R24" s="25"/>
        <tr r="R14" s="27"/>
      </tp>
      <tp t="e">
        <v>#N/A</v>
        <stp/>
        <stp>BDH|7337821096034747384</stp>
        <tr r="S18" s="23"/>
      </tp>
      <tp t="e">
        <v>#N/A</v>
        <stp/>
        <stp>BDH|3939825390671313203</stp>
        <tr r="W37" s="22"/>
      </tp>
      <tp t="e">
        <v>#N/A</v>
        <stp/>
        <stp>BDH|3178390584681510815</stp>
        <tr r="AA11" s="13"/>
      </tp>
      <tp t="e">
        <v>#N/A</v>
        <stp/>
        <stp>BDH|8866057563056401924</stp>
        <tr r="L7" s="23"/>
      </tp>
      <tp t="e">
        <v>#N/A</v>
        <stp/>
        <stp>BDH|9160081821078350237</stp>
        <tr r="Y49" s="21"/>
      </tp>
      <tp t="e">
        <v>#N/A</v>
        <stp/>
        <stp>BDH|4475120603553960740</stp>
        <tr r="AA25" s="17"/>
      </tp>
      <tp t="e">
        <v>#N/A</v>
        <stp/>
        <stp>BDH|3662233100240871057</stp>
        <tr r="X95" s="17"/>
        <tr r="X30" s="25"/>
      </tp>
      <tp t="e">
        <v>#N/A</v>
        <stp/>
        <stp>BDH|5624619639703224249</stp>
        <tr r="J8" s="13"/>
      </tp>
      <tp t="e">
        <v>#N/A</v>
        <stp/>
        <stp>BDH|2019847180735532695</stp>
        <tr r="L13" s="22"/>
      </tp>
      <tp t="e">
        <v>#N/A</v>
        <stp/>
        <stp>BDH|1132512249487453656</stp>
        <tr r="I43" s="13"/>
      </tp>
      <tp t="e">
        <v>#N/A</v>
        <stp/>
        <stp>BDH|5034694525427218764</stp>
        <tr r="F22" s="12"/>
      </tp>
      <tp t="e">
        <v>#N/A</v>
        <stp/>
        <stp>BDH|6932170395339784641</stp>
        <tr r="N35" s="4"/>
      </tp>
      <tp t="e">
        <v>#N/A</v>
        <stp/>
        <stp>BDH|6386266795158974411</stp>
        <tr r="L12" s="3"/>
        <tr r="J54" s="10"/>
        <tr r="J48" s="11"/>
        <tr r="J7" s="7"/>
      </tp>
      <tp t="e">
        <v>#N/A</v>
        <stp/>
        <stp>BDH|2518697655615291530</stp>
        <tr r="H161" s="18"/>
      </tp>
      <tp t="e">
        <v>#N/A</v>
        <stp/>
        <stp>BDH|1385500406631413497</stp>
        <tr r="C41" s="12"/>
      </tp>
      <tp t="e">
        <v>#N/A</v>
        <stp/>
        <stp>BDH|1661788445114506767</stp>
        <tr r="T64" s="21"/>
      </tp>
      <tp t="e">
        <v>#N/A</v>
        <stp/>
        <stp>BDH|3359094133189537848</stp>
        <tr r="J34" s="26"/>
      </tp>
      <tp t="e">
        <v>#N/A</v>
        <stp/>
        <stp>BDH|6196654070720442684</stp>
        <tr r="S13" s="11"/>
      </tp>
      <tp t="e">
        <v>#N/A</v>
        <stp/>
        <stp>BDH|2786210125262868136</stp>
        <tr r="H39" s="6"/>
      </tp>
      <tp t="e">
        <v>#N/A</v>
        <stp/>
        <stp>BDH|8998930282191637966</stp>
        <tr r="R76" s="17"/>
      </tp>
      <tp t="e">
        <v>#N/A</v>
        <stp/>
        <stp>BDH|6802006660726341738</stp>
        <tr r="W9" s="24"/>
      </tp>
      <tp t="e">
        <v>#N/A</v>
        <stp/>
        <stp>BDH|7883440437304445572</stp>
        <tr r="S15" s="25"/>
      </tp>
      <tp t="e">
        <v>#N/A</v>
        <stp/>
        <stp>BDH|5564762069841063426</stp>
        <tr r="S14" s="14"/>
      </tp>
      <tp t="e">
        <v>#N/A</v>
        <stp/>
        <stp>BDH|5705985630647591925</stp>
        <tr r="F29" s="12"/>
      </tp>
      <tp t="e">
        <v>#N/A</v>
        <stp/>
        <stp>BDH|9988030211261156820</stp>
        <tr r="E61" s="21"/>
      </tp>
      <tp t="e">
        <v>#N/A</v>
        <stp/>
        <stp>BDH|6746567702236276498</stp>
        <tr r="J14" s="29"/>
        <tr r="J23" s="29"/>
        <tr r="J34" s="29"/>
      </tp>
      <tp t="e">
        <v>#N/A</v>
        <stp/>
        <stp>BDH|2092548467226311693</stp>
        <tr r="O21" s="4"/>
      </tp>
      <tp t="e">
        <v>#N/A</v>
        <stp/>
        <stp>BDH|2240776767792219095</stp>
        <tr r="K24" s="29"/>
      </tp>
      <tp t="e">
        <v>#N/A</v>
        <stp/>
        <stp>BDH|6516705008526566616</stp>
        <tr r="J68" s="18"/>
      </tp>
      <tp t="e">
        <v>#N/A</v>
        <stp/>
        <stp>BDH|6627710477786077193</stp>
        <tr r="X136" s="18"/>
      </tp>
      <tp t="e">
        <v>#N/A</v>
        <stp/>
        <stp>BDH|2084578659537676412</stp>
        <tr r="W65" s="17"/>
      </tp>
      <tp t="e">
        <v>#N/A</v>
        <stp/>
        <stp>BDH|4736826395411123581</stp>
        <tr r="Q87" s="18"/>
      </tp>
      <tp t="e">
        <v>#N/A</v>
        <stp/>
        <stp>BDH|4391071909965052046</stp>
        <tr r="K43" s="22"/>
      </tp>
      <tp t="e">
        <v>#N/A</v>
        <stp/>
        <stp>BDH|3158363094741352991</stp>
        <tr r="X49" s="17"/>
      </tp>
      <tp t="e">
        <v>#N/A</v>
        <stp/>
        <stp>BDH|8751582890571001467</stp>
        <tr r="H50" s="18"/>
      </tp>
      <tp t="e">
        <v>#N/A</v>
        <stp/>
        <stp>BDH|9152026394178865960</stp>
        <tr r="H67" s="10"/>
      </tp>
      <tp t="e">
        <v>#N/A</v>
        <stp/>
        <stp>BDH|8122530992465163084</stp>
        <tr r="S45" s="13"/>
      </tp>
      <tp t="e">
        <v>#N/A</v>
        <stp/>
        <stp>BDH|9386710509136690947</stp>
        <tr r="O11" s="29"/>
      </tp>
      <tp t="e">
        <v>#N/A</v>
        <stp/>
        <stp>BDH|3127481123467461376</stp>
        <tr r="J18" s="10"/>
        <tr r="L16" s="13"/>
        <tr r="L27" s="13"/>
      </tp>
      <tp t="e">
        <v>#N/A</v>
        <stp/>
        <stp>BDH|7128907384670400784</stp>
        <tr r="E20" s="22"/>
      </tp>
      <tp t="e">
        <v>#N/A</v>
        <stp/>
        <stp>BDH|3793396016104588441</stp>
        <tr r="I8" s="10"/>
      </tp>
      <tp t="e">
        <v>#N/A</v>
        <stp/>
        <stp>BDH|7667928383254825368</stp>
        <tr r="G33" s="10"/>
        <tr r="G27" s="11"/>
      </tp>
      <tp t="e">
        <v>#N/A</v>
        <stp/>
        <stp>BDH|7690265034401560688</stp>
        <tr r="Y35" s="18"/>
      </tp>
      <tp t="e">
        <v>#N/A</v>
        <stp/>
        <stp>BDH|9015305737291767996</stp>
        <tr r="AA53" s="18"/>
      </tp>
      <tp t="e">
        <v>#N/A</v>
        <stp/>
        <stp>BDH|8762533863532802866</stp>
        <tr r="Q21" s="9"/>
      </tp>
      <tp t="e">
        <v>#N/A</v>
        <stp/>
        <stp>BDH|1194591077134181678</stp>
        <tr r="S42" s="10"/>
        <tr r="S36" s="11"/>
      </tp>
      <tp t="e">
        <v>#N/A</v>
        <stp/>
        <stp>BDH|9446399191746400413</stp>
        <tr r="U135" s="18"/>
      </tp>
      <tp t="e">
        <v>#N/A</v>
        <stp/>
        <stp>BDH|9274858255290248591</stp>
        <tr r="J76" s="18"/>
      </tp>
      <tp t="e">
        <v>#N/A</v>
        <stp/>
        <stp>BDH|7350106709027202019</stp>
        <tr r="N67" s="24"/>
      </tp>
      <tp t="e">
        <v>#N/A</v>
        <stp/>
        <stp>BDH|6090663626251016294</stp>
        <tr r="E6" s="28"/>
      </tp>
      <tp t="e">
        <v>#N/A</v>
        <stp/>
        <stp>BDH|5563447428510513259</stp>
        <tr r="K30" s="12"/>
      </tp>
      <tp t="e">
        <v>#N/A</v>
        <stp/>
        <stp>BDH|5622217146956147494</stp>
        <tr r="AA29" s="12"/>
      </tp>
      <tp t="e">
        <v>#N/A</v>
        <stp/>
        <stp>BDH|4762600448045288242</stp>
        <tr r="Y16" s="25"/>
      </tp>
      <tp t="e">
        <v>#N/A</v>
        <stp/>
        <stp>BDH|3339025046613899567</stp>
        <tr r="S43" s="18"/>
      </tp>
      <tp t="e">
        <v>#N/A</v>
        <stp/>
        <stp>BDH|9847871714684187535</stp>
        <tr r="O17" s="5"/>
        <tr r="O24" s="6"/>
      </tp>
      <tp t="e">
        <v>#N/A</v>
        <stp/>
        <stp>BDH|7153757776380977628</stp>
        <tr r="U95" s="18"/>
      </tp>
      <tp t="e">
        <v>#N/A</v>
        <stp/>
        <stp>BDH|8759822925303857060</stp>
        <tr r="T43" s="24"/>
      </tp>
      <tp t="e">
        <v>#N/A</v>
        <stp/>
        <stp>BDH|5570757873266503281</stp>
        <tr r="K23" s="2"/>
        <tr r="M18" s="21"/>
        <tr r="M23" s="3"/>
      </tp>
      <tp t="e">
        <v>#N/A</v>
        <stp/>
        <stp>BDH|8250350288076942483</stp>
        <tr r="K8" s="2"/>
      </tp>
      <tp t="e">
        <v>#N/A</v>
        <stp/>
        <stp>BDH|8167720485036862004</stp>
        <tr r="E23" s="26"/>
      </tp>
      <tp t="e">
        <v>#N/A</v>
        <stp/>
        <stp>BDH|8364392018493840840</stp>
        <tr r="AA41" s="21"/>
      </tp>
      <tp t="e">
        <v>#N/A</v>
        <stp/>
        <stp>BDH|5578772286069325293</stp>
        <tr r="S42" s="4"/>
      </tp>
      <tp t="e">
        <v>#N/A</v>
        <stp/>
        <stp>BDH|3556922319179433342</stp>
        <tr r="G79" s="12"/>
      </tp>
      <tp t="e">
        <v>#N/A</v>
        <stp/>
        <stp>BDH|4792554065765185385</stp>
        <tr r="T22" s="5"/>
      </tp>
      <tp t="e">
        <v>#N/A</v>
        <stp/>
        <stp>BDH|6755285983018170530</stp>
        <tr r="O85" s="18"/>
      </tp>
      <tp t="e">
        <v>#N/A</v>
        <stp/>
        <stp>BDH|9175149495726862669</stp>
        <tr r="Z31" s="18"/>
      </tp>
      <tp t="e">
        <v>#N/A</v>
        <stp/>
        <stp>BDH|1018518912605474191</stp>
        <tr r="Q12" s="24"/>
      </tp>
      <tp t="e">
        <v>#N/A</v>
        <stp/>
        <stp>BDH|1383095363316101067</stp>
        <tr r="O15" s="17"/>
        <tr r="O18" s="28"/>
      </tp>
      <tp t="e">
        <v>#N/A</v>
        <stp/>
        <stp>BDH|1279089157201339406</stp>
        <tr r="U67" s="12"/>
      </tp>
      <tp t="e">
        <v>#N/A</v>
        <stp/>
        <stp>BDH|6882447421649204811</stp>
        <tr r="D18" s="29"/>
        <tr r="D38" s="29"/>
      </tp>
      <tp t="e">
        <v>#N/A</v>
        <stp/>
        <stp>BDH|8947119517710045916</stp>
        <tr r="U85" s="18"/>
      </tp>
      <tp t="e">
        <v>#N/A</v>
        <stp/>
        <stp>BDH|9578107078948000632</stp>
        <tr r="V115" s="18"/>
      </tp>
      <tp t="e">
        <v>#N/A</v>
        <stp/>
        <stp>BDH|3293251402777926727</stp>
        <tr r="P89" s="17"/>
      </tp>
      <tp t="e">
        <v>#N/A</v>
        <stp/>
        <stp>BDH|5261554361650006789</stp>
        <tr r="K16" s="17"/>
        <tr r="K19" s="28"/>
      </tp>
      <tp t="e">
        <v>#N/A</v>
        <stp/>
        <stp>BDH|9993200554056322906</stp>
        <tr r="M42" s="18"/>
      </tp>
      <tp t="e">
        <v>#N/A</v>
        <stp/>
        <stp>BDH|1297291641657511113</stp>
        <tr r="Q49" s="12"/>
      </tp>
      <tp t="e">
        <v>#N/A</v>
        <stp/>
        <stp>BDH|2606703451611088091</stp>
        <tr r="S90" s="17"/>
      </tp>
      <tp t="e">
        <v>#N/A</v>
        <stp/>
        <stp>BDH|2434644234275936339</stp>
        <tr r="Y51" s="24"/>
      </tp>
      <tp t="e">
        <v>#N/A</v>
        <stp/>
        <stp>BDH|2420354911913960277</stp>
        <tr r="M51" s="10"/>
        <tr r="M45" s="11"/>
        <tr r="M15" s="7"/>
      </tp>
      <tp t="e">
        <v>#N/A</v>
        <stp/>
        <stp>BDH|3247842688570661274</stp>
        <tr r="P60" s="21"/>
      </tp>
      <tp t="e">
        <v>#N/A</v>
        <stp/>
        <stp>BDH|7824814416739137612</stp>
        <tr r="AA21" s="30"/>
        <tr r="AA24" s="23"/>
      </tp>
      <tp t="e">
        <v>#N/A</v>
        <stp/>
        <stp>BDH|4552762036187964630</stp>
        <tr r="S117" s="18"/>
      </tp>
      <tp t="e">
        <v>#N/A</v>
        <stp/>
        <stp>BDH|6171616909162520332</stp>
        <tr r="U105" s="18"/>
      </tp>
      <tp t="e">
        <v>#N/A</v>
        <stp/>
        <stp>BDH|2531317623992941019</stp>
        <tr r="G19" s="24"/>
      </tp>
      <tp t="e">
        <v>#N/A</v>
        <stp/>
        <stp>BDH|5666114044929512899</stp>
        <tr r="J166" s="18"/>
      </tp>
      <tp t="e">
        <v>#N/A</v>
        <stp/>
        <stp>BDH|2699389606007231750</stp>
        <tr r="E46" s="12"/>
      </tp>
      <tp t="e">
        <v>#N/A</v>
        <stp/>
        <stp>BDH|3098781962902772124</stp>
        <tr r="Q76" s="18"/>
      </tp>
      <tp t="e">
        <v>#N/A</v>
        <stp/>
        <stp>BDH|6925567951227613074</stp>
        <tr r="O64" s="24"/>
      </tp>
      <tp t="e">
        <v>#N/A</v>
        <stp/>
        <stp>BDH|8355627446212805905</stp>
        <tr r="X21" s="4"/>
      </tp>
      <tp t="e">
        <v>#N/A</v>
        <stp/>
        <stp>BDH|7626622921010352290</stp>
        <tr r="S6" s="2"/>
        <tr r="R6" s="5"/>
        <tr r="R6" s="9"/>
        <tr r="T12" s="8"/>
        <tr r="U10" s="29"/>
        <tr r="U19" s="29"/>
        <tr r="U25" s="29"/>
      </tp>
      <tp t="e">
        <v>#N/A</v>
        <stp/>
        <stp>BDH|2216332519396664713</stp>
        <tr r="Q17" s="17"/>
        <tr r="Q20" s="28"/>
      </tp>
      <tp t="e">
        <v>#N/A</v>
        <stp/>
        <stp>BDH|3782803522738294081</stp>
        <tr r="U9" s="10"/>
      </tp>
      <tp t="e">
        <v>#N/A</v>
        <stp/>
        <stp>BDH|2171686747050850190</stp>
        <tr r="T22" s="17"/>
      </tp>
      <tp t="e">
        <v>#N/A</v>
        <stp/>
        <stp>BDH|6249563647035968356</stp>
        <tr r="AA61" s="18"/>
      </tp>
      <tp t="e">
        <v>#N/A</v>
        <stp/>
        <stp>BDH|2839219355971576563</stp>
        <tr r="Q105" s="18"/>
      </tp>
      <tp t="e">
        <v>#N/A</v>
        <stp/>
        <stp>BDH|8004975997508938165</stp>
        <tr r="W12" s="3"/>
        <tr r="U54" s="10"/>
        <tr r="U48" s="11"/>
        <tr r="U7" s="7"/>
      </tp>
      <tp t="e">
        <v>#N/A</v>
        <stp/>
        <stp>BDH|5717105266743670082</stp>
        <tr r="Y14" s="4"/>
      </tp>
      <tp t="e">
        <v>#N/A</v>
        <stp/>
        <stp>BDH|4733078313271553595</stp>
        <tr r="I28" s="17"/>
      </tp>
      <tp t="e">
        <v>#N/A</v>
        <stp/>
        <stp>BDH|2325509579437342662</stp>
        <tr r="G26" s="22"/>
      </tp>
      <tp t="e">
        <v>#N/A</v>
        <stp/>
        <stp>BDH|3194962288494115717</stp>
        <tr r="U52" s="17"/>
      </tp>
      <tp t="e">
        <v>#N/A</v>
        <stp/>
        <stp>BDH|9452999495521794908</stp>
        <tr r="O8" s="24"/>
      </tp>
      <tp t="e">
        <v>#N/A</v>
        <stp/>
        <stp>BDH|5883876052689227002</stp>
        <tr r="V16" s="26"/>
      </tp>
      <tp t="e">
        <v>#N/A</v>
        <stp/>
        <stp>BDH|5951707672511688527</stp>
        <tr r="Q12" s="3"/>
        <tr r="O54" s="10"/>
        <tr r="O48" s="11"/>
        <tr r="O7" s="7"/>
      </tp>
      <tp t="e">
        <v>#N/A</v>
        <stp/>
        <stp>BDH|3543699291918795557</stp>
        <tr r="U23" s="22"/>
      </tp>
      <tp t="e">
        <v>#N/A</v>
        <stp/>
        <stp>BDH|5364938249999188075</stp>
        <tr r="Z32" s="17"/>
      </tp>
      <tp t="e">
        <v>#N/A</v>
        <stp/>
        <stp>BDH|7241019378062478307</stp>
        <tr r="R63" s="21"/>
      </tp>
      <tp t="e">
        <v>#N/A</v>
        <stp/>
        <stp>BDH|7189939050323962949</stp>
        <tr r="W132" s="18"/>
      </tp>
      <tp t="e">
        <v>#N/A</v>
        <stp/>
        <stp>BDH|4209290413835411335</stp>
        <tr r="Y14" s="14"/>
      </tp>
      <tp t="e">
        <v>#N/A</v>
        <stp/>
        <stp>BDH|9808077753424472978</stp>
        <tr r="O11" s="3"/>
        <tr r="M49" s="10"/>
        <tr r="M43" s="11"/>
        <tr r="M8" s="7"/>
      </tp>
      <tp t="e">
        <v>#N/A</v>
        <stp/>
        <stp>BDH|6714484347405790207</stp>
        <tr r="X19" s="24"/>
      </tp>
      <tp t="e">
        <v>#N/A</v>
        <stp/>
        <stp>BDH|1535004060906259085</stp>
        <tr r="T44" s="18"/>
      </tp>
      <tp t="e">
        <v>#N/A</v>
        <stp/>
        <stp>BDH|1037019614791857026</stp>
        <tr r="M8" s="21"/>
      </tp>
      <tp t="e">
        <v>#N/A</v>
        <stp/>
        <stp>BDH|7015037898669294667</stp>
        <tr r="I35" s="10"/>
        <tr r="I47" s="10"/>
        <tr r="I29" s="11"/>
        <tr r="I41" s="11"/>
      </tp>
      <tp t="e">
        <v>#N/A</v>
        <stp/>
        <stp>BDH|6626472048200037750</stp>
        <tr r="J37" s="24"/>
      </tp>
      <tp t="e">
        <v>#N/A</v>
        <stp/>
        <stp>BDH|6240410945855388294</stp>
        <tr r="Q21" s="27"/>
      </tp>
      <tp t="e">
        <v>#N/A</v>
        <stp/>
        <stp>BDH|7923507019550515291</stp>
        <tr r="O61" s="18"/>
      </tp>
      <tp t="e">
        <v>#N/A</v>
        <stp/>
        <stp>BDH|8972139581873059373</stp>
        <tr r="K65" s="12"/>
      </tp>
      <tp t="e">
        <v>#N/A</v>
        <stp/>
        <stp>BDH|9752089196181195047</stp>
        <tr r="V17" s="29"/>
        <tr r="V37" s="29"/>
      </tp>
      <tp t="e">
        <v>#N/A</v>
        <stp/>
        <stp>BDH|6123160215565867263</stp>
        <tr r="X83" s="18"/>
      </tp>
      <tp t="e">
        <v>#N/A</v>
        <stp/>
        <stp>BDH|3757617206796441283</stp>
        <tr r="V79" s="12"/>
      </tp>
      <tp t="e">
        <v>#N/A</v>
        <stp/>
        <stp>BDH|6922546273185522075</stp>
        <tr r="Q56" s="13"/>
      </tp>
      <tp t="e">
        <v>#N/A</v>
        <stp/>
        <stp>BDH|1972939060557377859</stp>
        <tr r="P9" s="18"/>
      </tp>
      <tp t="e">
        <v>#N/A</v>
        <stp/>
        <stp>BDH|9843277945587562935</stp>
        <tr r="F128" s="18"/>
      </tp>
      <tp t="e">
        <v>#N/A</v>
        <stp/>
        <stp>BDH|8127727024155283999</stp>
        <tr r="K52" s="4"/>
        <tr r="M8" s="3"/>
        <tr r="K43" s="10"/>
        <tr r="K37" s="11"/>
        <tr r="M38" s="13"/>
      </tp>
      <tp t="e">
        <v>#N/A</v>
        <stp/>
        <stp>BDH|3648793016144624031</stp>
        <tr r="O27" s="26"/>
        <tr r="L14" s="9"/>
      </tp>
      <tp t="e">
        <v>#N/A</v>
        <stp/>
        <stp>BDH|6337661269490815782</stp>
        <tr r="E22" s="12"/>
      </tp>
      <tp t="e">
        <v>#N/A</v>
        <stp/>
        <stp>BDH|2527374134674345790</stp>
        <tr r="P143" s="18"/>
      </tp>
      <tp t="e">
        <v>#N/A</v>
        <stp/>
        <stp>BDH|9973152752325076925</stp>
        <tr r="U69" s="10"/>
        <tr r="U63" s="11"/>
        <tr r="U20" s="7"/>
      </tp>
      <tp t="e">
        <v>#N/A</v>
        <stp/>
        <stp>BDH|6320115835910994523</stp>
        <tr r="G6" s="28"/>
      </tp>
      <tp t="e">
        <v>#N/A</v>
        <stp/>
        <stp>BDH|2879703122421535737</stp>
        <tr r="D18" s="21"/>
        <tr r="D23" s="3"/>
      </tp>
      <tp t="e">
        <v>#N/A</v>
        <stp/>
        <stp>BDH|6056071507555448282</stp>
        <tr r="V54" s="21"/>
      </tp>
      <tp t="e">
        <v>#N/A</v>
        <stp/>
        <stp>BDH|1825474546649226974</stp>
        <tr r="Y12" s="3"/>
        <tr r="W54" s="10"/>
        <tr r="W48" s="11"/>
        <tr r="W7" s="7"/>
      </tp>
      <tp t="e">
        <v>#N/A</v>
        <stp/>
        <stp>BDH|9246268794097569493</stp>
        <tr r="X116" s="18"/>
      </tp>
      <tp t="e">
        <v>#N/A</v>
        <stp/>
        <stp>BDH|6416914618426708968</stp>
        <tr r="Q14" s="18"/>
      </tp>
      <tp t="e">
        <v>#N/A</v>
        <stp/>
        <stp>BDH|3650178622130955161</stp>
        <tr r="T6" s="19"/>
        <tr r="T37" s="17"/>
        <tr r="T16" s="3"/>
      </tp>
      <tp t="e">
        <v>#N/A</v>
        <stp/>
        <stp>BDH|4057275119917448166</stp>
        <tr r="P19" s="12"/>
      </tp>
      <tp t="e">
        <v>#N/A</v>
        <stp/>
        <stp>BDH|3089514038700432413</stp>
        <tr r="X70" s="12"/>
      </tp>
      <tp t="e">
        <v>#N/A</v>
        <stp/>
        <stp>BDH|1685772468260130141</stp>
        <tr r="W54" s="17"/>
      </tp>
      <tp t="e">
        <v>#N/A</v>
        <stp/>
        <stp>BDH|9695998725437702418</stp>
        <tr r="R64" s="21"/>
      </tp>
      <tp t="e">
        <v>#N/A</v>
        <stp/>
        <stp>BDH|7543583037485260548</stp>
        <tr r="N15" s="12"/>
      </tp>
      <tp t="e">
        <v>#N/A</v>
        <stp/>
        <stp>BDH|6099054816496605095</stp>
        <tr r="M64" s="21"/>
      </tp>
      <tp t="e">
        <v>#N/A</v>
        <stp/>
        <stp>BDH|5727628950521119681</stp>
        <tr r="D73" s="24"/>
      </tp>
      <tp t="e">
        <v>#N/A</v>
        <stp/>
        <stp>BDH|7699226048457610765</stp>
        <tr r="AA167" s="18"/>
      </tp>
      <tp t="e">
        <v>#N/A</v>
        <stp/>
        <stp>BDH|2286481007504824390</stp>
        <tr r="R19" s="20"/>
      </tp>
      <tp t="e">
        <v>#N/A</v>
        <stp/>
        <stp>BDH|9809151494452292272</stp>
        <tr r="E11" s="14"/>
      </tp>
      <tp t="e">
        <v>#N/A</v>
        <stp/>
        <stp>BDH|3561105751693819515</stp>
        <tr r="D27" s="34"/>
      </tp>
      <tp t="e">
        <v>#N/A</v>
        <stp/>
        <stp>BDH|3117408935855075097</stp>
        <tr r="P28" s="17"/>
      </tp>
      <tp t="e">
        <v>#N/A</v>
        <stp/>
        <stp>BDH|5631246410514710381</stp>
        <tr r="M21" s="18"/>
      </tp>
      <tp t="e">
        <v>#N/A</v>
        <stp/>
        <stp>BDH|6859841796954697214</stp>
        <tr r="Z13" s="22"/>
      </tp>
      <tp t="e">
        <v>#N/A</v>
        <stp/>
        <stp>BDH|3542106717575816774</stp>
        <tr r="W48" s="12"/>
      </tp>
      <tp t="e">
        <v>#N/A</v>
        <stp/>
        <stp>BDH|2312777408126535246</stp>
        <tr r="W8" s="22"/>
      </tp>
      <tp t="e">
        <v>#N/A</v>
        <stp/>
        <stp>BDH|7462507834315456595</stp>
        <tr r="D13" s="11"/>
      </tp>
      <tp t="e">
        <v>#N/A</v>
        <stp/>
        <stp>BDH|8240821303754913576</stp>
        <tr r="T13" s="22"/>
      </tp>
      <tp t="e">
        <v>#N/A</v>
        <stp/>
        <stp>BDH|4898439847122104704</stp>
        <tr r="D19" s="10"/>
      </tp>
      <tp t="e">
        <v>#N/A</v>
        <stp/>
        <stp>BDH|7354330641293849246</stp>
        <tr r="S15" s="6"/>
      </tp>
      <tp t="e">
        <v>#N/A</v>
        <stp/>
        <stp>BDH|4701351372600598189</stp>
        <tr r="W29" s="9"/>
      </tp>
      <tp t="e">
        <v>#N/A</v>
        <stp/>
        <stp>BDH|8931922666402203423</stp>
        <tr r="P9" s="17"/>
      </tp>
      <tp t="e">
        <v>#N/A</v>
        <stp/>
        <stp>BDH|1802416372205162674</stp>
        <tr r="J45" s="4"/>
        <tr r="J30" s="10"/>
        <tr r="J24" s="11"/>
        <tr r="L30" s="13"/>
      </tp>
      <tp t="e">
        <v>#N/A</v>
        <stp/>
        <stp>BDH|4294563142843285793</stp>
        <tr r="Q158" s="18"/>
      </tp>
      <tp t="e">
        <v>#N/A</v>
        <stp/>
        <stp>BDH|2163206259371420518</stp>
        <tr r="J70" s="10"/>
        <tr r="J64" s="11"/>
      </tp>
      <tp t="e">
        <v>#N/A</v>
        <stp/>
        <stp>BDH|5181781536746767651</stp>
        <tr r="E29" s="12"/>
      </tp>
      <tp t="e">
        <v>#N/A</v>
        <stp/>
        <stp>BDH|6870256437212596423</stp>
        <tr r="Y41" s="17"/>
      </tp>
      <tp t="e">
        <v>#N/A</v>
        <stp/>
        <stp>BDH|7698622943007249386</stp>
        <tr r="K19" s="20"/>
      </tp>
      <tp t="e">
        <v>#N/A</v>
        <stp/>
        <stp>BDH|9439853778414396374</stp>
        <tr r="Z22" s="30"/>
        <tr r="Z25" s="23"/>
      </tp>
      <tp t="e">
        <v>#N/A</v>
        <stp/>
        <stp>BDH|6609169279449258860</stp>
        <tr r="I33" s="6"/>
        <tr r="K9" s="8"/>
      </tp>
      <tp t="e">
        <v>#N/A</v>
        <stp/>
        <stp>BDH|7018556915935575781</stp>
        <tr r="V39" s="22"/>
      </tp>
      <tp t="e">
        <v>#N/A</v>
        <stp/>
        <stp>BDH|2778712848979075933</stp>
        <tr r="G22" s="11"/>
      </tp>
      <tp t="e">
        <v>#N/A</v>
        <stp/>
        <stp>BDH|6118474922174149588</stp>
        <tr r="O78" s="18"/>
      </tp>
      <tp t="e">
        <v>#N/A</v>
        <stp/>
        <stp>BDH|8769548051511740884</stp>
        <tr r="U25" s="10"/>
      </tp>
      <tp t="e">
        <v>#N/A</v>
        <stp/>
        <stp>BDH|8818098802790772992</stp>
        <tr r="Z40" s="18"/>
      </tp>
      <tp t="e">
        <v>#N/A</v>
        <stp/>
        <stp>BDH|7975823285226493075</stp>
        <tr r="V41" s="17"/>
      </tp>
      <tp t="e">
        <v>#N/A</v>
        <stp/>
        <stp>BDH|2204263392909860136</stp>
        <tr r="O13" s="12"/>
      </tp>
      <tp t="e">
        <v>#N/A</v>
        <stp/>
        <stp>BDH|2460227081208310198</stp>
        <tr r="O13" s="29"/>
        <tr r="O22" s="29"/>
        <tr r="O33" s="29"/>
      </tp>
      <tp t="e">
        <v>#N/A</v>
        <stp/>
        <stp>BDH|4889470605065027470</stp>
        <tr r="Q15" s="11"/>
      </tp>
      <tp t="e">
        <v>#N/A</v>
        <stp/>
        <stp>BDH|7023185978392814258</stp>
        <tr r="C13" s="12"/>
      </tp>
      <tp t="e">
        <v>#N/A</v>
        <stp/>
        <stp>BDH|8922373887816701434</stp>
        <tr r="H57" s="24"/>
      </tp>
      <tp t="e">
        <v>#N/A</v>
        <stp/>
        <stp>BDH|3330458438441377404</stp>
        <tr r="J17" s="17"/>
        <tr r="J20" s="28"/>
      </tp>
      <tp t="e">
        <v>#N/A</v>
        <stp/>
        <stp>BDH|7364384649710892170</stp>
        <tr r="I162" s="18"/>
      </tp>
      <tp t="e">
        <v>#N/A</v>
        <stp/>
        <stp>BDH|9076900128982422110</stp>
        <tr r="D56" s="17"/>
        <tr r="D17" s="3"/>
      </tp>
      <tp t="e">
        <v>#N/A</v>
        <stp/>
        <stp>BDH|4599063352567404783</stp>
        <tr r="U16" s="30"/>
      </tp>
      <tp t="e">
        <v>#N/A</v>
        <stp/>
        <stp>BDH|6596594971783315635</stp>
        <tr r="J60" s="12"/>
      </tp>
      <tp t="e">
        <v>#N/A</v>
        <stp/>
        <stp>BDH|8971952946394018079</stp>
        <tr r="D20" s="17"/>
      </tp>
      <tp t="e">
        <v>#N/A</v>
        <stp/>
        <stp>BDH|9090812633946347536</stp>
        <tr r="P35" s="21"/>
      </tp>
      <tp t="e">
        <v>#N/A</v>
        <stp/>
        <stp>BDH|3815486256293033046</stp>
        <tr r="S147" s="18"/>
      </tp>
      <tp t="e">
        <v>#N/A</v>
        <stp/>
        <stp>BDH|8664246347288277755</stp>
        <tr r="S66" s="12"/>
      </tp>
      <tp t="e">
        <v>#N/A</v>
        <stp/>
        <stp>BDH|8118813272822086401</stp>
        <tr r="R146" s="18"/>
      </tp>
      <tp t="e">
        <v>#N/A</v>
        <stp/>
        <stp>BDH|6575421249774505393</stp>
        <tr r="X17" s="29"/>
        <tr r="X37" s="29"/>
      </tp>
      <tp t="e">
        <v>#N/A</v>
        <stp/>
        <stp>BDH|7620064779533831232</stp>
        <tr r="N58" s="21"/>
        <tr r="N33" s="25"/>
        <tr r="L31" s="4"/>
        <tr r="L55" s="11"/>
      </tp>
      <tp t="e">
        <v>#N/A</v>
        <stp/>
        <stp>BDH|8159294228340458965</stp>
        <tr r="W21" s="9"/>
      </tp>
      <tp t="e">
        <v>#N/A</v>
        <stp/>
        <stp>BDH|4227267623711720422</stp>
        <tr r="AA76" s="12"/>
      </tp>
      <tp t="e">
        <v>#N/A</v>
        <stp/>
        <stp>BDH|4011755172341057450</stp>
        <tr r="E26" s="17"/>
      </tp>
      <tp t="e">
        <v>#N/A</v>
        <stp/>
        <stp>BDH|5306223661217164732</stp>
        <tr r="O12" s="11"/>
      </tp>
      <tp t="e">
        <v>#N/A</v>
        <stp/>
        <stp>BDH|5741603790472400916</stp>
        <tr r="Q23" s="13"/>
      </tp>
      <tp t="e">
        <v>#N/A</v>
        <stp/>
        <stp>BDH|4967767667384356092</stp>
        <tr r="N42" s="10"/>
        <tr r="N36" s="11"/>
      </tp>
      <tp t="e">
        <v>#N/A</v>
        <stp/>
        <stp>BDH|7558660425740650222</stp>
        <tr r="V24" s="22"/>
      </tp>
      <tp t="e">
        <v>#N/A</v>
        <stp/>
        <stp>BDH|5576167053634010423</stp>
        <tr r="C7" s="6"/>
      </tp>
      <tp t="e">
        <v>#N/A</v>
        <stp/>
        <stp>BDH|3035765930390404601</stp>
        <tr r="AA73" s="18"/>
      </tp>
      <tp t="e">
        <v>#N/A</v>
        <stp/>
        <stp>BDH|5740044229111052780</stp>
        <tr r="D54" s="18"/>
      </tp>
      <tp t="e">
        <v>#N/A</v>
        <stp/>
        <stp>BDH|1404311192973774928</stp>
        <tr r="S8" s="2"/>
      </tp>
      <tp t="e">
        <v>#N/A</v>
        <stp/>
        <stp>BDH|8443983419447403634</stp>
        <tr r="U38" s="24"/>
      </tp>
      <tp t="e">
        <v>#N/A</v>
        <stp/>
        <stp>BDH|5567730929294504583</stp>
        <tr r="M9" s="18"/>
      </tp>
      <tp t="e">
        <v>#N/A</v>
        <stp/>
        <stp>BDH|3557262357645321055</stp>
        <tr r="C48" s="12"/>
      </tp>
      <tp t="e">
        <v>#N/A</v>
        <stp/>
        <stp>BDH|9646337909589965276</stp>
        <tr r="Y65" s="12"/>
      </tp>
      <tp t="e">
        <v>#N/A</v>
        <stp/>
        <stp>BDH|1243529552779758976</stp>
        <tr r="H15" s="29"/>
        <tr r="H35" s="29"/>
      </tp>
      <tp t="e">
        <v>#N/A</v>
        <stp/>
        <stp>BDH|3376164170601556528</stp>
        <tr r="F147" s="18"/>
      </tp>
      <tp t="e">
        <v>#N/A</v>
        <stp/>
        <stp>BDH|2361160735990375110</stp>
        <tr r="X25" s="2"/>
        <tr r="Z62" s="21"/>
      </tp>
      <tp t="e">
        <v>#N/A</v>
        <stp/>
        <stp>BDH|3879096321875468564</stp>
        <tr r="N22" s="12"/>
      </tp>
      <tp t="e">
        <v>#N/A</v>
        <stp/>
        <stp>BDH|5669994083701988476</stp>
        <tr r="O129" s="18"/>
      </tp>
      <tp t="e">
        <v>#N/A</v>
        <stp/>
        <stp>BDH|4482653978806313289</stp>
        <tr r="E42" s="12"/>
      </tp>
      <tp t="e">
        <v>#N/A</v>
        <stp/>
        <stp>BDH|3914668510541861450</stp>
        <tr r="D53" s="13"/>
      </tp>
      <tp t="e">
        <v>#N/A</v>
        <stp/>
        <stp>BDH|2561515379431940069</stp>
        <tr r="L37" s="34"/>
      </tp>
      <tp t="e">
        <v>#N/A</v>
        <stp/>
        <stp>BDH|9890982996358234061</stp>
        <tr r="S47" s="24"/>
      </tp>
      <tp t="e">
        <v>#N/A</v>
        <stp/>
        <stp>BDH|8187409597336686226</stp>
        <tr r="P70" s="12"/>
      </tp>
      <tp t="e">
        <v>#N/A</v>
        <stp/>
        <stp>BDH|2221073619275770798</stp>
        <tr r="E7" s="6"/>
      </tp>
      <tp t="e">
        <v>#N/A</v>
        <stp/>
        <stp>BDH|7101360826697182022</stp>
        <tr r="U156" s="18"/>
      </tp>
      <tp t="e">
        <v>#N/A</v>
        <stp/>
        <stp>BDH|4071314676656201779</stp>
        <tr r="J67" s="10"/>
      </tp>
      <tp t="e">
        <v>#N/A</v>
        <stp/>
        <stp>BDH|8787711503418210650</stp>
        <tr r="Y7" s="23"/>
      </tp>
      <tp t="e">
        <v>#N/A</v>
        <stp/>
        <stp>BDH|1399320557494550217</stp>
        <tr r="M20" s="22"/>
      </tp>
      <tp t="e">
        <v>#N/A</v>
        <stp/>
        <stp>BDH|1997080701809169938</stp>
        <tr r="Y26" s="24"/>
      </tp>
      <tp t="e">
        <v>#N/A</v>
        <stp/>
        <stp>BDH|4435683069617381240</stp>
        <tr r="S32" s="22"/>
      </tp>
      <tp t="e">
        <v>#N/A</v>
        <stp/>
        <stp>BDH|8535241023238679169</stp>
        <tr r="Q9" s="21"/>
      </tp>
      <tp t="e">
        <v>#N/A</v>
        <stp/>
        <stp>BDH|4199007929114271399</stp>
        <tr r="I31" s="12"/>
      </tp>
      <tp t="e">
        <v>#N/A</v>
        <stp/>
        <stp>BDH|5151067341996388663</stp>
        <tr r="S89" s="17"/>
      </tp>
      <tp t="e">
        <v>#N/A</v>
        <stp/>
        <stp>BDH|6604792439262435110</stp>
        <tr r="D46" s="12"/>
      </tp>
      <tp t="e">
        <v>#N/A</v>
        <stp/>
        <stp>BDH|6787744417965739405</stp>
        <tr r="F14" s="30"/>
      </tp>
      <tp t="e">
        <v>#N/A</v>
        <stp/>
        <stp>BDH|4258447254816111208</stp>
        <tr r="M14" s="6"/>
      </tp>
      <tp t="e">
        <v>#N/A</v>
        <stp/>
        <stp>BDH|6100746791759608012</stp>
        <tr r="AA31" s="12"/>
      </tp>
      <tp t="e">
        <v>#N/A</v>
        <stp/>
        <stp>BDH|4869487807979624828</stp>
        <tr r="M27" s="22"/>
      </tp>
      <tp t="e">
        <v>#N/A</v>
        <stp/>
        <stp>BDH|7079159010790132678</stp>
        <tr r="E33" s="10"/>
        <tr r="E27" s="11"/>
      </tp>
      <tp t="e">
        <v>#N/A</v>
        <stp/>
        <stp>BDH|9284102871377685964</stp>
        <tr r="Q16" s="12"/>
      </tp>
      <tp t="e">
        <v>#N/A</v>
        <stp/>
        <stp>BDH|7999785447946296379</stp>
        <tr r="L76" s="18"/>
      </tp>
      <tp t="e">
        <v>#N/A</v>
        <stp/>
        <stp>BDH|6569500853220373767</stp>
        <tr r="W44" s="17"/>
      </tp>
      <tp t="e">
        <v>#N/A</v>
        <stp/>
        <stp>BDH|6024863552219721305</stp>
        <tr r="V20" s="23"/>
      </tp>
      <tp t="e">
        <v>#N/A</v>
        <stp/>
        <stp>BDH|3215498565296477698</stp>
        <tr r="J36" s="18"/>
      </tp>
      <tp t="e">
        <v>#N/A</v>
        <stp/>
        <stp>BDH|3213836950527752853</stp>
        <tr r="K68" s="12"/>
      </tp>
      <tp t="e">
        <v>#N/A</v>
        <stp/>
        <stp>BDH|9581642722558902498</stp>
        <tr r="S44" s="24"/>
      </tp>
      <tp t="e">
        <v>#N/A</v>
        <stp/>
        <stp>BDH|6681702027850164232</stp>
        <tr r="V29" s="21"/>
      </tp>
      <tp t="e">
        <v>#N/A</v>
        <stp/>
        <stp>BDH|5589213674086155728</stp>
        <tr r="E15" s="29"/>
        <tr r="E35" s="29"/>
      </tp>
      <tp t="e">
        <v>#N/A</v>
        <stp/>
        <stp>BDH|1683357864852261767</stp>
        <tr r="X96" s="17"/>
      </tp>
      <tp t="e">
        <v>#N/A</v>
        <stp/>
        <stp>BDH|6434356726326528012</stp>
        <tr r="G33" s="21"/>
      </tp>
      <tp t="e">
        <v>#N/A</v>
        <stp/>
        <stp>BDH|3224271770206116179</stp>
        <tr r="Y85" s="18"/>
      </tp>
      <tp t="e">
        <v>#N/A</v>
        <stp/>
        <stp>BDH|3083923542346009931</stp>
        <tr r="X17" s="14"/>
      </tp>
      <tp t="e">
        <v>#N/A</v>
        <stp/>
        <stp>BDH|6666878727064213977</stp>
        <tr r="E45" s="21"/>
      </tp>
      <tp t="e">
        <v>#N/A</v>
        <stp/>
        <stp>BDH|1660622540174584625</stp>
        <tr r="P50" s="13"/>
      </tp>
      <tp t="e">
        <v>#N/A</v>
        <stp/>
        <stp>BDH|9156252295970543370</stp>
        <tr r="W22" s="21"/>
      </tp>
      <tp t="e">
        <v>#N/A</v>
        <stp/>
        <stp>BDH|5582183119326532221</stp>
        <tr r="O41" s="18"/>
      </tp>
      <tp t="e">
        <v>#N/A</v>
        <stp/>
        <stp>BDH|1666941347995728811</stp>
        <tr r="I15" s="21"/>
      </tp>
      <tp t="e">
        <v>#N/A</v>
        <stp/>
        <stp>BDH|1624324927696742779</stp>
        <tr r="I31" s="34"/>
      </tp>
      <tp t="e">
        <v>#N/A</v>
        <stp/>
        <stp>BDH|2410598513963890454</stp>
        <tr r="Y68" s="10"/>
      </tp>
      <tp t="e">
        <v>#N/A</v>
        <stp/>
        <stp>BDH|4345330193827889889</stp>
        <tr r="P25" s="2"/>
        <tr r="R62" s="21"/>
      </tp>
      <tp t="e">
        <v>#N/A</v>
        <stp/>
        <stp>BDH|5347822468448293287</stp>
        <tr r="I9" s="27"/>
      </tp>
      <tp t="e">
        <v>#N/A</v>
        <stp/>
        <stp>BDH|3197572764374748563</stp>
        <tr r="M61" s="12"/>
      </tp>
      <tp t="e">
        <v>#N/A</v>
        <stp/>
        <stp>BDH|5327427827842549007</stp>
        <tr r="AA7" s="21"/>
      </tp>
      <tp t="e">
        <v>#N/A</v>
        <stp/>
        <stp>BDH|1759918185616247721</stp>
        <tr r="W59" s="12"/>
      </tp>
      <tp t="e">
        <v>#N/A</v>
        <stp/>
        <stp>BDH|7442030122755288145</stp>
        <tr r="M20" s="10"/>
      </tp>
      <tp t="e">
        <v>#N/A</v>
        <stp/>
        <stp>BDH|9935502297127902371</stp>
        <tr r="J16" s="24"/>
      </tp>
      <tp t="e">
        <v>#N/A</v>
        <stp/>
        <stp>BDH|4546360579694837520</stp>
        <tr r="C25" s="12"/>
      </tp>
      <tp t="e">
        <v>#N/A</v>
        <stp/>
        <stp>BDH|5547469601928329817</stp>
        <tr r="O35" s="21"/>
      </tp>
      <tp t="e">
        <v>#N/A</v>
        <stp/>
        <stp>BDH|8286309527010218871</stp>
        <tr r="O154" s="18"/>
      </tp>
      <tp t="e">
        <v>#N/A</v>
        <stp/>
        <stp>BDH|6099812566921409832</stp>
        <tr r="AA50" s="21"/>
      </tp>
      <tp t="e">
        <v>#N/A</v>
        <stp/>
        <stp>BDH|7214954440508431333</stp>
        <tr r="E129" s="18"/>
      </tp>
      <tp t="e">
        <v>#N/A</v>
        <stp/>
        <stp>BDH|1314005612190259130</stp>
        <tr r="H19" s="24"/>
      </tp>
      <tp t="e">
        <v>#N/A</v>
        <stp/>
        <stp>BDH|3508540114515603335</stp>
        <tr r="E9" s="10"/>
      </tp>
      <tp t="e">
        <v>#N/A</v>
        <stp/>
        <stp>BDH|9097984394511488983</stp>
        <tr r="H46" s="21"/>
      </tp>
      <tp t="e">
        <v>#N/A</v>
        <stp/>
        <stp>BDH|5473535091499412124</stp>
        <tr r="C143" s="18"/>
      </tp>
      <tp t="e">
        <v>#N/A</v>
        <stp/>
        <stp>BDH|5430106870771435302</stp>
        <tr r="G31" s="24"/>
      </tp>
      <tp t="e">
        <v>#N/A</v>
        <stp/>
        <stp>BDH|5148067742895283571</stp>
        <tr r="I53" s="18"/>
      </tp>
      <tp t="e">
        <v>#N/A</v>
        <stp/>
        <stp>BDH|8043894032362992028</stp>
        <tr r="F40" s="29"/>
      </tp>
      <tp t="e">
        <v>#N/A</v>
        <stp/>
        <stp>BDH|2463446640362363137</stp>
        <tr r="P27" s="22"/>
      </tp>
      <tp t="e">
        <v>#N/A</v>
        <stp/>
        <stp>BDH|9722462403018225400</stp>
        <tr r="V60" s="12"/>
      </tp>
      <tp t="e">
        <v>#N/A</v>
        <stp/>
        <stp>BDH|6553622518854888475</stp>
        <tr r="E31" s="18"/>
      </tp>
      <tp t="e">
        <v>#N/A</v>
        <stp/>
        <stp>BDH|7702049163745490542</stp>
        <tr r="Z16" s="26"/>
      </tp>
      <tp t="e">
        <v>#N/A</v>
        <stp/>
        <stp>BDH|1289308858595840324</stp>
        <tr r="X24" s="26"/>
      </tp>
      <tp t="e">
        <v>#N/A</v>
        <stp/>
        <stp>BDH|9426640761431834991</stp>
        <tr r="U12" s="11"/>
      </tp>
      <tp t="e">
        <v>#N/A</v>
        <stp/>
        <stp>BDH|5755836118559820440</stp>
        <tr r="O20" s="2"/>
        <tr r="O18" s="4"/>
        <tr r="O57" s="10"/>
        <tr r="O51" s="11"/>
        <tr r="O19" s="7"/>
        <tr r="Q57" s="13"/>
      </tp>
      <tp t="e">
        <v>#N/A</v>
        <stp/>
        <stp>BDH|7312286279817587470</stp>
        <tr r="D8" s="24"/>
      </tp>
      <tp t="e">
        <v>#N/A</v>
        <stp/>
        <stp>BDH|4320016636432232464</stp>
        <tr r="K6" s="15"/>
        <tr r="K12" s="2"/>
        <tr r="K11" s="4"/>
        <tr r="K6" s="10"/>
      </tp>
      <tp t="e">
        <v>#N/A</v>
        <stp/>
        <stp>BDH|7528032274739139833</stp>
        <tr r="U11" s="21"/>
      </tp>
      <tp t="e">
        <v>#N/A</v>
        <stp/>
        <stp>BDH|1746485610433708682</stp>
        <tr r="O31" s="25"/>
      </tp>
      <tp t="e">
        <v>#N/A</v>
        <stp/>
        <stp>BDH|3489179172131540543</stp>
        <tr r="N11" s="13"/>
      </tp>
      <tp t="e">
        <v>#N/A</v>
        <stp/>
        <stp>BDH|1965484584364700827</stp>
        <tr r="I38" s="34"/>
      </tp>
      <tp t="e">
        <v>#N/A</v>
        <stp/>
        <stp>BDH|7336576713745445730</stp>
        <tr r="K129" s="18"/>
      </tp>
      <tp t="e">
        <v>#N/A</v>
        <stp/>
        <stp>BDH|6499478917724518611</stp>
        <tr r="T155" s="18"/>
      </tp>
      <tp t="e">
        <v>#N/A</v>
        <stp/>
        <stp>BDH|4471956695694779139</stp>
        <tr r="C30" s="13"/>
      </tp>
      <tp t="e">
        <v>#N/A</v>
        <stp/>
        <stp>BDH|2708618212206154256</stp>
        <tr r="S103" s="18"/>
      </tp>
      <tp t="e">
        <v>#N/A</v>
        <stp/>
        <stp>BDH|7067736986180089950</stp>
        <tr r="F21" s="9"/>
      </tp>
      <tp t="e">
        <v>#N/A</v>
        <stp/>
        <stp>BDH|1901028914000959165</stp>
        <tr r="P20" s="5"/>
        <tr r="P20" s="9"/>
      </tp>
      <tp t="e">
        <v>#N/A</v>
        <stp/>
        <stp>BDH|6355185548820750245</stp>
        <tr r="K22" s="27"/>
      </tp>
      <tp t="e">
        <v>#N/A</v>
        <stp/>
        <stp>BDH|2796743239046805120</stp>
        <tr r="M76" s="12"/>
      </tp>
      <tp t="e">
        <v>#N/A</v>
        <stp/>
        <stp>BDH|4203709405205414730</stp>
        <tr r="G42" s="24"/>
      </tp>
      <tp t="e">
        <v>#N/A</v>
        <stp/>
        <stp>BDH|4094774723083306377</stp>
        <tr r="P67" s="18"/>
      </tp>
      <tp t="e">
        <v>#N/A</v>
        <stp/>
        <stp>BDH|1482981112008829061</stp>
        <tr r="J94" s="18"/>
      </tp>
      <tp t="e">
        <v>#N/A</v>
        <stp/>
        <stp>BDH|4055294840970134386</stp>
        <tr r="N32" s="21"/>
      </tp>
      <tp t="e">
        <v>#N/A</v>
        <stp/>
        <stp>BDH|6313026543082530179</stp>
        <tr r="J57" s="18"/>
      </tp>
      <tp t="e">
        <v>#N/A</v>
        <stp/>
        <stp>BDH|8274749486987122118</stp>
        <tr r="Y41" s="24"/>
      </tp>
      <tp t="e">
        <v>#N/A</v>
        <stp/>
        <stp>BDH|2457694290885959940</stp>
        <tr r="R44" s="12"/>
      </tp>
      <tp t="e">
        <v>#N/A</v>
        <stp/>
        <stp>BDH|3292212912674909581</stp>
        <tr r="V29" s="4"/>
      </tp>
      <tp t="e">
        <v>#N/A</v>
        <stp/>
        <stp>BDH|5169298240785116794</stp>
        <tr r="P52" s="24"/>
      </tp>
      <tp t="e">
        <v>#N/A</v>
        <stp/>
        <stp>BDH|4140178558504926577</stp>
        <tr r="AA12" s="18"/>
      </tp>
      <tp t="e">
        <v>#N/A</v>
        <stp/>
        <stp>BDH|2566085943911661680</stp>
        <tr r="C15" s="4"/>
      </tp>
      <tp t="e">
        <v>#N/A</v>
        <stp/>
        <stp>BDH|1899970399602741217</stp>
        <tr r="Z65" s="24"/>
      </tp>
      <tp t="e">
        <v>#N/A</v>
        <stp/>
        <stp>BDH|8093159218668892150</stp>
        <tr r="AA13" s="12"/>
      </tp>
      <tp t="e">
        <v>#N/A</v>
        <stp/>
        <stp>BDH|1994971789415119463</stp>
        <tr r="V10" s="18"/>
      </tp>
      <tp t="e">
        <v>#N/A</v>
        <stp/>
        <stp>BDH|3822167549305130274</stp>
        <tr r="E14" s="29"/>
        <tr r="E23" s="29"/>
        <tr r="E34" s="29"/>
      </tp>
      <tp t="e">
        <v>#N/A</v>
        <stp/>
        <stp>BDH|8032316083206432475</stp>
        <tr r="W14" s="28"/>
      </tp>
      <tp t="e">
        <v>#N/A</v>
        <stp/>
        <stp>BDH|5415091206161299589</stp>
        <tr r="E28" s="22"/>
      </tp>
      <tp t="e">
        <v>#N/A</v>
        <stp/>
        <stp>BDH|8918480530637237925</stp>
        <tr r="Q29" s="17"/>
      </tp>
      <tp t="e">
        <v>#N/A</v>
        <stp/>
        <stp>BDH|8394839501628735975</stp>
        <tr r="F13" s="7"/>
      </tp>
      <tp t="e">
        <v>#N/A</v>
        <stp/>
        <stp>BDH|4552906151748139147</stp>
        <tr r="K9" s="29"/>
      </tp>
      <tp t="e">
        <v>#N/A</v>
        <stp/>
        <stp>BDH|9551976916551524104</stp>
        <tr r="W45" s="12"/>
      </tp>
      <tp t="e">
        <v>#N/A</v>
        <stp/>
        <stp>BDH|9851891665773224573</stp>
        <tr r="D9" s="18"/>
      </tp>
      <tp t="e">
        <v>#N/A</v>
        <stp/>
        <stp>BDH|2676853016222227866</stp>
        <tr r="V8" s="28"/>
      </tp>
      <tp t="e">
        <v>#N/A</v>
        <stp/>
        <stp>BDH|4732472209107133691</stp>
        <tr r="O25" s="12"/>
      </tp>
      <tp t="e">
        <v>#N/A</v>
        <stp/>
        <stp>BDH|1392761943807054477</stp>
        <tr r="U31" s="10"/>
        <tr r="U25" s="11"/>
      </tp>
      <tp t="e">
        <v>#N/A</v>
        <stp/>
        <stp>BDH|6562614242046274350</stp>
        <tr r="Z8" s="18"/>
      </tp>
      <tp t="e">
        <v>#N/A</v>
        <stp/>
        <stp>BDH|9308307876949787533</stp>
        <tr r="S16" s="14"/>
      </tp>
      <tp t="e">
        <v>#N/A</v>
        <stp/>
        <stp>BDH|7151852198202588588</stp>
        <tr r="F49" s="21"/>
      </tp>
      <tp t="e">
        <v>#N/A</v>
        <stp/>
        <stp>BDH|6197644227954225712</stp>
        <tr r="T96" s="18"/>
      </tp>
      <tp t="e">
        <v>#N/A</v>
        <stp/>
        <stp>BDH|7483019924355502156</stp>
        <tr r="G34" s="34"/>
      </tp>
      <tp t="e">
        <v>#N/A</v>
        <stp/>
        <stp>BDH|9409379825788290153</stp>
        <tr r="U25" s="18"/>
      </tp>
      <tp t="e">
        <v>#N/A</v>
        <stp/>
        <stp>BDH|2563503943643248150</stp>
        <tr r="R148" s="18"/>
      </tp>
      <tp t="e">
        <v>#N/A</v>
        <stp/>
        <stp>BDH|3599315765747153019</stp>
        <tr r="E146" s="18"/>
      </tp>
      <tp t="e">
        <v>#N/A</v>
        <stp/>
        <stp>BDH|5819006708962317629</stp>
        <tr r="V73" s="12"/>
      </tp>
      <tp t="e">
        <v>#N/A</v>
        <stp/>
        <stp>BDH|2148596819507794077</stp>
        <tr r="H23" s="11"/>
      </tp>
      <tp t="e">
        <v>#N/A</v>
        <stp/>
        <stp>BDH|8390643369711935867</stp>
        <tr r="F77" s="18"/>
      </tp>
      <tp t="e">
        <v>#N/A</v>
        <stp/>
        <stp>BDH|3991539079789196936</stp>
        <tr r="S70" s="24"/>
      </tp>
      <tp t="e">
        <v>#N/A</v>
        <stp/>
        <stp>BDH|2807701594864406992</stp>
        <tr r="S54" s="24"/>
      </tp>
      <tp t="e">
        <v>#N/A</v>
        <stp/>
        <stp>BDH|1819458870270558395</stp>
        <tr r="J6" s="2"/>
        <tr r="I6" s="5"/>
        <tr r="I6" s="9"/>
        <tr r="K12" s="8"/>
        <tr r="L10" s="29"/>
        <tr r="L19" s="29"/>
        <tr r="L25" s="29"/>
      </tp>
      <tp t="e">
        <v>#N/A</v>
        <stp/>
        <stp>BDH|3247538970750418040</stp>
        <tr r="S87" s="18"/>
      </tp>
      <tp t="e">
        <v>#N/A</v>
        <stp/>
        <stp>BDH|9438822462044585203</stp>
        <tr r="H40" s="22"/>
      </tp>
      <tp t="e">
        <v>#N/A</v>
        <stp/>
        <stp>BDH|3847459932803918679</stp>
        <tr r="H63" s="17"/>
      </tp>
      <tp t="e">
        <v>#N/A</v>
        <stp/>
        <stp>BDH|3592623803264423017</stp>
        <tr r="J42" s="4"/>
      </tp>
      <tp t="e">
        <v>#N/A</v>
        <stp/>
        <stp>BDH|6200442187889961290</stp>
        <tr r="R11" s="29"/>
      </tp>
      <tp t="e">
        <v>#N/A</v>
        <stp/>
        <stp>BDH|2426729258371863071</stp>
        <tr r="X28" s="21"/>
      </tp>
      <tp t="e">
        <v>#N/A</v>
        <stp/>
        <stp>BDH|5466569446741337465</stp>
        <tr r="U42" s="21"/>
      </tp>
      <tp t="e">
        <v>#N/A</v>
        <stp/>
        <stp>BDH|6889421902334001794</stp>
        <tr r="T14" s="14"/>
      </tp>
      <tp t="e">
        <v>#N/A</v>
        <stp/>
        <stp>BDH|1709741114655682301</stp>
        <tr r="X8" s="11"/>
      </tp>
      <tp t="e">
        <v>#N/A</v>
        <stp/>
        <stp>BDH|4184797935728405986</stp>
        <tr r="M47" s="12"/>
      </tp>
      <tp t="e">
        <v>#N/A</v>
        <stp/>
        <stp>BDH|9001338477745664949</stp>
        <tr r="Z51" s="24"/>
      </tp>
      <tp t="e">
        <v>#N/A</v>
        <stp/>
        <stp>BDH|4634381809827526148</stp>
        <tr r="I17" s="6"/>
      </tp>
      <tp t="e">
        <v>#N/A</v>
        <stp/>
        <stp>BDH|9763494369898685271</stp>
        <tr r="G49" s="4"/>
      </tp>
      <tp t="e">
        <v>#N/A</v>
        <stp/>
        <stp>BDH|5058116655502541271</stp>
        <tr r="K91" s="17"/>
      </tp>
      <tp t="e">
        <v>#N/A</v>
        <stp/>
        <stp>BDH|5775122532217055110</stp>
        <tr r="O54" s="13"/>
      </tp>
      <tp t="e">
        <v>#N/A</v>
        <stp/>
        <stp>BDH|3978023058491106642</stp>
        <tr r="W60" s="12"/>
      </tp>
      <tp t="e">
        <v>#N/A</v>
        <stp/>
        <stp>BDH|1464574907332723751</stp>
        <tr r="I29" s="10"/>
        <tr r="K34" s="13"/>
      </tp>
      <tp t="e">
        <v>#N/A</v>
        <stp/>
        <stp>BDH|5749681301890084280</stp>
        <tr r="C19" s="24"/>
      </tp>
      <tp t="e">
        <v>#N/A</v>
        <stp/>
        <stp>BDH|3812798466690292333</stp>
        <tr r="Z27" s="25"/>
        <tr r="W14" s="5"/>
        <tr r="Z17" s="27"/>
      </tp>
      <tp t="e">
        <v>#N/A</v>
        <stp/>
        <stp>BDH|2546469303943093469</stp>
        <tr r="F21" s="27"/>
      </tp>
      <tp t="e">
        <v>#N/A</v>
        <stp/>
        <stp>BDH|2736639751789017938</stp>
        <tr r="V40" s="24"/>
      </tp>
      <tp t="e">
        <v>#N/A</v>
        <stp/>
        <stp>BDH|1142973060856180910</stp>
        <tr r="J10" s="26"/>
      </tp>
      <tp t="e">
        <v>#N/A</v>
        <stp/>
        <stp>BDH|4354976751321506867</stp>
        <tr r="T25" s="4"/>
        <tr r="T64" s="10"/>
      </tp>
      <tp t="e">
        <v>#N/A</v>
        <stp/>
        <stp>BDH|1458271175244307130</stp>
        <tr r="L48" s="17"/>
      </tp>
      <tp t="e">
        <v>#N/A</v>
        <stp/>
        <stp>BDH|1765388162661917420</stp>
        <tr r="G68" s="17"/>
      </tp>
      <tp t="e">
        <v>#N/A</v>
        <stp/>
        <stp>BDH|7486669191161407819</stp>
        <tr r="AA14" s="21"/>
      </tp>
      <tp t="e">
        <v>#N/A</v>
        <stp/>
        <stp>BDH|7883875939825851889</stp>
        <tr r="F11" s="24"/>
      </tp>
      <tp t="e">
        <v>#N/A</v>
        <stp/>
        <stp>BDH|5793755452291429724</stp>
        <tr r="X15" s="21"/>
      </tp>
      <tp t="e">
        <v>#N/A</v>
        <stp/>
        <stp>BDH|8787944220924446619</stp>
        <tr r="G15" s="12"/>
      </tp>
      <tp t="e">
        <v>#N/A</v>
        <stp/>
        <stp>BDH|4861314776172119389</stp>
        <tr r="L34" s="17"/>
      </tp>
      <tp t="e">
        <v>#N/A</v>
        <stp/>
        <stp>BDH|3414658544336129623</stp>
        <tr r="U52" s="18"/>
      </tp>
      <tp t="e">
        <v>#N/A</v>
        <stp/>
        <stp>BDH|6440523420839200925</stp>
        <tr r="L73" s="10"/>
        <tr r="L67" s="11"/>
      </tp>
      <tp t="e">
        <v>#N/A</v>
        <stp/>
        <stp>BDH|1993290282542306876</stp>
        <tr r="M113" s="18"/>
        <tr r="K14" s="20"/>
      </tp>
      <tp t="e">
        <v>#N/A</v>
        <stp/>
        <stp>BDH|8699837500010320106</stp>
        <tr r="M147" s="18"/>
      </tp>
      <tp t="e">
        <v>#N/A</v>
        <stp/>
        <stp>BDH|1694067087319192109</stp>
        <tr r="N15" s="11"/>
      </tp>
      <tp t="e">
        <v>#N/A</v>
        <stp/>
        <stp>BDH|6570669354212901681</stp>
        <tr r="N44" s="12"/>
      </tp>
      <tp t="e">
        <v>#N/A</v>
        <stp/>
        <stp>BDH|2576619020603472463</stp>
        <tr r="P70" s="10"/>
        <tr r="P64" s="11"/>
      </tp>
      <tp t="e">
        <v>#N/A</v>
        <stp/>
        <stp>BDH|2715352271461424619</stp>
        <tr r="I8" s="2"/>
      </tp>
      <tp t="e">
        <v>#N/A</v>
        <stp/>
        <stp>BDH|6844468271201031591</stp>
        <tr r="G8" s="6"/>
      </tp>
      <tp t="e">
        <v>#N/A</v>
        <stp/>
        <stp>BDH|1656044867472284411</stp>
        <tr r="M48" s="18"/>
      </tp>
      <tp t="e">
        <v>#N/A</v>
        <stp/>
        <stp>BDH|2743354115829915886</stp>
        <tr r="R21" s="26"/>
      </tp>
      <tp t="e">
        <v>#N/A</v>
        <stp/>
        <stp>BDH|9630358397136263403</stp>
        <tr r="D67" s="12"/>
      </tp>
      <tp t="e">
        <v>#N/A</v>
        <stp/>
        <stp>BDH|8992016578526724816</stp>
        <tr r="C57" s="17"/>
        <tr r="C10" s="25"/>
      </tp>
      <tp t="e">
        <v>#N/A</v>
        <stp/>
        <stp>BDH|5509468715224729569</stp>
        <tr r="D72" s="24"/>
      </tp>
      <tp t="e">
        <v>#N/A</v>
        <stp/>
        <stp>BDH|2855514474249805822</stp>
        <tr r="Z138" s="18"/>
      </tp>
      <tp t="e">
        <v>#N/A</v>
        <stp/>
        <stp>BDH|1114421644883594350</stp>
        <tr r="T22" s="22"/>
      </tp>
      <tp t="e">
        <v>#N/A</v>
        <stp/>
        <stp>BDH|6239645675223449500</stp>
        <tr r="Q26" s="12"/>
      </tp>
      <tp t="e">
        <v>#N/A</v>
        <stp/>
        <stp>BDH|7112756771420202603</stp>
        <tr r="Z13" s="29"/>
        <tr r="Z22" s="29"/>
        <tr r="Z33" s="29"/>
      </tp>
      <tp t="e">
        <v>#N/A</v>
        <stp/>
        <stp>BDH|4697119927265359347</stp>
        <tr r="C29" s="29"/>
        <tr r="C7" s="29"/>
      </tp>
      <tp t="e">
        <v>#N/A</v>
        <stp/>
        <stp>BDH|1186909991031408132</stp>
        <tr r="L16" s="21"/>
      </tp>
      <tp t="e">
        <v>#N/A</v>
        <stp/>
        <stp>BDH|4647146570722307166</stp>
        <tr r="Y10" s="13"/>
      </tp>
      <tp t="e">
        <v>#N/A</v>
        <stp/>
        <stp>BDH|3986122635355988502</stp>
        <tr r="I69" s="17"/>
      </tp>
      <tp t="e">
        <v>#N/A</v>
        <stp/>
        <stp>BDH|7608791746613916675</stp>
        <tr r="H20" s="17"/>
      </tp>
      <tp t="e">
        <v>#N/A</v>
        <stp/>
        <stp>BDH|1163416214253052635</stp>
        <tr r="Y28" s="12"/>
      </tp>
      <tp t="e">
        <v>#N/A</v>
        <stp/>
        <stp>BDH|4315334421331443520</stp>
        <tr r="D92" s="17"/>
      </tp>
      <tp t="e">
        <v>#N/A</v>
        <stp/>
        <stp>BDH|7247166507076529112</stp>
        <tr r="S71" s="24"/>
      </tp>
      <tp t="e">
        <v>#N/A</v>
        <stp/>
        <stp>BDH|1150361033302329207</stp>
        <tr r="J64" s="21"/>
      </tp>
      <tp t="e">
        <v>#N/A</v>
        <stp/>
        <stp>BDH|4806847727946493982</stp>
        <tr r="F16" s="17"/>
        <tr r="F19" s="28"/>
      </tp>
      <tp t="e">
        <v>#N/A</v>
        <stp/>
        <stp>BDH|5692836293856425350</stp>
        <tr r="Y11" s="28"/>
      </tp>
      <tp t="e">
        <v>#N/A</v>
        <stp/>
        <stp>BDH|8430544746579372120</stp>
        <tr r="V14" s="14"/>
      </tp>
      <tp t="e">
        <v>#N/A</v>
        <stp/>
        <stp>BDH|5048110645079050834</stp>
        <tr r="Q10" s="6"/>
      </tp>
      <tp t="e">
        <v>#N/A</v>
        <stp/>
        <stp>BDH|8452468903298794512</stp>
        <tr r="W42" s="4"/>
      </tp>
      <tp t="e">
        <v>#N/A</v>
        <stp/>
        <stp>BDH|7677212868077915510</stp>
        <tr r="R27" s="7"/>
      </tp>
      <tp t="e">
        <v>#N/A</v>
        <stp/>
        <stp>BDH|1405917266699531616</stp>
        <tr r="I12" s="6"/>
      </tp>
      <tp t="e">
        <v>#N/A</v>
        <stp/>
        <stp>BDH|6746744321400550206</stp>
        <tr r="R75" s="12"/>
      </tp>
      <tp t="e">
        <v>#N/A</v>
        <stp/>
        <stp>BDH|7499057166533944398</stp>
        <tr r="K46" s="17"/>
      </tp>
      <tp t="e">
        <v>#N/A</v>
        <stp/>
        <stp>BDH|6107264383115271814</stp>
        <tr r="E29" s="4"/>
      </tp>
      <tp t="e">
        <v>#N/A</v>
        <stp/>
        <stp>BDH|2276144625536096649</stp>
        <tr r="R111" s="18"/>
        <tr r="P12" s="20"/>
      </tp>
      <tp t="e">
        <v>#N/A</v>
        <stp/>
        <stp>BDH|3720432925447728310</stp>
        <tr r="S54" s="17"/>
      </tp>
      <tp t="e">
        <v>#N/A</v>
        <stp/>
        <stp>BDH|2594369666552171434</stp>
        <tr r="E96" s="18"/>
      </tp>
      <tp t="e">
        <v>#N/A</v>
        <stp/>
        <stp>BDH|7489451444131462768</stp>
        <tr r="W44" s="12"/>
      </tp>
      <tp t="e">
        <v>#N/A</v>
        <stp/>
        <stp>BDH|6775023579754218494</stp>
        <tr r="M16" s="29"/>
        <tr r="M36" s="29"/>
      </tp>
      <tp t="e">
        <v>#N/A</v>
        <stp/>
        <stp>BDH|2774345153653294654</stp>
        <tr r="T139" s="18"/>
      </tp>
      <tp t="e">
        <v>#N/A</v>
        <stp/>
        <stp>BDH|4944140307143895755</stp>
        <tr r="L16" s="17"/>
        <tr r="L19" s="28"/>
      </tp>
      <tp t="e">
        <v>#N/A</v>
        <stp/>
        <stp>BDH|4901084329914721386</stp>
        <tr r="K87" s="18"/>
      </tp>
      <tp t="e">
        <v>#N/A</v>
        <stp/>
        <stp>BDH|1045637655057288432</stp>
        <tr r="T66" s="17"/>
      </tp>
      <tp t="e">
        <v>#N/A</v>
        <stp/>
        <stp>BDH|3994440133031102482</stp>
        <tr r="S7" s="4"/>
      </tp>
      <tp t="e">
        <v>#N/A</v>
        <stp/>
        <stp>BDH|7720324457070093052</stp>
        <tr r="C154" s="18"/>
      </tp>
      <tp t="e">
        <v>#N/A</v>
        <stp/>
        <stp>BDH|7723898349473228921</stp>
        <tr r="D83" s="17"/>
      </tp>
      <tp t="e">
        <v>#N/A</v>
        <stp/>
        <stp>BDH|4898339511415807259</stp>
        <tr r="M21" s="4"/>
      </tp>
      <tp t="e">
        <v>#N/A</v>
        <stp/>
        <stp>BDH|5979135047697997631</stp>
        <tr r="Y43" s="22"/>
      </tp>
      <tp t="e">
        <v>#N/A</v>
        <stp/>
        <stp>BDH|6187469676855567133</stp>
        <tr r="W71" s="18"/>
      </tp>
      <tp t="e">
        <v>#N/A</v>
        <stp/>
        <stp>BDH|7305056272815068434</stp>
        <tr r="F34" s="17"/>
      </tp>
      <tp t="e">
        <v>#N/A</v>
        <stp/>
        <stp>BDH|6013731390958310177</stp>
        <tr r="F16" s="12"/>
      </tp>
      <tp t="e">
        <v>#N/A</v>
        <stp/>
        <stp>BDH|5663366248464733789</stp>
        <tr r="Y21" s="2"/>
      </tp>
      <tp t="e">
        <v>#N/A</v>
        <stp/>
        <stp>BDH|9604979482719437003</stp>
        <tr r="E71" s="12"/>
      </tp>
      <tp t="e">
        <v>#N/A</v>
        <stp/>
        <stp>BDH|2489360173241463622</stp>
        <tr r="D26" s="22"/>
      </tp>
      <tp t="e">
        <v>#N/A</v>
        <stp/>
        <stp>BDH|3346099635606058780</stp>
        <tr r="Q13" s="29"/>
        <tr r="Q22" s="29"/>
        <tr r="Q33" s="29"/>
      </tp>
      <tp t="e">
        <v>#N/A</v>
        <stp/>
        <stp>BDH|1165120022276299543</stp>
        <tr r="H15" s="17"/>
        <tr r="H18" s="28"/>
      </tp>
      <tp t="e">
        <v>#N/A</v>
        <stp/>
        <stp>BDH|6322562927573556331</stp>
        <tr r="U78" s="17"/>
      </tp>
      <tp t="e">
        <v>#N/A</v>
        <stp/>
        <stp>BDH|5161504530793520107</stp>
        <tr r="W35" s="18"/>
      </tp>
      <tp t="e">
        <v>#N/A</v>
        <stp/>
        <stp>BDH|1044653412547291018</stp>
        <tr r="P8" s="28"/>
      </tp>
      <tp t="e">
        <v>#N/A</v>
        <stp/>
        <stp>BDH|6966053669875195407</stp>
        <tr r="K17" s="20"/>
      </tp>
      <tp t="e">
        <v>#N/A</v>
        <stp/>
        <stp>BDH|5159769258292354489</stp>
        <tr r="I40" s="17"/>
      </tp>
      <tp t="e">
        <v>#N/A</v>
        <stp/>
        <stp>BDH|9765656888325669387</stp>
        <tr r="F40" s="18"/>
      </tp>
      <tp t="e">
        <v>#N/A</v>
        <stp/>
        <stp>BDH|9414213197110123373</stp>
        <tr r="Q68" s="12"/>
      </tp>
      <tp t="e">
        <v>#N/A</v>
        <stp/>
        <stp>BDH|4371994615974262999</stp>
        <tr r="U13" s="13"/>
      </tp>
      <tp t="e">
        <v>#N/A</v>
        <stp/>
        <stp>BDH|5717940683503219660</stp>
        <tr r="J28" s="18"/>
      </tp>
      <tp t="e">
        <v>#N/A</v>
        <stp/>
        <stp>BDH|1459201112946109539</stp>
        <tr r="S68" s="17"/>
      </tp>
      <tp t="e">
        <v>#N/A</v>
        <stp/>
        <stp>BDH|8179885023181877260</stp>
        <tr r="N34" s="10"/>
        <tr r="N28" s="11"/>
      </tp>
      <tp t="e">
        <v>#N/A</v>
        <stp/>
        <stp>BDH|4758514113401420053</stp>
        <tr r="Z9" s="23"/>
      </tp>
      <tp t="e">
        <v>#N/A</v>
        <stp/>
        <stp>BDH|9311217971699537424</stp>
        <tr r="O14" s="11"/>
      </tp>
      <tp t="e">
        <v>#N/A</v>
        <stp/>
        <stp>BDH|3619494478480665151</stp>
        <tr r="Z57" s="12"/>
      </tp>
      <tp t="e">
        <v>#N/A</v>
        <stp/>
        <stp>BDH|5489093470983924006</stp>
        <tr r="X55" s="12"/>
      </tp>
      <tp t="e">
        <v>#N/A</v>
        <stp/>
        <stp>BDH|8063079727549092245</stp>
        <tr r="J20" s="11"/>
      </tp>
      <tp t="e">
        <v>#N/A</v>
        <stp/>
        <stp>BDH|9803210591707478486</stp>
        <tr r="E116" s="18"/>
      </tp>
      <tp t="e">
        <v>#N/A</v>
        <stp/>
        <stp>BDH|1854594354319259931</stp>
        <tr r="J13" s="10"/>
      </tp>
      <tp t="e">
        <v>#N/A</v>
        <stp/>
        <stp>BDH|3110602260017559500</stp>
        <tr r="S94" s="18"/>
      </tp>
      <tp t="e">
        <v>#N/A</v>
        <stp/>
        <stp>BDH|3130569535633042761</stp>
        <tr r="S73" s="17"/>
        <tr r="P8" s="5"/>
        <tr r="P8" s="9"/>
      </tp>
      <tp t="e">
        <v>#N/A</v>
        <stp/>
        <stp>BDH|3599053332701609004</stp>
        <tr r="R18" s="10"/>
        <tr r="T16" s="13"/>
        <tr r="T27" s="13"/>
      </tp>
      <tp t="e">
        <v>#N/A</v>
        <stp/>
        <stp>BDH|1734487400881934526</stp>
        <tr r="Z23" s="18"/>
      </tp>
      <tp t="e">
        <v>#N/A</v>
        <stp/>
        <stp>BDH|3413681863653373188</stp>
        <tr r="S76" s="18"/>
      </tp>
      <tp t="e">
        <v>#N/A</v>
        <stp/>
        <stp>BDH|5411529197391251977</stp>
        <tr r="N9" s="22"/>
      </tp>
      <tp t="e">
        <v>#N/A</v>
        <stp/>
        <stp>BDH|6517221402613969689</stp>
        <tr r="O155" s="18"/>
      </tp>
      <tp t="e">
        <v>#N/A</v>
        <stp/>
        <stp>BDH|5988384518894582284</stp>
        <tr r="Q30" s="24"/>
      </tp>
      <tp t="e">
        <v>#N/A</v>
        <stp/>
        <stp>BDH|6462798237741931271</stp>
        <tr r="K7" s="17"/>
      </tp>
      <tp t="e">
        <v>#N/A</v>
        <stp/>
        <stp>BDH|8390695038744774817</stp>
        <tr r="Q51" s="10"/>
        <tr r="Q45" s="11"/>
        <tr r="Q15" s="7"/>
      </tp>
      <tp t="e">
        <v>#N/A</v>
        <stp/>
        <stp>BDH|3005395227236845528</stp>
        <tr r="C57" s="24"/>
      </tp>
      <tp t="e">
        <v>#N/A</v>
        <stp/>
        <stp>BDH|1622967525168792366</stp>
        <tr r="C40" s="21"/>
      </tp>
      <tp t="e">
        <v>#N/A</v>
        <stp/>
        <stp>BDH|9404942455244082012</stp>
        <tr r="M15" s="4"/>
      </tp>
      <tp t="e">
        <v>#N/A</v>
        <stp/>
        <stp>BDH|2998958639568860198</stp>
        <tr r="J10" s="11"/>
      </tp>
      <tp t="e">
        <v>#N/A</v>
        <stp/>
        <stp>BDH|1568669832654201174</stp>
        <tr r="J163" s="18"/>
      </tp>
      <tp t="e">
        <v>#N/A</v>
        <stp/>
        <stp>BDH|5375661922657355708</stp>
        <tr r="O104" s="18"/>
      </tp>
      <tp t="e">
        <v>#N/A</v>
        <stp/>
        <stp>BDH|1469555686814261910</stp>
        <tr r="O30" s="26"/>
      </tp>
      <tp t="e">
        <v>#N/A</v>
        <stp/>
        <stp>BDH|6316555512067700478</stp>
        <tr r="I16" s="2"/>
        <tr r="I32" s="4"/>
        <tr r="I61" s="10"/>
        <tr r="K19" s="13"/>
      </tp>
      <tp t="e">
        <v>#N/A</v>
        <stp/>
        <stp>BDH|4813159618371642473</stp>
        <tr r="H63" s="10"/>
      </tp>
      <tp t="e">
        <v>#N/A</v>
        <stp/>
        <stp>BDH|6664137504602090452</stp>
        <tr r="L79" s="18"/>
      </tp>
      <tp t="e">
        <v>#N/A</v>
        <stp/>
        <stp>BDH|3271012444520158629</stp>
        <tr r="G113" s="18"/>
        <tr r="E14" s="20"/>
      </tp>
      <tp t="e">
        <v>#N/A</v>
        <stp/>
        <stp>BDH|5522976964968744355</stp>
        <tr r="F47" s="21"/>
      </tp>
      <tp t="e">
        <v>#N/A</v>
        <stp/>
        <stp>BDH|1485440169790506280</stp>
        <tr r="L14" s="13"/>
      </tp>
      <tp t="e">
        <v>#N/A</v>
        <stp/>
        <stp>BDH|4634625077904641015</stp>
        <tr r="T14" s="6"/>
      </tp>
      <tp t="e">
        <v>#N/A</v>
        <stp/>
        <stp>BDH|6610524602492188037</stp>
        <tr r="R73" s="10"/>
        <tr r="R67" s="11"/>
      </tp>
      <tp t="e">
        <v>#N/A</v>
        <stp/>
        <stp>BDH|4914159409280665472</stp>
        <tr r="AA111" s="18"/>
        <tr r="Z12" s="20"/>
      </tp>
      <tp t="e">
        <v>#N/A</v>
        <stp/>
        <stp>BDH|3469197333946230685</stp>
        <tr r="D40" s="29"/>
      </tp>
      <tp t="e">
        <v>#N/A</v>
        <stp/>
        <stp>BDH|1702210851733250403</stp>
        <tr r="L80" s="18"/>
      </tp>
      <tp t="e">
        <v>#N/A</v>
        <stp/>
        <stp>BDH|7624685678230628756</stp>
        <tr r="W164" s="18"/>
      </tp>
      <tp t="e">
        <v>#N/A</v>
        <stp/>
        <stp>BDH|4685841887921955494</stp>
        <tr r="F14" s="26"/>
      </tp>
      <tp t="e">
        <v>#N/A</v>
        <stp/>
        <stp>BDH|3651526500464017316</stp>
        <tr r="X34" s="10"/>
        <tr r="X28" s="11"/>
      </tp>
      <tp t="e">
        <v>#N/A</v>
        <stp/>
        <stp>BDH|9711640654329506272</stp>
        <tr r="X22" s="12"/>
      </tp>
      <tp t="e">
        <v>#N/A</v>
        <stp/>
        <stp>BDH|3757149441424799301</stp>
        <tr r="O34" s="26"/>
      </tp>
      <tp t="e">
        <v>#N/A</v>
        <stp/>
        <stp>BDH|8327275464718537500</stp>
        <tr r="I21" s="9"/>
      </tp>
      <tp t="e">
        <v>#N/A</v>
        <stp/>
        <stp>BDH|5732447163565703322</stp>
        <tr r="M16" s="20"/>
      </tp>
      <tp t="e">
        <v>#N/A</v>
        <stp/>
        <stp>BDH|6875881025635006803</stp>
        <tr r="C21" s="10"/>
      </tp>
      <tp t="e">
        <v>#N/A</v>
        <stp/>
        <stp>BDH|5737610613106435543</stp>
        <tr r="Z81" s="17"/>
        <tr r="W9" s="5"/>
        <tr r="W9" s="9"/>
      </tp>
      <tp t="e">
        <v>#N/A</v>
        <stp/>
        <stp>BDH|4147322582608533611</stp>
        <tr r="P77" s="12"/>
      </tp>
      <tp t="e">
        <v>#N/A</v>
        <stp/>
        <stp>BDH|9512832515821689001</stp>
        <tr r="U20" s="6"/>
      </tp>
      <tp t="e">
        <v>#N/A</v>
        <stp/>
        <stp>BDH|5818857207124723887</stp>
        <tr r="X52" s="12"/>
      </tp>
      <tp t="e">
        <v>#N/A</v>
        <stp/>
        <stp>BDH|1145335772141140541</stp>
        <tr r="V22" s="30"/>
        <tr r="V25" s="23"/>
      </tp>
      <tp t="e">
        <v>#N/A</v>
        <stp/>
        <stp>BDH|1634944247049805483</stp>
        <tr r="I22" s="21"/>
      </tp>
      <tp t="e">
        <v>#N/A</v>
        <stp/>
        <stp>BDH|3869963118113769946</stp>
        <tr r="I17" s="9"/>
      </tp>
      <tp t="e">
        <v>#N/A</v>
        <stp/>
        <stp>BDH|4201971422457727950</stp>
        <tr r="V7" s="8"/>
      </tp>
      <tp t="e">
        <v>#N/A</v>
        <stp/>
        <stp>BDH|2892917850877957854</stp>
        <tr r="N24" s="12"/>
      </tp>
      <tp t="e">
        <v>#N/A</v>
        <stp/>
        <stp>BDH|8404723495081059660</stp>
        <tr r="Y94" s="18"/>
      </tp>
      <tp t="e">
        <v>#N/A</v>
        <stp/>
        <stp>BDH|8262931822301212343</stp>
        <tr r="K72" s="18"/>
      </tp>
      <tp t="e">
        <v>#N/A</v>
        <stp/>
        <stp>BDH|6005003220813708622</stp>
        <tr r="Y34" s="25"/>
      </tp>
      <tp t="e">
        <v>#N/A</v>
        <stp/>
        <stp>BDH|6560438629131348093</stp>
        <tr r="O33" s="22"/>
      </tp>
      <tp t="e">
        <v>#N/A</v>
        <stp/>
        <stp>BDH|4294300894639111626</stp>
        <tr r="O18" s="9"/>
      </tp>
      <tp t="e">
        <v>#N/A</v>
        <stp/>
        <stp>BDH|5125252771106788771</stp>
        <tr r="H42" s="13"/>
      </tp>
      <tp t="e">
        <v>#N/A</v>
        <stp/>
        <stp>BDH|1265169431532477046</stp>
        <tr r="O18" s="12"/>
      </tp>
      <tp t="e">
        <v>#N/A</v>
        <stp/>
        <stp>BDH|7926370088658486577</stp>
        <tr r="E137" s="18"/>
      </tp>
      <tp t="e">
        <v>#N/A</v>
        <stp/>
        <stp>BDH|4084445125411562214</stp>
        <tr r="N14" s="8"/>
      </tp>
      <tp t="e">
        <v>#N/A</v>
        <stp/>
        <stp>BDH|2828631964166817528</stp>
        <tr r="M58" s="18"/>
      </tp>
      <tp t="e">
        <v>#N/A</v>
        <stp/>
        <stp>BDH|2745099477044464080</stp>
        <tr r="Z49" s="18"/>
      </tp>
      <tp t="e">
        <v>#N/A</v>
        <stp/>
        <stp>BDH|5916781638589995957</stp>
        <tr r="X16" s="12"/>
      </tp>
      <tp t="e">
        <v>#N/A</v>
        <stp/>
        <stp>BDH|7133509661223342666</stp>
        <tr r="S34" s="24"/>
      </tp>
      <tp t="e">
        <v>#N/A</v>
        <stp/>
        <stp>BDH|4237540884759293151</stp>
        <tr r="V17" s="11"/>
      </tp>
      <tp t="e">
        <v>#N/A</v>
        <stp/>
        <stp>BDH|4835181469832416084</stp>
        <tr r="K11" s="22"/>
      </tp>
      <tp t="e">
        <v>#N/A</v>
        <stp/>
        <stp>BDH|94047540908730057</stp>
        <tr r="Q30" s="12"/>
      </tp>
      <tp t="e">
        <v>#N/A</v>
        <stp/>
        <stp>BDH|93657333590122924</stp>
        <tr r="W22" s="22"/>
      </tp>
      <tp t="e">
        <v>#N/A</v>
        <stp/>
        <stp>BDH|52313456282742806</stp>
        <tr r="P16" s="23"/>
      </tp>
      <tp t="e">
        <v>#N/A</v>
        <stp/>
        <stp>BDH|97168848451588845</stp>
        <tr r="D21" s="2"/>
      </tp>
      <tp t="e">
        <v>#N/A</v>
        <stp/>
        <stp>BDH|18428388756625609</stp>
        <tr r="G35" s="34"/>
      </tp>
      <tp t="e">
        <v>#N/A</v>
        <stp/>
        <stp>BDH|46422179649654612</stp>
        <tr r="D50" s="17"/>
      </tp>
      <tp t="e">
        <v>#N/A</v>
        <stp/>
        <stp>BDH|86504952225823900</stp>
        <tr r="Z114" s="18"/>
      </tp>
      <tp t="e">
        <v>#N/A</v>
        <stp/>
        <stp>BDH|39215101008299688</stp>
        <tr r="R83" s="18"/>
      </tp>
      <tp t="e">
        <v>#N/A</v>
        <stp/>
        <stp>BDH|67283741923182903</stp>
        <tr r="P14" s="11"/>
      </tp>
      <tp t="e">
        <v>#N/A</v>
        <stp/>
        <stp>BDH|3873664012864038269</stp>
        <tr r="O30" s="18"/>
      </tp>
      <tp t="e">
        <v>#N/A</v>
        <stp/>
        <stp>BDH|6040140925621908622</stp>
        <tr r="Y25" s="2"/>
        <tr r="AA62" s="21"/>
      </tp>
      <tp t="e">
        <v>#N/A</v>
        <stp/>
        <stp>BDH|9622898940967275074</stp>
        <tr r="E41" s="34"/>
      </tp>
      <tp t="e">
        <v>#N/A</v>
        <stp/>
        <stp>BDH|2300196401263763261</stp>
        <tr r="H26" s="10"/>
        <tr r="J31" s="13"/>
      </tp>
      <tp t="e">
        <v>#N/A</v>
        <stp/>
        <stp>BDH|4218786656681647506</stp>
        <tr r="D8" s="28"/>
      </tp>
      <tp t="e">
        <v>#N/A</v>
        <stp/>
        <stp>BDH|5421263337885787383</stp>
        <tr r="L10" s="18"/>
      </tp>
      <tp t="e">
        <v>#N/A</v>
        <stp/>
        <stp>BDH|5635997870481513804</stp>
        <tr r="X12" s="17"/>
      </tp>
      <tp t="e">
        <v>#N/A</v>
        <stp/>
        <stp>BDH|2517503964215906625</stp>
        <tr r="V78" s="12"/>
      </tp>
      <tp t="e">
        <v>#N/A</v>
        <stp/>
        <stp>BDH|6322065248529758902</stp>
        <tr r="O66" s="10"/>
      </tp>
      <tp t="e">
        <v>#N/A</v>
        <stp/>
        <stp>BDH|4253443736005231481</stp>
        <tr r="S27" s="25"/>
        <tr r="P14" s="5"/>
        <tr r="S17" s="27"/>
      </tp>
      <tp t="e">
        <v>#N/A</v>
        <stp/>
        <stp>BDH|9841745519174675993</stp>
        <tr r="E139" s="18"/>
      </tp>
      <tp t="e">
        <v>#N/A</v>
        <stp/>
        <stp>BDH|9580664788940720563</stp>
        <tr r="X36" s="18"/>
      </tp>
      <tp t="e">
        <v>#N/A</v>
        <stp/>
        <stp>BDH|2183592134752221448</stp>
        <tr r="C25" s="21"/>
      </tp>
      <tp t="e">
        <v>#N/A</v>
        <stp/>
        <stp>BDH|9617545763809927129</stp>
        <tr r="I60" s="17"/>
      </tp>
      <tp t="e">
        <v>#N/A</v>
        <stp/>
        <stp>BDH|5283056548187494411</stp>
        <tr r="V57" s="17"/>
        <tr r="V10" s="25"/>
      </tp>
      <tp t="e">
        <v>#N/A</v>
        <stp/>
        <stp>BDH|7358185991754187919</stp>
        <tr r="P10" s="26"/>
      </tp>
      <tp t="e">
        <v>#N/A</v>
        <stp/>
        <stp>BDH|3606012651003831748</stp>
        <tr r="Y99" s="18"/>
      </tp>
      <tp t="e">
        <v>#N/A</v>
        <stp/>
        <stp>BDH|7489022135371963706</stp>
        <tr r="P77" s="17"/>
      </tp>
      <tp t="e">
        <v>#N/A</v>
        <stp/>
        <stp>BDH|3201727539142141729</stp>
        <tr r="Y71" s="12"/>
      </tp>
      <tp t="e">
        <v>#N/A</v>
        <stp/>
        <stp>BDH|1508894596666199410</stp>
        <tr r="X7" s="23"/>
      </tp>
      <tp t="e">
        <v>#N/A</v>
        <stp/>
        <stp>BDH|5376108373629274885</stp>
        <tr r="O16" s="2"/>
        <tr r="O32" s="4"/>
        <tr r="O61" s="10"/>
        <tr r="Q19" s="13"/>
      </tp>
      <tp t="e">
        <v>#N/A</v>
        <stp/>
        <stp>BDH|1702693305096215339</stp>
        <tr r="G30" s="24"/>
      </tp>
      <tp t="e">
        <v>#N/A</v>
        <stp/>
        <stp>BDH|2883251945933221509</stp>
        <tr r="M34" s="26"/>
      </tp>
      <tp t="e">
        <v>#N/A</v>
        <stp/>
        <stp>BDH|7755636602387820449</stp>
        <tr r="Q19" s="17"/>
      </tp>
      <tp t="e">
        <v>#N/A</v>
        <stp/>
        <stp>BDH|4925829031318351537</stp>
        <tr r="L136" s="18"/>
      </tp>
      <tp t="e">
        <v>#N/A</v>
        <stp/>
        <stp>BDH|3946687776427527788</stp>
        <tr r="J50" s="18"/>
      </tp>
      <tp t="e">
        <v>#N/A</v>
        <stp/>
        <stp>BDH|4612478966560525483</stp>
        <tr r="D88" s="17"/>
      </tp>
      <tp t="e">
        <v>#N/A</v>
        <stp/>
        <stp>BDH|2402574003870892529</stp>
        <tr r="AA65" s="12"/>
      </tp>
      <tp t="e">
        <v>#N/A</v>
        <stp/>
        <stp>BDH|8738365679017032929</stp>
        <tr r="L34" s="18"/>
      </tp>
      <tp t="e">
        <v>#N/A</v>
        <stp/>
        <stp>BDH|4909798049676483379</stp>
        <tr r="P128" s="18"/>
      </tp>
      <tp t="e">
        <v>#N/A</v>
        <stp/>
        <stp>BDH|6699596198550402895</stp>
        <tr r="U35" s="26"/>
      </tp>
      <tp t="e">
        <v>#N/A</v>
        <stp/>
        <stp>BDH|8254382857279637518</stp>
        <tr r="O29" s="4"/>
      </tp>
      <tp t="e">
        <v>#N/A</v>
        <stp/>
        <stp>BDH|5375212281625151897</stp>
        <tr r="Q16" s="24"/>
      </tp>
      <tp t="e">
        <v>#N/A</v>
        <stp/>
        <stp>BDH|2014394428146263783</stp>
        <tr r="H126" s="18"/>
      </tp>
      <tp t="e">
        <v>#N/A</v>
        <stp/>
        <stp>BDH|1812685869007648441</stp>
        <tr r="H100" s="18"/>
      </tp>
      <tp t="e">
        <v>#N/A</v>
        <stp/>
        <stp>BDH|4202109520945850014</stp>
        <tr r="L29" s="17"/>
      </tp>
      <tp t="e">
        <v>#N/A</v>
        <stp/>
        <stp>BDH|4520574902012968120</stp>
        <tr r="K35" s="26"/>
      </tp>
      <tp t="e">
        <v>#N/A</v>
        <stp/>
        <stp>BDH|7057644512321895358</stp>
        <tr r="W13" s="21"/>
      </tp>
      <tp t="e">
        <v>#N/A</v>
        <stp/>
        <stp>BDH|1291589840225434752</stp>
        <tr r="T62" s="10"/>
      </tp>
      <tp t="e">
        <v>#N/A</v>
        <stp/>
        <stp>BDH|1802753876751055202</stp>
        <tr r="U16" s="23"/>
      </tp>
      <tp t="e">
        <v>#N/A</v>
        <stp/>
        <stp>BDH|6917736810497334522</stp>
        <tr r="K68" s="10"/>
      </tp>
      <tp t="e">
        <v>#N/A</v>
        <stp/>
        <stp>BDH|9852946557336500155</stp>
        <tr r="D29" s="10"/>
        <tr r="F34" s="13"/>
      </tp>
      <tp t="e">
        <v>#N/A</v>
        <stp/>
        <stp>BDH|3026761279441265064</stp>
        <tr r="G37" s="21"/>
        <tr r="G24" s="3"/>
      </tp>
      <tp t="e">
        <v>#N/A</v>
        <stp/>
        <stp>BDH|5280197030152037708</stp>
        <tr r="T27" s="10"/>
        <tr r="V32" s="13"/>
      </tp>
      <tp t="e">
        <v>#N/A</v>
        <stp/>
        <stp>BDH|5134958658708181361</stp>
        <tr r="L9" s="28"/>
      </tp>
      <tp t="e">
        <v>#N/A</v>
        <stp/>
        <stp>BDH|2397209337263746281</stp>
        <tr r="K54" s="13"/>
      </tp>
      <tp t="e">
        <v>#N/A</v>
        <stp/>
        <stp>BDH|4842416102066402445</stp>
        <tr r="F26" s="10"/>
        <tr r="H31" s="13"/>
      </tp>
      <tp t="e">
        <v>#N/A</v>
        <stp/>
        <stp>BDH|2805770101115454213</stp>
        <tr r="R43" s="21"/>
      </tp>
      <tp t="e">
        <v>#N/A</v>
        <stp/>
        <stp>BDH|3846036571441574746</stp>
        <tr r="W27" s="10"/>
        <tr r="Y32" s="13"/>
      </tp>
      <tp t="e">
        <v>#N/A</v>
        <stp/>
        <stp>BDH|8581210625533821929</stp>
        <tr r="V71" s="18"/>
      </tp>
      <tp t="e">
        <v>#N/A</v>
        <stp/>
        <stp>BDH|7718609439790497010</stp>
        <tr r="M62" s="11"/>
      </tp>
      <tp t="e">
        <v>#N/A</v>
        <stp/>
        <stp>BDH|4948045918810776797</stp>
        <tr r="Q12" s="10"/>
      </tp>
      <tp t="e">
        <v>#N/A</v>
        <stp/>
        <stp>BDH|3743432843901975051</stp>
        <tr r="M78" s="18"/>
      </tp>
      <tp t="e">
        <v>#N/A</v>
        <stp/>
        <stp>BDH|7381511919675579450</stp>
        <tr r="AA64" s="21"/>
      </tp>
      <tp t="e">
        <v>#N/A</v>
        <stp/>
        <stp>BDH|3683144379701117611</stp>
        <tr r="O126" s="18"/>
      </tp>
      <tp t="e">
        <v>#N/A</v>
        <stp/>
        <stp>BDH|3629190472742563539</stp>
        <tr r="N11" s="24"/>
      </tp>
      <tp t="e">
        <v>#N/A</v>
        <stp/>
        <stp>BDH|7103879832488727682</stp>
        <tr r="L28" s="22"/>
      </tp>
      <tp t="e">
        <v>#N/A</v>
        <stp/>
        <stp>BDH|4296601266124737285</stp>
        <tr r="Z42" s="22"/>
      </tp>
      <tp t="e">
        <v>#N/A</v>
        <stp/>
        <stp>BDH|4337219228554781268</stp>
        <tr r="L12" s="30"/>
      </tp>
      <tp t="e">
        <v>#N/A</v>
        <stp/>
        <stp>BDH|5845790407471988147</stp>
        <tr r="H24" s="20"/>
      </tp>
      <tp t="e">
        <v>#N/A</v>
        <stp/>
        <stp>BDH|3769114209420481001</stp>
        <tr r="Q141" s="18"/>
      </tp>
      <tp t="e">
        <v>#N/A</v>
        <stp/>
        <stp>BDH|2891217080532779853</stp>
        <tr r="H7" s="10"/>
      </tp>
      <tp t="e">
        <v>#N/A</v>
        <stp/>
        <stp>BDH|3456566609952391602</stp>
        <tr r="Y24" s="17"/>
      </tp>
      <tp t="e">
        <v>#N/A</v>
        <stp/>
        <stp>BDH|5141002864151878050</stp>
        <tr r="L24" s="2"/>
      </tp>
      <tp t="e">
        <v>#N/A</v>
        <stp/>
        <stp>BDH|8801860910280126372</stp>
        <tr r="L8" s="27"/>
      </tp>
      <tp t="e">
        <v>#N/A</v>
        <stp/>
        <stp>BDH|1349130959492061514</stp>
        <tr r="U10" s="18"/>
      </tp>
      <tp t="e">
        <v>#N/A</v>
        <stp/>
        <stp>BDH|3372173219307039656</stp>
        <tr r="Z8" s="26"/>
        <tr r="W10" s="9"/>
      </tp>
      <tp t="e">
        <v>#N/A</v>
        <stp/>
        <stp>BDH|7428971400734928823</stp>
        <tr r="L41" s="18"/>
      </tp>
      <tp t="e">
        <v>#N/A</v>
        <stp/>
        <stp>BDH|5927714502207218700</stp>
        <tr r="Z49" s="17"/>
      </tp>
      <tp t="e">
        <v>#N/A</v>
        <stp/>
        <stp>BDH|8219294006958712029</stp>
        <tr r="Q21" s="10"/>
      </tp>
      <tp t="e">
        <v>#N/A</v>
        <stp/>
        <stp>BDH|1074292904075715420</stp>
        <tr r="I18" s="23"/>
      </tp>
      <tp t="e">
        <v>#N/A</v>
        <stp/>
        <stp>BDH|8748913454351912731</stp>
        <tr r="D114" s="18"/>
      </tp>
      <tp t="e">
        <v>#N/A</v>
        <stp/>
        <stp>BDH|4443170344847690492</stp>
        <tr r="H11" s="12"/>
      </tp>
      <tp t="e">
        <v>#N/A</v>
        <stp/>
        <stp>BDH|3400361078701524472</stp>
        <tr r="L26" s="6"/>
      </tp>
      <tp t="e">
        <v>#N/A</v>
        <stp/>
        <stp>BDH|6706572368177261023</stp>
        <tr r="N69" s="12"/>
      </tp>
      <tp t="e">
        <v>#N/A</v>
        <stp/>
        <stp>BDH|2973381940040853715</stp>
        <tr r="P60" s="17"/>
      </tp>
      <tp t="e">
        <v>#N/A</v>
        <stp/>
        <stp>BDH|8988678247958096016</stp>
        <tr r="S24" s="4"/>
        <tr r="S58" s="11"/>
      </tp>
      <tp t="e">
        <v>#N/A</v>
        <stp/>
        <stp>BDH|3195023878781300704</stp>
        <tr r="O71" s="24"/>
      </tp>
      <tp t="e">
        <v>#N/A</v>
        <stp/>
        <stp>BDH|4117967893147479189</stp>
        <tr r="V68" s="18"/>
      </tp>
      <tp t="e">
        <v>#N/A</v>
        <stp/>
        <stp>BDH|3622388936172764374</stp>
        <tr r="T32" s="10"/>
        <tr r="T26" s="11"/>
      </tp>
      <tp t="e">
        <v>#N/A</v>
        <stp/>
        <stp>BDH|2725997885814175523</stp>
        <tr r="W21" s="3"/>
      </tp>
      <tp t="e">
        <v>#N/A</v>
        <stp/>
        <stp>BDH|1141066053363902559</stp>
        <tr r="H31" s="17"/>
      </tp>
      <tp t="e">
        <v>#N/A</v>
        <stp/>
        <stp>BDH|7633238238864311069</stp>
        <tr r="P12" s="14"/>
      </tp>
      <tp t="e">
        <v>#N/A</v>
        <stp/>
        <stp>BDH|8301499694272676507</stp>
        <tr r="V47" s="12"/>
      </tp>
      <tp t="e">
        <v>#N/A</v>
        <stp/>
        <stp>BDH|4921352705823374624</stp>
        <tr r="H23" s="12"/>
      </tp>
      <tp t="e">
        <v>#N/A</v>
        <stp/>
        <stp>BDH|6830371962609691837</stp>
        <tr r="V32" s="22"/>
      </tp>
      <tp t="e">
        <v>#N/A</v>
        <stp/>
        <stp>BDH|1467686449879866853</stp>
        <tr r="K47" s="12"/>
      </tp>
      <tp t="e">
        <v>#N/A</v>
        <stp/>
        <stp>BDH|8224811430787816638</stp>
        <tr r="Z58" s="24"/>
      </tp>
      <tp t="e">
        <v>#N/A</v>
        <stp/>
        <stp>BDH|1896944274084934993</stp>
        <tr r="AA14" s="25"/>
      </tp>
      <tp t="e">
        <v>#N/A</v>
        <stp/>
        <stp>BDH|1742953657138422798</stp>
        <tr r="T7" s="11"/>
      </tp>
      <tp t="e">
        <v>#N/A</v>
        <stp/>
        <stp>BDH|4871079316095106202</stp>
        <tr r="M7" s="11"/>
      </tp>
      <tp t="e">
        <v>#N/A</v>
        <stp/>
        <stp>BDH|6275588664337555036</stp>
        <tr r="X26" s="22"/>
      </tp>
      <tp t="e">
        <v>#N/A</v>
        <stp/>
        <stp>BDH|3150439725904736389</stp>
        <tr r="I16" s="18"/>
      </tp>
      <tp t="e">
        <v>#N/A</v>
        <stp/>
        <stp>BDH|2951625024923314746</stp>
        <tr r="M14" s="26"/>
      </tp>
      <tp t="e">
        <v>#N/A</v>
        <stp/>
        <stp>BDH|4393412861461824533</stp>
        <tr r="Z31" s="17"/>
      </tp>
      <tp t="e">
        <v>#N/A</v>
        <stp/>
        <stp>BDH|1471020851254718295</stp>
        <tr r="J71" s="18"/>
      </tp>
      <tp t="e">
        <v>#N/A</v>
        <stp/>
        <stp>BDH|7241666847542219587</stp>
        <tr r="R10" s="26"/>
      </tp>
      <tp t="e">
        <v>#N/A</v>
        <stp/>
        <stp>BDH|5018331191705321884</stp>
        <tr r="J19" s="12"/>
      </tp>
      <tp t="e">
        <v>#N/A</v>
        <stp/>
        <stp>BDH|5727864465740517980</stp>
        <tr r="C52" s="4"/>
        <tr r="E8" s="3"/>
        <tr r="C43" s="10"/>
        <tr r="C37" s="11"/>
        <tr r="E38" s="13"/>
      </tp>
      <tp t="e">
        <v>#N/A</v>
        <stp/>
        <stp>BDH|7907617604207610434</stp>
        <tr r="I141" s="18"/>
      </tp>
      <tp t="e">
        <v>#N/A</v>
        <stp/>
        <stp>BDH|5341594247890707638</stp>
        <tr r="X17" s="23"/>
      </tp>
      <tp t="e">
        <v>#N/A</v>
        <stp/>
        <stp>BDH|1862111044044258262</stp>
        <tr r="H9" s="10"/>
      </tp>
      <tp t="e">
        <v>#N/A</v>
        <stp/>
        <stp>BDH|9620784094887785245</stp>
        <tr r="E32" s="21"/>
      </tp>
      <tp t="e">
        <v>#N/A</v>
        <stp/>
        <stp>BDH|6845655446630657640</stp>
        <tr r="I75" s="17"/>
      </tp>
      <tp t="e">
        <v>#N/A</v>
        <stp/>
        <stp>BDH|1849326552685254033</stp>
        <tr r="E118" s="18"/>
      </tp>
      <tp t="e">
        <v>#N/A</v>
        <stp/>
        <stp>BDH|7101441910442942253</stp>
        <tr r="S13" s="6"/>
      </tp>
      <tp t="e">
        <v>#N/A</v>
        <stp/>
        <stp>BDH|7075056308260076541</stp>
        <tr r="Q62" s="18"/>
      </tp>
      <tp t="e">
        <v>#N/A</v>
        <stp/>
        <stp>BDH|8326952608087412434</stp>
        <tr r="E53" s="24"/>
      </tp>
      <tp t="e">
        <v>#N/A</v>
        <stp/>
        <stp>BDH|2057503128451535645</stp>
        <tr r="C57" s="11"/>
      </tp>
      <tp t="e">
        <v>#N/A</v>
        <stp/>
        <stp>BDH|5933658916070294016</stp>
        <tr r="AA34" s="18"/>
      </tp>
      <tp t="e">
        <v>#N/A</v>
        <stp/>
        <stp>BDH|3503493755269158910</stp>
        <tr r="N13" s="21"/>
      </tp>
      <tp t="e">
        <v>#N/A</v>
        <stp/>
        <stp>BDH|8392385837319110348</stp>
        <tr r="P14" s="10"/>
      </tp>
      <tp t="e">
        <v>#N/A</v>
        <stp/>
        <stp>BDH|6443540099011798975</stp>
        <tr r="Q101" s="18"/>
      </tp>
      <tp t="e">
        <v>#N/A</v>
        <stp/>
        <stp>BDH|8166505259909203331</stp>
        <tr r="W51" s="13"/>
      </tp>
      <tp t="e">
        <v>#N/A</v>
        <stp/>
        <stp>BDH|2046488554510312163</stp>
        <tr r="E111" s="18"/>
        <tr r="C12" s="20"/>
      </tp>
      <tp t="e">
        <v>#N/A</v>
        <stp/>
        <stp>BDH|3731325343850741685</stp>
        <tr r="Z44" s="24"/>
      </tp>
      <tp t="e">
        <v>#N/A</v>
        <stp/>
        <stp>BDH|8280474572598977171</stp>
        <tr r="F83" s="17"/>
      </tp>
      <tp t="e">
        <v>#N/A</v>
        <stp/>
        <stp>BDH|6778148973076131482</stp>
        <tr r="Z18" s="29"/>
        <tr r="Z38" s="29"/>
      </tp>
      <tp t="e">
        <v>#N/A</v>
        <stp/>
        <stp>BDH|1231934628480650868</stp>
        <tr r="Z28" s="18"/>
      </tp>
      <tp t="e">
        <v>#N/A</v>
        <stp/>
        <stp>BDH|5410967399947758054</stp>
        <tr r="S148" s="18"/>
      </tp>
      <tp t="e">
        <v>#N/A</v>
        <stp/>
        <stp>BDH|7882359711502262503</stp>
        <tr r="P24" s="12"/>
      </tp>
      <tp t="e">
        <v>#N/A</v>
        <stp/>
        <stp>BDH|3628497120533949487</stp>
        <tr r="J67" s="17"/>
      </tp>
      <tp t="e">
        <v>#N/A</v>
        <stp/>
        <stp>BDH|5809798022703885154</stp>
        <tr r="D60" s="17"/>
      </tp>
      <tp t="e">
        <v>#N/A</v>
        <stp/>
        <stp>BDH|2261051637114628786</stp>
        <tr r="E46" s="18"/>
      </tp>
      <tp t="e">
        <v>#N/A</v>
        <stp/>
        <stp>BDH|3447205880762316995</stp>
        <tr r="P6" s="27"/>
      </tp>
      <tp t="e">
        <v>#N/A</v>
        <stp/>
        <stp>BDH|5339681045104060107</stp>
        <tr r="U21" s="26"/>
      </tp>
      <tp t="e">
        <v>#N/A</v>
        <stp/>
        <stp>BDH|3899554386869541504</stp>
        <tr r="O26" s="34"/>
      </tp>
      <tp t="e">
        <v>#N/A</v>
        <stp/>
        <stp>BDH|4653364438101468723</stp>
        <tr r="Q15" s="21"/>
      </tp>
      <tp t="e">
        <v>#N/A</v>
        <stp/>
        <stp>BDH|4849645183311222935</stp>
        <tr r="S14" s="28"/>
      </tp>
      <tp t="e">
        <v>#N/A</v>
        <stp/>
        <stp>BDH|2778961837278037281</stp>
        <tr r="P8" s="34"/>
      </tp>
      <tp t="e">
        <v>#N/A</v>
        <stp/>
        <stp>BDH|8986190772899418587</stp>
        <tr r="M14" s="4"/>
      </tp>
      <tp t="e">
        <v>#N/A</v>
        <stp/>
        <stp>BDH|4113323656844880434</stp>
        <tr r="X145" s="18"/>
      </tp>
      <tp t="e">
        <v>#N/A</v>
        <stp/>
        <stp>BDH|8172296027613582949</stp>
        <tr r="E52" s="12"/>
      </tp>
      <tp t="e">
        <v>#N/A</v>
        <stp/>
        <stp>BDH|5335467330718304885</stp>
        <tr r="T12" s="18"/>
      </tp>
      <tp t="e">
        <v>#N/A</v>
        <stp/>
        <stp>BDH|2872438677784793757</stp>
        <tr r="D10" s="24"/>
      </tp>
      <tp t="e">
        <v>#N/A</v>
        <stp/>
        <stp>BDH|5858338451943047246</stp>
        <tr r="V9" s="27"/>
      </tp>
      <tp t="e">
        <v>#N/A</v>
        <stp/>
        <stp>BDH|3185696208905777299</stp>
        <tr r="M21" s="20"/>
      </tp>
      <tp t="e">
        <v>#N/A</v>
        <stp/>
        <stp>BDH|5571165367334302498</stp>
        <tr r="Z70" s="12"/>
      </tp>
      <tp t="e">
        <v>#N/A</v>
        <stp/>
        <stp>BDH|5845976319288910718</stp>
        <tr r="P11" s="12"/>
      </tp>
      <tp t="e">
        <v>#N/A</v>
        <stp/>
        <stp>BDH|5308587130692414318</stp>
        <tr r="U7" s="17"/>
      </tp>
      <tp t="e">
        <v>#N/A</v>
        <stp/>
        <stp>BDH|7123901498517570229</stp>
        <tr r="M15" s="25"/>
      </tp>
      <tp t="e">
        <v>#N/A</v>
        <stp/>
        <stp>BDH|5988164861252356233</stp>
        <tr r="O19" s="20"/>
      </tp>
      <tp t="e">
        <v>#N/A</v>
        <stp/>
        <stp>BDH|1755353108624720439</stp>
        <tr r="V10" s="10"/>
      </tp>
      <tp t="e">
        <v>#N/A</v>
        <stp/>
        <stp>BDH|2597234807124976660</stp>
        <tr r="K29" s="21"/>
      </tp>
      <tp t="e">
        <v>#N/A</v>
        <stp/>
        <stp>BDH|5728638071353932520</stp>
        <tr r="N47" s="17"/>
      </tp>
      <tp t="e">
        <v>#N/A</v>
        <stp/>
        <stp>BDH|9563438488792474544</stp>
        <tr r="F75" s="12"/>
      </tp>
      <tp t="e">
        <v>#N/A</v>
        <stp/>
        <stp>BDH|2888579846867331647</stp>
        <tr r="L115" s="18"/>
      </tp>
      <tp t="e">
        <v>#N/A</v>
        <stp/>
        <stp>BDH|4851925186047749059</stp>
        <tr r="D29" s="17"/>
      </tp>
      <tp t="e">
        <v>#N/A</v>
        <stp/>
        <stp>BDH|1781335710117224682</stp>
        <tr r="H46" s="12"/>
      </tp>
      <tp t="e">
        <v>#N/A</v>
        <stp/>
        <stp>BDH|7139211105907350082</stp>
        <tr r="K15" s="18"/>
      </tp>
      <tp t="e">
        <v>#N/A</v>
        <stp/>
        <stp>BDH|2323309325707069686</stp>
        <tr r="P79" s="12"/>
      </tp>
      <tp t="e">
        <v>#N/A</v>
        <stp/>
        <stp>BDH|5409787807837437713</stp>
        <tr r="Y42" s="4"/>
      </tp>
      <tp t="e">
        <v>#N/A</v>
        <stp/>
        <stp>BDH|8445492383030710678</stp>
        <tr r="S21" s="9"/>
      </tp>
      <tp t="e">
        <v>#N/A</v>
        <stp/>
        <stp>BDH|2246409282995933978</stp>
        <tr r="J8" s="34"/>
      </tp>
      <tp t="e">
        <v>#N/A</v>
        <stp/>
        <stp>BDH|8530328628893555849</stp>
        <tr r="AA106" s="18"/>
        <tr r="Z6" s="20"/>
      </tp>
      <tp t="e">
        <v>#N/A</v>
        <stp/>
        <stp>BDH|8237630659870340951</stp>
        <tr r="U20" s="30"/>
      </tp>
      <tp t="e">
        <v>#N/A</v>
        <stp/>
        <stp>BDH|4811384899315599921</stp>
        <tr r="V27" s="26"/>
        <tr r="S14" s="9"/>
      </tp>
      <tp t="e">
        <v>#N/A</v>
        <stp/>
        <stp>BDH|1817060427680606119</stp>
        <tr r="E95" s="17"/>
        <tr r="E30" s="25"/>
      </tp>
      <tp t="e">
        <v>#N/A</v>
        <stp/>
        <stp>BDH|2549895984615017577</stp>
        <tr r="R22" s="4"/>
      </tp>
      <tp t="e">
        <v>#N/A</v>
        <stp/>
        <stp>BDH|4858468965182159658</stp>
        <tr r="O39" s="12"/>
      </tp>
      <tp t="e">
        <v>#N/A</v>
        <stp/>
        <stp>BDH|9108830047506359191</stp>
        <tr r="J7" s="11"/>
      </tp>
      <tp t="e">
        <v>#N/A</v>
        <stp/>
        <stp>BDH|2196466109095980186</stp>
        <tr r="F155" s="18"/>
      </tp>
      <tp t="e">
        <v>#N/A</v>
        <stp/>
        <stp>BDH|5908318625211280703</stp>
        <tr r="C20" s="12"/>
      </tp>
      <tp t="e">
        <v>#N/A</v>
        <stp/>
        <stp>BDH|7591203038860315413</stp>
        <tr r="W61" s="24"/>
      </tp>
      <tp t="e">
        <v>#N/A</v>
        <stp/>
        <stp>BDH|2078438680718884440</stp>
        <tr r="P88" s="17"/>
      </tp>
      <tp t="e">
        <v>#N/A</v>
        <stp/>
        <stp>BDH|1420233569705453250</stp>
        <tr r="E28" s="5"/>
      </tp>
      <tp t="e">
        <v>#N/A</v>
        <stp/>
        <stp>BDH|2117061168861531758</stp>
        <tr r="P20" s="27"/>
      </tp>
      <tp t="e">
        <v>#N/A</v>
        <stp/>
        <stp>BDH|7958906919459927466</stp>
        <tr r="K36" s="24"/>
      </tp>
      <tp t="e">
        <v>#N/A</v>
        <stp/>
        <stp>BDH|5804450617176019453</stp>
        <tr r="N15" s="9"/>
      </tp>
      <tp t="e">
        <v>#N/A</v>
        <stp/>
        <stp>BDH|9358159176848742583</stp>
        <tr r="U116" s="18"/>
      </tp>
      <tp t="e">
        <v>#N/A</v>
        <stp/>
        <stp>BDH|2762652000345902345</stp>
        <tr r="E166" s="18"/>
      </tp>
      <tp t="e">
        <v>#N/A</v>
        <stp/>
        <stp>BDH|6185388408555943273</stp>
        <tr r="F21" s="18"/>
      </tp>
      <tp t="e">
        <v>#N/A</v>
        <stp/>
        <stp>BDH|1909646603235738062</stp>
        <tr r="M44" s="13"/>
      </tp>
      <tp t="e">
        <v>#N/A</v>
        <stp/>
        <stp>BDH|3206555736810997771</stp>
        <tr r="S113" s="18"/>
        <tr r="Q14" s="20"/>
      </tp>
      <tp t="e">
        <v>#N/A</v>
        <stp/>
        <stp>BDH|7795506703069924929</stp>
        <tr r="N28" s="25"/>
        <tr r="N18" s="27"/>
      </tp>
      <tp t="e">
        <v>#N/A</v>
        <stp/>
        <stp>BDH|9101399127889934396</stp>
        <tr r="Y6" s="15"/>
        <tr r="Y12" s="2"/>
        <tr r="Y11" s="4"/>
        <tr r="Y6" s="10"/>
      </tp>
      <tp t="e">
        <v>#N/A</v>
        <stp/>
        <stp>BDH|2479617913313909407</stp>
        <tr r="S145" s="18"/>
      </tp>
      <tp t="e">
        <v>#N/A</v>
        <stp/>
        <stp>BDH|1742740883604747881</stp>
        <tr r="X7" s="17"/>
      </tp>
      <tp t="e">
        <v>#N/A</v>
        <stp/>
        <stp>BDH|4120129375999857910</stp>
        <tr r="G22" s="21"/>
      </tp>
      <tp t="e">
        <v>#N/A</v>
        <stp/>
        <stp>BDH|4941805040173169971</stp>
        <tr r="P22" s="5"/>
      </tp>
      <tp t="e">
        <v>#N/A</v>
        <stp/>
        <stp>BDH|2755297405410169257</stp>
        <tr r="Z15" s="12"/>
      </tp>
      <tp t="e">
        <v>#N/A</v>
        <stp/>
        <stp>BDH|9257872528826615748</stp>
        <tr r="D21" s="21"/>
      </tp>
      <tp t="e">
        <v>#N/A</v>
        <stp/>
        <stp>BDH|8640704668279161202</stp>
        <tr r="S64" s="24"/>
      </tp>
      <tp t="e">
        <v>#N/A</v>
        <stp/>
        <stp>BDH|1765610158809921985</stp>
        <tr r="H23" s="2"/>
        <tr r="J18" s="21"/>
        <tr r="J23" s="3"/>
      </tp>
      <tp t="e">
        <v>#N/A</v>
        <stp/>
        <stp>BDH|5882082025831320499</stp>
        <tr r="H78" s="12"/>
      </tp>
      <tp t="e">
        <v>#N/A</v>
        <stp/>
        <stp>BDH|6128536958673034759</stp>
        <tr r="D35" s="25"/>
        <tr r="D7" s="3"/>
        <tr r="D22" s="13"/>
        <tr r="D7" s="13"/>
      </tp>
      <tp t="e">
        <v>#N/A</v>
        <stp/>
        <stp>BDH|1222685210551409518</stp>
        <tr r="AA10" s="30"/>
      </tp>
      <tp t="e">
        <v>#N/A</v>
        <stp/>
        <stp>BDH|3778537854836627797</stp>
        <tr r="AA79" s="18"/>
      </tp>
      <tp t="e">
        <v>#N/A</v>
        <stp/>
        <stp>BDH|5430397014175493021</stp>
        <tr r="K49" s="18"/>
      </tp>
      <tp t="e">
        <v>#N/A</v>
        <stp/>
        <stp>BDH|4730474229229595930</stp>
        <tr r="AA11" s="18"/>
      </tp>
      <tp t="e">
        <v>#N/A</v>
        <stp/>
        <stp>BDH|6941757567866523315</stp>
        <tr r="K28" s="9"/>
      </tp>
      <tp t="e">
        <v>#N/A</v>
        <stp/>
        <stp>BDH|6652572305857336683</stp>
        <tr r="X8" s="18"/>
      </tp>
      <tp t="e">
        <v>#N/A</v>
        <stp/>
        <stp>BDH|5725260316954970013</stp>
        <tr r="I72" s="10"/>
        <tr r="I66" s="11"/>
      </tp>
      <tp t="e">
        <v>#N/A</v>
        <stp/>
        <stp>BDH|4577214045584903479</stp>
        <tr r="AA77" s="12"/>
      </tp>
      <tp t="e">
        <v>#N/A</v>
        <stp/>
        <stp>BDH|2942686228993447720</stp>
        <tr r="W28" s="10"/>
        <tr r="Y33" s="13"/>
      </tp>
      <tp t="e">
        <v>#N/A</v>
        <stp/>
        <stp>BDH|1755040442823835460</stp>
        <tr r="L121" s="18"/>
      </tp>
      <tp t="e">
        <v>#N/A</v>
        <stp/>
        <stp>BDH|6008068069232406044</stp>
        <tr r="K27" s="21"/>
      </tp>
      <tp t="e">
        <v>#N/A</v>
        <stp/>
        <stp>BDH|4862502503797384475</stp>
        <tr r="L53" s="13"/>
      </tp>
      <tp t="e">
        <v>#N/A</v>
        <stp/>
        <stp>BDH|6280367843984270790</stp>
        <tr r="V21" s="2"/>
      </tp>
      <tp t="e">
        <v>#N/A</v>
        <stp/>
        <stp>BDH|4310985167288471140</stp>
        <tr r="E12" s="30"/>
      </tp>
      <tp t="e">
        <v>#N/A</v>
        <stp/>
        <stp>BDH|7723152913057894258</stp>
        <tr r="AA72" s="12"/>
      </tp>
      <tp t="e">
        <v>#N/A</v>
        <stp/>
        <stp>BDH|4328418440090901679</stp>
        <tr r="C15" s="23"/>
      </tp>
      <tp t="e">
        <v>#N/A</v>
        <stp/>
        <stp>BDH|8421697480035402156</stp>
        <tr r="R73" s="18"/>
      </tp>
      <tp t="e">
        <v>#N/A</v>
        <stp/>
        <stp>BDH|1114412938682003646</stp>
        <tr r="G26" s="17"/>
      </tp>
      <tp t="e">
        <v>#N/A</v>
        <stp/>
        <stp>BDH|6219945809669140425</stp>
        <tr r="W69" s="17"/>
      </tp>
      <tp t="e">
        <v>#N/A</v>
        <stp/>
        <stp>BDH|3813362082062578857</stp>
        <tr r="W79" s="12"/>
      </tp>
      <tp t="e">
        <v>#N/A</v>
        <stp/>
        <stp>BDH|3090171217781885044</stp>
        <tr r="Y14" s="17"/>
        <tr r="Y17" s="28"/>
      </tp>
      <tp t="e">
        <v>#N/A</v>
        <stp/>
        <stp>BDH|4751293841591629152</stp>
        <tr r="D28" s="25"/>
        <tr r="D18" s="27"/>
      </tp>
      <tp t="e">
        <v>#N/A</v>
        <stp/>
        <stp>BDH|1674021856924849269</stp>
        <tr r="V12" s="12"/>
      </tp>
      <tp t="e">
        <v>#N/A</v>
        <stp/>
        <stp>BDH|7370304223511950551</stp>
        <tr r="J12" s="7"/>
      </tp>
      <tp t="e">
        <v>#N/A</v>
        <stp/>
        <stp>BDH|7122968566592546889</stp>
        <tr r="H53" s="18"/>
      </tp>
      <tp t="e">
        <v>#N/A</v>
        <stp/>
        <stp>BDH|6331557367225806253</stp>
        <tr r="D35" s="13"/>
      </tp>
      <tp t="e">
        <v>#N/A</v>
        <stp/>
        <stp>BDH|6970760431245731552</stp>
        <tr r="M62" s="17"/>
      </tp>
      <tp t="e">
        <v>#N/A</v>
        <stp/>
        <stp>BDH|4028930168558006170</stp>
        <tr r="D90" s="17"/>
      </tp>
      <tp t="e">
        <v>#N/A</v>
        <stp/>
        <stp>BDH|1082020454804210287</stp>
        <tr r="D23" s="2"/>
        <tr r="F18" s="21"/>
        <tr r="F23" s="3"/>
      </tp>
      <tp t="e">
        <v>#N/A</v>
        <stp/>
        <stp>BDH|1354901876485119887</stp>
        <tr r="Q42" s="21"/>
      </tp>
      <tp t="e">
        <v>#N/A</v>
        <stp/>
        <stp>BDH|2925071312999687864</stp>
        <tr r="L50" s="4"/>
      </tp>
      <tp t="e">
        <v>#N/A</v>
        <stp/>
        <stp>BDH|1014190464904905081</stp>
        <tr r="T44" s="12"/>
      </tp>
      <tp t="e">
        <v>#N/A</v>
        <stp/>
        <stp>BDH|2575526358282522268</stp>
        <tr r="AA46" s="21"/>
      </tp>
      <tp t="e">
        <v>#N/A</v>
        <stp/>
        <stp>BDH|9913677409989354483</stp>
        <tr r="R54" s="21"/>
      </tp>
      <tp t="e">
        <v>#N/A</v>
        <stp/>
        <stp>BDH|5835459807120768315</stp>
        <tr r="C11" s="13"/>
      </tp>
      <tp t="e">
        <v>#N/A</v>
        <stp/>
        <stp>BDH|2219671159127118418</stp>
        <tr r="P26" s="13"/>
      </tp>
      <tp t="e">
        <v>#N/A</v>
        <stp/>
        <stp>BDH|5071508659223730425</stp>
        <tr r="H26" s="13"/>
      </tp>
      <tp t="e">
        <v>#N/A</v>
        <stp/>
        <stp>BDH|4854819801719595719</stp>
        <tr r="D73" s="10"/>
        <tr r="D67" s="11"/>
      </tp>
      <tp t="e">
        <v>#N/A</v>
        <stp/>
        <stp>BDH|7630031583144999930</stp>
        <tr r="Z137" s="18"/>
      </tp>
      <tp t="e">
        <v>#N/A</v>
        <stp/>
        <stp>BDH|2903989268686569904</stp>
        <tr r="Q95" s="18"/>
      </tp>
      <tp t="e">
        <v>#N/A</v>
        <stp/>
        <stp>BDH|9976471699154298293</stp>
        <tr r="Q22" s="17"/>
      </tp>
      <tp t="e">
        <v>#N/A</v>
        <stp/>
        <stp>BDH|5920938165158470070</stp>
        <tr r="N102" s="18"/>
      </tp>
      <tp t="e">
        <v>#N/A</v>
        <stp/>
        <stp>BDH|4960146832971068533</stp>
        <tr r="P25" s="34"/>
      </tp>
      <tp t="e">
        <v>#N/A</v>
        <stp/>
        <stp>BDH|9388285822278576304</stp>
        <tr r="I17" s="29"/>
        <tr r="I37" s="29"/>
      </tp>
      <tp t="e">
        <v>#N/A</v>
        <stp/>
        <stp>BDH|7290235114080006690</stp>
        <tr r="Q63" s="18"/>
      </tp>
      <tp t="e">
        <v>#N/A</v>
        <stp/>
        <stp>BDH|7020398129393903756</stp>
        <tr r="P20" s="30"/>
      </tp>
      <tp t="e">
        <v>#N/A</v>
        <stp/>
        <stp>BDH|9988070054026526834</stp>
        <tr r="U75" s="12"/>
      </tp>
      <tp t="e">
        <v>#N/A</v>
        <stp/>
        <stp>BDH|4275664337773605084</stp>
        <tr r="N57" s="11"/>
      </tp>
      <tp t="e">
        <v>#N/A</v>
        <stp/>
        <stp>BDH|6464433296279901057</stp>
        <tr r="Y18" s="20"/>
      </tp>
      <tp t="e">
        <v>#N/A</v>
        <stp/>
        <stp>BDH|7447573314462959336</stp>
        <tr r="E10" s="6"/>
      </tp>
      <tp t="e">
        <v>#N/A</v>
        <stp/>
        <stp>BDH|8685209939228218301</stp>
        <tr r="K14" s="21"/>
      </tp>
      <tp t="e">
        <v>#N/A</v>
        <stp/>
        <stp>BDH|9949820820620170176</stp>
        <tr r="N36" s="34"/>
      </tp>
      <tp t="e">
        <v>#N/A</v>
        <stp/>
        <stp>BDH|2525444826255241383</stp>
        <tr r="J64" s="18"/>
      </tp>
      <tp t="e">
        <v>#N/A</v>
        <stp/>
        <stp>BDH|8991763538569298785</stp>
        <tr r="U68" s="17"/>
      </tp>
      <tp t="e">
        <v>#N/A</v>
        <stp/>
        <stp>BDH|5725251073941587390</stp>
        <tr r="Q18" s="23"/>
      </tp>
      <tp t="e">
        <v>#N/A</v>
        <stp/>
        <stp>BDH|1806232840616206346</stp>
        <tr r="N15" s="22"/>
      </tp>
      <tp t="e">
        <v>#N/A</v>
        <stp/>
        <stp>BDH|4737164972228656882</stp>
        <tr r="X56" s="10"/>
        <tr r="X50" s="11"/>
        <tr r="X18" s="7"/>
        <tr r="Z52" s="13"/>
      </tp>
      <tp t="e">
        <v>#N/A</v>
        <stp/>
        <stp>BDH|3202473311464074095</stp>
        <tr r="N17" s="9"/>
      </tp>
      <tp t="e">
        <v>#N/A</v>
        <stp/>
        <stp>BDH|3677971712839820069</stp>
        <tr r="W55" s="13"/>
      </tp>
      <tp t="e">
        <v>#N/A</v>
        <stp/>
        <stp>BDH|1352232719394141455</stp>
        <tr r="S9" s="24"/>
      </tp>
      <tp t="e">
        <v>#N/A</v>
        <stp/>
        <stp>BDH|2231743979334629446</stp>
        <tr r="W61" s="18"/>
      </tp>
      <tp t="e">
        <v>#N/A</v>
        <stp/>
        <stp>BDH|4167031775561838026</stp>
        <tr r="W47" s="21"/>
      </tp>
      <tp t="e">
        <v>#N/A</v>
        <stp/>
        <stp>BDH|1827549562951378102</stp>
        <tr r="Q17" s="23"/>
      </tp>
      <tp t="e">
        <v>#N/A</v>
        <stp/>
        <stp>BDH|2747416875643854066</stp>
        <tr r="J9" s="13"/>
      </tp>
      <tp t="e">
        <v>#N/A</v>
        <stp/>
        <stp>BDH|9418398949784003899</stp>
        <tr r="F20" s="23"/>
      </tp>
      <tp t="e">
        <v>#N/A</v>
        <stp/>
        <stp>BDH|1373134628151762122</stp>
        <tr r="X62" s="12"/>
      </tp>
      <tp t="e">
        <v>#N/A</v>
        <stp/>
        <stp>BDH|5313732846852882635</stp>
        <tr r="Z24" s="24"/>
      </tp>
      <tp t="e">
        <v>#N/A</v>
        <stp/>
        <stp>BDH|8984767384920639503</stp>
        <tr r="N59" s="12"/>
      </tp>
      <tp t="e">
        <v>#N/A</v>
        <stp/>
        <stp>BDH|4195325053509925942</stp>
        <tr r="V31" s="21"/>
      </tp>
      <tp t="e">
        <v>#N/A</v>
        <stp/>
        <stp>BDH|9962058228091026895</stp>
        <tr r="D150" s="18"/>
      </tp>
      <tp t="e">
        <v>#N/A</v>
        <stp/>
        <stp>BDH|9667827032338394883</stp>
        <tr r="R14" s="14"/>
      </tp>
      <tp t="e">
        <v>#N/A</v>
        <stp/>
        <stp>BDH|3982635616522835493</stp>
        <tr r="H67" s="17"/>
      </tp>
      <tp t="e">
        <v>#N/A</v>
        <stp/>
        <stp>BDH|6287959675933779987</stp>
        <tr r="Y52" s="17"/>
      </tp>
      <tp t="e">
        <v>#N/A</v>
        <stp/>
        <stp>BDH|2961676452866321521</stp>
        <tr r="X25" s="12"/>
      </tp>
      <tp t="e">
        <v>#N/A</v>
        <stp/>
        <stp>BDH|2806921018009830178</stp>
        <tr r="D24" s="20"/>
      </tp>
      <tp t="e">
        <v>#N/A</v>
        <stp/>
        <stp>BDH|1997035640691364646</stp>
        <tr r="O91" s="17"/>
      </tp>
      <tp t="e">
        <v>#N/A</v>
        <stp/>
        <stp>BDH|1636994833819606075</stp>
        <tr r="S9" s="28"/>
      </tp>
      <tp t="e">
        <v>#N/A</v>
        <stp/>
        <stp>BDH|8219881079095951078</stp>
        <tr r="U8" s="23"/>
      </tp>
      <tp t="e">
        <v>#N/A</v>
        <stp/>
        <stp>BDH|5600166429873454707</stp>
        <tr r="L34" s="10"/>
        <tr r="L28" s="11"/>
      </tp>
      <tp t="e">
        <v>#N/A</v>
        <stp/>
        <stp>BDH|3186062726241445280</stp>
        <tr r="X15" s="17"/>
        <tr r="X18" s="28"/>
      </tp>
      <tp t="e">
        <v>#N/A</v>
        <stp/>
        <stp>BDH|7242605565492394790</stp>
        <tr r="Q94" s="17"/>
      </tp>
      <tp t="e">
        <v>#N/A</v>
        <stp/>
        <stp>BDH|7853845012855023934</stp>
        <tr r="L74" s="17"/>
      </tp>
      <tp t="e">
        <v>#N/A</v>
        <stp/>
        <stp>BDH|9601208994765629593</stp>
        <tr r="N28" s="4"/>
      </tp>
      <tp t="e">
        <v>#N/A</v>
        <stp/>
        <stp>BDH|6150626353047947049</stp>
        <tr r="Y18" s="24"/>
      </tp>
      <tp t="e">
        <v>#N/A</v>
        <stp/>
        <stp>BDH|1471915564534224814</stp>
        <tr r="Y67" s="18"/>
      </tp>
      <tp t="e">
        <v>#N/A</v>
        <stp/>
        <stp>BDH|8356945047954415368</stp>
        <tr r="P10" s="6"/>
      </tp>
      <tp t="e">
        <v>#N/A</v>
        <stp/>
        <stp>BDH|6090557187781808889</stp>
        <tr r="C130" s="18"/>
      </tp>
      <tp t="e">
        <v>#N/A</v>
        <stp/>
        <stp>BDH|6240095321133862506</stp>
        <tr r="W47" s="24"/>
      </tp>
      <tp t="e">
        <v>#N/A</v>
        <stp/>
        <stp>BDH|1488047431968349802</stp>
        <tr r="V24" s="21"/>
      </tp>
      <tp t="e">
        <v>#N/A</v>
        <stp/>
        <stp>BDH|9142634494991084541</stp>
        <tr r="D23" s="12"/>
      </tp>
      <tp t="e">
        <v>#N/A</v>
        <stp/>
        <stp>BDH|3169095918013797359</stp>
        <tr r="P26" s="25"/>
        <tr r="P16" s="27"/>
      </tp>
      <tp t="e">
        <v>#N/A</v>
        <stp/>
        <stp>BDH|2659794171769842941</stp>
        <tr r="I91" s="17"/>
      </tp>
      <tp t="e">
        <v>#N/A</v>
        <stp/>
        <stp>BDH|8738816094108189319</stp>
        <tr r="F9" s="34"/>
      </tp>
      <tp t="e">
        <v>#N/A</v>
        <stp/>
        <stp>BDH|6979430758096033300</stp>
        <tr r="L57" s="12"/>
      </tp>
      <tp t="e">
        <v>#N/A</v>
        <stp/>
        <stp>BDH|9361772367369654376</stp>
        <tr r="H8" s="27"/>
      </tp>
      <tp t="e">
        <v>#N/A</v>
        <stp/>
        <stp>BDH|7948588701783594376</stp>
        <tr r="C9" s="3"/>
      </tp>
      <tp t="e">
        <v>#N/A</v>
        <stp/>
        <stp>BDH|1983708565757868565</stp>
        <tr r="C14" s="10"/>
      </tp>
      <tp t="e">
        <v>#N/A</v>
        <stp/>
        <stp>BDH|3778210236688656843</stp>
        <tr r="AA19" s="26"/>
      </tp>
      <tp t="e">
        <v>#N/A</v>
        <stp/>
        <stp>BDH|8657963612936419449</stp>
        <tr r="X50" s="13"/>
      </tp>
      <tp t="e">
        <v>#N/A</v>
        <stp/>
        <stp>BDH|6115862762112551821</stp>
        <tr r="Z24" s="13"/>
      </tp>
      <tp t="e">
        <v>#N/A</v>
        <stp/>
        <stp>BDH|7120252767484121500</stp>
        <tr r="S19" s="11"/>
      </tp>
      <tp t="e">
        <v>#N/A</v>
        <stp/>
        <stp>BDH|2392233520945539576</stp>
        <tr r="Z77" s="18"/>
      </tp>
      <tp t="e">
        <v>#N/A</v>
        <stp/>
        <stp>BDH|3403247542253881484</stp>
        <tr r="T30" s="26"/>
      </tp>
      <tp t="e">
        <v>#N/A</v>
        <stp/>
        <stp>BDH|2253156420816563505</stp>
        <tr r="G40" s="34"/>
      </tp>
      <tp t="e">
        <v>#N/A</v>
        <stp/>
        <stp>BDH|9697380299028711920</stp>
        <tr r="V46" s="10"/>
        <tr r="V40" s="11"/>
      </tp>
      <tp t="e">
        <v>#N/A</v>
        <stp/>
        <stp>BDH|2051632030560606579</stp>
        <tr r="U60" s="12"/>
      </tp>
      <tp t="e">
        <v>#N/A</v>
        <stp/>
        <stp>BDH|4246654145890202423</stp>
        <tr r="V52" s="18"/>
      </tp>
      <tp t="e">
        <v>#N/A</v>
        <stp/>
        <stp>BDH|2364435093019719468</stp>
        <tr r="L47" s="24"/>
      </tp>
      <tp t="e">
        <v>#N/A</v>
        <stp/>
        <stp>BDH|3774027424933414075</stp>
        <tr r="S99" s="18"/>
      </tp>
      <tp t="e">
        <v>#N/A</v>
        <stp/>
        <stp>BDH|3482145909277324780</stp>
        <tr r="M13" s="8"/>
      </tp>
      <tp t="e">
        <v>#N/A</v>
        <stp/>
        <stp>BDH|4819439113293815027</stp>
        <tr r="K90" s="17"/>
      </tp>
      <tp t="e">
        <v>#N/A</v>
        <stp/>
        <stp>BDH|3884409007846804356</stp>
        <tr r="F13" s="22"/>
      </tp>
      <tp t="e">
        <v>#N/A</v>
        <stp/>
        <stp>BDH|9480450577348644020</stp>
        <tr r="T8" s="13"/>
      </tp>
      <tp t="e">
        <v>#N/A</v>
        <stp/>
        <stp>BDH|7909487668482887534</stp>
        <tr r="E19" s="25"/>
        <tr r="C21" s="11"/>
      </tp>
      <tp t="e">
        <v>#N/A</v>
        <stp/>
        <stp>BDH|6732979233068137606</stp>
        <tr r="F33" s="12"/>
      </tp>
      <tp t="e">
        <v>#N/A</v>
        <stp/>
        <stp>BDH|4539341968283385087</stp>
        <tr r="X11" s="28"/>
      </tp>
      <tp t="e">
        <v>#N/A</v>
        <stp/>
        <stp>BDH|2080755426154665174</stp>
        <tr r="K51" s="18"/>
      </tp>
      <tp t="e">
        <v>#N/A</v>
        <stp/>
        <stp>BDH|2729401297884566973</stp>
        <tr r="J18" s="2"/>
        <tr r="J53" s="4"/>
        <tr r="J45" s="10"/>
        <tr r="J39" s="11"/>
        <tr r="L46" s="13"/>
      </tp>
      <tp t="e">
        <v>#N/A</v>
        <stp/>
        <stp>BDH|2292375546923825499</stp>
        <tr r="F21" s="2"/>
      </tp>
      <tp t="e">
        <v>#N/A</v>
        <stp/>
        <stp>BDH|8762307575627908999</stp>
        <tr r="Z31" s="26"/>
      </tp>
      <tp t="e">
        <v>#N/A</v>
        <stp/>
        <stp>BDH|7238039057655664524</stp>
        <tr r="Y13" s="11"/>
      </tp>
      <tp t="e">
        <v>#N/A</v>
        <stp/>
        <stp>BDH|4788718976463545561</stp>
        <tr r="L26" s="24"/>
      </tp>
      <tp t="e">
        <v>#N/A</v>
        <stp/>
        <stp>BDH|9218454615748807693</stp>
        <tr r="H9" s="24"/>
      </tp>
      <tp t="e">
        <v>#N/A</v>
        <stp/>
        <stp>BDH|2864004002722023297</stp>
        <tr r="T31" s="26"/>
      </tp>
      <tp t="e">
        <v>#N/A</v>
        <stp/>
        <stp>BDH|9068163819469596298</stp>
        <tr r="I25" s="22"/>
      </tp>
      <tp t="e">
        <v>#N/A</v>
        <stp/>
        <stp>BDH|3651573065586688418</stp>
        <tr r="S60" s="21"/>
      </tp>
      <tp t="e">
        <v>#N/A</v>
        <stp/>
        <stp>BDH|2286336861356499376</stp>
        <tr r="V38" s="6"/>
      </tp>
      <tp t="e">
        <v>#N/A</v>
        <stp/>
        <stp>BDH|6696869935727573835</stp>
        <tr r="F12" s="12"/>
      </tp>
      <tp t="e">
        <v>#N/A</v>
        <stp/>
        <stp>BDH|7392570531187794414</stp>
        <tr r="D8" s="11"/>
      </tp>
      <tp t="e">
        <v>#N/A</v>
        <stp/>
        <stp>BDH|1124943697740842396</stp>
        <tr r="U10" s="11"/>
      </tp>
      <tp t="e">
        <v>#N/A</v>
        <stp/>
        <stp>BDH|4439662911342072301</stp>
        <tr r="E59" s="21"/>
        <tr r="C56" s="11"/>
      </tp>
      <tp t="e">
        <v>#N/A</v>
        <stp/>
        <stp>BDH|5269576629072959261</stp>
        <tr r="L17" s="22"/>
      </tp>
      <tp t="e">
        <v>#N/A</v>
        <stp/>
        <stp>BDH|3342760256223327032</stp>
        <tr r="V42" s="17"/>
      </tp>
      <tp t="e">
        <v>#N/A</v>
        <stp/>
        <stp>BDH|1965545530123634687</stp>
        <tr r="Y51" s="17"/>
      </tp>
      <tp t="e">
        <v>#N/A</v>
        <stp/>
        <stp>BDH|7522721377521266419</stp>
        <tr r="C12" s="14"/>
      </tp>
      <tp t="e">
        <v>#N/A</v>
        <stp/>
        <stp>BDH|2113501474154081661</stp>
        <tr r="T115" s="18"/>
      </tp>
      <tp t="e">
        <v>#N/A</v>
        <stp/>
        <stp>BDH|2537516735860252603</stp>
        <tr r="D68" s="24"/>
      </tp>
      <tp t="e">
        <v>#N/A</v>
        <stp/>
        <stp>BDH|6820360020013404699</stp>
        <tr r="R14" s="8"/>
      </tp>
      <tp t="e">
        <v>#N/A</v>
        <stp/>
        <stp>BDH|1927538959917709478</stp>
        <tr r="N20" s="30"/>
      </tp>
      <tp t="e">
        <v>#N/A</v>
        <stp/>
        <stp>BDH|5940121972568338998</stp>
        <tr r="N57" s="18"/>
      </tp>
      <tp t="e">
        <v>#N/A</v>
        <stp/>
        <stp>BDH|5241887241433042888</stp>
        <tr r="Z18" s="30"/>
      </tp>
      <tp t="e">
        <v>#N/A</v>
        <stp/>
        <stp>BDH|8485853436317019642</stp>
        <tr r="W15" s="11"/>
      </tp>
      <tp t="e">
        <v>#N/A</v>
        <stp/>
        <stp>BDH|3835283255963461522</stp>
        <tr r="Q23" s="24"/>
      </tp>
      <tp t="e">
        <v>#N/A</v>
        <stp/>
        <stp>BDH|7695286212165679394</stp>
        <tr r="W55" s="17"/>
      </tp>
      <tp t="e">
        <v>#N/A</v>
        <stp/>
        <stp>BDH|2589485319721613416</stp>
        <tr r="P10" s="2"/>
        <tr r="O11" s="5"/>
        <tr r="O36" s="6"/>
        <tr r="R31" s="29"/>
        <tr r="R39" s="29"/>
      </tp>
      <tp t="e">
        <v>#N/A</v>
        <stp/>
        <stp>BDH|1707520325722685653</stp>
        <tr r="Y32" s="22"/>
      </tp>
      <tp t="e">
        <v>#N/A</v>
        <stp/>
        <stp>BDH|3313308835766154747</stp>
        <tr r="V61" s="18"/>
      </tp>
      <tp t="e">
        <v>#N/A</v>
        <stp/>
        <stp>BDH|4767415737832527376</stp>
        <tr r="T166" s="18"/>
      </tp>
      <tp t="e">
        <v>#N/A</v>
        <stp/>
        <stp>BDH|1724031653311782737</stp>
        <tr r="J108" s="18"/>
        <tr r="H8" s="20"/>
      </tp>
      <tp t="e">
        <v>#N/A</v>
        <stp/>
        <stp>BDH|5581433512094471633</stp>
        <tr r="L24" s="22"/>
      </tp>
      <tp t="e">
        <v>#N/A</v>
        <stp/>
        <stp>BDH|3296453954366213627</stp>
        <tr r="Q40" s="21"/>
      </tp>
      <tp t="e">
        <v>#N/A</v>
        <stp/>
        <stp>BDH|9920897970802647657</stp>
        <tr r="G42" s="10"/>
        <tr r="G36" s="11"/>
      </tp>
      <tp t="e">
        <v>#N/A</v>
        <stp/>
        <stp>BDH|8574594349072760924</stp>
        <tr r="E15" s="21"/>
      </tp>
      <tp t="e">
        <v>#N/A</v>
        <stp/>
        <stp>BDH|3728565734640491719</stp>
        <tr r="G75" s="12"/>
      </tp>
      <tp t="e">
        <v>#N/A</v>
        <stp/>
        <stp>BDH|1466424576907320739</stp>
        <tr r="Y60" s="11"/>
        <tr r="AA15" s="23"/>
      </tp>
      <tp t="e">
        <v>#N/A</v>
        <stp/>
        <stp>BDH|4731182946827824418</stp>
        <tr r="E147" s="18"/>
      </tp>
      <tp t="e">
        <v>#N/A</v>
        <stp/>
        <stp>BDH|5986645180389557088</stp>
        <tr r="D78" s="18"/>
      </tp>
      <tp t="e">
        <v>#N/A</v>
        <stp/>
        <stp>BDH|1635734536372002536</stp>
        <tr r="V41" s="21"/>
      </tp>
      <tp t="e">
        <v>#N/A</v>
        <stp/>
        <stp>BDH|4390291348030026028</stp>
        <tr r="R24" s="2"/>
      </tp>
      <tp t="e">
        <v>#N/A</v>
        <stp/>
        <stp>BDH|1409223907281159006</stp>
        <tr r="I45" s="4"/>
        <tr r="I30" s="10"/>
        <tr r="I24" s="11"/>
        <tr r="K30" s="13"/>
      </tp>
      <tp t="e">
        <v>#N/A</v>
        <stp/>
        <stp>BDH|1997086427077146679</stp>
        <tr r="H38" s="34"/>
      </tp>
      <tp t="e">
        <v>#N/A</v>
        <stp/>
        <stp>BDH|3813406120587018081</stp>
        <tr r="C95" s="17"/>
        <tr r="C30" s="25"/>
      </tp>
      <tp t="e">
        <v>#N/A</v>
        <stp/>
        <stp>BDH|8709510577030301822</stp>
        <tr r="S141" s="18"/>
      </tp>
      <tp t="e">
        <v>#N/A</v>
        <stp/>
        <stp>BDH|1300602433662518457</stp>
        <tr r="C55" s="24"/>
      </tp>
      <tp t="e">
        <v>#N/A</v>
        <stp/>
        <stp>BDH|7221990402558926400</stp>
        <tr r="Q62" s="17"/>
      </tp>
      <tp t="e">
        <v>#N/A</v>
        <stp/>
        <stp>BDH|8267463811887380860</stp>
        <tr r="L168" s="18"/>
      </tp>
      <tp t="e">
        <v>#N/A</v>
        <stp/>
        <stp>BDH|9191569965369709156</stp>
        <tr r="S28" s="26"/>
      </tp>
      <tp t="e">
        <v>#N/A</v>
        <stp/>
        <stp>BDH|6744010106546211225</stp>
        <tr r="T60" s="21"/>
      </tp>
      <tp t="e">
        <v>#N/A</v>
        <stp/>
        <stp>BDH|2258087008038657842</stp>
        <tr r="Z48" s="21"/>
      </tp>
      <tp t="e">
        <v>#N/A</v>
        <stp/>
        <stp>BDH|7765506779664869365</stp>
        <tr r="C41" s="13"/>
      </tp>
      <tp t="e">
        <v>#N/A</v>
        <stp/>
        <stp>BDH|5658203723605316264</stp>
        <tr r="O7" s="4"/>
      </tp>
      <tp t="e">
        <v>#N/A</v>
        <stp/>
        <stp>BDH|2149672670566243742</stp>
        <tr r="U44" s="21"/>
      </tp>
      <tp t="e">
        <v>#N/A</v>
        <stp/>
        <stp>BDH|4052468595059018239</stp>
        <tr r="M88" s="18"/>
      </tp>
      <tp t="e">
        <v>#N/A</v>
        <stp/>
        <stp>BDH|5406344140449137917</stp>
        <tr r="I62" s="12"/>
      </tp>
      <tp t="e">
        <v>#N/A</v>
        <stp/>
        <stp>BDH|8850697969778834202</stp>
        <tr r="P18" s="29"/>
        <tr r="P38" s="29"/>
      </tp>
      <tp t="e">
        <v>#N/A</v>
        <stp/>
        <stp>BDH|8337790054939696184</stp>
        <tr r="X23" s="12"/>
      </tp>
      <tp t="e">
        <v>#N/A</v>
        <stp/>
        <stp>BDH|2260106814398056860</stp>
        <tr r="Q53" s="17"/>
      </tp>
      <tp t="e">
        <v>#N/A</v>
        <stp/>
        <stp>BDH|4001062055611643256</stp>
        <tr r="Y33" s="18"/>
      </tp>
      <tp t="e">
        <v>#N/A</v>
        <stp/>
        <stp>BDH|3534730747393404156</stp>
        <tr r="AA39" s="22"/>
      </tp>
      <tp t="e">
        <v>#N/A</v>
        <stp/>
        <stp>BDH|2994512538645651361</stp>
        <tr r="U35" s="10"/>
        <tr r="U47" s="10"/>
        <tr r="U29" s="11"/>
        <tr r="U41" s="11"/>
      </tp>
      <tp t="e">
        <v>#N/A</v>
        <stp/>
        <stp>BDH|9193901356142264556</stp>
        <tr r="F10" s="26"/>
      </tp>
      <tp t="e">
        <v>#N/A</v>
        <stp/>
        <stp>BDH|5025239100282162726</stp>
        <tr r="J10" s="12"/>
      </tp>
      <tp t="e">
        <v>#N/A</v>
        <stp/>
        <stp>BDH|3233466112351068569</stp>
        <tr r="V25" s="10"/>
      </tp>
      <tp t="e">
        <v>#N/A</v>
        <stp/>
        <stp>BDH|2958162318119381947</stp>
        <tr r="J105" s="18"/>
      </tp>
      <tp t="e">
        <v>#N/A</v>
        <stp/>
        <stp>BDH|4698622407201367107</stp>
        <tr r="G17" s="21"/>
      </tp>
      <tp t="e">
        <v>#N/A</v>
        <stp/>
        <stp>BDH|9280906478733817623</stp>
        <tr r="I153" s="18"/>
      </tp>
      <tp t="e">
        <v>#N/A</v>
        <stp/>
        <stp>BDH|3096103922575349710</stp>
        <tr r="H73" s="12"/>
      </tp>
      <tp t="e">
        <v>#N/A</v>
        <stp/>
        <stp>BDH|2312470647687350709</stp>
        <tr r="M141" s="18"/>
      </tp>
      <tp t="e">
        <v>#N/A</v>
        <stp/>
        <stp>BDH|1213790259917173635</stp>
        <tr r="S10" s="24"/>
      </tp>
      <tp t="e">
        <v>#N/A</v>
        <stp/>
        <stp>BDH|3076207491322403859</stp>
        <tr r="I119" s="18"/>
      </tp>
      <tp t="e">
        <v>#N/A</v>
        <stp/>
        <stp>BDH|6783752314872504038</stp>
        <tr r="X16" s="25"/>
      </tp>
      <tp t="e">
        <v>#N/A</v>
        <stp/>
        <stp>BDH|2295933607480531937</stp>
        <tr r="Q53" s="13"/>
      </tp>
      <tp t="e">
        <v>#N/A</v>
        <stp/>
        <stp>BDH|7290615144306307142</stp>
        <tr r="X56" s="12"/>
      </tp>
      <tp t="e">
        <v>#N/A</v>
        <stp/>
        <stp>BDH|5372342043103483301</stp>
        <tr r="U21" s="2"/>
      </tp>
      <tp t="e">
        <v>#N/A</v>
        <stp/>
        <stp>BDH|1754419859706630495</stp>
        <tr r="Q38" s="6"/>
      </tp>
      <tp t="e">
        <v>#N/A</v>
        <stp/>
        <stp>BDH|2130046624903436153</stp>
        <tr r="D89" s="17"/>
      </tp>
      <tp t="e">
        <v>#N/A</v>
        <stp/>
        <stp>BDH|6590280396799919623</stp>
        <tr r="Z7" s="14"/>
      </tp>
      <tp t="e">
        <v>#N/A</v>
        <stp/>
        <stp>BDH|9372212545989316441</stp>
        <tr r="AA34" s="24"/>
      </tp>
      <tp t="e">
        <v>#N/A</v>
        <stp/>
        <stp>BDH|1489256286538474133</stp>
        <tr r="AA14" s="23"/>
      </tp>
      <tp t="e">
        <v>#N/A</v>
        <stp/>
        <stp>BDH|1685530024353583752</stp>
        <tr r="V11" s="14"/>
      </tp>
      <tp t="e">
        <v>#N/A</v>
        <stp/>
        <stp>BDH|5077419794768498201</stp>
        <tr r="T138" s="18"/>
      </tp>
      <tp t="e">
        <v>#N/A</v>
        <stp/>
        <stp>BDH|6859755471034581089</stp>
        <tr r="Q23" s="11"/>
      </tp>
      <tp t="e">
        <v>#N/A</v>
        <stp/>
        <stp>BDH|1196766305041789546</stp>
        <tr r="T54" s="24"/>
      </tp>
      <tp t="e">
        <v>#N/A</v>
        <stp/>
        <stp>BDH|4383867396733617449</stp>
        <tr r="Q28" s="17"/>
      </tp>
      <tp t="e">
        <v>#N/A</v>
        <stp/>
        <stp>BDH|2020995486466607783</stp>
        <tr r="N78" s="12"/>
      </tp>
      <tp t="e">
        <v>#N/A</v>
        <stp/>
        <stp>BDH|2620454224734106271</stp>
        <tr r="Y53" s="18"/>
      </tp>
      <tp t="e">
        <v>#N/A</v>
        <stp/>
        <stp>BDH|7105435761074535376</stp>
        <tr r="C7" s="23"/>
      </tp>
      <tp t="e">
        <v>#N/A</v>
        <stp/>
        <stp>BDH|4378405984439153373</stp>
        <tr r="Y43" s="21"/>
      </tp>
      <tp t="e">
        <v>#N/A</v>
        <stp/>
        <stp>BDH|7646540230600755347</stp>
        <tr r="Z8" s="21"/>
      </tp>
      <tp t="e">
        <v>#N/A</v>
        <stp/>
        <stp>BDH|5181761626913564156</stp>
        <tr r="H10" s="21"/>
      </tp>
      <tp t="e">
        <v>#N/A</v>
        <stp/>
        <stp>BDH|1550873350649709740</stp>
        <tr r="T97" s="17"/>
        <tr r="T7" s="27"/>
      </tp>
      <tp t="e">
        <v>#N/A</v>
        <stp/>
        <stp>BDH|6232777141596622131</stp>
        <tr r="AA36" s="24"/>
      </tp>
      <tp t="e">
        <v>#N/A</v>
        <stp/>
        <stp>BDH|5411774933197446455</stp>
        <tr r="N23" s="20"/>
      </tp>
      <tp t="e">
        <v>#N/A</v>
        <stp/>
        <stp>BDH|9013004208848896311</stp>
        <tr r="V52" s="12"/>
      </tp>
      <tp t="e">
        <v>#N/A</v>
        <stp/>
        <stp>BDH|6208634843190307600</stp>
        <tr r="Q77" s="17"/>
      </tp>
      <tp t="e">
        <v>#N/A</v>
        <stp/>
        <stp>BDH|4534092308356025054</stp>
        <tr r="O46" s="21"/>
      </tp>
      <tp t="e">
        <v>#N/A</v>
        <stp/>
        <stp>BDH|8941163497571870311</stp>
        <tr r="Y21" s="17"/>
      </tp>
      <tp t="e">
        <v>#N/A</v>
        <stp/>
        <stp>BDH|4142817410689503641</stp>
        <tr r="X19" s="20"/>
      </tp>
      <tp t="e">
        <v>#N/A</v>
        <stp/>
        <stp>BDH|5433632873911447718</stp>
        <tr r="G82" s="17"/>
        <tr r="G19" s="3"/>
      </tp>
      <tp t="e">
        <v>#N/A</v>
        <stp/>
        <stp>BDH|6984240752455788690</stp>
        <tr r="C133" s="18"/>
      </tp>
      <tp t="e">
        <v>#N/A</v>
        <stp/>
        <stp>BDH|2284966886868512963</stp>
        <tr r="F18" s="18"/>
      </tp>
      <tp t="e">
        <v>#N/A</v>
        <stp/>
        <stp>BDH|8107900153972565469</stp>
        <tr r="C66" s="24"/>
      </tp>
      <tp t="e">
        <v>#N/A</v>
        <stp/>
        <stp>BDH|3739735700503302565</stp>
        <tr r="G8" s="11"/>
      </tp>
      <tp t="e">
        <v>#N/A</v>
        <stp/>
        <stp>BDH|8431643269522885805</stp>
        <tr r="H18" s="20"/>
      </tp>
      <tp t="e">
        <v>#N/A</v>
        <stp/>
        <stp>BDH|1572379876520412712</stp>
        <tr r="Q42" s="13"/>
      </tp>
      <tp t="e">
        <v>#N/A</v>
        <stp/>
        <stp>BDH|5357746347791999586</stp>
        <tr r="S26" s="29"/>
      </tp>
      <tp t="e">
        <v>#N/A</v>
        <stp/>
        <stp>BDH|9474914640997347174</stp>
        <tr r="L42" s="12"/>
      </tp>
      <tp t="e">
        <v>#N/A</v>
        <stp/>
        <stp>BDH|7222153101767758309</stp>
        <tr r="H11" s="11"/>
      </tp>
      <tp t="e">
        <v>#N/A</v>
        <stp/>
        <stp>BDH|9793203327468563345</stp>
        <tr r="D34" s="12"/>
      </tp>
      <tp t="e">
        <v>#N/A</v>
        <stp/>
        <stp>BDH|7787318377667720679</stp>
        <tr r="I25" s="13"/>
      </tp>
      <tp t="e">
        <v>#N/A</v>
        <stp/>
        <stp>BDH|9060893753571394785</stp>
        <tr r="X35" s="4"/>
      </tp>
      <tp t="e">
        <v>#N/A</v>
        <stp/>
        <stp>BDH|7775878468842028999</stp>
        <tr r="D19" s="11"/>
      </tp>
      <tp t="e">
        <v>#N/A</v>
        <stp/>
        <stp>BDH|3524761524945217144</stp>
        <tr r="C23" s="20"/>
      </tp>
      <tp t="e">
        <v>#N/A</v>
        <stp/>
        <stp>BDH|7974503633304811747</stp>
        <tr r="X8" s="2"/>
      </tp>
      <tp t="e">
        <v>#N/A</v>
        <stp/>
        <stp>BDH|8972405126159801513</stp>
        <tr r="P39" s="24"/>
      </tp>
      <tp t="e">
        <v>#N/A</v>
        <stp/>
        <stp>BDH|4407781778045126333</stp>
        <tr r="Z10" s="30"/>
      </tp>
      <tp t="e">
        <v>#N/A</v>
        <stp/>
        <stp>BDH|3693102489738988004</stp>
        <tr r="U73" s="24"/>
      </tp>
      <tp t="e">
        <v>#N/A</v>
        <stp/>
        <stp>BDH|6380271457933254076</stp>
        <tr r="X18" s="29"/>
        <tr r="X38" s="29"/>
      </tp>
      <tp t="e">
        <v>#N/A</v>
        <stp/>
        <stp>BDH|5353333911411787409</stp>
        <tr r="K39" s="22"/>
      </tp>
      <tp t="e">
        <v>#N/A</v>
        <stp/>
        <stp>BDH|1272131850245035272</stp>
        <tr r="J67" s="24"/>
      </tp>
      <tp t="e">
        <v>#N/A</v>
        <stp/>
        <stp>BDH|5860315856261165082</stp>
        <tr r="U44" s="17"/>
      </tp>
      <tp t="e">
        <v>#N/A</v>
        <stp/>
        <stp>BDH|9702840044185461252</stp>
        <tr r="R61" s="11"/>
        <tr r="T19" s="23"/>
      </tp>
      <tp t="e">
        <v>#N/A</v>
        <stp/>
        <stp>BDH|7541317271007670650</stp>
        <tr r="E68" s="18"/>
      </tp>
      <tp t="e">
        <v>#N/A</v>
        <stp/>
        <stp>BDH|3904686101635026265</stp>
        <tr r="V6" s="19"/>
        <tr r="V37" s="17"/>
        <tr r="V16" s="3"/>
      </tp>
      <tp t="e">
        <v>#N/A</v>
        <stp/>
        <stp>BDH|2564266045132729474</stp>
        <tr r="E50" s="24"/>
      </tp>
      <tp t="e">
        <v>#N/A</v>
        <stp/>
        <stp>BDH|5678448631848450815</stp>
        <tr r="L70" s="10"/>
        <tr r="L64" s="11"/>
      </tp>
      <tp t="e">
        <v>#N/A</v>
        <stp/>
        <stp>BDH|6391659171164119106</stp>
        <tr r="J36" s="12"/>
      </tp>
      <tp t="e">
        <v>#N/A</v>
        <stp/>
        <stp>BDH|5811126228587438308</stp>
        <tr r="F63" s="24"/>
      </tp>
      <tp t="e">
        <v>#N/A</v>
        <stp/>
        <stp>BDH|1694800733829598160</stp>
        <tr r="P99" s="17"/>
      </tp>
      <tp t="e">
        <v>#N/A</v>
        <stp/>
        <stp>BDH|7767229767318770930</stp>
        <tr r="W23" s="13"/>
      </tp>
      <tp t="e">
        <v>#N/A</v>
        <stp/>
        <stp>BDH|5842792694010587965</stp>
        <tr r="K20" s="22"/>
      </tp>
      <tp t="e">
        <v>#N/A</v>
        <stp/>
        <stp>BDH|4683606953457045235</stp>
        <tr r="M18" s="24"/>
      </tp>
      <tp t="e">
        <v>#N/A</v>
        <stp/>
        <stp>BDH|3184694017113047593</stp>
        <tr r="W10" s="26"/>
      </tp>
      <tp t="e">
        <v>#N/A</v>
        <stp/>
        <stp>BDH|5437638677701663700</stp>
        <tr r="I63" s="24"/>
      </tp>
      <tp t="e">
        <v>#N/A</v>
        <stp/>
        <stp>BDH|3750312004916359471</stp>
        <tr r="K44" s="18"/>
      </tp>
      <tp t="e">
        <v>#N/A</v>
        <stp/>
        <stp>BDH|9000977371765443049</stp>
        <tr r="H58" s="18"/>
      </tp>
      <tp t="e">
        <v>#N/A</v>
        <stp/>
        <stp>BDH|6540814374453316858</stp>
        <tr r="M95" s="17"/>
        <tr r="M30" s="25"/>
      </tp>
      <tp t="e">
        <v>#N/A</v>
        <stp/>
        <stp>BDH|1530812028978209185</stp>
        <tr r="G8" s="18"/>
      </tp>
      <tp t="e">
        <v>#N/A</v>
        <stp/>
        <stp>BDH|8117307792411299176</stp>
        <tr r="J15" s="18"/>
      </tp>
      <tp t="e">
        <v>#N/A</v>
        <stp/>
        <stp>BDH|6271127017720087413</stp>
        <tr r="K9" s="23"/>
      </tp>
      <tp t="e">
        <v>#N/A</v>
        <stp/>
        <stp>BDH|5915804529125193871</stp>
        <tr r="V24" s="26"/>
      </tp>
      <tp t="e">
        <v>#N/A</v>
        <stp/>
        <stp>BDH|7713488657247850362</stp>
        <tr r="Z136" s="18"/>
      </tp>
      <tp t="e">
        <v>#N/A</v>
        <stp/>
        <stp>BDH|2827388122793542215</stp>
        <tr r="Q61" s="17"/>
      </tp>
      <tp t="e">
        <v>#N/A</v>
        <stp/>
        <stp>BDH|2030859232263876890</stp>
        <tr r="V30" s="24"/>
      </tp>
      <tp t="e">
        <v>#N/A</v>
        <stp/>
        <stp>BDH|8400712101189342418</stp>
        <tr r="O108" s="18"/>
        <tr r="M8" s="20"/>
      </tp>
      <tp t="e">
        <v>#N/A</v>
        <stp/>
        <stp>BDH|3762176716946371730</stp>
        <tr r="H17" s="18"/>
      </tp>
      <tp t="e">
        <v>#N/A</v>
        <stp/>
        <stp>BDH|4343579209763904024</stp>
        <tr r="X11" s="24"/>
      </tp>
      <tp t="e">
        <v>#N/A</v>
        <stp/>
        <stp>BDH|4849639653350884568</stp>
        <tr r="Q33" s="6"/>
        <tr r="S9" s="8"/>
      </tp>
      <tp t="e">
        <v>#N/A</v>
        <stp/>
        <stp>BDH|5439463424862731375</stp>
        <tr r="S20" s="11"/>
      </tp>
      <tp t="e">
        <v>#N/A</v>
        <stp/>
        <stp>BDH|6639327447767666424</stp>
        <tr r="Q30" s="18"/>
      </tp>
      <tp t="e">
        <v>#N/A</v>
        <stp/>
        <stp>BDH|6939746756547822143</stp>
        <tr r="F120" s="18"/>
      </tp>
      <tp t="e">
        <v>#N/A</v>
        <stp/>
        <stp>BDH|9268690689606308360</stp>
        <tr r="Y19" s="12"/>
      </tp>
      <tp t="e">
        <v>#N/A</v>
        <stp/>
        <stp>BDH|3210378715102616119</stp>
        <tr r="U32" s="22"/>
      </tp>
      <tp t="e">
        <v>#N/A</v>
        <stp/>
        <stp>BDH|3995512097985812803</stp>
        <tr r="M34" s="17"/>
      </tp>
      <tp t="e">
        <v>#N/A</v>
        <stp/>
        <stp>BDH|9659463561350150970</stp>
        <tr r="G62" s="18"/>
      </tp>
      <tp t="e">
        <v>#N/A</v>
        <stp/>
        <stp>BDH|1267035402053073047</stp>
        <tr r="C46" s="13"/>
      </tp>
      <tp t="e">
        <v>#N/A</v>
        <stp/>
        <stp>BDH|6542560711369265972</stp>
        <tr r="I35" s="12"/>
      </tp>
      <tp t="e">
        <v>#N/A</v>
        <stp/>
        <stp>BDH|8160944860171243404</stp>
        <tr r="I40" s="24"/>
      </tp>
      <tp t="e">
        <v>#N/A</v>
        <stp/>
        <stp>BDH|1832460535914909059</stp>
        <tr r="M63" s="24"/>
      </tp>
      <tp t="e">
        <v>#N/A</v>
        <stp/>
        <stp>BDH|6019932384404132117</stp>
        <tr r="L18" s="2"/>
        <tr r="L53" s="4"/>
        <tr r="L45" s="10"/>
        <tr r="L39" s="11"/>
        <tr r="N46" s="13"/>
      </tp>
      <tp t="e">
        <v>#N/A</v>
        <stp/>
        <stp>BDH|8038846374685052074</stp>
        <tr r="X77" s="18"/>
      </tp>
      <tp t="e">
        <v>#N/A</v>
        <stp/>
        <stp>BDH|8663974186178594358</stp>
        <tr r="F18" s="13"/>
      </tp>
      <tp t="e">
        <v>#N/A</v>
        <stp/>
        <stp>BDH|3802025609469431800</stp>
        <tr r="K104" s="18"/>
      </tp>
      <tp t="e">
        <v>#N/A</v>
        <stp/>
        <stp>BDH|9009503083327258167</stp>
        <tr r="R46" s="4"/>
        <tr r="R24" s="10"/>
        <tr r="T35" s="13"/>
      </tp>
      <tp t="e">
        <v>#N/A</v>
        <stp/>
        <stp>BDH|5237264329172278584</stp>
        <tr r="I18" s="5"/>
        <tr r="I30" s="6"/>
      </tp>
      <tp t="e">
        <v>#N/A</v>
        <stp/>
        <stp>BDH|1503343960085757312</stp>
        <tr r="M20" s="11"/>
      </tp>
      <tp t="e">
        <v>#N/A</v>
        <stp/>
        <stp>BDH|6231023849247942772</stp>
        <tr r="F90" s="17"/>
      </tp>
      <tp t="e">
        <v>#N/A</v>
        <stp/>
        <stp>BDH|1649458644473184017</stp>
        <tr r="E16" s="20"/>
      </tp>
      <tp t="e">
        <v>#N/A</v>
        <stp/>
        <stp>BDH|7608809561808452343</stp>
        <tr r="Q11" s="17"/>
      </tp>
      <tp t="e">
        <v>#N/A</v>
        <stp/>
        <stp>BDH|4854565695783849945</stp>
        <tr r="O33" s="21"/>
      </tp>
      <tp t="e">
        <v>#N/A</v>
        <stp/>
        <stp>BDH|5423673105649182806</stp>
        <tr r="D9" s="10"/>
      </tp>
      <tp t="e">
        <v>#N/A</v>
        <stp/>
        <stp>BDH|9441609855298270041</stp>
        <tr r="D25" s="3"/>
      </tp>
      <tp t="e">
        <v>#N/A</v>
        <stp/>
        <stp>BDH|3492699836963915751</stp>
        <tr r="E50" s="18"/>
      </tp>
      <tp t="e">
        <v>#N/A</v>
        <stp/>
        <stp>BDH|7605159007623143723</stp>
        <tr r="R75" s="18"/>
      </tp>
      <tp t="e">
        <v>#N/A</v>
        <stp/>
        <stp>BDH|4399022466933238329</stp>
        <tr r="D89" s="18"/>
      </tp>
      <tp t="e">
        <v>#N/A</v>
        <stp/>
        <stp>BDH|9423801232074496452</stp>
        <tr r="T24" s="17"/>
      </tp>
      <tp t="e">
        <v>#N/A</v>
        <stp/>
        <stp>BDH|5280597511404530783</stp>
        <tr r="T22" s="18"/>
      </tp>
      <tp t="e">
        <v>#N/A</v>
        <stp/>
        <stp>BDH|3400706921495607149</stp>
        <tr r="W54" s="24"/>
      </tp>
      <tp t="e">
        <v>#N/A</v>
        <stp/>
        <stp>BDH|1493343737714656763</stp>
        <tr r="P30" s="29"/>
        <tr r="P8" s="29"/>
      </tp>
      <tp t="e">
        <v>#N/A</v>
        <stp/>
        <stp>BDH|5816167939895638066</stp>
        <tr r="X7" s="10"/>
      </tp>
      <tp t="e">
        <v>#N/A</v>
        <stp/>
        <stp>BDH|4180396807971188495</stp>
        <tr r="J52" s="12"/>
      </tp>
      <tp t="e">
        <v>#N/A</v>
        <stp/>
        <stp>BDH|9348536655972158934</stp>
        <tr r="Z7" s="8"/>
      </tp>
      <tp t="e">
        <v>#N/A</v>
        <stp/>
        <stp>BDH|8878181281416601508</stp>
        <tr r="J22" s="30"/>
        <tr r="J25" s="23"/>
      </tp>
      <tp t="e">
        <v>#N/A</v>
        <stp/>
        <stp>BDH|4272519660744670123</stp>
        <tr r="D17" s="23"/>
      </tp>
      <tp t="e">
        <v>#N/A</v>
        <stp/>
        <stp>BDH|5338944107917110962</stp>
        <tr r="AA28" s="21"/>
      </tp>
      <tp t="e">
        <v>#N/A</v>
        <stp/>
        <stp>BDH|7890259926861455480</stp>
        <tr r="N100" s="18"/>
      </tp>
      <tp t="e">
        <v>#N/A</v>
        <stp/>
        <stp>BDH|6188703464812479768</stp>
        <tr r="L29" s="29"/>
        <tr r="L7" s="29"/>
      </tp>
      <tp t="e">
        <v>#N/A</v>
        <stp/>
        <stp>BDH|1664239494669740111</stp>
        <tr r="E12" s="13"/>
      </tp>
      <tp t="e">
        <v>#N/A</v>
        <stp/>
        <stp>BDH|8942127656129274789</stp>
        <tr r="X125" s="18"/>
      </tp>
      <tp t="e">
        <v>#N/A</v>
        <stp/>
        <stp>BDH|7103378013213731455</stp>
        <tr r="U48" s="17"/>
      </tp>
      <tp t="e">
        <v>#N/A</v>
        <stp/>
        <stp>BDH|7279158577525310647</stp>
        <tr r="M40" s="22"/>
      </tp>
      <tp t="e">
        <v>#N/A</v>
        <stp/>
        <stp>BDH|2874328960931586482</stp>
        <tr r="J37" s="34"/>
      </tp>
      <tp t="e">
        <v>#N/A</v>
        <stp/>
        <stp>BDH|5173086123017987246</stp>
        <tr r="M55" s="17"/>
      </tp>
      <tp t="e">
        <v>#N/A</v>
        <stp/>
        <stp>BDH|8714669610138727514</stp>
        <tr r="L55" s="18"/>
      </tp>
      <tp t="e">
        <v>#N/A</v>
        <stp/>
        <stp>BDH|6351370550803707142</stp>
        <tr r="C79" s="17"/>
      </tp>
      <tp t="e">
        <v>#N/A</v>
        <stp/>
        <stp>BDH|9889220295234963412</stp>
        <tr r="S9" s="29"/>
      </tp>
      <tp t="e">
        <v>#N/A</v>
        <stp/>
        <stp>BDH|2833974389322764353</stp>
        <tr r="F8" s="2"/>
      </tp>
      <tp t="e">
        <v>#N/A</v>
        <stp/>
        <stp>BDH|4022816045529450345</stp>
        <tr r="H18" s="17"/>
      </tp>
      <tp t="e">
        <v>#N/A</v>
        <stp/>
        <stp>BDH|5560556004836180411</stp>
        <tr r="X29" s="24"/>
      </tp>
      <tp t="e">
        <v>#N/A</v>
        <stp/>
        <stp>BDH|6761020623400357617</stp>
        <tr r="L27" s="34"/>
      </tp>
      <tp t="e">
        <v>#N/A</v>
        <stp/>
        <stp>BDH|2163932195475000533</stp>
        <tr r="C116" s="18"/>
      </tp>
      <tp t="e">
        <v>#N/A</v>
        <stp/>
        <stp>BDH|4387902653919709330</stp>
        <tr r="O38" s="4"/>
        <tr r="O59" s="11"/>
        <tr r="Q13" s="23"/>
      </tp>
      <tp t="e">
        <v>#N/A</v>
        <stp/>
        <stp>BDH|1033755052443233213</stp>
        <tr r="P25" s="7"/>
      </tp>
      <tp t="e">
        <v>#N/A</v>
        <stp/>
        <stp>BDH|7368721946472705441</stp>
        <tr r="L67" s="24"/>
      </tp>
      <tp t="e">
        <v>#N/A</v>
        <stp/>
        <stp>BDH|9720201491265252501</stp>
        <tr r="P10" s="11"/>
      </tp>
      <tp t="e">
        <v>#N/A</v>
        <stp/>
        <stp>BDH|7092785155911944605</stp>
        <tr r="G18" s="5"/>
        <tr r="G30" s="6"/>
      </tp>
      <tp t="e">
        <v>#N/A</v>
        <stp/>
        <stp>BDH|3360797684448893628</stp>
        <tr r="G75" s="17"/>
      </tp>
      <tp t="e">
        <v>#N/A</v>
        <stp/>
        <stp>BDH|6337291579919472838</stp>
        <tr r="X18" s="10"/>
        <tr r="Z16" s="13"/>
        <tr r="Z27" s="13"/>
      </tp>
      <tp t="e">
        <v>#N/A</v>
        <stp/>
        <stp>BDH|2243326402411202241</stp>
        <tr r="K156" s="18"/>
      </tp>
      <tp t="e">
        <v>#N/A</v>
        <stp/>
        <stp>BDH|3025039437936538456</stp>
        <tr r="N119" s="18"/>
      </tp>
      <tp t="e">
        <v>#N/A</v>
        <stp/>
        <stp>BDH|5451544721560375065</stp>
        <tr r="K11" s="11"/>
      </tp>
      <tp t="e">
        <v>#N/A</v>
        <stp/>
        <stp>BDH|3141671811555740342</stp>
        <tr r="P145" s="18"/>
      </tp>
      <tp t="e">
        <v>#N/A</v>
        <stp/>
        <stp>BDH|5924252038692583458</stp>
        <tr r="Q65" s="12"/>
      </tp>
      <tp t="e">
        <v>#N/A</v>
        <stp/>
        <stp>BDH|5271302491595354843</stp>
        <tr r="L18" s="22"/>
      </tp>
      <tp t="e">
        <v>#N/A</v>
        <stp/>
        <stp>BDH|1928789704825064113</stp>
        <tr r="C8" s="2"/>
      </tp>
      <tp t="e">
        <v>#N/A</v>
        <stp/>
        <stp>BDH|5727638955077343368</stp>
        <tr r="P49" s="18"/>
      </tp>
      <tp t="e">
        <v>#N/A</v>
        <stp/>
        <stp>BDH|4488996711027116999</stp>
        <tr r="AA8" s="14"/>
      </tp>
      <tp t="e">
        <v>#N/A</v>
        <stp/>
        <stp>BDH|5604230331842977497</stp>
        <tr r="X15" s="10"/>
      </tp>
      <tp t="e">
        <v>#N/A</v>
        <stp/>
        <stp>BDH|9156163432960261931</stp>
        <tr r="Q43" s="21"/>
      </tp>
      <tp t="e">
        <v>#N/A</v>
        <stp/>
        <stp>BDH|6580527553003206727</stp>
        <tr r="C15" s="17"/>
        <tr r="C18" s="28"/>
      </tp>
      <tp t="e">
        <v>#N/A</v>
        <stp/>
        <stp>BDH|2512739563492022316</stp>
        <tr r="G159" s="18"/>
      </tp>
      <tp t="e">
        <v>#N/A</v>
        <stp/>
        <stp>BDH|5599816147469307243</stp>
        <tr r="T9" s="18"/>
      </tp>
      <tp t="e">
        <v>#N/A</v>
        <stp/>
        <stp>BDH|6195981796733338784</stp>
        <tr r="AA79" s="17"/>
      </tp>
      <tp t="e">
        <v>#N/A</v>
        <stp/>
        <stp>BDH|4831283074623295024</stp>
        <tr r="H30" s="17"/>
      </tp>
      <tp t="e">
        <v>#N/A</v>
        <stp/>
        <stp>BDH|3334224870690299473</stp>
        <tr r="P87" s="17"/>
        <tr r="P20" s="3"/>
        <tr r="N6" s="7"/>
      </tp>
      <tp t="e">
        <v>#N/A</v>
        <stp/>
        <stp>BDH|2540618891486757967</stp>
        <tr r="X20" s="2"/>
        <tr r="X18" s="4"/>
        <tr r="X57" s="10"/>
        <tr r="X51" s="11"/>
        <tr r="X19" s="7"/>
        <tr r="Z57" s="13"/>
      </tp>
      <tp t="e">
        <v>#N/A</v>
        <stp/>
        <stp>BDH|5945355732872248587</stp>
        <tr r="W92" s="18"/>
      </tp>
      <tp t="e">
        <v>#N/A</v>
        <stp/>
        <stp>BDH|5025715914602594342</stp>
        <tr r="L8" s="11"/>
      </tp>
      <tp t="e">
        <v>#N/A</v>
        <stp/>
        <stp>BDH|7834714957646882123</stp>
        <tr r="N31" s="18"/>
      </tp>
      <tp t="e">
        <v>#N/A</v>
        <stp/>
        <stp>BDH|1744154532846463703</stp>
        <tr r="Q160" s="18"/>
      </tp>
      <tp t="e">
        <v>#N/A</v>
        <stp/>
        <stp>BDH|1031135567505773178</stp>
        <tr r="L75" s="12"/>
      </tp>
      <tp t="e">
        <v>#N/A</v>
        <stp/>
        <stp>BDH|2195775517605301366</stp>
        <tr r="U41" s="10"/>
        <tr r="U35" s="11"/>
      </tp>
      <tp t="e">
        <v>#N/A</v>
        <stp/>
        <stp>BDH|2191363028854867538</stp>
        <tr r="J15" s="25"/>
      </tp>
      <tp t="e">
        <v>#N/A</v>
        <stp/>
        <stp>BDH|6497566642197377275</stp>
        <tr r="R74" s="12"/>
      </tp>
      <tp t="e">
        <v>#N/A</v>
        <stp/>
        <stp>BDH|1222015800707580424</stp>
        <tr r="P161" s="18"/>
      </tp>
      <tp t="e">
        <v>#N/A</v>
        <stp/>
        <stp>BDH|5576051658525455789</stp>
        <tr r="V80" s="18"/>
      </tp>
      <tp t="e">
        <v>#N/A</v>
        <stp/>
        <stp>BDH|8156191477835238990</stp>
        <tr r="Q17" s="10"/>
      </tp>
      <tp t="e">
        <v>#N/A</v>
        <stp/>
        <stp>BDH|2996698713980253752</stp>
        <tr r="H95" s="17"/>
        <tr r="H30" s="25"/>
      </tp>
      <tp t="e">
        <v>#N/A</v>
        <stp/>
        <stp>BDH|1365338366094462266</stp>
        <tr r="O45" s="12"/>
      </tp>
      <tp t="e">
        <v>#N/A</v>
        <stp/>
        <stp>BDH|3558903994551740036</stp>
        <tr r="Q38" s="4"/>
        <tr r="Q59" s="11"/>
        <tr r="S13" s="23"/>
      </tp>
      <tp t="e">
        <v>#N/A</v>
        <stp/>
        <stp>BDH|7330312124144425073</stp>
        <tr r="D16" s="23"/>
      </tp>
      <tp t="e">
        <v>#N/A</v>
        <stp/>
        <stp>BDH|2326248501631792344</stp>
        <tr r="I61" s="12"/>
      </tp>
      <tp t="e">
        <v>#N/A</v>
        <stp/>
        <stp>BDH|3724111307186158657</stp>
        <tr r="N136" s="18"/>
      </tp>
      <tp t="e">
        <v>#N/A</v>
        <stp/>
        <stp>BDH|5629774450376068343</stp>
        <tr r="V29" s="10"/>
        <tr r="X34" s="13"/>
      </tp>
      <tp t="e">
        <v>#N/A</v>
        <stp/>
        <stp>BDH|6335652551624718356</stp>
        <tr r="W16" s="11"/>
      </tp>
      <tp t="e">
        <v>#N/A</v>
        <stp/>
        <stp>BDH|2427232608262263087</stp>
        <tr r="O35" s="26"/>
      </tp>
      <tp t="e">
        <v>#N/A</v>
        <stp/>
        <stp>BDH|1622053633071766124</stp>
        <tr r="W18" s="29"/>
        <tr r="W38" s="29"/>
      </tp>
      <tp t="e">
        <v>#N/A</v>
        <stp/>
        <stp>BDH|5615466469832583794</stp>
        <tr r="U18" s="13"/>
      </tp>
      <tp t="e">
        <v>#N/A</v>
        <stp/>
        <stp>BDH|6452976816039697569</stp>
        <tr r="O9" s="24"/>
      </tp>
      <tp t="e">
        <v>#N/A</v>
        <stp/>
        <stp>BDH|1996097436997701744</stp>
        <tr r="I48" s="12"/>
      </tp>
      <tp t="e">
        <v>#N/A</v>
        <stp/>
        <stp>BDH|7793308085266212850</stp>
        <tr r="O34" s="21"/>
      </tp>
      <tp t="e">
        <v>#N/A</v>
        <stp/>
        <stp>BDH|9055471004739301651</stp>
        <tr r="K58" s="24"/>
      </tp>
      <tp t="e">
        <v>#N/A</v>
        <stp/>
        <stp>BDH|4003433180338661204</stp>
        <tr r="J16" s="30"/>
      </tp>
      <tp t="e">
        <v>#N/A</v>
        <stp/>
        <stp>BDH|2275899193294886556</stp>
        <tr r="F58" s="21"/>
        <tr r="F33" s="25"/>
        <tr r="D31" s="4"/>
        <tr r="D55" s="11"/>
      </tp>
      <tp t="e">
        <v>#N/A</v>
        <stp/>
        <stp>BDH|4017471452157613065</stp>
        <tr r="V9" s="17"/>
      </tp>
      <tp t="e">
        <v>#N/A</v>
        <stp/>
        <stp>BDH|4883949595237954153</stp>
        <tr r="G72" s="18"/>
      </tp>
      <tp t="e">
        <v>#N/A</v>
        <stp/>
        <stp>BDH|3507679894247164928</stp>
        <tr r="H94" s="17"/>
      </tp>
      <tp t="e">
        <v>#N/A</v>
        <stp/>
        <stp>BDH|1566176918787917462</stp>
        <tr r="Y7" s="11"/>
      </tp>
      <tp t="e">
        <v>#N/A</v>
        <stp/>
        <stp>BDH|3670667564530644175</stp>
        <tr r="R56" s="18"/>
      </tp>
      <tp t="e">
        <v>#N/A</v>
        <stp/>
        <stp>BDH|2662444337151911695</stp>
        <tr r="R26" s="17"/>
      </tp>
      <tp t="e">
        <v>#N/A</v>
        <stp/>
        <stp>BDH|9196550899981936614</stp>
        <tr r="P48" s="12"/>
      </tp>
      <tp t="e">
        <v>#N/A</v>
        <stp/>
        <stp>BDH|8680825966425688116</stp>
        <tr r="AA6" s="20"/>
      </tp>
      <tp t="e">
        <v>#N/A</v>
        <stp/>
        <stp>BDH|1454283206581809075</stp>
        <tr r="Q11" s="7"/>
      </tp>
      <tp t="e">
        <v>#N/A</v>
        <stp/>
        <stp>BDH|3479640916411553760</stp>
        <tr r="R32" s="6"/>
        <tr r="T6" s="8"/>
      </tp>
      <tp t="e">
        <v>#N/A</v>
        <stp/>
        <stp>BDH|8505370211608071068</stp>
        <tr r="E6" s="15"/>
        <tr r="E12" s="2"/>
        <tr r="E11" s="4"/>
        <tr r="E6" s="10"/>
      </tp>
      <tp t="e">
        <v>#N/A</v>
        <stp/>
        <stp>BDH|7700814726976240970</stp>
        <tr r="T28" s="21"/>
      </tp>
      <tp t="e">
        <v>#N/A</v>
        <stp/>
        <stp>BDH|6939919005145863804</stp>
        <tr r="E110" s="18"/>
        <tr r="C11" s="20"/>
      </tp>
      <tp t="e">
        <v>#N/A</v>
        <stp/>
        <stp>BDH|5237645373595932399</stp>
        <tr r="P20" s="11"/>
      </tp>
      <tp t="e">
        <v>#N/A</v>
        <stp/>
        <stp>BDH|9117305494393371239</stp>
        <tr r="V10" s="28"/>
      </tp>
      <tp t="e">
        <v>#N/A</v>
        <stp/>
        <stp>BDH|2568913898256064699</stp>
        <tr r="J27" s="26"/>
        <tr r="G14" s="9"/>
      </tp>
      <tp t="e">
        <v>#N/A</v>
        <stp/>
        <stp>BDH|6705787242885063282</stp>
        <tr r="H63" s="24"/>
      </tp>
      <tp t="e">
        <v>#N/A</v>
        <stp/>
        <stp>BDH|2072143223306589574</stp>
        <tr r="E9" s="22"/>
      </tp>
      <tp t="e">
        <v>#N/A</v>
        <stp/>
        <stp>BDH|1887647252421967127</stp>
        <tr r="X73" s="10"/>
        <tr r="X67" s="11"/>
      </tp>
      <tp t="e">
        <v>#N/A</v>
        <stp/>
        <stp>BDH|1018155850541439648</stp>
        <tr r="Q126" s="18"/>
      </tp>
      <tp t="e">
        <v>#N/A</v>
        <stp/>
        <stp>BDH|8814197686760542378</stp>
        <tr r="H40" s="29"/>
      </tp>
      <tp t="e">
        <v>#N/A</v>
        <stp/>
        <stp>BDH|5131263472545691761</stp>
        <tr r="Z46" s="18"/>
      </tp>
      <tp t="e">
        <v>#N/A</v>
        <stp/>
        <stp>BDH|8227056784894594638</stp>
        <tr r="L20" s="30"/>
      </tp>
      <tp t="e">
        <v>#N/A</v>
        <stp/>
        <stp>BDH|6424713459885110385</stp>
        <tr r="L52" s="12"/>
      </tp>
      <tp t="e">
        <v>#N/A</v>
        <stp/>
        <stp>BDH|3455079347730261531</stp>
        <tr r="G50" s="12"/>
      </tp>
      <tp t="e">
        <v>#N/A</v>
        <stp/>
        <stp>BDH|5814836083574855358</stp>
        <tr r="F42" s="17"/>
      </tp>
      <tp t="e">
        <v>#N/A</v>
        <stp/>
        <stp>BDH|6465947857420231809</stp>
        <tr r="K60" s="21"/>
      </tp>
      <tp t="e">
        <v>#N/A</v>
        <stp/>
        <stp>BDH|3298648818705897331</stp>
        <tr r="D14" s="8"/>
      </tp>
      <tp t="e">
        <v>#N/A</v>
        <stp/>
        <stp>BDH|6241104320950607717</stp>
        <tr r="N81" s="17"/>
        <tr r="K9" s="5"/>
        <tr r="K9" s="9"/>
      </tp>
      <tp t="e">
        <v>#N/A</v>
        <stp/>
        <stp>BDH|9818091194985713776</stp>
        <tr r="G48" s="21"/>
      </tp>
      <tp t="e">
        <v>#N/A</v>
        <stp/>
        <stp>BDH|5535468047113508444</stp>
        <tr r="L39" s="34"/>
      </tp>
      <tp t="e">
        <v>#N/A</v>
        <stp/>
        <stp>BDH|3268442304313284651</stp>
        <tr r="D34" s="6"/>
        <tr r="F10" s="8"/>
      </tp>
      <tp t="e">
        <v>#N/A</v>
        <stp/>
        <stp>BDH|99726633578079364</stp>
        <tr r="X7" s="21"/>
      </tp>
      <tp t="e">
        <v>#N/A</v>
        <stp/>
        <stp>BDH|25841994099537724</stp>
        <tr r="I14" s="17"/>
        <tr r="I17" s="28"/>
      </tp>
      <tp t="e">
        <v>#N/A</v>
        <stp/>
        <stp>BDH|65159822484612869</stp>
        <tr r="Y34" s="12"/>
      </tp>
      <tp t="e">
        <v>#N/A</v>
        <stp/>
        <stp>BDH|83760782135847532</stp>
        <tr r="V14" s="28"/>
      </tp>
      <tp t="e">
        <v>#N/A</v>
        <stp/>
        <stp>BDH|28886943602330148</stp>
        <tr r="U144" s="18"/>
      </tp>
      <tp t="e">
        <v>#N/A</v>
        <stp/>
        <stp>BDH|99717832498888334</stp>
        <tr r="N45" s="4"/>
        <tr r="N30" s="10"/>
        <tr r="N24" s="11"/>
        <tr r="P30" s="13"/>
      </tp>
      <tp t="e">
        <v>#N/A</v>
        <stp/>
        <stp>BDH|7929174612263630706</stp>
        <tr r="O42" s="4"/>
      </tp>
      <tp t="e">
        <v>#N/A</v>
        <stp/>
        <stp>BDH|2813422007315345044</stp>
        <tr r="V33" s="21"/>
      </tp>
      <tp t="e">
        <v>#N/A</v>
        <stp/>
        <stp>BDH|6876025461374209731</stp>
        <tr r="F42" s="12"/>
      </tp>
      <tp t="e">
        <v>#N/A</v>
        <stp/>
        <stp>BDH|1714984810102348863</stp>
        <tr r="Q31" s="25"/>
      </tp>
      <tp t="e">
        <v>#N/A</v>
        <stp/>
        <stp>BDH|5467197215431600746</stp>
        <tr r="U37" s="21"/>
        <tr r="U24" s="3"/>
      </tp>
      <tp t="e">
        <v>#N/A</v>
        <stp/>
        <stp>BDH|3798835779898115766</stp>
        <tr r="U72" s="18"/>
      </tp>
      <tp t="e">
        <v>#N/A</v>
        <stp/>
        <stp>BDH|4064515584802806879</stp>
        <tr r="W37" s="12"/>
      </tp>
      <tp t="e">
        <v>#N/A</v>
        <stp/>
        <stp>BDH|7950942239777775995</stp>
        <tr r="V13" s="21"/>
      </tp>
      <tp t="e">
        <v>#N/A</v>
        <stp/>
        <stp>BDH|8756799588243956759</stp>
        <tr r="P149" s="18"/>
      </tp>
      <tp t="e">
        <v>#N/A</v>
        <stp/>
        <stp>BDH|5055154438506367247</stp>
        <tr r="W55" s="24"/>
      </tp>
      <tp t="e">
        <v>#N/A</v>
        <stp/>
        <stp>BDH|1498298999320950972</stp>
        <tr r="C23" s="22"/>
      </tp>
      <tp t="e">
        <v>#N/A</v>
        <stp/>
        <stp>BDH|5710373335323738587</stp>
        <tr r="V66" s="24"/>
      </tp>
      <tp t="e">
        <v>#N/A</v>
        <stp/>
        <stp>BDH|6438586266296179015</stp>
        <tr r="N153" s="18"/>
      </tp>
      <tp t="e">
        <v>#N/A</v>
        <stp/>
        <stp>BDH|4562023252574772683</stp>
        <tr r="O162" s="18"/>
      </tp>
      <tp t="e">
        <v>#N/A</v>
        <stp/>
        <stp>BDH|1536501401554703390</stp>
        <tr r="W139" s="18"/>
      </tp>
      <tp t="e">
        <v>#N/A</v>
        <stp/>
        <stp>BDH|6879456136344311624</stp>
        <tr r="J37" s="22"/>
      </tp>
      <tp t="e">
        <v>#N/A</v>
        <stp/>
        <stp>BDH|2392360447990070680</stp>
        <tr r="R8" s="23"/>
      </tp>
      <tp t="e">
        <v>#N/A</v>
        <stp/>
        <stp>BDH|4330090631273809796</stp>
        <tr r="S18" s="13"/>
      </tp>
      <tp t="e">
        <v>#N/A</v>
        <stp/>
        <stp>BDH|1526332928624028742</stp>
        <tr r="F123" s="18"/>
      </tp>
      <tp t="e">
        <v>#N/A</v>
        <stp/>
        <stp>BDH|5801131935654348075</stp>
        <tr r="U17" s="9"/>
      </tp>
      <tp t="e">
        <v>#N/A</v>
        <stp/>
        <stp>BDH|6032464608573151251</stp>
        <tr r="T65" s="17"/>
      </tp>
      <tp t="e">
        <v>#N/A</v>
        <stp/>
        <stp>BDH|9784924938051123168</stp>
        <tr r="R125" s="18"/>
      </tp>
      <tp t="e">
        <v>#N/A</v>
        <stp/>
        <stp>BDH|1604799641932698320</stp>
        <tr r="Y69" s="12"/>
      </tp>
      <tp t="e">
        <v>#N/A</v>
        <stp/>
        <stp>BDH|6379197427483253559</stp>
        <tr r="F23" s="10"/>
      </tp>
      <tp t="e">
        <v>#N/A</v>
        <stp/>
        <stp>BDH|1967465124751044518</stp>
        <tr r="F19" s="11"/>
      </tp>
      <tp t="e">
        <v>#N/A</v>
        <stp/>
        <stp>BDH|2424917148945327945</stp>
        <tr r="F70" s="10"/>
        <tr r="F64" s="11"/>
      </tp>
      <tp t="e">
        <v>#N/A</v>
        <stp/>
        <stp>BDH|7811712283288296323</stp>
        <tr r="V35" s="21"/>
      </tp>
      <tp t="e">
        <v>#N/A</v>
        <stp/>
        <stp>BDH|7229553525323810008</stp>
        <tr r="O55" s="13"/>
      </tp>
      <tp t="e">
        <v>#N/A</v>
        <stp/>
        <stp>BDH|6292769576854977115</stp>
        <tr r="R7" s="21"/>
      </tp>
      <tp t="e">
        <v>#N/A</v>
        <stp/>
        <stp>BDH|7672757779154233028</stp>
        <tr r="I39" s="4"/>
        <tr r="I65" s="10"/>
      </tp>
      <tp t="e">
        <v>#N/A</v>
        <stp/>
        <stp>BDH|2926161014191100008</stp>
        <tr r="K137" s="18"/>
      </tp>
      <tp t="e">
        <v>#N/A</v>
        <stp/>
        <stp>BDH|3334407446714992467</stp>
        <tr r="U8" s="24"/>
      </tp>
      <tp t="e">
        <v>#N/A</v>
        <stp/>
        <stp>BDH|1490143953040170681</stp>
        <tr r="D25" s="12"/>
      </tp>
      <tp t="e">
        <v>#N/A</v>
        <stp/>
        <stp>BDH|1057245215309892835</stp>
        <tr r="R7" s="8"/>
      </tp>
      <tp t="e">
        <v>#N/A</v>
        <stp/>
        <stp>BDH|9343668882410527484</stp>
        <tr r="H15" s="10"/>
      </tp>
      <tp t="e">
        <v>#N/A</v>
        <stp/>
        <stp>BDH|2883405177194614633</stp>
        <tr r="M46" s="18"/>
      </tp>
      <tp t="e">
        <v>#N/A</v>
        <stp/>
        <stp>BDH|5111139778210935088</stp>
        <tr r="Q150" s="18"/>
      </tp>
      <tp t="e">
        <v>#N/A</v>
        <stp/>
        <stp>BDH|4933526402314727654</stp>
        <tr r="D35" s="18"/>
      </tp>
      <tp t="e">
        <v>#N/A</v>
        <stp/>
        <stp>BDH|5645695953211010472</stp>
        <tr r="Y14" s="30"/>
      </tp>
      <tp t="e">
        <v>#N/A</v>
        <stp/>
        <stp>BDH|7416751138223773356</stp>
        <tr r="X21" s="9"/>
      </tp>
      <tp t="e">
        <v>#N/A</v>
        <stp/>
        <stp>BDH|5090398940224786558</stp>
        <tr r="G12" s="14"/>
      </tp>
      <tp t="e">
        <v>#N/A</v>
        <stp/>
        <stp>BDH|2750035788671058870</stp>
        <tr r="T21" s="25"/>
        <tr r="T10" s="27"/>
      </tp>
      <tp t="e">
        <v>#N/A</v>
        <stp/>
        <stp>BDH|5486182658766680497</stp>
        <tr r="J33" s="22"/>
      </tp>
      <tp t="e">
        <v>#N/A</v>
        <stp/>
        <stp>BDH|9107955535757811721</stp>
        <tr r="H36" s="10"/>
        <tr r="H30" s="11"/>
        <tr r="J39" s="13"/>
      </tp>
      <tp t="e">
        <v>#N/A</v>
        <stp/>
        <stp>BDH|4315451098133534900</stp>
        <tr r="N8" s="28"/>
      </tp>
      <tp t="e">
        <v>#N/A</v>
        <stp/>
        <stp>BDH|6979433762232262512</stp>
        <tr r="G14" s="10"/>
      </tp>
      <tp t="e">
        <v>#N/A</v>
        <stp/>
        <stp>BDH|9309513439175755975</stp>
        <tr r="O23" s="26"/>
      </tp>
      <tp t="e">
        <v>#N/A</v>
        <stp/>
        <stp>BDH|3279796740224026703</stp>
        <tr r="H15" s="24"/>
      </tp>
      <tp t="e">
        <v>#N/A</v>
        <stp/>
        <stp>BDH|9710176731760306895</stp>
        <tr r="F10" s="12"/>
      </tp>
      <tp t="e">
        <v>#N/A</v>
        <stp/>
        <stp>BDH|5160361383509711486</stp>
        <tr r="AA59" s="17"/>
      </tp>
      <tp t="e">
        <v>#N/A</v>
        <stp/>
        <stp>BDH|2682359436013918275</stp>
        <tr r="T10" s="10"/>
      </tp>
      <tp t="e">
        <v>#N/A</v>
        <stp/>
        <stp>BDH|5865376242089360853</stp>
        <tr r="J41" s="17"/>
      </tp>
      <tp t="e">
        <v>#N/A</v>
        <stp/>
        <stp>BDH|8667016580551420283</stp>
        <tr r="E81" s="18"/>
      </tp>
      <tp t="e">
        <v>#N/A</v>
        <stp/>
        <stp>BDH|4187946333808436591</stp>
        <tr r="P158" s="18"/>
      </tp>
      <tp t="e">
        <v>#N/A</v>
        <stp/>
        <stp>BDH|4746733110133772287</stp>
        <tr r="D72" s="10"/>
        <tr r="D66" s="11"/>
      </tp>
      <tp t="e">
        <v>#N/A</v>
        <stp/>
        <stp>BDH|5767045579598237933</stp>
        <tr r="H21" s="4"/>
      </tp>
      <tp t="e">
        <v>#N/A</v>
        <stp/>
        <stp>BDH|8978188296584967755</stp>
        <tr r="D14" s="23"/>
      </tp>
      <tp t="e">
        <v>#N/A</v>
        <stp/>
        <stp>BDH|7538835436576384982</stp>
        <tr r="P10" s="18"/>
      </tp>
      <tp t="e">
        <v>#N/A</v>
        <stp/>
        <stp>BDH|2529998293374525512</stp>
        <tr r="AA93" s="17"/>
      </tp>
      <tp t="e">
        <v>#N/A</v>
        <stp/>
        <stp>BDH|6687059431461189786</stp>
        <tr r="S146" s="18"/>
      </tp>
      <tp t="e">
        <v>#N/A</v>
        <stp/>
        <stp>BDH|6083611856695539397</stp>
        <tr r="G29" s="5"/>
      </tp>
      <tp t="e">
        <v>#N/A</v>
        <stp/>
        <stp>BDH|7103328118545281328</stp>
        <tr r="U13" s="24"/>
      </tp>
      <tp t="e">
        <v>#N/A</v>
        <stp/>
        <stp>BDH|5965231502437681356</stp>
        <tr r="S17" s="4"/>
        <tr r="U10" s="3"/>
        <tr r="S55" s="10"/>
        <tr r="S49" s="11"/>
        <tr r="S17" s="7"/>
        <tr r="U49" s="13"/>
      </tp>
      <tp t="e">
        <v>#N/A</v>
        <stp/>
        <stp>BDH|2521090476570280633</stp>
        <tr r="U23" s="12"/>
      </tp>
      <tp t="e">
        <v>#N/A</v>
        <stp/>
        <stp>BDH|3753833482050930049</stp>
        <tr r="J34" s="6"/>
        <tr r="L10" s="8"/>
      </tp>
      <tp t="e">
        <v>#N/A</v>
        <stp/>
        <stp>BDH|6879509416136542707</stp>
        <tr r="S21" s="12"/>
      </tp>
      <tp t="e">
        <v>#N/A</v>
        <stp/>
        <stp>BDH|1708047398338111319</stp>
        <tr r="H79" s="18"/>
      </tp>
      <tp t="e">
        <v>#N/A</v>
        <stp/>
        <stp>BDH|2020216059916528060</stp>
        <tr r="Q51" s="17"/>
      </tp>
      <tp t="e">
        <v>#N/A</v>
        <stp/>
        <stp>BDH|8522730705844287892</stp>
        <tr r="N27" s="22"/>
      </tp>
      <tp t="e">
        <v>#N/A</v>
        <stp/>
        <stp>BDH|5828359144802209333</stp>
        <tr r="K28" s="21"/>
      </tp>
      <tp t="e">
        <v>#N/A</v>
        <stp/>
        <stp>BDH|3774948838059580364</stp>
        <tr r="P17" s="20"/>
      </tp>
      <tp t="e">
        <v>#N/A</v>
        <stp/>
        <stp>BDH|9612241853028113582</stp>
        <tr r="W31" s="10"/>
        <tr r="W25" s="11"/>
      </tp>
      <tp t="e">
        <v>#N/A</v>
        <stp/>
        <stp>BDH|5337596759670217690</stp>
        <tr r="M42" s="21"/>
      </tp>
      <tp t="e">
        <v>#N/A</v>
        <stp/>
        <stp>BDH|2538325076801987404</stp>
        <tr r="S104" s="18"/>
      </tp>
      <tp t="e">
        <v>#N/A</v>
        <stp/>
        <stp>BDH|1687730345118085984</stp>
        <tr r="L13" s="18"/>
      </tp>
      <tp t="e">
        <v>#N/A</v>
        <stp/>
        <stp>BDH|7370299933894370124</stp>
        <tr r="T103" s="18"/>
      </tp>
      <tp t="e">
        <v>#N/A</v>
        <stp/>
        <stp>BDH|6874821546008407102</stp>
        <tr r="C14" s="3"/>
      </tp>
      <tp t="e">
        <v>#N/A</v>
        <stp/>
        <stp>BDH|1537801799336422507</stp>
        <tr r="V87" s="17"/>
        <tr r="V20" s="3"/>
        <tr r="T6" s="7"/>
      </tp>
      <tp t="e">
        <v>#N/A</v>
        <stp/>
        <stp>BDH|9398092483506883492</stp>
        <tr r="T10" s="18"/>
      </tp>
      <tp t="e">
        <v>#N/A</v>
        <stp/>
        <stp>BDH|5824853494093774461</stp>
        <tr r="K11" s="18"/>
      </tp>
      <tp t="e">
        <v>#N/A</v>
        <stp/>
        <stp>BDH|8627944703286937400</stp>
        <tr r="V20" s="24"/>
      </tp>
      <tp t="e">
        <v>#N/A</v>
        <stp/>
        <stp>BDH|5714429025840826004</stp>
        <tr r="T12" s="7"/>
      </tp>
      <tp t="e">
        <v>#N/A</v>
        <stp/>
        <stp>BDH|3831942218450936850</stp>
        <tr r="O52" s="21"/>
      </tp>
      <tp t="e">
        <v>#N/A</v>
        <stp/>
        <stp>BDH|3392093227021664335</stp>
        <tr r="V61" s="21"/>
      </tp>
      <tp t="e">
        <v>#N/A</v>
        <stp/>
        <stp>BDH|4716903159782789915</stp>
        <tr r="G31" s="34"/>
      </tp>
      <tp t="e">
        <v>#N/A</v>
        <stp/>
        <stp>BDH|6606918118288736501</stp>
        <tr r="Y8" s="11"/>
      </tp>
      <tp t="e">
        <v>#N/A</v>
        <stp/>
        <stp>BDH|2537467872077966508</stp>
        <tr r="O19" s="22"/>
      </tp>
      <tp t="e">
        <v>#N/A</v>
        <stp/>
        <stp>BDH|1890016581652254821</stp>
        <tr r="I110" s="18"/>
        <tr r="G11" s="20"/>
      </tp>
      <tp t="e">
        <v>#N/A</v>
        <stp/>
        <stp>BDH|6376175628477537118</stp>
        <tr r="C46" s="18"/>
      </tp>
      <tp t="e">
        <v>#N/A</v>
        <stp/>
        <stp>BDH|5501591976632089622</stp>
        <tr r="D43" s="12"/>
      </tp>
      <tp t="e">
        <v>#N/A</v>
        <stp/>
        <stp>BDH|9532139096671149395</stp>
        <tr r="U21" s="27"/>
      </tp>
      <tp t="e">
        <v>#N/A</v>
        <stp/>
        <stp>BDH|4788379954950550191</stp>
        <tr r="G43" s="18"/>
      </tp>
      <tp t="e">
        <v>#N/A</v>
        <stp/>
        <stp>BDH|3679752679085412568</stp>
        <tr r="V45" s="17"/>
        <tr r="V9" s="25"/>
      </tp>
      <tp t="e">
        <v>#N/A</v>
        <stp/>
        <stp>BDH|4107678649341754402</stp>
        <tr r="F129" s="18"/>
      </tp>
      <tp t="e">
        <v>#N/A</v>
        <stp/>
        <stp>BDH|7819320249193841038</stp>
        <tr r="I31" s="10"/>
        <tr r="I25" s="11"/>
      </tp>
      <tp t="e">
        <v>#N/A</v>
        <stp/>
        <stp>BDH|3511936891522697297</stp>
        <tr r="V13" s="14"/>
      </tp>
      <tp t="e">
        <v>#N/A</v>
        <stp/>
        <stp>BDH|7001255959336633529</stp>
        <tr r="H84" s="18"/>
      </tp>
      <tp t="e">
        <v>#N/A</v>
        <stp/>
        <stp>BDH|6633094439850859666</stp>
        <tr r="V60" s="17"/>
      </tp>
      <tp t="e">
        <v>#N/A</v>
        <stp/>
        <stp>BDH|8164205489978213924</stp>
        <tr r="Q25" s="13"/>
      </tp>
      <tp t="e">
        <v>#N/A</v>
        <stp/>
        <stp>BDH|6536158665772834051</stp>
        <tr r="X28" s="5"/>
      </tp>
      <tp t="e">
        <v>#N/A</v>
        <stp/>
        <stp>BDH|1499057634778877950</stp>
        <tr r="Q132" s="18"/>
      </tp>
      <tp t="e">
        <v>#N/A</v>
        <stp/>
        <stp>BDH|7825281936976897372</stp>
        <tr r="Y64" s="12"/>
      </tp>
      <tp t="e">
        <v>#N/A</v>
        <stp/>
        <stp>BDH|9983371376857062917</stp>
        <tr r="I42" s="34"/>
      </tp>
      <tp t="e">
        <v>#N/A</v>
        <stp/>
        <stp>BDH|9481980237916771656</stp>
        <tr r="H30" s="22"/>
      </tp>
      <tp t="e">
        <v>#N/A</v>
        <stp/>
        <stp>BDH|5346187171261213113</stp>
        <tr r="AA8" s="22"/>
      </tp>
      <tp t="e">
        <v>#N/A</v>
        <stp/>
        <stp>BDH|6019562624433923126</stp>
        <tr r="L18" s="24"/>
      </tp>
      <tp t="e">
        <v>#N/A</v>
        <stp/>
        <stp>BDH|5206788015702083265</stp>
        <tr r="Y27" s="18"/>
      </tp>
      <tp t="e">
        <v>#N/A</v>
        <stp/>
        <stp>BDH|6821033602324862186</stp>
        <tr r="F98" s="18"/>
      </tp>
      <tp t="e">
        <v>#N/A</v>
        <stp/>
        <stp>BDH|6327315267606801644</stp>
        <tr r="C8" s="3"/>
        <tr r="C38" s="13"/>
      </tp>
      <tp t="e">
        <v>#N/A</v>
        <stp/>
        <stp>BDH|1528941969905264839</stp>
        <tr r="Q20" s="27"/>
      </tp>
      <tp t="e">
        <v>#N/A</v>
        <stp/>
        <stp>BDH|2145490513134356015</stp>
        <tr r="I8" s="14"/>
      </tp>
      <tp t="e">
        <v>#N/A</v>
        <stp/>
        <stp>BDH|3336161421412835150</stp>
        <tr r="S57" s="12"/>
      </tp>
      <tp t="e">
        <v>#N/A</v>
        <stp/>
        <stp>BDH|9114816141192919410</stp>
        <tr r="G22" s="26"/>
      </tp>
      <tp t="e">
        <v>#N/A</v>
        <stp/>
        <stp>BDH|8287169554589974604</stp>
        <tr r="C161" s="18"/>
      </tp>
      <tp t="e">
        <v>#N/A</v>
        <stp/>
        <stp>BDH|8972269243159099450</stp>
        <tr r="C34" s="13"/>
      </tp>
      <tp t="e">
        <v>#N/A</v>
        <stp/>
        <stp>BDH|6012599978497037086</stp>
        <tr r="E16" s="11"/>
      </tp>
      <tp t="e">
        <v>#N/A</v>
        <stp/>
        <stp>BDH|2312103709810205013</stp>
        <tr r="M157" s="18"/>
      </tp>
      <tp t="e">
        <v>#N/A</v>
        <stp/>
        <stp>BDH|6885507025416537411</stp>
        <tr r="P24" s="29"/>
      </tp>
      <tp t="e">
        <v>#N/A</v>
        <stp/>
        <stp>BDH|2396285121441441077</stp>
        <tr r="S55" s="17"/>
      </tp>
      <tp t="e">
        <v>#N/A</v>
        <stp/>
        <stp>BDH|1612568087948834769</stp>
        <tr r="Z10" s="21"/>
      </tp>
      <tp t="e">
        <v>#N/A</v>
        <stp/>
        <stp>BDH|6842650114985564751</stp>
        <tr r="Y42" s="13"/>
      </tp>
      <tp t="e">
        <v>#N/A</v>
        <stp/>
        <stp>BDH|2997682416347674182</stp>
        <tr r="H7" s="17"/>
      </tp>
      <tp t="e">
        <v>#N/A</v>
        <stp/>
        <stp>BDH|5006469614424951725</stp>
        <tr r="J17" s="20"/>
      </tp>
      <tp t="e">
        <v>#N/A</v>
        <stp/>
        <stp>BDH|4981082748567238420</stp>
        <tr r="I24" s="20"/>
      </tp>
      <tp t="e">
        <v>#N/A</v>
        <stp/>
        <stp>BDH|7323188792658724471</stp>
        <tr r="R18" s="5"/>
        <tr r="R30" s="6"/>
      </tp>
      <tp t="e">
        <v>#N/A</v>
        <stp/>
        <stp>BDH|5442096543614538628</stp>
        <tr r="F57" s="12"/>
      </tp>
      <tp t="e">
        <v>#N/A</v>
        <stp/>
        <stp>BDH|2391894593782125217</stp>
        <tr r="C129" s="18"/>
      </tp>
      <tp t="e">
        <v>#N/A</v>
        <stp/>
        <stp>BDH|5184741044415957069</stp>
        <tr r="Q36" s="4"/>
      </tp>
      <tp t="e">
        <v>#N/A</v>
        <stp/>
        <stp>BDH|9846861036839587834</stp>
        <tr r="Q53" s="24"/>
      </tp>
      <tp t="e">
        <v>#N/A</v>
        <stp/>
        <stp>BDH|2538430018636527256</stp>
        <tr r="S44" s="17"/>
      </tp>
      <tp t="e">
        <v>#N/A</v>
        <stp/>
        <stp>BDH|1496153256140880613</stp>
        <tr r="N50" s="18"/>
      </tp>
      <tp t="e">
        <v>#N/A</v>
        <stp/>
        <stp>BDH|2721790245311112340</stp>
        <tr r="AA38" s="24"/>
      </tp>
      <tp t="e">
        <v>#N/A</v>
        <stp/>
        <stp>BDH|6911375017593612410</stp>
        <tr r="S8" s="13"/>
      </tp>
      <tp t="e">
        <v>#N/A</v>
        <stp/>
        <stp>BDH|2775785534564065152</stp>
        <tr r="H21" s="5"/>
      </tp>
      <tp t="e">
        <v>#N/A</v>
        <stp/>
        <stp>BDH|5868532825070609167</stp>
        <tr r="J18" s="22"/>
      </tp>
      <tp t="e">
        <v>#N/A</v>
        <stp/>
        <stp>BDH|7653191290285131906</stp>
        <tr r="K11" s="9"/>
      </tp>
      <tp t="e">
        <v>#N/A</v>
        <stp/>
        <stp>BDH|6667439378916149020</stp>
        <tr r="W26" s="18"/>
      </tp>
      <tp t="e">
        <v>#N/A</v>
        <stp/>
        <stp>BDH|9823853882108212234</stp>
        <tr r="AA53" s="17"/>
      </tp>
      <tp t="e">
        <v>#N/A</v>
        <stp/>
        <stp>BDH|3379037942056969252</stp>
        <tr r="X82" s="18"/>
      </tp>
      <tp t="e">
        <v>#N/A</v>
        <stp/>
        <stp>BDH|3509624422113231792</stp>
        <tr r="X7" s="4"/>
      </tp>
      <tp t="e">
        <v>#N/A</v>
        <stp/>
        <stp>BDH|7668519273856299089</stp>
        <tr r="M27" s="7"/>
      </tp>
      <tp t="e">
        <v>#N/A</v>
        <stp/>
        <stp>BDH|8524094292304637661</stp>
        <tr r="S49" s="12"/>
      </tp>
      <tp t="e">
        <v>#N/A</v>
        <stp/>
        <stp>BDH|2117593921552660416</stp>
        <tr r="S43" s="13"/>
      </tp>
      <tp t="e">
        <v>#N/A</v>
        <stp/>
        <stp>BDH|3031950813548996018</stp>
        <tr r="K15" s="9"/>
      </tp>
      <tp t="e">
        <v>#N/A</v>
        <stp/>
        <stp>BDH|1189283206510188000</stp>
        <tr r="R27" s="25"/>
        <tr r="O14" s="5"/>
        <tr r="R17" s="27"/>
      </tp>
      <tp t="e">
        <v>#N/A</v>
        <stp/>
        <stp>BDH|4265370850555805435</stp>
        <tr r="O94" s="18"/>
      </tp>
      <tp t="e">
        <v>#N/A</v>
        <stp/>
        <stp>BDH|2179521163161945375</stp>
        <tr r="H16" s="2"/>
        <tr r="H32" s="4"/>
        <tr r="H61" s="10"/>
        <tr r="J19" s="13"/>
      </tp>
      <tp t="e">
        <v>#N/A</v>
        <stp/>
        <stp>BDH|5502847514137884835</stp>
        <tr r="E61" s="17"/>
      </tp>
      <tp t="e">
        <v>#N/A</v>
        <stp/>
        <stp>BDH|5796729673894048287</stp>
        <tr r="W32" s="10"/>
        <tr r="W26" s="11"/>
      </tp>
      <tp t="e">
        <v>#N/A</v>
        <stp/>
        <stp>BDH|5090662054806909358</stp>
        <tr r="E10" s="28"/>
      </tp>
      <tp t="e">
        <v>#N/A</v>
        <stp/>
        <stp>BDH|3702493913902754745</stp>
        <tr r="H22" s="20"/>
      </tp>
      <tp t="e">
        <v>#N/A</v>
        <stp/>
        <stp>BDH|3813639366112478274</stp>
        <tr r="S23" s="26"/>
      </tp>
      <tp t="e">
        <v>#N/A</v>
        <stp/>
        <stp>BDH|9570840771031992473</stp>
        <tr r="I43" s="4"/>
      </tp>
      <tp t="e">
        <v>#N/A</v>
        <stp/>
        <stp>BDH|5544360077911276387</stp>
        <tr r="S92" s="18"/>
      </tp>
      <tp t="e">
        <v>#N/A</v>
        <stp/>
        <stp>BDH|1203321240197880265</stp>
        <tr r="Q56" s="12"/>
      </tp>
      <tp t="e">
        <v>#N/A</v>
        <stp/>
        <stp>BDH|5554516568574093123</stp>
        <tr r="R20" s="2"/>
        <tr r="R18" s="4"/>
        <tr r="R57" s="10"/>
        <tr r="R51" s="11"/>
        <tr r="R19" s="7"/>
        <tr r="T57" s="13"/>
      </tp>
      <tp t="e">
        <v>#N/A</v>
        <stp/>
        <stp>BDH|5747138915737830174</stp>
        <tr r="C139" s="18"/>
      </tp>
      <tp t="e">
        <v>#N/A</v>
        <stp/>
        <stp>BDH|4696725371427268092</stp>
        <tr r="S17" s="20"/>
      </tp>
      <tp t="e">
        <v>#N/A</v>
        <stp/>
        <stp>BDH|3444326504222581197</stp>
        <tr r="W74" s="18"/>
      </tp>
      <tp t="e">
        <v>#N/A</v>
        <stp/>
        <stp>BDH|2590930342524872824</stp>
        <tr r="O90" s="17"/>
      </tp>
      <tp t="e">
        <v>#N/A</v>
        <stp/>
        <stp>BDH|4972451237116691630</stp>
        <tr r="K92" s="17"/>
      </tp>
      <tp t="e">
        <v>#N/A</v>
        <stp/>
        <stp>BDH|1243701449930455108</stp>
        <tr r="G10" s="4"/>
        <tr r="F6" s="16"/>
        <tr r="I6" s="3"/>
        <tr r="G6" s="11"/>
      </tp>
      <tp t="e">
        <v>#N/A</v>
        <stp/>
        <stp>BDH|5738137794417899979</stp>
        <tr r="K44" s="13"/>
      </tp>
      <tp t="e">
        <v>#N/A</v>
        <stp/>
        <stp>BDH|7240585673571511735</stp>
        <tr r="E42" s="18"/>
      </tp>
      <tp t="e">
        <v>#N/A</v>
        <stp/>
        <stp>BDH|8408958606930880209</stp>
        <tr r="D67" s="17"/>
      </tp>
      <tp t="e">
        <v>#N/A</v>
        <stp/>
        <stp>BDH|4104332776787342481</stp>
        <tr r="H14" s="10"/>
      </tp>
      <tp t="e">
        <v>#N/A</v>
        <stp/>
        <stp>BDH|2879521653991190075</stp>
        <tr r="N61" s="21"/>
      </tp>
      <tp t="e">
        <v>#N/A</v>
        <stp/>
        <stp>BDH|7896254367879755923</stp>
        <tr r="K17" s="4"/>
        <tr r="M10" s="3"/>
        <tr r="K55" s="10"/>
        <tr r="K49" s="11"/>
        <tr r="K17" s="7"/>
        <tr r="M49" s="13"/>
      </tp>
      <tp t="e">
        <v>#N/A</v>
        <stp/>
        <stp>BDH|6050787379665654082</stp>
        <tr r="H18" s="18"/>
      </tp>
      <tp t="e">
        <v>#N/A</v>
        <stp/>
        <stp>BDH|1887963643107783851</stp>
        <tr r="Y105" s="18"/>
      </tp>
      <tp t="e">
        <v>#N/A</v>
        <stp/>
        <stp>BDH|6405772679393319663</stp>
        <tr r="L46" s="17"/>
      </tp>
      <tp t="e">
        <v>#N/A</v>
        <stp/>
        <stp>BDH|9935062123889493173</stp>
        <tr r="O29" s="24"/>
      </tp>
      <tp t="e">
        <v>#N/A</v>
        <stp/>
        <stp>BDH|7505868699815156047</stp>
        <tr r="I52" s="4"/>
        <tr r="K8" s="3"/>
        <tr r="I43" s="10"/>
        <tr r="I37" s="11"/>
        <tr r="K38" s="13"/>
      </tp>
      <tp t="e">
        <v>#N/A</v>
        <stp/>
        <stp>BDH|4746103443343917127</stp>
        <tr r="I24" s="13"/>
      </tp>
      <tp t="e">
        <v>#N/A</v>
        <stp/>
        <stp>BDH|2719294243275713254</stp>
        <tr r="D157" s="18"/>
      </tp>
      <tp t="e">
        <v>#N/A</v>
        <stp/>
        <stp>BDH|2680492250927377731</stp>
        <tr r="K80" s="17"/>
      </tp>
      <tp t="e">
        <v>#N/A</v>
        <stp/>
        <stp>BDH|7821259837754412118</stp>
        <tr r="N23" s="12"/>
      </tp>
      <tp t="e">
        <v>#N/A</v>
        <stp/>
        <stp>BDH|6954923690393344674</stp>
        <tr r="K7" s="6"/>
      </tp>
      <tp t="e">
        <v>#N/A</v>
        <stp/>
        <stp>BDH|4952737386241531967</stp>
        <tr r="G15" s="10"/>
      </tp>
      <tp t="e">
        <v>#N/A</v>
        <stp/>
        <stp>BDH|9733167149319777604</stp>
        <tr r="Y98" s="18"/>
      </tp>
      <tp t="e">
        <v>#N/A</v>
        <stp/>
        <stp>BDH|4169138676903808233</stp>
        <tr r="K158" s="18"/>
      </tp>
      <tp t="e">
        <v>#N/A</v>
        <stp/>
        <stp>BDH|7632625829565535574</stp>
        <tr r="J71" s="17"/>
      </tp>
      <tp t="e">
        <v>#N/A</v>
        <stp/>
        <stp>BDH|2743950180963497393</stp>
        <tr r="AA77" s="18"/>
      </tp>
      <tp t="e">
        <v>#N/A</v>
        <stp/>
        <stp>BDH|2928767012993086422</stp>
        <tr r="G70" s="24"/>
      </tp>
      <tp t="e">
        <v>#N/A</v>
        <stp/>
        <stp>BDH|1605290229981076397</stp>
        <tr r="Y9" s="27"/>
      </tp>
      <tp t="e">
        <v>#N/A</v>
        <stp/>
        <stp>BDH|5489822718929792662</stp>
        <tr r="X44" s="18"/>
      </tp>
      <tp t="e">
        <v>#N/A</v>
        <stp/>
        <stp>BDH|7205490106121623148</stp>
        <tr r="W52" s="10"/>
        <tr r="W46" s="11"/>
        <tr r="W16" s="7"/>
      </tp>
      <tp t="e">
        <v>#N/A</v>
        <stp/>
        <stp>BDH|2468335830197906619</stp>
        <tr r="V17" s="14"/>
      </tp>
      <tp t="e">
        <v>#N/A</v>
        <stp/>
        <stp>BDH|5459192001973055436</stp>
        <tr r="H17" s="5"/>
        <tr r="H24" s="6"/>
      </tp>
      <tp t="e">
        <v>#N/A</v>
        <stp/>
        <stp>BDH|5850371640891762076</stp>
        <tr r="D13" s="5"/>
      </tp>
      <tp t="e">
        <v>#N/A</v>
        <stp/>
        <stp>BDH|7525779732131840171</stp>
        <tr r="U46" s="4"/>
        <tr r="U24" s="10"/>
        <tr r="W35" s="13"/>
      </tp>
      <tp t="e">
        <v>#N/A</v>
        <stp/>
        <stp>BDH|6782116177363902073</stp>
        <tr r="J19" s="20"/>
      </tp>
      <tp t="e">
        <v>#N/A</v>
        <stp/>
        <stp>BDH|5512776939307199553</stp>
        <tr r="D21" s="20"/>
      </tp>
      <tp t="e">
        <v>#N/A</v>
        <stp/>
        <stp>BDH|5727734056081591581</stp>
        <tr r="N41" s="10"/>
        <tr r="N35" s="11"/>
      </tp>
      <tp t="e">
        <v>#N/A</v>
        <stp/>
        <stp>BDH|2348434417382829630</stp>
        <tr r="K48" s="17"/>
      </tp>
      <tp t="e">
        <v>#N/A</v>
        <stp/>
        <stp>BDH|4910463961380358515</stp>
        <tr r="Q15" s="18"/>
      </tp>
      <tp t="e">
        <v>#N/A</v>
        <stp/>
        <stp>BDH|3812105962237322055</stp>
        <tr r="R19" s="22"/>
      </tp>
      <tp t="e">
        <v>#N/A</v>
        <stp/>
        <stp>BDH|5731878087267910128</stp>
        <tr r="T42" s="24"/>
      </tp>
      <tp t="e">
        <v>#N/A</v>
        <stp/>
        <stp>BDH|1302945173688822401</stp>
        <tr r="I132" s="18"/>
      </tp>
      <tp t="e">
        <v>#N/A</v>
        <stp/>
        <stp>BDH|2327914493510913141</stp>
        <tr r="E8" s="8"/>
      </tp>
      <tp t="e">
        <v>#N/A</v>
        <stp/>
        <stp>BDH|3961527395198128431</stp>
        <tr r="G144" s="18"/>
      </tp>
      <tp t="e">
        <v>#N/A</v>
        <stp/>
        <stp>BDH|6960562015593235241</stp>
        <tr r="O76" s="12"/>
      </tp>
      <tp t="e">
        <v>#N/A</v>
        <stp/>
        <stp>BDH|6165023668475035670</stp>
        <tr r="E61" s="12"/>
      </tp>
      <tp t="e">
        <v>#N/A</v>
        <stp/>
        <stp>BDH|1579636108067110332</stp>
        <tr r="AA45" s="18"/>
      </tp>
      <tp t="e">
        <v>#N/A</v>
        <stp/>
        <stp>BDH|5473566568564128174</stp>
        <tr r="F27" s="17"/>
      </tp>
      <tp t="e">
        <v>#N/A</v>
        <stp/>
        <stp>BDH|3240774553600851226</stp>
        <tr r="J22" s="17"/>
      </tp>
      <tp t="e">
        <v>#N/A</v>
        <stp/>
        <stp>BDH|1628004440181822720</stp>
        <tr r="K101" s="18"/>
      </tp>
      <tp t="e">
        <v>#N/A</v>
        <stp/>
        <stp>BDH|3441034053101801404</stp>
        <tr r="I18" s="24"/>
      </tp>
      <tp t="e">
        <v>#N/A</v>
        <stp/>
        <stp>BDH|4271278160936968505</stp>
        <tr r="J9" s="12"/>
      </tp>
      <tp t="e">
        <v>#N/A</v>
        <stp/>
        <stp>BDH|4883612077926079020</stp>
        <tr r="Y154" s="18"/>
      </tp>
      <tp t="e">
        <v>#N/A</v>
        <stp/>
        <stp>BDH|9602118899703423169</stp>
        <tr r="K41" s="17"/>
      </tp>
      <tp t="e">
        <v>#N/A</v>
        <stp/>
        <stp>BDH|2790872318400603828</stp>
        <tr r="V12" s="14"/>
      </tp>
      <tp t="e">
        <v>#N/A</v>
        <stp/>
        <stp>BDH|3306663241322825005</stp>
        <tr r="V20" s="18"/>
      </tp>
      <tp t="e">
        <v>#N/A</v>
        <stp/>
        <stp>BDH|9531485293093289409</stp>
        <tr r="O18" s="18"/>
      </tp>
      <tp t="e">
        <v>#N/A</v>
        <stp/>
        <stp>BDH|8468661693365555186</stp>
        <tr r="E162" s="18"/>
      </tp>
      <tp t="e">
        <v>#N/A</v>
        <stp/>
        <stp>BDH|1121251878753063404</stp>
        <tr r="J37" s="21"/>
        <tr r="J24" s="3"/>
      </tp>
      <tp t="e">
        <v>#N/A</v>
        <stp/>
        <stp>BDH|4170541950305852216</stp>
        <tr r="O18" s="13"/>
      </tp>
      <tp t="e">
        <v>#N/A</v>
        <stp/>
        <stp>BDH|3298190601078098969</stp>
        <tr r="R26" s="26"/>
      </tp>
      <tp t="e">
        <v>#N/A</v>
        <stp/>
        <stp>BDH|2309538102381915570</stp>
        <tr r="X118" s="18"/>
      </tp>
      <tp t="e">
        <v>#N/A</v>
        <stp/>
        <stp>BDH|4669784698450247988</stp>
        <tr r="V90" s="18"/>
      </tp>
      <tp t="e">
        <v>#N/A</v>
        <stp/>
        <stp>BDH|1321577903812832534</stp>
        <tr r="L8" s="8"/>
      </tp>
      <tp t="e">
        <v>#N/A</v>
        <stp/>
        <stp>BDH|3919625506215339328</stp>
        <tr r="F63" s="21"/>
      </tp>
      <tp t="e">
        <v>#N/A</v>
        <stp/>
        <stp>BDH|9848624324877504975</stp>
        <tr r="T7" s="28"/>
      </tp>
      <tp t="e">
        <v>#N/A</v>
        <stp/>
        <stp>BDH|4803144030814556155</stp>
        <tr r="Q33" s="22"/>
      </tp>
      <tp t="e">
        <v>#N/A</v>
        <stp/>
        <stp>BDH|6003005789088290570</stp>
        <tr r="Z54" s="17"/>
      </tp>
      <tp t="e">
        <v>#N/A</v>
        <stp/>
        <stp>BDH|8136802046600203798</stp>
        <tr r="Z98" s="17"/>
        <tr r="Z13" s="28"/>
      </tp>
      <tp t="e">
        <v>#N/A</v>
        <stp/>
        <stp>BDH|2743055270841869760</stp>
        <tr r="O60" s="21"/>
      </tp>
      <tp t="e">
        <v>#N/A</v>
        <stp/>
        <stp>BDH|8330888452337776121</stp>
        <tr r="X50" s="17"/>
      </tp>
      <tp t="e">
        <v>#N/A</v>
        <stp/>
        <stp>BDH|1933324366207053001</stp>
        <tr r="P17" s="13"/>
      </tp>
      <tp t="e">
        <v>#N/A</v>
        <stp/>
        <stp>BDH|6761655574351333580</stp>
        <tr r="N13" s="14"/>
      </tp>
      <tp t="e">
        <v>#N/A</v>
        <stp/>
        <stp>BDH|7053593602442233342</stp>
        <tr r="Q24" s="20"/>
      </tp>
      <tp t="e">
        <v>#N/A</v>
        <stp/>
        <stp>BDH|4453177434844208188</stp>
        <tr r="V45" s="13"/>
      </tp>
      <tp t="e">
        <v>#N/A</v>
        <stp/>
        <stp>BDH|5509587870390743472</stp>
        <tr r="M62" s="12"/>
      </tp>
      <tp t="e">
        <v>#N/A</v>
        <stp/>
        <stp>BDH|5712505355560871673</stp>
        <tr r="D60" s="11"/>
        <tr r="F15" s="23"/>
      </tp>
      <tp t="e">
        <v>#N/A</v>
        <stp/>
        <stp>BDH|2972113542037064377</stp>
        <tr r="V116" s="18"/>
      </tp>
      <tp t="e">
        <v>#N/A</v>
        <stp/>
        <stp>BDH|1916064904683425124</stp>
        <tr r="AA18" s="22"/>
      </tp>
      <tp t="e">
        <v>#N/A</v>
        <stp/>
        <stp>BDH|1876576928792900732</stp>
        <tr r="E31" s="12"/>
      </tp>
      <tp t="e">
        <v>#N/A</v>
        <stp/>
        <stp>BDH|7598502754947979351</stp>
        <tr r="S30" s="18"/>
      </tp>
      <tp t="e">
        <v>#N/A</v>
        <stp/>
        <stp>BDH|3013118338115142758</stp>
        <tr r="I58" s="18"/>
      </tp>
      <tp t="e">
        <v>#N/A</v>
        <stp/>
        <stp>BDH|3393601785818966622</stp>
        <tr r="E25" s="2"/>
        <tr r="G62" s="21"/>
      </tp>
      <tp t="e">
        <v>#N/A</v>
        <stp/>
        <stp>BDH|1130151076085673191</stp>
        <tr r="O60" s="17"/>
      </tp>
      <tp t="e">
        <v>#N/A</v>
        <stp/>
        <stp>BDH|7463872109705355941</stp>
        <tr r="V71" s="12"/>
      </tp>
      <tp t="e">
        <v>#N/A</v>
        <stp/>
        <stp>BDH|9923508247299575268</stp>
        <tr r="Q14" s="28"/>
      </tp>
      <tp t="e">
        <v>#N/A</v>
        <stp/>
        <stp>BDH|2177945358088256520</stp>
        <tr r="V19" s="26"/>
      </tp>
      <tp t="e">
        <v>#N/A</v>
        <stp/>
        <stp>BDH|3816376032404902495</stp>
        <tr r="AA162" s="18"/>
      </tp>
      <tp t="e">
        <v>#N/A</v>
        <stp/>
        <stp>BDH|9256472482203327591</stp>
        <tr r="F53" s="18"/>
      </tp>
      <tp t="e">
        <v>#N/A</v>
        <stp/>
        <stp>BDH|3114876105908894061</stp>
        <tr r="P115" s="18"/>
      </tp>
      <tp t="e">
        <v>#N/A</v>
        <stp/>
        <stp>BDH|2038527218564020175</stp>
        <tr r="Q25" s="21"/>
      </tp>
      <tp t="e">
        <v>#N/A</v>
        <stp/>
        <stp>BDH|7004988495454341031</stp>
        <tr r="Q12" s="7"/>
      </tp>
      <tp t="e">
        <v>#N/A</v>
        <stp/>
        <stp>BDH|3193470837592514596</stp>
        <tr r="I9" s="3"/>
        <tr r="G50" s="10"/>
        <tr r="G44" s="11"/>
        <tr r="G14" s="7"/>
      </tp>
      <tp t="e">
        <v>#N/A</v>
        <stp/>
        <stp>BDH|3911709965052664375</stp>
        <tr r="N37" s="21"/>
        <tr r="N24" s="3"/>
      </tp>
      <tp t="e">
        <v>#N/A</v>
        <stp/>
        <stp>BDH|9667085516879338262</stp>
        <tr r="Y49" s="4"/>
      </tp>
      <tp t="e">
        <v>#N/A</v>
        <stp/>
        <stp>BDH|2059841253978252482</stp>
        <tr r="L161" s="18"/>
      </tp>
      <tp t="e">
        <v>#N/A</v>
        <stp/>
        <stp>BDH|3945912847814661945</stp>
        <tr r="C56" s="12"/>
      </tp>
      <tp t="e">
        <v>#N/A</v>
        <stp/>
        <stp>BDH|9217455779991521862</stp>
        <tr r="N21" s="4"/>
      </tp>
      <tp t="e">
        <v>#N/A</v>
        <stp/>
        <stp>BDH|9589066942138439681</stp>
        <tr r="U51" s="13"/>
      </tp>
      <tp t="e">
        <v>#N/A</v>
        <stp/>
        <stp>BDH|3940068346150066447</stp>
        <tr r="E7" s="11"/>
      </tp>
      <tp t="e">
        <v>#N/A</v>
        <stp/>
        <stp>BDH|6352195434844763342</stp>
        <tr r="O57" s="11"/>
      </tp>
      <tp t="e">
        <v>#N/A</v>
        <stp/>
        <stp>BDH|1452733550048395890</stp>
        <tr r="Y8" s="26"/>
        <tr r="V10" s="9"/>
      </tp>
      <tp t="e">
        <v>#N/A</v>
        <stp/>
        <stp>BDH|4670674538971446300</stp>
        <tr r="Y25" s="24"/>
      </tp>
      <tp t="e">
        <v>#N/A</v>
        <stp/>
        <stp>BDH|9990044141568413657</stp>
        <tr r="G21" s="3"/>
      </tp>
      <tp t="e">
        <v>#N/A</v>
        <stp/>
        <stp>BDH|6943605201016388567</stp>
        <tr r="F12" s="24"/>
      </tp>
      <tp t="e">
        <v>#N/A</v>
        <stp/>
        <stp>BDH|8188684857210128822</stp>
        <tr r="F85" s="18"/>
      </tp>
      <tp t="e">
        <v>#N/A</v>
        <stp/>
        <stp>BDH|9501826199642981959</stp>
        <tr r="Y54" s="12"/>
      </tp>
      <tp t="e">
        <v>#N/A</v>
        <stp/>
        <stp>BDH|2727140224761113345</stp>
        <tr r="E168" s="18"/>
      </tp>
      <tp t="e">
        <v>#N/A</v>
        <stp/>
        <stp>BDH|6014556125194472660</stp>
        <tr r="V45" s="24"/>
      </tp>
      <tp t="e">
        <v>#N/A</v>
        <stp/>
        <stp>BDH|8037691903158825500</stp>
        <tr r="R36" s="24"/>
      </tp>
      <tp t="e">
        <v>#N/A</v>
        <stp/>
        <stp>BDH|6271231171416657647</stp>
        <tr r="S39" s="10"/>
        <tr r="S33" s="11"/>
      </tp>
      <tp t="e">
        <v>#N/A</v>
        <stp/>
        <stp>BDH|1771711318661874544</stp>
        <tr r="F80" s="18"/>
      </tp>
      <tp t="e">
        <v>#N/A</v>
        <stp/>
        <stp>BDH|5312600036837180462</stp>
        <tr r="W12" s="18"/>
      </tp>
      <tp t="e">
        <v>#N/A</v>
        <stp/>
        <stp>BDH|1588808211332340955</stp>
        <tr r="R46" s="21"/>
      </tp>
      <tp t="e">
        <v>#N/A</v>
        <stp/>
        <stp>BDH|8903217494423957373</stp>
        <tr r="J23" s="17"/>
        <tr r="J15" s="3"/>
      </tp>
      <tp t="e">
        <v>#N/A</v>
        <stp/>
        <stp>BDH|1117469954624734768</stp>
        <tr r="I35" s="4"/>
      </tp>
      <tp t="e">
        <v>#N/A</v>
        <stp/>
        <stp>BDH|7554622164171357527</stp>
        <tr r="P12" s="6"/>
      </tp>
      <tp t="e">
        <v>#N/A</v>
        <stp/>
        <stp>BDH|7390457523545260759</stp>
        <tr r="Y37" s="18"/>
      </tp>
      <tp t="e">
        <v>#N/A</v>
        <stp/>
        <stp>BDH|4314274147377606671</stp>
        <tr r="S21" s="24"/>
      </tp>
      <tp t="e">
        <v>#N/A</v>
        <stp/>
        <stp>BDH|9197863004955032717</stp>
        <tr r="F21" s="30"/>
        <tr r="F24" s="23"/>
      </tp>
      <tp t="e">
        <v>#N/A</v>
        <stp/>
        <stp>BDH|5866650841646669281</stp>
        <tr r="W8" s="2"/>
      </tp>
      <tp t="e">
        <v>#N/A</v>
        <stp/>
        <stp>BDH|2755093426690377390</stp>
        <tr r="G22" s="22"/>
      </tp>
      <tp t="e">
        <v>#N/A</v>
        <stp/>
        <stp>BDH|4403082864756952736</stp>
        <tr r="Z26" s="21"/>
      </tp>
      <tp t="e">
        <v>#N/A</v>
        <stp/>
        <stp>BDH|9102661902295168963</stp>
        <tr r="N94" s="17"/>
      </tp>
      <tp t="e">
        <v>#N/A</v>
        <stp/>
        <stp>BDH|3281506300091118417</stp>
        <tr r="Y15" s="26"/>
      </tp>
      <tp t="e">
        <v>#N/A</v>
        <stp/>
        <stp>BDH|2576767627622387655</stp>
        <tr r="D78" s="12"/>
      </tp>
      <tp t="e">
        <v>#N/A</v>
        <stp/>
        <stp>BDH|5512004747206340438</stp>
        <tr r="C25" s="18"/>
      </tp>
      <tp t="e">
        <v>#N/A</v>
        <stp/>
        <stp>BDH|5192729016836551626</stp>
        <tr r="N26" s="17"/>
      </tp>
      <tp t="e">
        <v>#N/A</v>
        <stp/>
        <stp>BDH|1345299556230651580</stp>
        <tr r="Q168" s="18"/>
      </tp>
      <tp t="e">
        <v>#N/A</v>
        <stp/>
        <stp>BDH|7421197387719891401</stp>
        <tr r="R49" s="17"/>
      </tp>
      <tp t="e">
        <v>#N/A</v>
        <stp/>
        <stp>BDH|2322265731706742619</stp>
        <tr r="H77" s="12"/>
      </tp>
      <tp t="e">
        <v>#N/A</v>
        <stp/>
        <stp>BDH|2399427948537804636</stp>
        <tr r="Y26" s="10"/>
        <tr r="AA31" s="13"/>
      </tp>
      <tp t="e">
        <v>#N/A</v>
        <stp/>
        <stp>BDH|8221495276200683890</stp>
        <tr r="E14" s="25"/>
      </tp>
      <tp t="e">
        <v>#N/A</v>
        <stp/>
        <stp>BDH|6847211045483952079</stp>
        <tr r="E16" s="24"/>
      </tp>
      <tp t="e">
        <v>#N/A</v>
        <stp/>
        <stp>BDH|1432361803964724544</stp>
        <tr r="Q90" s="18"/>
      </tp>
      <tp t="e">
        <v>#N/A</v>
        <stp/>
        <stp>BDH|7574367255692227069</stp>
        <tr r="I51" s="13"/>
      </tp>
      <tp t="e">
        <v>#N/A</v>
        <stp/>
        <stp>BDH|9199767212368598428</stp>
        <tr r="W70" s="24"/>
      </tp>
      <tp t="e">
        <v>#N/A</v>
        <stp/>
        <stp>BDH|4818792800502026238</stp>
        <tr r="G35" s="12"/>
      </tp>
      <tp t="e">
        <v>#N/A</v>
        <stp/>
        <stp>BDH|5957300199535753959</stp>
        <tr r="L7" s="24"/>
      </tp>
      <tp t="e">
        <v>#N/A</v>
        <stp/>
        <stp>BDH|8566806230557717708</stp>
        <tr r="J12" s="10"/>
      </tp>
      <tp t="e">
        <v>#N/A</v>
        <stp/>
        <stp>BDH|4730198282736700890</stp>
        <tr r="Q27" s="6"/>
      </tp>
      <tp t="e">
        <v>#N/A</v>
        <stp/>
        <stp>BDH|1231869700979479328</stp>
        <tr r="X100" s="18"/>
      </tp>
      <tp t="e">
        <v>#N/A</v>
        <stp/>
        <stp>BDH|4219331185459187570</stp>
        <tr r="M56" s="17"/>
        <tr r="M17" s="3"/>
      </tp>
      <tp t="e">
        <v>#N/A</v>
        <stp/>
        <stp>BDH|1178971193866069477</stp>
        <tr r="D9" s="29"/>
      </tp>
      <tp t="e">
        <v>#N/A</v>
        <stp/>
        <stp>BDH|9648793289165602029</stp>
        <tr r="Y15" s="18"/>
      </tp>
      <tp t="e">
        <v>#N/A</v>
        <stp/>
        <stp>BDH|3330006423344318618</stp>
        <tr r="W38" s="22"/>
      </tp>
      <tp t="e">
        <v>#N/A</v>
        <stp/>
        <stp>BDH|7581442561856586074</stp>
        <tr r="S49" s="18"/>
      </tp>
      <tp t="e">
        <v>#N/A</v>
        <stp/>
        <stp>BDH|2019158534552250117</stp>
        <tr r="V64" s="24"/>
      </tp>
      <tp t="e">
        <v>#N/A</v>
        <stp/>
        <stp>BDH|5243806576169011073</stp>
        <tr r="L60" s="24"/>
      </tp>
      <tp t="e">
        <v>#N/A</v>
        <stp/>
        <stp>BDH|3439158681971324801</stp>
        <tr r="O66" s="12"/>
      </tp>
      <tp t="e">
        <v>#N/A</v>
        <stp/>
        <stp>BDH|3818876783620661096</stp>
        <tr r="X12" s="10"/>
      </tp>
      <tp t="e">
        <v>#N/A</v>
        <stp/>
        <stp>BDH|1100670367281573374</stp>
        <tr r="N13" s="10"/>
      </tp>
      <tp t="e">
        <v>#N/A</v>
        <stp/>
        <stp>BDH|3230465554503042237</stp>
        <tr r="Q52" s="12"/>
      </tp>
      <tp t="e">
        <v>#N/A</v>
        <stp/>
        <stp>BDH|3663988274747802919</stp>
        <tr r="K28" s="24"/>
      </tp>
      <tp t="e">
        <v>#N/A</v>
        <stp/>
        <stp>BDH|6838262409257444007</stp>
        <tr r="H70" s="18"/>
      </tp>
      <tp t="e">
        <v>#N/A</v>
        <stp/>
        <stp>BDH|2760802486617180639</stp>
        <tr r="G15" s="25"/>
      </tp>
      <tp t="e">
        <v>#N/A</v>
        <stp/>
        <stp>BDH|3801986565276646903</stp>
        <tr r="S159" s="18"/>
      </tp>
      <tp t="e">
        <v>#N/A</v>
        <stp/>
        <stp>BDH|3546219242967532104</stp>
        <tr r="C22" s="20"/>
      </tp>
      <tp t="e">
        <v>#N/A</v>
        <stp/>
        <stp>BDH|4144001629964367189</stp>
        <tr r="R14" s="13"/>
      </tp>
      <tp t="e">
        <v>#N/A</v>
        <stp/>
        <stp>BDH|2677166262462856492</stp>
        <tr r="N16" s="11"/>
      </tp>
      <tp t="e">
        <v>#N/A</v>
        <stp/>
        <stp>BDH|2896140848282213658</stp>
        <tr r="L32" s="21"/>
      </tp>
      <tp t="e">
        <v>#N/A</v>
        <stp/>
        <stp>BDH|1963909689454503769</stp>
        <tr r="T16" s="12"/>
      </tp>
      <tp t="e">
        <v>#N/A</v>
        <stp/>
        <stp>BDH|4550677517438228846</stp>
        <tr r="T122" s="18"/>
      </tp>
      <tp t="e">
        <v>#N/A</v>
        <stp/>
        <stp>BDH|4262114780756143814</stp>
        <tr r="P38" s="18"/>
      </tp>
      <tp t="e">
        <v>#N/A</v>
        <stp/>
        <stp>BDH|1796740573971278312</stp>
        <tr r="AA45" s="13"/>
      </tp>
      <tp t="e">
        <v>#N/A</v>
        <stp/>
        <stp>BDH|5312215777792441122</stp>
        <tr r="O9" s="10"/>
      </tp>
      <tp t="e">
        <v>#N/A</v>
        <stp/>
        <stp>BDH|9113871930798568904</stp>
        <tr r="O23" s="10"/>
      </tp>
      <tp t="e">
        <v>#N/A</v>
        <stp/>
        <stp>BDH|7929572171075446380</stp>
        <tr r="G78" s="12"/>
      </tp>
      <tp t="e">
        <v>#N/A</v>
        <stp/>
        <stp>BDH|6972972524648165682</stp>
        <tr r="W59" s="24"/>
      </tp>
      <tp t="e">
        <v>#N/A</v>
        <stp/>
        <stp>BDH|6984769735698847914</stp>
        <tr r="K18" s="2"/>
        <tr r="K53" s="4"/>
        <tr r="K45" s="10"/>
        <tr r="K39" s="11"/>
        <tr r="M46" s="13"/>
      </tp>
      <tp t="e">
        <v>#N/A</v>
        <stp/>
        <stp>BDH|9692878273966762368</stp>
        <tr r="N95" s="17"/>
        <tr r="N30" s="25"/>
      </tp>
      <tp t="e">
        <v>#N/A</v>
        <stp/>
        <stp>BDH|7108629672604699140</stp>
        <tr r="Y73" s="17"/>
        <tr r="V8" s="5"/>
        <tr r="V8" s="9"/>
      </tp>
      <tp t="e">
        <v>#N/A</v>
        <stp/>
        <stp>BDH|8872253820318697388</stp>
        <tr r="W23" s="21"/>
      </tp>
      <tp t="e">
        <v>#N/A</v>
        <stp/>
        <stp>BDH|2179360430075271466</stp>
        <tr r="N44" s="17"/>
      </tp>
      <tp t="e">
        <v>#N/A</v>
        <stp/>
        <stp>BDH|2287714641304566640</stp>
        <tr r="C131" s="18"/>
      </tp>
      <tp t="e">
        <v>#N/A</v>
        <stp/>
        <stp>BDH|5717922844628087324</stp>
        <tr r="G153" s="18"/>
      </tp>
      <tp t="e">
        <v>#N/A</v>
        <stp/>
        <stp>BDH|1667973572995400945</stp>
        <tr r="M45" s="4"/>
        <tr r="M30" s="10"/>
        <tr r="M24" s="11"/>
        <tr r="O30" s="13"/>
      </tp>
      <tp t="e">
        <v>#N/A</v>
        <stp/>
        <stp>BDH|1034772937763587566</stp>
        <tr r="H26" s="18"/>
      </tp>
      <tp t="e">
        <v>#N/A</v>
        <stp/>
        <stp>BDH|2632964994647506629</stp>
        <tr r="K10" s="11"/>
      </tp>
      <tp t="e">
        <v>#N/A</v>
        <stp/>
        <stp>BDH|4858089100377559061</stp>
        <tr r="N7" s="23"/>
      </tp>
      <tp t="e">
        <v>#N/A</v>
        <stp/>
        <stp>BDH|2620997750989402487</stp>
        <tr r="X92" s="18"/>
      </tp>
      <tp t="e">
        <v>#N/A</v>
        <stp/>
        <stp>BDH|5468167915404675228</stp>
        <tr r="O82" s="17"/>
        <tr r="O19" s="3"/>
      </tp>
      <tp t="e">
        <v>#N/A</v>
        <stp/>
        <stp>BDH|1231754435750690673</stp>
        <tr r="J13" s="13"/>
      </tp>
      <tp t="e">
        <v>#N/A</v>
        <stp/>
        <stp>BDH|7169604974371355459</stp>
        <tr r="V44" s="17"/>
      </tp>
      <tp t="e">
        <v>#N/A</v>
        <stp/>
        <stp>BDH|1233858835659316021</stp>
        <tr r="W31" s="24"/>
      </tp>
      <tp t="e">
        <v>#N/A</v>
        <stp/>
        <stp>BDH|2604400236280487677</stp>
        <tr r="P18" s="6"/>
      </tp>
      <tp t="e">
        <v>#N/A</v>
        <stp/>
        <stp>BDH|6281496929073813093</stp>
        <tr r="E25" s="6"/>
      </tp>
      <tp t="e">
        <v>#N/A</v>
        <stp/>
        <stp>BDH|6026236443932618150</stp>
        <tr r="P49" s="21"/>
      </tp>
      <tp t="e">
        <v>#N/A</v>
        <stp/>
        <stp>BDH|4540759595649754011</stp>
        <tr r="W129" s="18"/>
      </tp>
      <tp t="e">
        <v>#N/A</v>
        <stp/>
        <stp>BDH|1709187787689860238</stp>
        <tr r="C8" s="22"/>
      </tp>
      <tp t="e">
        <v>#N/A</v>
        <stp/>
        <stp>BDH|7274147274582296033</stp>
        <tr r="Q13" s="22"/>
      </tp>
      <tp t="e">
        <v>#N/A</v>
        <stp/>
        <stp>BDH|3010975690513273368</stp>
        <tr r="P68" s="24"/>
      </tp>
      <tp t="e">
        <v>#N/A</v>
        <stp/>
        <stp>BDH|3280320774652786608</stp>
        <tr r="I9" s="17"/>
      </tp>
      <tp t="e">
        <v>#N/A</v>
        <stp/>
        <stp>BDH|7322323462581733079</stp>
        <tr r="C71" s="24"/>
      </tp>
      <tp t="e">
        <v>#N/A</v>
        <stp/>
        <stp>BDH|6707471019814948433</stp>
        <tr r="E15" s="11"/>
      </tp>
      <tp t="e">
        <v>#N/A</v>
        <stp/>
        <stp>BDH|1220682669822511068</stp>
        <tr r="R8" s="18"/>
      </tp>
      <tp t="e">
        <v>#N/A</v>
        <stp/>
        <stp>BDH|3851465696449836406</stp>
        <tr r="V28" s="26"/>
      </tp>
      <tp t="e">
        <v>#N/A</v>
        <stp/>
        <stp>BDH|8656633785171467440</stp>
        <tr r="H150" s="18"/>
      </tp>
      <tp t="e">
        <v>#N/A</v>
        <stp/>
        <stp>BDH|7389209072371532040</stp>
        <tr r="V37" s="6"/>
      </tp>
      <tp t="e">
        <v>#N/A</v>
        <stp/>
        <stp>BDH|5193678026347871585</stp>
        <tr r="G58" s="17"/>
      </tp>
      <tp t="e">
        <v>#N/A</v>
        <stp/>
        <stp>BDH|2551199458974033146</stp>
        <tr r="AA31" s="18"/>
      </tp>
      <tp t="e">
        <v>#N/A</v>
        <stp/>
        <stp>BDH|3709740394168155664</stp>
        <tr r="I53" s="13"/>
      </tp>
      <tp t="e">
        <v>#N/A</v>
        <stp/>
        <stp>BDH|5505052227704521024</stp>
        <tr r="V11" s="9"/>
      </tp>
      <tp t="e">
        <v>#N/A</v>
        <stp/>
        <stp>BDH|2539516294418672564</stp>
        <tr r="H56" s="13"/>
      </tp>
      <tp t="e">
        <v>#N/A</v>
        <stp/>
        <stp>BDH|2722263477401302551</stp>
        <tr r="F34" s="6"/>
        <tr r="H10" s="8"/>
      </tp>
      <tp t="e">
        <v>#N/A</v>
        <stp/>
        <stp>BDH|4541030266063526252</stp>
        <tr r="AA34" s="21"/>
      </tp>
      <tp t="e">
        <v>#N/A</v>
        <stp/>
        <stp>BDH|8016955316203019033</stp>
        <tr r="AA52" s="12"/>
      </tp>
      <tp t="e">
        <v>#N/A</v>
        <stp/>
        <stp>BDH|1948278858204084161</stp>
        <tr r="I12" s="11"/>
      </tp>
      <tp t="e">
        <v>#N/A</v>
        <stp/>
        <stp>BDH|5148092112540846720</stp>
        <tr r="M34" s="21"/>
      </tp>
      <tp t="e">
        <v>#N/A</v>
        <stp/>
        <stp>BDH|4904732311572887339</stp>
        <tr r="F78" s="17"/>
      </tp>
      <tp t="e">
        <v>#N/A</v>
        <stp/>
        <stp>BDH|7450201084339780779</stp>
        <tr r="X13" s="7"/>
      </tp>
      <tp t="e">
        <v>#N/A</v>
        <stp/>
        <stp>BDH|3013020576527528010</stp>
        <tr r="S41" s="21"/>
      </tp>
      <tp t="e">
        <v>#N/A</v>
        <stp/>
        <stp>BDH|2165981398108568946</stp>
        <tr r="Z80" s="17"/>
      </tp>
      <tp t="e">
        <v>#N/A</v>
        <stp/>
        <stp>BDH|3766774192657349916</stp>
        <tr r="R57" s="11"/>
      </tp>
      <tp t="e">
        <v>#N/A</v>
        <stp/>
        <stp>BDH|4393803533454113816</stp>
        <tr r="V55" s="24"/>
      </tp>
      <tp t="e">
        <v>#N/A</v>
        <stp/>
        <stp>BDH|3298982083256017791</stp>
        <tr r="S46" s="10"/>
        <tr r="S40" s="11"/>
      </tp>
      <tp t="e">
        <v>#N/A</v>
        <stp/>
        <stp>BDH|9238779450711746920</stp>
        <tr r="I26" s="26"/>
      </tp>
      <tp t="e">
        <v>#N/A</v>
        <stp/>
        <stp>BDH|1860446649817307560</stp>
        <tr r="R23" s="26"/>
      </tp>
      <tp t="e">
        <v>#N/A</v>
        <stp/>
        <stp>BDH|4044053313052398456</stp>
        <tr r="N18" s="18"/>
      </tp>
      <tp t="e">
        <v>#N/A</v>
        <stp/>
        <stp>BDH|1590409245107937599</stp>
        <tr r="Z30" s="26"/>
      </tp>
      <tp t="e">
        <v>#N/A</v>
        <stp/>
        <stp>BDH|1107346006537506668</stp>
        <tr r="R30" s="17"/>
      </tp>
      <tp t="e">
        <v>#N/A</v>
        <stp/>
        <stp>BDH|7827172048235107468</stp>
        <tr r="K17" s="5"/>
        <tr r="K24" s="6"/>
      </tp>
      <tp t="e">
        <v>#N/A</v>
        <stp/>
        <stp>BDH|7804512279345428349</stp>
        <tr r="D33" s="18"/>
      </tp>
      <tp t="e">
        <v>#N/A</v>
        <stp/>
        <stp>BDH|2848694187069453628</stp>
        <tr r="O40" s="18"/>
      </tp>
      <tp t="e">
        <v>#N/A</v>
        <stp/>
        <stp>BDH|7998487452803290612</stp>
        <tr r="C138" s="18"/>
      </tp>
      <tp t="e">
        <v>#N/A</v>
        <stp/>
        <stp>BDH|6617621958306564099</stp>
        <tr r="J14" s="4"/>
      </tp>
      <tp t="e">
        <v>#N/A</v>
        <stp/>
        <stp>BDH|5199568901236698506</stp>
        <tr r="F17" s="4"/>
        <tr r="H10" s="3"/>
        <tr r="F55" s="10"/>
        <tr r="F49" s="11"/>
        <tr r="F17" s="7"/>
        <tr r="H49" s="13"/>
      </tp>
      <tp t="e">
        <v>#N/A</v>
        <stp/>
        <stp>BDH|1143579111057077175</stp>
        <tr r="P46" s="12"/>
      </tp>
      <tp t="e">
        <v>#N/A</v>
        <stp/>
        <stp>BDH|1197731607636390368</stp>
        <tr r="T158" s="18"/>
      </tp>
      <tp t="e">
        <v>#N/A</v>
        <stp/>
        <stp>BDH|6751278994326738832</stp>
        <tr r="P104" s="18"/>
      </tp>
      <tp t="e">
        <v>#N/A</v>
        <stp/>
        <stp>BDH|8284345425848726248</stp>
        <tr r="Q15" s="12"/>
      </tp>
      <tp t="e">
        <v>#N/A</v>
        <stp/>
        <stp>BDH|7482846508488963413</stp>
        <tr r="M16" s="23"/>
      </tp>
      <tp t="e">
        <v>#N/A</v>
        <stp/>
        <stp>BDH|3026058036610169325</stp>
        <tr r="N27" s="6"/>
      </tp>
      <tp t="e">
        <v>#N/A</v>
        <stp/>
        <stp>BDH|4709513872817208264</stp>
        <tr r="U145" s="18"/>
      </tp>
      <tp t="e">
        <v>#N/A</v>
        <stp/>
        <stp>BDH|6112768775387129236</stp>
        <tr r="C30" s="22"/>
      </tp>
      <tp t="e">
        <v>#N/A</v>
        <stp/>
        <stp>BDH|3769204273362678728</stp>
        <tr r="L22" s="10"/>
      </tp>
      <tp t="e">
        <v>#N/A</v>
        <stp/>
        <stp>BDH|3965478123250438691</stp>
        <tr r="R72" s="10"/>
        <tr r="R66" s="11"/>
      </tp>
      <tp t="e">
        <v>#N/A</v>
        <stp/>
        <stp>BDH|6282834389412819707</stp>
        <tr r="V43" s="22"/>
      </tp>
      <tp t="e">
        <v>#N/A</v>
        <stp/>
        <stp>BDH|1020807630970997984</stp>
        <tr r="N34" s="6"/>
        <tr r="P10" s="8"/>
      </tp>
      <tp t="e">
        <v>#N/A</v>
        <stp/>
        <stp>BDH|4491759378795923214</stp>
        <tr r="Y88" s="18"/>
      </tp>
      <tp t="e">
        <v>#N/A</v>
        <stp/>
        <stp>BDH|1717523276911535178</stp>
        <tr r="N73" s="18"/>
      </tp>
      <tp t="e">
        <v>#N/A</v>
        <stp/>
        <stp>BDH|9668029755588095703</stp>
        <tr r="O44" s="18"/>
      </tp>
      <tp t="e">
        <v>#N/A</v>
        <stp/>
        <stp>BDH|4538025767354271532</stp>
        <tr r="L37" s="10"/>
        <tr r="L31" s="11"/>
        <tr r="N40" s="13"/>
      </tp>
      <tp t="e">
        <v>#N/A</v>
        <stp/>
        <stp>BDH|7100855091411320470</stp>
        <tr r="R11" s="9"/>
      </tp>
      <tp t="e">
        <v>#N/A</v>
        <stp/>
        <stp>BDH|4150735364025020370</stp>
        <tr r="G24" s="20"/>
      </tp>
      <tp t="e">
        <v>#N/A</v>
        <stp/>
        <stp>BDH|4133072049772729196</stp>
        <tr r="I15" s="18"/>
      </tp>
      <tp t="e">
        <v>#N/A</v>
        <stp/>
        <stp>BDH|8269824037110496028</stp>
        <tr r="H44" s="21"/>
      </tp>
      <tp t="e">
        <v>#N/A</v>
        <stp/>
        <stp>BDH|1406249301839013905</stp>
        <tr r="AA163" s="18"/>
      </tp>
      <tp t="e">
        <v>#N/A</v>
        <stp/>
        <stp>BDH|3602145320210237311</stp>
        <tr r="J33" s="17"/>
      </tp>
      <tp t="e">
        <v>#N/A</v>
        <stp/>
        <stp>BDH|3466431207523307727</stp>
        <tr r="S26" s="12"/>
      </tp>
      <tp t="e">
        <v>#N/A</v>
        <stp/>
        <stp>BDH|9431367361609453662</stp>
        <tr r="U88" s="17"/>
      </tp>
      <tp t="e">
        <v>#N/A</v>
        <stp/>
        <stp>BDH|3850082929584918616</stp>
        <tr r="F23" s="12"/>
      </tp>
      <tp t="e">
        <v>#N/A</v>
        <stp/>
        <stp>BDH|8375834897443502932</stp>
        <tr r="Y27" s="21"/>
      </tp>
      <tp t="e">
        <v>#N/A</v>
        <stp/>
        <stp>BDH|6493654588268187393</stp>
        <tr r="D13" s="22"/>
      </tp>
      <tp t="e">
        <v>#N/A</v>
        <stp/>
        <stp>BDH|1871507469726617762</stp>
        <tr r="L8" s="18"/>
      </tp>
      <tp t="e">
        <v>#N/A</v>
        <stp/>
        <stp>BDH|6932442907348814937</stp>
        <tr r="I14" s="29"/>
        <tr r="I23" s="29"/>
        <tr r="I34" s="29"/>
      </tp>
      <tp t="e">
        <v>#N/A</v>
        <stp/>
        <stp>BDH|3306847986410900094</stp>
        <tr r="R50" s="18"/>
      </tp>
      <tp t="e">
        <v>#N/A</v>
        <stp/>
        <stp>BDH|1823241523637950576</stp>
        <tr r="AA15" s="22"/>
      </tp>
      <tp t="e">
        <v>#N/A</v>
        <stp/>
        <stp>BDH|9916087604933584911</stp>
        <tr r="D66" s="18"/>
      </tp>
      <tp t="e">
        <v>#N/A</v>
        <stp/>
        <stp>BDH|9651459186594568219</stp>
        <tr r="Y22" s="4"/>
      </tp>
      <tp t="e">
        <v>#N/A</v>
        <stp/>
        <stp>BDH|6626221802322752503</stp>
        <tr r="K54" s="21"/>
      </tp>
      <tp t="e">
        <v>#N/A</v>
        <stp/>
        <stp>BDH|4741460005214199749</stp>
        <tr r="Z9" s="17"/>
      </tp>
      <tp t="e">
        <v>#N/A</v>
        <stp/>
        <stp>BDH|1028528863159750877</stp>
        <tr r="J18" s="18"/>
      </tp>
      <tp t="e">
        <v>#N/A</v>
        <stp/>
        <stp>BDH|6173185752060290182</stp>
        <tr r="M40" s="21"/>
      </tp>
      <tp t="e">
        <v>#N/A</v>
        <stp/>
        <stp>BDH|4963923729105699954</stp>
        <tr r="R43" s="18"/>
      </tp>
      <tp t="e">
        <v>#N/A</v>
        <stp/>
        <stp>BDH|9554335886359723868</stp>
        <tr r="F15" s="6"/>
      </tp>
      <tp t="e">
        <v>#N/A</v>
        <stp/>
        <stp>BDH|3800297527936270651</stp>
        <tr r="Q24" s="18"/>
      </tp>
      <tp t="e">
        <v>#N/A</v>
        <stp/>
        <stp>BDH|7255299415666946166</stp>
        <tr r="G74" s="12"/>
      </tp>
      <tp t="e">
        <v>#N/A</v>
        <stp/>
        <stp>BDH|7182363246713113015</stp>
        <tr r="Q19" s="14"/>
      </tp>
      <tp t="e">
        <v>#N/A</v>
        <stp/>
        <stp>BDH|6079728314355026676</stp>
        <tr r="F28" s="9"/>
      </tp>
      <tp t="e">
        <v>#N/A</v>
        <stp/>
        <stp>BDH|7404394693896942860</stp>
        <tr r="D34" s="21"/>
      </tp>
      <tp t="e">
        <v>#N/A</v>
        <stp/>
        <stp>BDH|4430708171324529312</stp>
        <tr r="Q26" s="26"/>
      </tp>
      <tp t="e">
        <v>#N/A</v>
        <stp/>
        <stp>BDH|5633792905584294596</stp>
        <tr r="T68" s="17"/>
      </tp>
      <tp t="e">
        <v>#N/A</v>
        <stp/>
        <stp>BDH|6805715651860868710</stp>
        <tr r="G9" s="17"/>
      </tp>
      <tp t="e">
        <v>#N/A</v>
        <stp/>
        <stp>BDH|1419219741362641634</stp>
        <tr r="I148" s="18"/>
      </tp>
      <tp t="e">
        <v>#N/A</v>
        <stp/>
        <stp>BDH|6755344213557386026</stp>
        <tr r="M31" s="22"/>
      </tp>
      <tp t="e">
        <v>#N/A</v>
        <stp/>
        <stp>BDH|2452276774693775718</stp>
        <tr r="S17" s="23"/>
      </tp>
      <tp t="e">
        <v>#N/A</v>
        <stp/>
        <stp>BDH|8884915834502809345</stp>
        <tr r="E14" s="11"/>
      </tp>
      <tp t="e">
        <v>#N/A</v>
        <stp/>
        <stp>BDH|6357326057336354549</stp>
        <tr r="P22" s="4"/>
      </tp>
      <tp t="e">
        <v>#N/A</v>
        <stp/>
        <stp>BDH|2442826796903622376</stp>
        <tr r="N9" s="18"/>
      </tp>
      <tp t="e">
        <v>#N/A</v>
        <stp/>
        <stp>BDH|8221836852664552278</stp>
        <tr r="Y71" s="10"/>
        <tr r="Y65" s="11"/>
      </tp>
      <tp t="e">
        <v>#N/A</v>
        <stp/>
        <stp>BDH|3674113433461498316</stp>
        <tr r="Z146" s="18"/>
      </tp>
      <tp t="e">
        <v>#N/A</v>
        <stp/>
        <stp>BDH|8072465377709484143</stp>
        <tr r="H34" s="25"/>
      </tp>
      <tp t="e">
        <v>#N/A</v>
        <stp/>
        <stp>BDH|5748017887746036809</stp>
        <tr r="O18" s="24"/>
      </tp>
      <tp t="e">
        <v>#N/A</v>
        <stp/>
        <stp>BDH|7926519720422021193</stp>
        <tr r="C145" s="18"/>
      </tp>
      <tp t="e">
        <v>#N/A</v>
        <stp/>
        <stp>BDH|1192001738416007782</stp>
        <tr r="AA20" s="18"/>
      </tp>
      <tp t="e">
        <v>#N/A</v>
        <stp/>
        <stp>BDH|6656236859572997041</stp>
        <tr r="AA36" s="12"/>
      </tp>
      <tp t="e">
        <v>#N/A</v>
        <stp/>
        <stp>BDH|6174086849902710318</stp>
        <tr r="T33" s="10"/>
        <tr r="T27" s="11"/>
      </tp>
      <tp t="e">
        <v>#N/A</v>
        <stp/>
        <stp>BDH|6369283917272869420</stp>
        <tr r="Y12" s="11"/>
      </tp>
      <tp t="e">
        <v>#N/A</v>
        <stp/>
        <stp>BDH|2026843992319057906</stp>
        <tr r="E16" s="2"/>
        <tr r="E32" s="4"/>
        <tr r="E61" s="10"/>
        <tr r="G19" s="13"/>
      </tp>
      <tp t="e">
        <v>#N/A</v>
        <stp/>
        <stp>BDH|5918000232106966346</stp>
        <tr r="J14" s="26"/>
      </tp>
      <tp t="e">
        <v>#N/A</v>
        <stp/>
        <stp>BDH|7702016974523366075</stp>
        <tr r="C71" s="10"/>
        <tr r="C65" s="11"/>
      </tp>
      <tp t="e">
        <v>#N/A</v>
        <stp/>
        <stp>BDH|5769639138211950238</stp>
        <tr r="R16" s="29"/>
        <tr r="R36" s="29"/>
      </tp>
      <tp t="e">
        <v>#N/A</v>
        <stp/>
        <stp>BDH|8438104938289930036</stp>
        <tr r="W35" s="22"/>
      </tp>
      <tp t="e">
        <v>#N/A</v>
        <stp/>
        <stp>BDH|6148969286966051272</stp>
        <tr r="I101" s="18"/>
      </tp>
      <tp t="e">
        <v>#N/A</v>
        <stp/>
        <stp>BDH|2734684353075259781</stp>
        <tr r="V40" s="10"/>
        <tr r="V34" s="11"/>
      </tp>
      <tp t="e">
        <v>#N/A</v>
        <stp/>
        <stp>BDH|6076399372854826556</stp>
        <tr r="F162" s="18"/>
      </tp>
      <tp t="e">
        <v>#N/A</v>
        <stp/>
        <stp>BDH|5054734315538279821</stp>
        <tr r="C10" s="8"/>
      </tp>
      <tp t="e">
        <v>#N/A</v>
        <stp/>
        <stp>BDH|1578065115342947197</stp>
        <tr r="E44" s="17"/>
      </tp>
      <tp t="e">
        <v>#N/A</v>
        <stp/>
        <stp>BDH|5185722505092382330</stp>
        <tr r="D43" s="13"/>
      </tp>
      <tp t="e">
        <v>#N/A</v>
        <stp/>
        <stp>BDH|6028407715305224516</stp>
        <tr r="AA41" s="18"/>
      </tp>
      <tp t="e">
        <v>#N/A</v>
        <stp/>
        <stp>BDH|7999057558590262108</stp>
        <tr r="G39" s="6"/>
      </tp>
      <tp t="e">
        <v>#N/A</v>
        <stp/>
        <stp>BDH|7384454755557658239</stp>
        <tr r="M9" s="22"/>
      </tp>
      <tp t="e">
        <v>#N/A</v>
        <stp/>
        <stp>BDH|8804313399387475622</stp>
        <tr r="O49" s="21"/>
      </tp>
      <tp t="e">
        <v>#N/A</v>
        <stp/>
        <stp>BDH|9432329730178298227</stp>
        <tr r="P15" s="13"/>
      </tp>
      <tp t="e">
        <v>#N/A</v>
        <stp/>
        <stp>BDH|5607667041120431431</stp>
        <tr r="F10" s="28"/>
      </tp>
      <tp t="e">
        <v>#N/A</v>
        <stp/>
        <stp>BDH|1354046691668022303</stp>
        <tr r="D46" s="18"/>
      </tp>
      <tp t="e">
        <v>#N/A</v>
        <stp/>
        <stp>BDH|3672531045134137570</stp>
        <tr r="E10" s="10"/>
      </tp>
      <tp t="e">
        <v>#N/A</v>
        <stp/>
        <stp>BDH|1407048447871827796</stp>
        <tr r="S66" s="18"/>
      </tp>
      <tp t="e">
        <v>#N/A</v>
        <stp/>
        <stp>BDH|5552411106496407404</stp>
        <tr r="G69" s="12"/>
      </tp>
      <tp t="e">
        <v>#N/A</v>
        <stp/>
        <stp>BDH|7723145555780276023</stp>
        <tr r="K62" s="12"/>
      </tp>
      <tp t="e">
        <v>#N/A</v>
        <stp/>
        <stp>BDH|7057471313786176730</stp>
        <tr r="D30" s="18"/>
      </tp>
      <tp t="e">
        <v>#N/A</v>
        <stp/>
        <stp>BDH|3560549253715183557</stp>
        <tr r="D113" s="18"/>
      </tp>
      <tp t="e">
        <v>#N/A</v>
        <stp/>
        <stp>BDH|1681157505664173719</stp>
        <tr r="Q42" s="18"/>
      </tp>
      <tp t="e">
        <v>#N/A</v>
        <stp/>
        <stp>BDH|3911944290235301580</stp>
        <tr r="AA8" s="26"/>
        <tr r="X10" s="9"/>
      </tp>
      <tp t="e">
        <v>#N/A</v>
        <stp/>
        <stp>BDH|5026923096502148437</stp>
        <tr r="Y8" s="27"/>
      </tp>
      <tp t="e">
        <v>#N/A</v>
        <stp/>
        <stp>BDH|7153617004886445469</stp>
        <tr r="P53" s="18"/>
      </tp>
      <tp t="e">
        <v>#N/A</v>
        <stp/>
        <stp>BDH|8897036954527931900</stp>
        <tr r="G38" s="24"/>
      </tp>
      <tp t="e">
        <v>#N/A</v>
        <stp/>
        <stp>BDH|2657510910791530449</stp>
        <tr r="X137" s="18"/>
      </tp>
      <tp t="e">
        <v>#N/A</v>
        <stp/>
        <stp>BDH|5497640447263007713</stp>
        <tr r="P58" s="18"/>
      </tp>
      <tp t="e">
        <v>#N/A</v>
        <stp/>
        <stp>BDH|6712465100254398547</stp>
        <tr r="O56" s="12"/>
      </tp>
      <tp t="e">
        <v>#N/A</v>
        <stp/>
        <stp>BDH|2261766451850328302</stp>
        <tr r="O55" s="24"/>
      </tp>
      <tp t="e">
        <v>#N/A</v>
        <stp/>
        <stp>BDH|3849350702885962601</stp>
        <tr r="K21" s="30"/>
        <tr r="K24" s="23"/>
      </tp>
      <tp t="e">
        <v>#N/A</v>
        <stp/>
        <stp>BDH|9685653175629333235</stp>
        <tr r="F12" s="3"/>
        <tr r="D54" s="10"/>
        <tr r="D48" s="11"/>
        <tr r="D7" s="7"/>
      </tp>
      <tp t="e">
        <v>#N/A</v>
        <stp/>
        <stp>BDH|4242657332267281512</stp>
        <tr r="N16" s="17"/>
        <tr r="N19" s="28"/>
      </tp>
      <tp t="e">
        <v>#N/A</v>
        <stp/>
        <stp>BDH|6270732331436782712</stp>
        <tr r="Q10" s="24"/>
      </tp>
      <tp t="e">
        <v>#N/A</v>
        <stp/>
        <stp>BDH|7978435726874320693</stp>
        <tr r="P22" s="22"/>
      </tp>
      <tp t="e">
        <v>#N/A</v>
        <stp/>
        <stp>BDH|2960511573313896057</stp>
        <tr r="W28" s="21"/>
      </tp>
      <tp t="e">
        <v>#N/A</v>
        <stp/>
        <stp>BDH|7425010742986628673</stp>
        <tr r="S35" s="17"/>
      </tp>
      <tp t="e">
        <v>#N/A</v>
        <stp/>
        <stp>BDH|7173755933845236533</stp>
        <tr r="E17" s="6"/>
      </tp>
      <tp t="e">
        <v>#N/A</v>
        <stp/>
        <stp>BDH|8031849741493323400</stp>
        <tr r="T35" s="18"/>
      </tp>
      <tp t="e">
        <v>#N/A</v>
        <stp/>
        <stp>BDH|8870971478265938088</stp>
        <tr r="J11" s="13"/>
      </tp>
      <tp t="e">
        <v>#N/A</v>
        <stp/>
        <stp>BDH|9618883218871939297</stp>
        <tr r="Y59" s="24"/>
      </tp>
      <tp t="e">
        <v>#N/A</v>
        <stp/>
        <stp>BDH|2283763753336370521</stp>
        <tr r="AA10" s="24"/>
      </tp>
      <tp t="e">
        <v>#N/A</v>
        <stp/>
        <stp>BDH|5697377771901513338</stp>
        <tr r="Q117" s="18"/>
      </tp>
      <tp t="e">
        <v>#N/A</v>
        <stp/>
        <stp>BDH|6219462707970156141</stp>
        <tr r="R90" s="17"/>
      </tp>
      <tp t="e">
        <v>#N/A</v>
        <stp/>
        <stp>BDH|6761152575613004003</stp>
        <tr r="Z53" s="18"/>
      </tp>
      <tp t="e">
        <v>#N/A</v>
        <stp/>
        <stp>BDH|7182189908323154676</stp>
        <tr r="D69" s="17"/>
      </tp>
      <tp t="e">
        <v>#N/A</v>
        <stp/>
        <stp>BDH|8411937517400452337</stp>
        <tr r="AA164" s="18"/>
      </tp>
      <tp t="e">
        <v>#N/A</v>
        <stp/>
        <stp>BDH|1361366979253233591</stp>
        <tr r="AA18" s="30"/>
      </tp>
      <tp t="e">
        <v>#N/A</v>
        <stp/>
        <stp>BDH|7511626731992565348</stp>
        <tr r="D27" s="18"/>
      </tp>
      <tp t="e">
        <v>#N/A</v>
        <stp/>
        <stp>BDH|3487008967290042645</stp>
        <tr r="R9" s="18"/>
      </tp>
      <tp t="e">
        <v>#N/A</v>
        <stp/>
        <stp>BDH|4350571320736270617</stp>
        <tr r="Y48" s="18"/>
      </tp>
      <tp t="e">
        <v>#N/A</v>
        <stp/>
        <stp>BDH|1693302230940849295</stp>
        <tr r="U38" s="10"/>
        <tr r="U32" s="11"/>
      </tp>
      <tp t="e">
        <v>#N/A</v>
        <stp/>
        <stp>BDH|3157410241799715910</stp>
        <tr r="S25" s="12"/>
      </tp>
      <tp t="e">
        <v>#N/A</v>
        <stp/>
        <stp>BDH|5440600107717635722</stp>
        <tr r="E71" s="18"/>
      </tp>
      <tp t="e">
        <v>#N/A</v>
        <stp/>
        <stp>BDH|2224529579093996070</stp>
        <tr r="P19" s="22"/>
      </tp>
      <tp t="e">
        <v>#N/A</v>
        <stp/>
        <stp>BDH|6909326279539463817</stp>
        <tr r="E8" s="17"/>
      </tp>
      <tp t="e">
        <v>#N/A</v>
        <stp/>
        <stp>BDH|3174654623046640262</stp>
        <tr r="C147" s="18"/>
      </tp>
      <tp t="e">
        <v>#N/A</v>
        <stp/>
        <stp>BDH|5590214966524259678</stp>
        <tr r="J33" s="21"/>
      </tp>
      <tp t="e">
        <v>#N/A</v>
        <stp/>
        <stp>BDH|2127719353847523414</stp>
        <tr r="AA32" s="17"/>
      </tp>
      <tp t="e">
        <v>#N/A</v>
        <stp/>
        <stp>BDH|7195304807141091610</stp>
        <tr r="U161" s="18"/>
      </tp>
      <tp t="e">
        <v>#N/A</v>
        <stp/>
        <stp>BDH|6629462115377736755</stp>
        <tr r="F55" s="17"/>
      </tp>
      <tp t="e">
        <v>#N/A</v>
        <stp/>
        <stp>BDH|1496270314901307034</stp>
        <tr r="C73" s="17"/>
      </tp>
      <tp t="e">
        <v>#N/A</v>
        <stp/>
        <stp>BDH|6379179157215104458</stp>
        <tr r="N33" s="18"/>
      </tp>
      <tp t="e">
        <v>#N/A</v>
        <stp/>
        <stp>BDH|4556779663885367356</stp>
        <tr r="C8" s="18"/>
      </tp>
      <tp t="e">
        <v>#N/A</v>
        <stp/>
        <stp>BDH|6808896435748717644</stp>
        <tr r="W25" s="4"/>
        <tr r="W64" s="10"/>
      </tp>
      <tp t="e">
        <v>#N/A</v>
        <stp/>
        <stp>BDH|4000157747904701629</stp>
        <tr r="Q22" s="4"/>
      </tp>
      <tp t="e">
        <v>#N/A</v>
        <stp/>
        <stp>BDH|1646265512267655631</stp>
        <tr r="M46" s="4"/>
        <tr r="M24" s="10"/>
        <tr r="O35" s="13"/>
      </tp>
      <tp t="e">
        <v>#N/A</v>
        <stp/>
        <stp>BDH|3484308933127717777</stp>
        <tr r="I23" s="21"/>
      </tp>
      <tp t="e">
        <v>#N/A</v>
        <stp/>
        <stp>BDH|2550722560245454546</stp>
        <tr r="L50" s="12"/>
      </tp>
      <tp t="e">
        <v>#N/A</v>
        <stp/>
        <stp>BDH|2630437675485742702</stp>
        <tr r="N27" s="10"/>
        <tr r="P32" s="13"/>
      </tp>
      <tp t="e">
        <v>#N/A</v>
        <stp/>
        <stp>BDH|7123041061793234111</stp>
        <tr r="O10" s="18"/>
      </tp>
      <tp t="e">
        <v>#N/A</v>
        <stp/>
        <stp>BDH|9664815920625147517</stp>
        <tr r="V57" s="24"/>
      </tp>
      <tp t="e">
        <v>#N/A</v>
        <stp/>
        <stp>BDH|7791827570239030226</stp>
        <tr r="AA25" s="12"/>
      </tp>
      <tp t="e">
        <v>#N/A</v>
        <stp/>
        <stp>BDH|1497051014350213303</stp>
        <tr r="Y101" s="18"/>
      </tp>
      <tp t="e">
        <v>#N/A</v>
        <stp/>
        <stp>BDH|8421845713651710339</stp>
        <tr r="S89" s="18"/>
      </tp>
      <tp t="e">
        <v>#N/A</v>
        <stp/>
        <stp>BDH|9240156283205791640</stp>
        <tr r="L9" s="27"/>
      </tp>
      <tp t="e">
        <v>#N/A</v>
        <stp/>
        <stp>BDH|5342029157471941285</stp>
        <tr r="I54" s="12"/>
      </tp>
      <tp t="e">
        <v>#N/A</v>
        <stp/>
        <stp>BDH|4618885198211078719</stp>
        <tr r="L80" s="17"/>
      </tp>
      <tp t="e">
        <v>#N/A</v>
        <stp/>
        <stp>BDH|3793271721573122377</stp>
        <tr r="Q153" s="18"/>
      </tp>
      <tp t="e">
        <v>#N/A</v>
        <stp/>
        <stp>BDH|2970265109087586442</stp>
        <tr r="X41" s="22"/>
      </tp>
      <tp t="e">
        <v>#N/A</v>
        <stp/>
        <stp>BDH|9428512007978294778</stp>
        <tr r="V38" s="4"/>
        <tr r="V59" s="11"/>
        <tr r="X13" s="23"/>
      </tp>
      <tp t="e">
        <v>#N/A</v>
        <stp/>
        <stp>BDH|3392033591848795110</stp>
        <tr r="D9" s="26"/>
      </tp>
      <tp t="e">
        <v>#N/A</v>
        <stp/>
        <stp>BDH|5711520951932418472</stp>
        <tr r="W57" s="17"/>
        <tr r="W10" s="25"/>
      </tp>
      <tp t="e">
        <v>#N/A</v>
        <stp/>
        <stp>BDH|9087206980398538825</stp>
        <tr r="F31" s="26"/>
      </tp>
      <tp t="e">
        <v>#N/A</v>
        <stp/>
        <stp>BDH|2091702193139295669</stp>
        <tr r="K38" s="10"/>
        <tr r="K32" s="11"/>
      </tp>
      <tp t="e">
        <v>#N/A</v>
        <stp/>
        <stp>BDH|3056649006766323063</stp>
        <tr r="K55" s="18"/>
      </tp>
      <tp t="e">
        <v>#N/A</v>
        <stp/>
        <stp>BDH|9676593669990803997</stp>
        <tr r="O96" s="18"/>
      </tp>
      <tp t="e">
        <v>#N/A</v>
        <stp/>
        <stp>BDH|1522061375064799167</stp>
        <tr r="K40" s="22"/>
      </tp>
      <tp t="e">
        <v>#N/A</v>
        <stp/>
        <stp>BDH|9185868956313496427</stp>
        <tr r="K48" s="18"/>
      </tp>
      <tp t="e">
        <v>#N/A</v>
        <stp/>
        <stp>BDH|6823872110434994811</stp>
        <tr r="O34" s="22"/>
      </tp>
      <tp t="e">
        <v>#N/A</v>
        <stp/>
        <stp>BDH|6752217141303094004</stp>
        <tr r="G10" s="34"/>
      </tp>
      <tp t="e">
        <v>#N/A</v>
        <stp/>
        <stp>BDH|5796339115185691104</stp>
        <tr r="V28" s="5"/>
      </tp>
      <tp t="e">
        <v>#N/A</v>
        <stp/>
        <stp>BDH|3134519755848356818</stp>
        <tr r="I90" s="18"/>
      </tp>
      <tp t="e">
        <v>#N/A</v>
        <stp/>
        <stp>BDH|3335308880643304872</stp>
        <tr r="Z12" s="21"/>
      </tp>
      <tp t="e">
        <v>#N/A</v>
        <stp/>
        <stp>BDH|9899421792226872173</stp>
        <tr r="Q57" s="18"/>
      </tp>
      <tp t="e">
        <v>#N/A</v>
        <stp/>
        <stp>BDH|5288671753972683776</stp>
        <tr r="J20" s="17"/>
      </tp>
      <tp t="e">
        <v>#N/A</v>
        <stp/>
        <stp>BDH|4562855612447414927</stp>
        <tr r="N50" s="21"/>
      </tp>
      <tp t="e">
        <v>#N/A</v>
        <stp/>
        <stp>BDH|2540303950780654774</stp>
        <tr r="N15" s="26"/>
      </tp>
      <tp t="e">
        <v>#N/A</v>
        <stp/>
        <stp>BDH|8981591640393099942</stp>
        <tr r="E128" s="18"/>
      </tp>
      <tp t="e">
        <v>#N/A</v>
        <stp/>
        <stp>BDH|6420496824942541188</stp>
        <tr r="O10" s="28"/>
      </tp>
      <tp t="e">
        <v>#N/A</v>
        <stp/>
        <stp>BDH|9021969951527182127</stp>
        <tr r="C28" s="22"/>
      </tp>
      <tp t="e">
        <v>#N/A</v>
        <stp/>
        <stp>BDH|6322612967173237633</stp>
        <tr r="R32" s="18"/>
      </tp>
      <tp t="e">
        <v>#N/A</v>
        <stp/>
        <stp>BDH|2588579757180211131</stp>
        <tr r="Z14" s="26"/>
      </tp>
      <tp t="e">
        <v>#N/A</v>
        <stp/>
        <stp>BDH|1306624616683744646</stp>
        <tr r="K17" s="11"/>
      </tp>
      <tp t="e">
        <v>#N/A</v>
        <stp/>
        <stp>BDH|2444189918699416849</stp>
        <tr r="V154" s="18"/>
      </tp>
      <tp t="e">
        <v>#N/A</v>
        <stp/>
        <stp>BDH|9520843533249288848</stp>
        <tr r="G15" s="24"/>
      </tp>
      <tp t="e">
        <v>#N/A</v>
        <stp/>
        <stp>BDH|6616436332293142123</stp>
        <tr r="L19" s="12"/>
      </tp>
      <tp t="e">
        <v>#N/A</v>
        <stp/>
        <stp>BDH|1355561272569463973</stp>
        <tr r="D23" s="20"/>
      </tp>
      <tp t="e">
        <v>#N/A</v>
        <stp/>
        <stp>BDH|5897248007884644099</stp>
        <tr r="U18" s="5"/>
        <tr r="U30" s="6"/>
      </tp>
      <tp t="e">
        <v>#N/A</v>
        <stp/>
        <stp>BDH|8179055991807141509</stp>
        <tr r="E34" s="18"/>
      </tp>
      <tp t="e">
        <v>#N/A</v>
        <stp/>
        <stp>BDH|9790309968687970826</stp>
        <tr r="W24" s="2"/>
      </tp>
      <tp t="e">
        <v>#N/A</v>
        <stp/>
        <stp>BDH|9433709691582693670</stp>
        <tr r="AA20" s="22"/>
      </tp>
      <tp t="e">
        <v>#N/A</v>
        <stp/>
        <stp>BDH|7614061901931775528</stp>
        <tr r="O46" s="18"/>
      </tp>
      <tp t="e">
        <v>#N/A</v>
        <stp/>
        <stp>BDH|1483683618320082508</stp>
        <tr r="N31" s="10"/>
        <tr r="N25" s="11"/>
      </tp>
      <tp t="e">
        <v>#N/A</v>
        <stp/>
        <stp>BDH|5672339042955468479</stp>
        <tr r="P24" s="22"/>
      </tp>
      <tp t="e">
        <v>#N/A</v>
        <stp/>
        <stp>BDH|1341440969283883325</stp>
        <tr r="Y91" s="18"/>
      </tp>
      <tp t="e">
        <v>#N/A</v>
        <stp/>
        <stp>BDH|3674635902664294216</stp>
        <tr r="L142" s="18"/>
      </tp>
      <tp t="e">
        <v>#N/A</v>
        <stp/>
        <stp>BDH|2755620600147783066</stp>
        <tr r="M14" s="17"/>
        <tr r="M17" s="28"/>
      </tp>
      <tp t="e">
        <v>#N/A</v>
        <stp/>
        <stp>BDH|6294160279152815113</stp>
        <tr r="G12" s="3"/>
        <tr r="E54" s="10"/>
        <tr r="E48" s="11"/>
        <tr r="E7" s="7"/>
      </tp>
      <tp t="e">
        <v>#N/A</v>
        <stp/>
        <stp>BDH|4011699657757900335</stp>
        <tr r="S73" s="24"/>
      </tp>
      <tp t="e">
        <v>#N/A</v>
        <stp/>
        <stp>BDH|9452239222509036317</stp>
        <tr r="C25" s="13"/>
      </tp>
      <tp t="e">
        <v>#N/A</v>
        <stp/>
        <stp>BDH|9318459212446611960</stp>
        <tr r="M22" s="22"/>
      </tp>
      <tp t="e">
        <v>#N/A</v>
        <stp/>
        <stp>BDH|2249642913614955289</stp>
        <tr r="G13" s="29"/>
        <tr r="G22" s="29"/>
        <tr r="G33" s="29"/>
      </tp>
      <tp t="e">
        <v>#N/A</v>
        <stp/>
        <stp>BDH|7432136481268382513</stp>
        <tr r="L13" s="17"/>
        <tr r="L16" s="28"/>
      </tp>
      <tp t="e">
        <v>#N/A</v>
        <stp/>
        <stp>BDH|9967210199908495919</stp>
        <tr r="U23" s="10"/>
      </tp>
      <tp t="e">
        <v>#N/A</v>
        <stp/>
        <stp>BDH|6626558800764636411</stp>
        <tr r="D40" s="13"/>
      </tp>
      <tp t="e">
        <v>#N/A</v>
        <stp/>
        <stp>BDH|2593359360940546413</stp>
        <tr r="C12" s="7"/>
      </tp>
      <tp t="e">
        <v>#N/A</v>
        <stp/>
        <stp>BDH|2433092947466884363</stp>
        <tr r="R107" s="18"/>
        <tr r="P7" s="20"/>
      </tp>
      <tp t="e">
        <v>#N/A</v>
        <stp/>
        <stp>BDH|4562011551897177519</stp>
        <tr r="O109" s="18"/>
        <tr r="M9" s="20"/>
      </tp>
      <tp t="e">
        <v>#N/A</v>
        <stp/>
        <stp>BDH|4400149720832510600</stp>
        <tr r="P20" s="23"/>
      </tp>
      <tp t="e">
        <v>#N/A</v>
        <stp/>
        <stp>BDH|4997769209173556364</stp>
        <tr r="T89" s="18"/>
      </tp>
      <tp t="e">
        <v>#N/A</v>
        <stp/>
        <stp>BDH|1580055977875518074</stp>
        <tr r="C29" s="10"/>
        <tr r="E34" s="13"/>
      </tp>
      <tp t="e">
        <v>#N/A</v>
        <stp/>
        <stp>BDH|7604972380390102551</stp>
        <tr r="F41" s="10"/>
        <tr r="F35" s="11"/>
      </tp>
      <tp t="e">
        <v>#N/A</v>
        <stp/>
        <stp>BDH|3889504139157799137</stp>
        <tr r="J14" s="23"/>
      </tp>
      <tp t="e">
        <v>#N/A</v>
        <stp/>
        <stp>BDH|4218626686689761044</stp>
        <tr r="C18" s="23"/>
      </tp>
      <tp t="e">
        <v>#N/A</v>
        <stp/>
        <stp>BDH|7889889794514608176</stp>
        <tr r="S15" s="10"/>
      </tp>
      <tp t="e">
        <v>#N/A</v>
        <stp/>
        <stp>BDH|2552853290032672233</stp>
        <tr r="Q37" s="10"/>
        <tr r="Q31" s="11"/>
        <tr r="S40" s="13"/>
      </tp>
      <tp t="e">
        <v>#N/A</v>
        <stp/>
        <stp>BDH|4660347957899154819</stp>
        <tr r="O65" s="17"/>
      </tp>
      <tp t="e">
        <v>#N/A</v>
        <stp/>
        <stp>BDH|4324564022668005825</stp>
        <tr r="Q47" s="24"/>
      </tp>
      <tp t="e">
        <v>#N/A</v>
        <stp/>
        <stp>BDH|7536522520490019321</stp>
        <tr r="P39" s="12"/>
      </tp>
      <tp t="e">
        <v>#N/A</v>
        <stp/>
        <stp>BDH|1249457495347368842</stp>
        <tr r="K17" s="23"/>
      </tp>
      <tp t="e">
        <v>#N/A</v>
        <stp/>
        <stp>BDH|7046242139796875301</stp>
        <tr r="S23" s="13"/>
      </tp>
      <tp t="e">
        <v>#N/A</v>
        <stp/>
        <stp>BDH|6082638007143172000</stp>
        <tr r="U8" s="4"/>
      </tp>
      <tp t="e">
        <v>#N/A</v>
        <stp/>
        <stp>BDH|8542922581912695850</stp>
        <tr r="S8" s="22"/>
      </tp>
      <tp t="e">
        <v>#N/A</v>
        <stp/>
        <stp>BDH|1436010304401158354</stp>
        <tr r="X7" s="8"/>
      </tp>
      <tp t="e">
        <v>#N/A</v>
        <stp/>
        <stp>BDH|8266990722995401589</stp>
        <tr r="U39" s="12"/>
      </tp>
      <tp t="e">
        <v>#N/A</v>
        <stp/>
        <stp>BDH|9250291859699792402</stp>
        <tr r="H65" s="17"/>
      </tp>
      <tp t="e">
        <v>#N/A</v>
        <stp/>
        <stp>BDH|7336898072312558980</stp>
        <tr r="AA36" s="17"/>
      </tp>
      <tp t="e">
        <v>#N/A</v>
        <stp/>
        <stp>BDH|4340235458862429296</stp>
        <tr r="G52" s="12"/>
      </tp>
      <tp t="e">
        <v>#N/A</v>
        <stp/>
        <stp>BDH|8312884152120586690</stp>
        <tr r="P78" s="18"/>
      </tp>
      <tp t="e">
        <v>#N/A</v>
        <stp/>
        <stp>BDH|2524357852586755109</stp>
        <tr r="G32" s="22"/>
      </tp>
      <tp t="e">
        <v>#N/A</v>
        <stp/>
        <stp>BDH|9665373174188788673</stp>
        <tr r="P17" s="22"/>
      </tp>
      <tp t="e">
        <v>#N/A</v>
        <stp/>
        <stp>BDH|2746539804577702327</stp>
        <tr r="R23" s="22"/>
      </tp>
      <tp t="e">
        <v>#N/A</v>
        <stp/>
        <stp>BDH|9345729341850423919</stp>
        <tr r="U68" s="12"/>
      </tp>
      <tp t="e">
        <v>#N/A</v>
        <stp/>
        <stp>BDH|67848743831293318</stp>
        <tr r="E52" s="24"/>
      </tp>
      <tp t="e">
        <v>#N/A</v>
        <stp/>
        <stp>BDH|60197526975986820</stp>
        <tr r="M13" s="29"/>
        <tr r="M22" s="29"/>
        <tr r="M33" s="29"/>
      </tp>
      <tp t="e">
        <v>#N/A</v>
        <stp/>
        <stp>BDH|27730256338300463</stp>
        <tr r="T12" s="12"/>
      </tp>
      <tp t="e">
        <v>#N/A</v>
        <stp/>
        <stp>BDH|70684509949038102</stp>
        <tr r="P162" s="18"/>
      </tp>
      <tp t="e">
        <v>#N/A</v>
        <stp/>
        <stp>BDH|94889489337528950</stp>
        <tr r="I18" s="20"/>
      </tp>
      <tp t="e">
        <v>#N/A</v>
        <stp/>
        <stp>BDH|30891204114595255</stp>
        <tr r="X35" s="18"/>
      </tp>
      <tp t="e">
        <v>#N/A</v>
        <stp/>
        <stp>BDH|97793049135335887</stp>
        <tr r="M12" s="30"/>
      </tp>
      <tp t="e">
        <v>#N/A</v>
        <stp/>
        <stp>BDH|120624720558715989</stp>
        <tr r="K71" s="18"/>
      </tp>
      <tp t="e">
        <v>#N/A</v>
        <stp/>
        <stp>BDH|230083951085496534</stp>
        <tr r="C23" s="11"/>
      </tp>
      <tp t="e">
        <v>#N/A</v>
        <stp/>
        <stp>BDH|895459255377616320</stp>
        <tr r="R158" s="18"/>
      </tp>
      <tp t="e">
        <v>#N/A</v>
        <stp/>
        <stp>BDH|327475422237850423</stp>
        <tr r="Y11" s="12"/>
      </tp>
      <tp t="e">
        <v>#N/A</v>
        <stp/>
        <stp>BDH|788808380713211693</stp>
        <tr r="U99" s="18"/>
      </tp>
      <tp t="e">
        <v>#N/A</v>
        <stp/>
        <stp>BDH|464384136420492534</stp>
        <tr r="E9" s="27"/>
      </tp>
      <tp t="e">
        <v>#N/A</v>
        <stp/>
        <stp>BDH|671615533239143980</stp>
        <tr r="R35" s="10"/>
        <tr r="R47" s="10"/>
        <tr r="R29" s="11"/>
        <tr r="R41" s="11"/>
      </tp>
      <tp t="e">
        <v>#N/A</v>
        <stp/>
        <stp>BDH|325603939259596917</stp>
        <tr r="I23" s="13"/>
      </tp>
      <tp t="e">
        <v>#N/A</v>
        <stp/>
        <stp>BDH|930722207086027421</stp>
        <tr r="H19" s="25"/>
        <tr r="F21" s="11"/>
      </tp>
      <tp t="e">
        <v>#N/A</v>
        <stp/>
        <stp>BDH|858870984724023151</stp>
        <tr r="N10" s="34"/>
      </tp>
      <tp t="e">
        <v>#N/A</v>
        <stp/>
        <stp>BDH|689086933836311001</stp>
        <tr r="J13" s="21"/>
      </tp>
      <tp t="e">
        <v>#N/A</v>
        <stp/>
        <stp>BDH|604166773021979247</stp>
        <tr r="O46" s="17"/>
      </tp>
      <tp t="e">
        <v>#N/A</v>
        <stp/>
        <stp>BDH|111012942470848144</stp>
        <tr r="W32" s="17"/>
      </tp>
      <tp t="e">
        <v>#N/A</v>
        <stp/>
        <stp>BDH|854049101035074024</stp>
        <tr r="AA51" s="12"/>
      </tp>
      <tp t="e">
        <v>#N/A</v>
        <stp/>
        <stp>BDH|291160239945477265</stp>
        <tr r="F13" s="18"/>
      </tp>
      <tp t="e">
        <v>#N/A</v>
        <stp/>
        <stp>BDH|800649465954326150</stp>
        <tr r="U15" s="10"/>
      </tp>
      <tp t="e">
        <v>#N/A</v>
        <stp/>
        <stp>BDH|450992722428273627</stp>
        <tr r="C26" s="34"/>
      </tp>
      <tp t="e">
        <v>#N/A</v>
        <stp/>
        <stp>BDH|530609418180130238</stp>
        <tr r="K8" s="24"/>
      </tp>
      <tp t="e">
        <v>#N/A</v>
        <stp/>
        <stp>BDH|576350442157377597</stp>
        <tr r="M16" s="21"/>
      </tp>
      <tp t="e">
        <v>#N/A</v>
        <stp/>
        <stp>BDH|280303342305910702</stp>
        <tr r="U8" s="2"/>
      </tp>
      <tp t="e">
        <v>#N/A</v>
        <stp/>
        <stp>BDH|507299062176373741</stp>
        <tr r="E59" s="12"/>
      </tp>
      <tp t="e">
        <v>#N/A</v>
        <stp/>
        <stp>BDH|767588743023721720</stp>
        <tr r="W51" s="10"/>
        <tr r="W45" s="11"/>
        <tr r="W15" s="7"/>
      </tp>
      <tp t="e">
        <v>#N/A</v>
        <stp/>
        <stp>BDH|243869087953919635</stp>
        <tr r="H18" s="22"/>
      </tp>
      <tp t="e">
        <v>#N/A</v>
        <stp/>
        <stp>BDH|595648073304817035</stp>
        <tr r="AA23" s="21"/>
      </tp>
      <tp t="e">
        <v>#N/A</v>
        <stp/>
        <stp>BDH|554423636841894337</stp>
        <tr r="O14" s="21"/>
      </tp>
      <tp t="e">
        <v>#N/A</v>
        <stp/>
        <stp>BDH|388323158800308304</stp>
        <tr r="F91" s="18"/>
      </tp>
      <tp t="e">
        <v>#N/A</v>
        <stp/>
        <stp>BDH|421527533591935267</stp>
        <tr r="F45" s="21"/>
      </tp>
      <tp t="e">
        <v>#N/A</v>
        <stp/>
        <stp>BDH|349469326102864103</stp>
        <tr r="C56" s="10"/>
        <tr r="C50" s="11"/>
        <tr r="C18" s="7"/>
        <tr r="E52" s="13"/>
      </tp>
      <tp t="e">
        <v>#N/A</v>
        <stp/>
        <stp>BDH|657880483291012469</stp>
        <tr r="M8" s="12"/>
      </tp>
      <tp t="e">
        <v>#N/A</v>
        <stp/>
        <stp>BDH|637198160360314275</stp>
        <tr r="J29" s="10"/>
        <tr r="L34" s="13"/>
      </tp>
      <tp t="e">
        <v>#N/A</v>
        <stp/>
        <stp>BDH|373364824433237786</stp>
        <tr r="M32" s="34"/>
      </tp>
      <tp t="e">
        <v>#N/A</v>
        <stp/>
        <stp>BDH|379012200090173586</stp>
        <tr r="W12" s="6"/>
      </tp>
      <tp t="e">
        <v>#N/A</v>
        <stp/>
        <stp>BDH|367682554905611329</stp>
        <tr r="R17" s="13"/>
      </tp>
      <tp t="e">
        <v>#N/A</v>
        <stp/>
        <stp>BDH|192947541040423844</stp>
        <tr r="W22" s="30"/>
        <tr r="W25" s="23"/>
      </tp>
      <tp t="e">
        <v>#N/A</v>
        <stp/>
        <stp>BDH|683640952515026341</stp>
        <tr r="O43" s="18"/>
      </tp>
      <tp t="e">
        <v>#N/A</v>
        <stp/>
        <stp>BDH|296523815486708762</stp>
        <tr r="F98" s="17"/>
        <tr r="F13" s="28"/>
      </tp>
      <tp t="e">
        <v>#N/A</v>
        <stp/>
        <stp>BDH|688005372824830686</stp>
        <tr r="G33" s="17"/>
      </tp>
      <tp t="e">
        <v>#N/A</v>
        <stp/>
        <stp>BDH|657442437457130501</stp>
        <tr r="O41" s="17"/>
      </tp>
      <tp t="e">
        <v>#N/A</v>
        <stp/>
        <stp>BDH|899437330111910368</stp>
        <tr r="R11" s="12"/>
      </tp>
      <tp t="e">
        <v>#N/A</v>
        <stp/>
        <stp>BDH|197404308804561586</stp>
        <tr r="N32" s="12"/>
      </tp>
      <tp t="e">
        <v>#N/A</v>
        <stp/>
        <stp>BDH|253276567440445126</stp>
        <tr r="H36" s="17"/>
      </tp>
      <tp t="e">
        <v>#N/A</v>
        <stp/>
        <stp>BDH|837822044979371089</stp>
        <tr r="V17" s="10"/>
      </tp>
      <tp t="e">
        <v>#N/A</v>
        <stp/>
        <stp>BDH|727579156076576368</stp>
        <tr r="G9" s="34"/>
      </tp>
      <tp t="e">
        <v>#N/A</v>
        <stp/>
        <stp>BDH|189239136745625170</stp>
        <tr r="I30" s="18"/>
      </tp>
      <tp t="e">
        <v>#N/A</v>
        <stp/>
        <stp>BDH|805239642773770087</stp>
        <tr r="G41" s="13"/>
      </tp>
      <tp t="e">
        <v>#N/A</v>
        <stp/>
        <stp>BDH|587389653762954111</stp>
        <tr r="S34" s="17"/>
      </tp>
      <tp t="e">
        <v>#N/A</v>
        <stp/>
        <stp>BDH|611393611894089380</stp>
        <tr r="N63" s="21"/>
      </tp>
      <tp t="e">
        <v>#N/A</v>
        <stp/>
        <stp>BDH|722873423406678933</stp>
        <tr r="I144" s="18"/>
      </tp>
      <tp t="e">
        <v>#N/A</v>
        <stp/>
        <stp>BDH|524826274709567302</stp>
        <tr r="I139" s="18"/>
      </tp>
      <tp t="e">
        <v>#N/A</v>
        <stp/>
        <stp>BDH|232775574097668215</stp>
        <tr r="Y30" s="17"/>
      </tp>
      <tp t="e">
        <v>#N/A</v>
        <stp/>
        <stp>BDH|629005750601416158</stp>
        <tr r="K18" s="5"/>
        <tr r="K30" s="6"/>
      </tp>
      <tp t="e">
        <v>#N/A</v>
        <stp/>
        <stp>BDH|498270346913143037</stp>
        <tr r="C45" s="18"/>
      </tp>
      <tp t="e">
        <v>#N/A</v>
        <stp/>
        <stp>BDH|317550653791104435</stp>
        <tr r="AA52" s="18"/>
      </tp>
      <tp t="e">
        <v>#N/A</v>
        <stp/>
        <stp>BDH|940989094074296172</stp>
        <tr r="O65" s="21"/>
        <tr r="M23" s="7"/>
      </tp>
      <tp t="e">
        <v>#N/A</v>
        <stp/>
        <stp>BDH|780604662470133554</stp>
        <tr r="G52" s="17"/>
      </tp>
      <tp t="e">
        <v>#N/A</v>
        <stp/>
        <stp>BDH|708936045259308138</stp>
        <tr r="R70" s="17"/>
      </tp>
      <tp t="e">
        <v>#N/A</v>
        <stp/>
        <stp>BDH|160436217977259769</stp>
        <tr r="M17" s="17"/>
        <tr r="M20" s="28"/>
      </tp>
      <tp t="e">
        <v>#N/A</v>
        <stp/>
        <stp>BDH|422739764197492351</stp>
        <tr r="W16" s="10"/>
      </tp>
      <tp t="e">
        <v>#N/A</v>
        <stp/>
        <stp>BDH|683373137676204369</stp>
        <tr r="S14" s="22"/>
      </tp>
      <tp t="e">
        <v>#N/A</v>
        <stp/>
        <stp>BDH|994424767553723483</stp>
        <tr r="W47" s="17"/>
      </tp>
      <tp t="e">
        <v>#N/A</v>
        <stp/>
        <stp>BDH|127518741544470061</stp>
        <tr r="U22" s="30"/>
        <tr r="U25" s="23"/>
      </tp>
      <tp t="e">
        <v>#N/A</v>
        <stp/>
        <stp>BDH|918331969707187716</stp>
        <tr r="S52" s="10"/>
        <tr r="S46" s="11"/>
        <tr r="S16" s="7"/>
      </tp>
      <tp t="e">
        <v>#N/A</v>
        <stp/>
        <stp>BDH|967369808111014748</stp>
        <tr r="L13" s="24"/>
      </tp>
      <tp t="e">
        <v>#N/A</v>
        <stp/>
        <stp>BDH|958748447597698003</stp>
        <tr r="I37" s="21"/>
        <tr r="I24" s="3"/>
      </tp>
      <tp t="e">
        <v>#N/A</v>
        <stp/>
        <stp>BDH|340994338396771897</stp>
        <tr r="C12" s="21"/>
      </tp>
      <tp t="e">
        <v>#N/A</v>
        <stp/>
        <stp>BDH|899989343218780189</stp>
        <tr r="P126" s="18"/>
      </tp>
      <tp t="e">
        <v>#N/A</v>
        <stp/>
        <stp>BDH|118195460890140348</stp>
        <tr r="E20" s="2"/>
        <tr r="E18" s="4"/>
        <tr r="E57" s="10"/>
        <tr r="E51" s="11"/>
        <tr r="E19" s="7"/>
        <tr r="G57" s="13"/>
      </tp>
      <tp t="e">
        <v>#N/A</v>
        <stp/>
        <stp>BDH|956361820254340113</stp>
        <tr r="M21" s="24"/>
      </tp>
      <tp t="e">
        <v>#N/A</v>
        <stp/>
        <stp>BDH|674662423377890768</stp>
        <tr r="T14" s="23"/>
      </tp>
      <tp t="e">
        <v>#N/A</v>
        <stp/>
        <stp>BDH|295621956985007289</stp>
        <tr r="O16" s="12"/>
      </tp>
      <tp t="e">
        <v>#N/A</v>
        <stp/>
        <stp>BDH|520408779672325511</stp>
        <tr r="L79" s="12"/>
      </tp>
      <tp t="e">
        <v>#N/A</v>
        <stp/>
        <stp>BDH|903716440042199572</stp>
        <tr r="H28" s="12"/>
      </tp>
      <tp t="e">
        <v>#N/A</v>
        <stp/>
        <stp>BDH|882838367259739354</stp>
        <tr r="H136" s="18"/>
      </tp>
      <tp t="e">
        <v>#N/A</v>
        <stp/>
        <stp>BDH|966831265068790275</stp>
        <tr r="R18" s="12"/>
      </tp>
      <tp t="e">
        <v>#N/A</v>
        <stp/>
        <stp>BDH|123612821958855861</stp>
        <tr r="I25" s="10"/>
      </tp>
      <tp t="e">
        <v>#N/A</v>
        <stp/>
        <stp>BDH|951563546052006764</stp>
        <tr r="S97" s="18"/>
      </tp>
      <tp t="e">
        <v>#N/A</v>
        <stp/>
        <stp>BDH|914456735413450021</stp>
        <tr r="P10" s="30"/>
      </tp>
      <tp t="e">
        <v>#N/A</v>
        <stp/>
        <stp>BDH|112532150190550482</stp>
        <tr r="F23" s="22"/>
      </tp>
      <tp t="e">
        <v>#N/A</v>
        <stp/>
        <stp>BDH|754070554415487483</stp>
        <tr r="M7" s="23"/>
      </tp>
      <tp t="e">
        <v>#N/A</v>
        <stp/>
        <stp>BDH|682465019355815496</stp>
        <tr r="T36" s="17"/>
      </tp>
      <tp t="e">
        <v>#N/A</v>
        <stp/>
        <stp>BDH|358133807180777585</stp>
        <tr r="J34" s="22"/>
      </tp>
      <tp t="e">
        <v>#N/A</v>
        <stp/>
        <stp>BDH|547678675661882461</stp>
        <tr r="E32" s="12"/>
      </tp>
      <tp t="e">
        <v>#N/A</v>
        <stp/>
        <stp>BDH|805156577013316107</stp>
        <tr r="I39" s="34"/>
      </tp>
      <tp t="e">
        <v>#N/A</v>
        <stp/>
        <stp>BDH|122093322027735143</stp>
        <tr r="M73" s="10"/>
        <tr r="M67" s="11"/>
      </tp>
      <tp t="e">
        <v>#N/A</v>
        <stp/>
        <stp>BDH|703197073573005144</stp>
        <tr r="N24" s="4"/>
        <tr r="N58" s="11"/>
      </tp>
      <tp t="e">
        <v>#N/A</v>
        <stp/>
        <stp>BDH|912183984015901856</stp>
        <tr r="W17" s="24"/>
      </tp>
      <tp t="e">
        <v>#N/A</v>
        <stp/>
        <stp>BDH|355967199765490127</stp>
        <tr r="I17" s="14"/>
      </tp>
      <tp t="e">
        <v>#N/A</v>
        <stp/>
        <stp>BDH|959524075151636725</stp>
        <tr r="W16" s="24"/>
      </tp>
      <tp t="e">
        <v>#N/A</v>
        <stp/>
        <stp>BDH|318463170404845374</stp>
        <tr r="J10" s="34"/>
      </tp>
      <tp t="e">
        <v>#N/A</v>
        <stp/>
        <stp>BDH|845338593177644957</stp>
        <tr r="F29" s="10"/>
        <tr r="H34" s="13"/>
      </tp>
      <tp t="e">
        <v>#N/A</v>
        <stp/>
        <stp>BDH|161540152026435282</stp>
        <tr r="D37" s="21"/>
        <tr r="D24" s="3"/>
      </tp>
      <tp t="e">
        <v>#N/A</v>
        <stp/>
        <stp>BDH|546289145985052736</stp>
        <tr r="C36" s="18"/>
      </tp>
      <tp t="e">
        <v>#N/A</v>
        <stp/>
        <stp>BDH|443567002875629422</stp>
        <tr r="V88" s="18"/>
      </tp>
      <tp t="e">
        <v>#N/A</v>
        <stp/>
        <stp>BDH|492419030645768669</stp>
        <tr r="D115" s="18"/>
      </tp>
      <tp t="e">
        <v>#N/A</v>
        <stp/>
        <stp>BDH|308990484093800626</stp>
        <tr r="E21" s="3"/>
      </tp>
      <tp t="e">
        <v>#N/A</v>
        <stp/>
        <stp>BDH|774428135767256474</stp>
        <tr r="T26" s="17"/>
      </tp>
      <tp t="e">
        <v>#N/A</v>
        <stp/>
        <stp>BDH|429478109560751084</stp>
        <tr r="D73" s="17"/>
      </tp>
      <tp t="e">
        <v>#N/A</v>
        <stp/>
        <stp>BDH|880980212659159567</stp>
        <tr r="D71" s="10"/>
        <tr r="D65" s="11"/>
      </tp>
      <tp t="e">
        <v>#N/A</v>
        <stp/>
        <stp>BDH|793423644444092042</stp>
        <tr r="U52" s="12"/>
      </tp>
      <tp t="e">
        <v>#N/A</v>
        <stp/>
        <stp>BDH|325466071746819197</stp>
        <tr r="L37" s="24"/>
      </tp>
      <tp t="e">
        <v>#N/A</v>
        <stp/>
        <stp>BDH|216600356280394715</stp>
        <tr r="T19" s="20"/>
      </tp>
      <tp t="e">
        <v>#N/A</v>
        <stp/>
        <stp>BDH|777250720363333777</stp>
        <tr r="P19" s="20"/>
      </tp>
      <tp t="e">
        <v>#N/A</v>
        <stp/>
        <stp>BDH|913499330507586435</stp>
        <tr r="S40" s="29"/>
      </tp>
      <tp t="e">
        <v>#N/A</v>
        <stp/>
        <stp>BDH|241466701160666054</stp>
        <tr r="X134" s="18"/>
      </tp>
      <tp t="e">
        <v>#N/A</v>
        <stp/>
        <stp>BDH|613230444877688510</stp>
        <tr r="O41" s="34"/>
      </tp>
      <tp t="e">
        <v>#N/A</v>
        <stp/>
        <stp>BDH|912741900044230797</stp>
        <tr r="Y57" s="12"/>
      </tp>
      <tp t="e">
        <v>#N/A</v>
        <stp/>
        <stp>BDH|795667573746045354</stp>
        <tr r="N28" s="22"/>
      </tp>
      <tp t="e">
        <v>#N/A</v>
        <stp/>
        <stp>BDH|656167879293918178</stp>
        <tr r="C146" s="18"/>
      </tp>
      <tp t="e">
        <v>#N/A</v>
        <stp/>
        <stp>BDH|873707513255886744</stp>
        <tr r="V137" s="18"/>
      </tp>
      <tp t="e">
        <v>#N/A</v>
        <stp/>
        <stp>BDH|541159659288641884</stp>
        <tr r="AA159" s="18"/>
      </tp>
      <tp t="e">
        <v>#N/A</v>
        <stp/>
        <stp>BDH|912075857380963170</stp>
        <tr r="R42" s="13"/>
      </tp>
      <tp t="e">
        <v>#N/A</v>
        <stp/>
        <stp>BDH|618599958735465148</stp>
        <tr r="T30" s="24"/>
      </tp>
      <tp t="e">
        <v>#N/A</v>
        <stp/>
        <stp>BDH|362674603222408046</stp>
        <tr r="Y66" s="18"/>
      </tp>
      <tp t="e">
        <v>#N/A</v>
        <stp/>
        <stp>BDH|130374782759221616</stp>
        <tr r="E28" s="21"/>
      </tp>
      <tp t="e">
        <v>#N/A</v>
        <stp/>
        <stp>BDH|424566434366044462</stp>
        <tr r="H111" s="18"/>
        <tr r="F12" s="20"/>
      </tp>
      <tp t="e">
        <v>#N/A</v>
        <stp/>
        <stp>BDH|372752363223061654</stp>
        <tr r="J65" s="24"/>
      </tp>
      <tp t="e">
        <v>#N/A</v>
        <stp/>
        <stp>BDH|973096241806935695</stp>
        <tr r="AA19" s="22"/>
      </tp>
      <tp t="e">
        <v>#N/A</v>
        <stp/>
        <stp>BDH|862889031359576657</stp>
        <tr r="U119" s="18"/>
      </tp>
      <tp t="e">
        <v>#N/A</v>
        <stp/>
        <stp>BDH|671276579149059894</stp>
        <tr r="H131" s="18"/>
      </tp>
      <tp t="e">
        <v>#N/A</v>
        <stp/>
        <stp>BDH|660575935015694701</stp>
        <tr r="P27" s="34"/>
      </tp>
      <tp t="e">
        <v>#N/A</v>
        <stp/>
        <stp>BDH|324534303111184006</stp>
        <tr r="T15" s="25"/>
      </tp>
      <tp t="e">
        <v>#N/A</v>
        <stp/>
        <stp>BDH|403534254237196303</stp>
        <tr r="Q10" s="22"/>
      </tp>
      <tp t="e">
        <v>#N/A</v>
        <stp/>
        <stp>BDH|504543216462457213</stp>
        <tr r="T11" s="28"/>
      </tp>
      <tp t="e">
        <v>#N/A</v>
        <stp/>
        <stp>BDH|203350976025737547</stp>
        <tr r="W50" s="12"/>
      </tp>
      <tp t="e">
        <v>#N/A</v>
        <stp/>
        <stp>BDH|412672599203989806</stp>
        <tr r="G58" s="21"/>
        <tr r="G33" s="25"/>
        <tr r="E31" s="4"/>
        <tr r="E55" s="11"/>
      </tp>
      <tp t="e">
        <v>#N/A</v>
        <stp/>
        <stp>BDH|975059978600278352</stp>
        <tr r="T26" s="10"/>
        <tr r="V31" s="13"/>
      </tp>
      <tp t="e">
        <v>#N/A</v>
        <stp/>
        <stp>BDH|586141971061289313</stp>
        <tr r="I109" s="18"/>
        <tr r="G9" s="20"/>
      </tp>
      <tp t="e">
        <v>#N/A</v>
        <stp/>
        <stp>BDH|346135994105723900</stp>
        <tr r="W38" s="4"/>
        <tr r="W59" s="11"/>
        <tr r="Y13" s="23"/>
      </tp>
      <tp t="e">
        <v>#N/A</v>
        <stp/>
        <stp>BDH|114445139842952168</stp>
        <tr r="M56" s="10"/>
        <tr r="M50" s="11"/>
        <tr r="M18" s="7"/>
        <tr r="O52" s="13"/>
      </tp>
      <tp t="e">
        <v>#N/A</v>
        <stp/>
        <stp>BDH|135764643770107766</stp>
        <tr r="P64" s="17"/>
      </tp>
      <tp t="e">
        <v>#N/A</v>
        <stp/>
        <stp>BDH|745995885587289151</stp>
        <tr r="X54" s="12"/>
      </tp>
      <tp t="e">
        <v>#N/A</v>
        <stp/>
        <stp>BDH|765030249923091010</stp>
        <tr r="C10" s="3"/>
        <tr r="C49" s="13"/>
      </tp>
      <tp t="e">
        <v>#N/A</v>
        <stp/>
        <stp>BDH|994432979855873172</stp>
        <tr r="E79" s="18"/>
      </tp>
      <tp t="e">
        <v>#N/A</v>
        <stp/>
        <stp>BDH|361135312543626481</stp>
        <tr r="L76" s="12"/>
      </tp>
      <tp t="e">
        <v>#N/A</v>
        <stp/>
        <stp>BDH|849054442824466751</stp>
        <tr r="P21" s="18"/>
      </tp>
      <tp t="e">
        <v>#N/A</v>
        <stp/>
        <stp>BDH|892369546708537835</stp>
        <tr r="I168" s="18"/>
      </tp>
      <tp t="e">
        <v>#N/A</v>
        <stp/>
        <stp>BDH|966208098084826865</stp>
        <tr r="J88" s="17"/>
      </tp>
      <tp t="e">
        <v>#N/A</v>
        <stp/>
        <stp>BDH|170737415705161497</stp>
        <tr r="R67" s="24"/>
      </tp>
      <tp t="e">
        <v>#N/A</v>
        <stp/>
        <stp>BDH|612868290122079481</stp>
        <tr r="L24" s="20"/>
      </tp>
      <tp t="e">
        <v>#N/A</v>
        <stp/>
        <stp>BDH|708074420824963117</stp>
        <tr r="I10" s="10"/>
      </tp>
      <tp t="e">
        <v>#N/A</v>
        <stp/>
        <stp>BDH|177034832122832607</stp>
        <tr r="F11" s="28"/>
      </tp>
      <tp t="e">
        <v>#N/A</v>
        <stp/>
        <stp>BDH|675303770523849060</stp>
        <tr r="E47" s="21"/>
      </tp>
      <tp t="e">
        <v>#N/A</v>
        <stp/>
        <stp>BDH|660179851902988100</stp>
        <tr r="H114" s="18"/>
      </tp>
      <tp t="e">
        <v>#N/A</v>
        <stp/>
        <stp>BDH|842326302785893192</stp>
        <tr r="N64" s="18"/>
      </tp>
      <tp t="e">
        <v>#N/A</v>
        <stp/>
        <stp>BDH|957877960148110163</stp>
        <tr r="Q7" s="23"/>
      </tp>
      <tp t="e">
        <v>#N/A</v>
        <stp/>
        <stp>BDH|664458608121104202</stp>
        <tr r="N17" s="12"/>
      </tp>
      <tp t="e">
        <v>#N/A</v>
        <stp/>
        <stp>BDH|323956409199412716</stp>
        <tr r="S9" s="11"/>
      </tp>
      <tp t="e">
        <v>#N/A</v>
        <stp/>
        <stp>BDH|933154027083530747</stp>
        <tr r="V103" s="18"/>
      </tp>
      <tp t="e">
        <v>#N/A</v>
        <stp/>
        <stp>BDH|292485965942200773</stp>
        <tr r="T11" s="7"/>
      </tp>
      <tp t="e">
        <v>#N/A</v>
        <stp/>
        <stp>BDH|290024705865615293</stp>
        <tr r="C98" s="17"/>
        <tr r="C13" s="28"/>
      </tp>
      <tp t="e">
        <v>#N/A</v>
        <stp/>
        <stp>BDH|612091275753449344</stp>
        <tr r="R20" s="23"/>
      </tp>
      <tp t="e">
        <v>#N/A</v>
        <stp/>
        <stp>BDH|429724538141728231</stp>
        <tr r="X81" s="17"/>
        <tr r="U9" s="5"/>
        <tr r="U9" s="9"/>
      </tp>
      <tp t="e">
        <v>#N/A</v>
        <stp/>
        <stp>BDH|891318817911643428</stp>
        <tr r="AA8" s="20"/>
      </tp>
      <tp t="e">
        <v>#N/A</v>
        <stp/>
        <stp>BDH|949396712741075486</stp>
        <tr r="T10" s="13"/>
      </tp>
      <tp t="e">
        <v>#N/A</v>
        <stp/>
        <stp>BDH|616228518004785014</stp>
        <tr r="Y75" s="18"/>
      </tp>
      <tp t="e">
        <v>#N/A</v>
        <stp/>
        <stp>BDH|849030607086797102</stp>
        <tr r="X11" s="21"/>
      </tp>
      <tp t="e">
        <v>#N/A</v>
        <stp/>
        <stp>BDH|385502478564526150</stp>
        <tr r="R15" s="13"/>
      </tp>
      <tp t="e">
        <v>#N/A</v>
        <stp/>
        <stp>BDH|879743267435422344</stp>
        <tr r="G64" s="18"/>
      </tp>
      <tp t="e">
        <v>#N/A</v>
        <stp/>
        <stp>BDH|917720481779479157</stp>
        <tr r="I26" s="17"/>
      </tp>
      <tp t="e">
        <v>#N/A</v>
        <stp/>
        <stp>BDH|390566457625174270</stp>
        <tr r="O19" s="6"/>
      </tp>
      <tp t="e">
        <v>#N/A</v>
        <stp/>
        <stp>BDH|955591327281642157</stp>
        <tr r="X41" s="13"/>
      </tp>
      <tp t="e">
        <v>#N/A</v>
        <stp/>
        <stp>BDH|618472730988525813</stp>
        <tr r="AA21" s="12"/>
      </tp>
      <tp t="e">
        <v>#N/A</v>
        <stp/>
        <stp>BDH|320282540218760999</stp>
        <tr r="O79" s="18"/>
      </tp>
      <tp t="e">
        <v>#N/A</v>
        <stp/>
        <stp>BDH|318390749204576433</stp>
        <tr r="Q26" s="10"/>
        <tr r="S31" s="13"/>
      </tp>
      <tp t="e">
        <v>#N/A</v>
        <stp/>
        <stp>BDH|243153782536332805</stp>
        <tr r="H11" s="9"/>
      </tp>
      <tp t="e">
        <v>#N/A</v>
        <stp/>
        <stp>BDH|379270265114249757</stp>
        <tr r="X46" s="21"/>
      </tp>
      <tp t="e">
        <v>#N/A</v>
        <stp/>
        <stp>BDH|802696515836622656</stp>
        <tr r="X42" s="18"/>
      </tp>
      <tp t="e">
        <v>#N/A</v>
        <stp/>
        <stp>BDH|783744905516169601</stp>
        <tr r="V17" s="21"/>
      </tp>
      <tp t="e">
        <v>#N/A</v>
        <stp/>
        <stp>BDH|619513118934916714</stp>
        <tr r="Q41" s="12"/>
      </tp>
      <tp t="e">
        <v>#N/A</v>
        <stp/>
        <stp>BDH|265647853267699348</stp>
        <tr r="D97" s="18"/>
      </tp>
      <tp t="e">
        <v>#N/A</v>
        <stp/>
        <stp>BDH|257627154601520565</stp>
        <tr r="N8" s="21"/>
      </tp>
      <tp t="e">
        <v>#N/A</v>
        <stp/>
        <stp>BDH|851780062652318461</stp>
        <tr r="C19" s="26"/>
      </tp>
      <tp t="e">
        <v>#N/A</v>
        <stp/>
        <stp>BDH|316275305184401125</stp>
        <tr r="W33" s="10"/>
        <tr r="W27" s="11"/>
      </tp>
      <tp t="e">
        <v>#N/A</v>
        <stp/>
        <stp>BDH|814049667661587093</stp>
        <tr r="N52" s="21"/>
      </tp>
      <tp t="e">
        <v>#N/A</v>
        <stp/>
        <stp>BDH|774630803208638904</stp>
        <tr r="L30" s="26"/>
      </tp>
      <tp t="e">
        <v>#N/A</v>
        <stp/>
        <stp>BDH|959457790738419297</stp>
        <tr r="M35" s="34"/>
      </tp>
      <tp t="e">
        <v>#N/A</v>
        <stp/>
        <stp>BDH|795437730065360553</stp>
        <tr r="Z59" s="21"/>
        <tr r="X56" s="11"/>
      </tp>
      <tp t="e">
        <v>#N/A</v>
        <stp/>
        <stp>BDH|574312641384673412</stp>
        <tr r="S15" s="29"/>
        <tr r="S35" s="29"/>
      </tp>
      <tp t="e">
        <v>#N/A</v>
        <stp/>
        <stp>BDH|133788055520836576</stp>
        <tr r="Q8" s="11"/>
      </tp>
      <tp t="e">
        <v>#N/A</v>
        <stp/>
        <stp>BDH|932677457204370099</stp>
        <tr r="R22" s="11"/>
      </tp>
      <tp t="e">
        <v>#N/A</v>
        <stp/>
        <stp>BDH|582622134466454444</stp>
        <tr r="Y43" s="24"/>
      </tp>
      <tp t="e">
        <v>#N/A</v>
        <stp/>
        <stp>BDH|301076551370177274</stp>
        <tr r="S47" s="12"/>
      </tp>
      <tp t="e">
        <v>#N/A</v>
        <stp/>
        <stp>BDH|345738278523306574</stp>
        <tr r="M22" s="10"/>
      </tp>
      <tp t="e">
        <v>#N/A</v>
        <stp/>
        <stp>BDH|256330400371931441</stp>
        <tr r="L18" s="17"/>
      </tp>
      <tp t="e">
        <v>#N/A</v>
        <stp/>
        <stp>BDH|242208679970121379</stp>
        <tr r="C14" s="17"/>
        <tr r="C17" s="28"/>
      </tp>
      <tp t="e">
        <v>#N/A</v>
        <stp/>
        <stp>BDH|853774490948315018</stp>
        <tr r="S13" s="17"/>
        <tr r="S16" s="28"/>
      </tp>
      <tp t="e">
        <v>#N/A</v>
        <stp/>
        <stp>BDH|509286000377066305</stp>
        <tr r="R12" s="13"/>
      </tp>
      <tp t="e">
        <v>#N/A</v>
        <stp/>
        <stp>BDH|877291247446260691</stp>
        <tr r="Z24" s="26"/>
      </tp>
      <tp t="e">
        <v>#N/A</v>
        <stp/>
        <stp>BDH|815847430464144939</stp>
        <tr r="M77" s="17"/>
      </tp>
      <tp t="e">
        <v>#N/A</v>
        <stp/>
        <stp>BDH|951395649572608319</stp>
        <tr r="J13" s="7"/>
      </tp>
      <tp t="e">
        <v>#N/A</v>
        <stp/>
        <stp>BDH|822916280963485438</stp>
        <tr r="O63" s="18"/>
      </tp>
      <tp t="e">
        <v>#N/A</v>
        <stp/>
        <stp>BDH|965615281458761000</stp>
        <tr r="F41" s="17"/>
      </tp>
      <tp t="e">
        <v>#N/A</v>
        <stp/>
        <stp>BDH|434864397982392581</stp>
        <tr r="N65" s="21"/>
        <tr r="L23" s="7"/>
      </tp>
      <tp t="e">
        <v>#N/A</v>
        <stp/>
        <stp>BDH|980176192019241716</stp>
        <tr r="T62" s="12"/>
      </tp>
      <tp t="e">
        <v>#N/A</v>
        <stp/>
        <stp>BDH|855063802020206615</stp>
        <tr r="I80" s="17"/>
      </tp>
      <tp t="e">
        <v>#N/A</v>
        <stp/>
        <stp>BDH|257744017509774997</stp>
        <tr r="F22" s="9"/>
      </tp>
      <tp t="e">
        <v>#N/A</v>
        <stp/>
        <stp>BDH|762190717196453055</stp>
        <tr r="M49" s="12"/>
      </tp>
      <tp t="e">
        <v>#N/A</v>
        <stp/>
        <stp>BDH|875987304539475698</stp>
        <tr r="AA37" s="12"/>
      </tp>
      <tp t="e">
        <v>#N/A</v>
        <stp/>
        <stp>BDH|589715003616908744</stp>
        <tr r="E11" s="12"/>
      </tp>
      <tp t="e">
        <v>#N/A</v>
        <stp/>
        <stp>BDH|482229357360879134</stp>
        <tr r="M56" s="13"/>
      </tp>
      <tp t="e">
        <v>#N/A</v>
        <stp/>
        <stp>BDH|804681135372686184</stp>
        <tr r="P24" s="25"/>
        <tr r="P14" s="27"/>
      </tp>
      <tp t="e">
        <v>#N/A</v>
        <stp/>
        <stp>BDH|607078105483944567</stp>
        <tr r="P47" s="21"/>
      </tp>
      <tp t="e">
        <v>#N/A</v>
        <stp/>
        <stp>BDH|223475970970768598</stp>
        <tr r="Y8" s="12"/>
      </tp>
      <tp t="e">
        <v>#N/A</v>
        <stp/>
        <stp>BDH|302466598688478320</stp>
        <tr r="U24" s="2"/>
      </tp>
      <tp t="e">
        <v>#N/A</v>
        <stp/>
        <stp>BDH|211680640957281335</stp>
        <tr r="N10" s="23"/>
      </tp>
      <tp t="e">
        <v>#N/A</v>
        <stp/>
        <stp>BDH|787746770407475137</stp>
        <tr r="M7" s="17"/>
      </tp>
      <tp t="e">
        <v>#N/A</v>
        <stp/>
        <stp>BDH|512657268453917558</stp>
        <tr r="L51" s="17"/>
      </tp>
      <tp t="e">
        <v>#N/A</v>
        <stp/>
        <stp>BDH|410178510410520624</stp>
        <tr r="R30" s="18"/>
      </tp>
      <tp t="e">
        <v>#N/A</v>
        <stp/>
        <stp>BDH|502838133928215539</stp>
        <tr r="G56" s="17"/>
        <tr r="G17" s="3"/>
      </tp>
      <tp t="e">
        <v>#N/A</v>
        <stp/>
        <stp>BDH|933936319836764804</stp>
        <tr r="I88" s="17"/>
      </tp>
      <tp t="e">
        <v>#N/A</v>
        <stp/>
        <stp>BDH|615690360235964327</stp>
        <tr r="U24" s="21"/>
      </tp>
      <tp t="e">
        <v>#N/A</v>
        <stp/>
        <stp>BDH|840964705567865872</stp>
        <tr r="L52" s="10"/>
        <tr r="L46" s="11"/>
        <tr r="L16" s="7"/>
      </tp>
      <tp t="e">
        <v>#N/A</v>
        <stp/>
        <stp>BDH|382135472289685902</stp>
        <tr r="Z139" s="18"/>
      </tp>
      <tp t="e">
        <v>#N/A</v>
        <stp/>
        <stp>BDH|326481473534596185</stp>
        <tr r="S99" s="17"/>
      </tp>
      <tp t="e">
        <v>#N/A</v>
        <stp/>
        <stp>BDH|529542887909410270</stp>
        <tr r="R135" s="18"/>
      </tp>
      <tp t="e">
        <v>#N/A</v>
        <stp/>
        <stp>BDH|146203436841211606</stp>
        <tr r="X80" s="17"/>
      </tp>
      <tp t="e">
        <v>#N/A</v>
        <stp/>
        <stp>BDH|533112189867128892</stp>
        <tr r="O26" s="7"/>
      </tp>
      <tp t="e">
        <v>#N/A</v>
        <stp/>
        <stp>BDH|746351743404479500</stp>
        <tr r="O25" s="7"/>
      </tp>
      <tp t="e">
        <v>#N/A</v>
        <stp/>
        <stp>BDH|130705204885714449</stp>
        <tr r="V168" s="18"/>
      </tp>
      <tp t="e">
        <v>#N/A</v>
        <stp/>
        <stp>BDH|957652597060540990</stp>
        <tr r="X50" s="21"/>
      </tp>
      <tp t="e">
        <v>#N/A</v>
        <stp/>
        <stp>BDH|650286838312571544</stp>
        <tr r="L30" s="29"/>
        <tr r="L8" s="29"/>
      </tp>
      <tp t="e">
        <v>#N/A</v>
        <stp/>
        <stp>BDH|711570865440147531</stp>
        <tr r="S15" s="5"/>
      </tp>
      <tp t="e">
        <v>#N/A</v>
        <stp/>
        <stp>BDH|942588759025934369</stp>
        <tr r="Q133" s="18"/>
      </tp>
      <tp t="e">
        <v>#N/A</v>
        <stp/>
        <stp>BDH|366901862159754016</stp>
        <tr r="I136" s="18"/>
      </tp>
      <tp t="e">
        <v>#N/A</v>
        <stp/>
        <stp>BDH|236951576031963987</stp>
        <tr r="AA107" s="18"/>
        <tr r="Z7" s="20"/>
      </tp>
      <tp t="e">
        <v>#N/A</v>
        <stp/>
        <stp>BDH|904428664113945776</stp>
        <tr r="Z32" s="18"/>
      </tp>
      <tp t="e">
        <v>#N/A</v>
        <stp/>
        <stp>BDH|756365563444692755</stp>
        <tr r="C18" s="29"/>
        <tr r="C38" s="29"/>
      </tp>
      <tp t="e">
        <v>#N/A</v>
        <stp/>
        <stp>BDH|820309674474950645</stp>
        <tr r="K116" s="18"/>
      </tp>
      <tp t="e">
        <v>#N/A</v>
        <stp/>
        <stp>BDH|215480229011087129</stp>
        <tr r="W15" s="10"/>
      </tp>
      <tp t="e">
        <v>#N/A</v>
        <stp/>
        <stp>BDH|171910837989372567</stp>
        <tr r="E38" s="4"/>
        <tr r="E59" s="11"/>
        <tr r="G13" s="23"/>
      </tp>
      <tp t="e">
        <v>#N/A</v>
        <stp/>
        <stp>BDH|905404034282684390</stp>
        <tr r="N124" s="18"/>
      </tp>
      <tp t="e">
        <v>#N/A</v>
        <stp/>
        <stp>BDH|531657339707801433</stp>
        <tr r="Y17" s="22"/>
      </tp>
      <tp t="e">
        <v>#N/A</v>
        <stp/>
        <stp>BDH|975382939042811424</stp>
        <tr r="L21" s="25"/>
        <tr r="L10" s="27"/>
      </tp>
      <tp t="e">
        <v>#N/A</v>
        <stp/>
        <stp>BDH|935245366527971500</stp>
        <tr r="U23" s="26"/>
      </tp>
      <tp t="e">
        <v>#N/A</v>
        <stp/>
        <stp>BDH|608670177772482516</stp>
        <tr r="K13" s="22"/>
      </tp>
      <tp t="e">
        <v>#N/A</v>
        <stp/>
        <stp>BDH|480347223386025107</stp>
        <tr r="M41" s="12"/>
      </tp>
      <tp t="e">
        <v>#N/A</v>
        <stp/>
        <stp>BDH|480261717565791015</stp>
        <tr r="V15" s="6"/>
      </tp>
      <tp t="e">
        <v>#N/A</v>
        <stp/>
        <stp>BDH|298746151904187058</stp>
        <tr r="D15" s="21"/>
      </tp>
      <tp t="e">
        <v>#N/A</v>
        <stp/>
        <stp>BDH|876677275610902701</stp>
        <tr r="X28" s="10"/>
        <tr r="Z33" s="13"/>
      </tp>
      <tp t="e">
        <v>#N/A</v>
        <stp/>
        <stp>BDH|472018521284065782</stp>
        <tr r="J40" s="21"/>
      </tp>
      <tp t="e">
        <v>#N/A</v>
        <stp/>
        <stp>BDH|755051244736941339</stp>
        <tr r="X28" s="24"/>
      </tp>
      <tp t="e">
        <v>#N/A</v>
        <stp/>
        <stp>BDH|933346061426021206</stp>
        <tr r="F37" s="34"/>
      </tp>
      <tp t="e">
        <v>#N/A</v>
        <stp/>
        <stp>BDH|151682116665098323</stp>
        <tr r="R23" s="13"/>
      </tp>
      <tp t="e">
        <v>#N/A</v>
        <stp/>
        <stp>BDH|230447762924901705</stp>
        <tr r="M39" s="22"/>
      </tp>
      <tp t="e">
        <v>#N/A</v>
        <stp/>
        <stp>BDH|419484416432492637</stp>
        <tr r="Y67" s="10"/>
      </tp>
      <tp t="e">
        <v>#N/A</v>
        <stp/>
        <stp>BDH|754535079800642353</stp>
        <tr r="R34" s="21"/>
      </tp>
      <tp t="e">
        <v>#N/A</v>
        <stp/>
        <stp>BDH|803829793586450639</stp>
        <tr r="Y7" s="17"/>
      </tp>
      <tp t="e">
        <v>#N/A</v>
        <stp/>
        <stp>BDH|894139551744443119</stp>
        <tr r="C25" s="17"/>
      </tp>
      <tp t="e">
        <v>#N/A</v>
        <stp/>
        <stp>BDH|693589435433486402</stp>
        <tr r="D71" s="12"/>
      </tp>
      <tp t="e">
        <v>#N/A</v>
        <stp/>
        <stp>BDH|105599021854775211</stp>
        <tr r="Y80" s="17"/>
      </tp>
      <tp t="e">
        <v>#N/A</v>
        <stp/>
        <stp>BDH|869413811530187402</stp>
        <tr r="V12" s="18"/>
      </tp>
      <tp t="e">
        <v>#N/A</v>
        <stp/>
        <stp>BDH|524385018671967259</stp>
        <tr r="AA24" s="22"/>
      </tp>
      <tp t="e">
        <v>#N/A</v>
        <stp/>
        <stp>BDH|823633842965242622</stp>
        <tr r="R13" s="14"/>
      </tp>
      <tp t="e">
        <v>#N/A</v>
        <stp/>
        <stp>BDH|314900910279992039</stp>
        <tr r="F51" s="12"/>
      </tp>
      <tp t="e">
        <v>#N/A</v>
        <stp/>
        <stp>BDH|482197974120885787</stp>
        <tr r="Z9" s="12"/>
      </tp>
      <tp t="e">
        <v>#N/A</v>
        <stp/>
        <stp>BDH|265176130782861146</stp>
        <tr r="L67" s="17"/>
      </tp>
      <tp t="e">
        <v>#N/A</v>
        <stp/>
        <stp>BDH|189919689767507751</stp>
        <tr r="R64" s="24"/>
      </tp>
      <tp t="e">
        <v>#N/A</v>
        <stp/>
        <stp>BDH|149043534452282094</stp>
        <tr r="D12" s="10"/>
      </tp>
      <tp t="e">
        <v>#N/A</v>
        <stp/>
        <stp>BDH|370929488136253600</stp>
        <tr r="W45" s="13"/>
      </tp>
      <tp t="e">
        <v>#N/A</v>
        <stp/>
        <stp>BDH|491733562685857563</stp>
        <tr r="U34" s="12"/>
      </tp>
      <tp t="e">
        <v>#N/A</v>
        <stp/>
        <stp>BDH|703987884740465044</stp>
        <tr r="R32" s="12"/>
      </tp>
      <tp t="e">
        <v>#N/A</v>
        <stp/>
        <stp>BDH|104649266772610317</stp>
        <tr r="R66" s="12"/>
      </tp>
      <tp t="e">
        <v>#N/A</v>
        <stp/>
        <stp>BDH|351206777921705576</stp>
        <tr r="V18" s="6"/>
      </tp>
      <tp t="e">
        <v>#N/A</v>
        <stp/>
        <stp>BDH|595415165557436417</stp>
        <tr r="R14" s="4"/>
      </tp>
      <tp t="e">
        <v>#N/A</v>
        <stp/>
        <stp>BDH|495326537907159643</stp>
        <tr r="K117" s="18"/>
      </tp>
      <tp t="e">
        <v>#N/A</v>
        <stp/>
        <stp>BDH|320521814125901099</stp>
        <tr r="AA45" s="24"/>
      </tp>
      <tp t="e">
        <v>#N/A</v>
        <stp/>
        <stp>BDH|587044607124659553</stp>
        <tr r="W45" s="17"/>
        <tr r="W9" s="25"/>
      </tp>
      <tp t="e">
        <v>#N/A</v>
        <stp/>
        <stp>BDH|830909950564858954</stp>
        <tr r="X13" s="12"/>
      </tp>
      <tp t="e">
        <v>#N/A</v>
        <stp/>
        <stp>BDH|707971680159587907</stp>
        <tr r="E9" s="6"/>
      </tp>
      <tp t="e">
        <v>#N/A</v>
        <stp/>
        <stp>BDH|717205926592053347</stp>
        <tr r="R144" s="18"/>
      </tp>
      <tp t="e">
        <v>#N/A</v>
        <stp/>
        <stp>BDH|535527936951158659</stp>
        <tr r="Z93" s="17"/>
      </tp>
      <tp t="e">
        <v>#N/A</v>
        <stp/>
        <stp>BDH|243350769135812104</stp>
        <tr r="AA78" s="17"/>
      </tp>
      <tp t="e">
        <v>#N/A</v>
        <stp/>
        <stp>BDH|399626703501627629</stp>
        <tr r="Q8" s="2"/>
      </tp>
      <tp t="e">
        <v>#N/A</v>
        <stp/>
        <stp>BDH|515516093324002913</stp>
        <tr r="R7" s="6"/>
      </tp>
      <tp t="e">
        <v>#N/A</v>
        <stp/>
        <stp>BDH|710338037976134747</stp>
        <tr r="W45" s="21"/>
      </tp>
      <tp t="e">
        <v>#N/A</v>
        <stp/>
        <stp>BDH|716330244283400527</stp>
        <tr r="Z39" s="24"/>
      </tp>
      <tp t="e">
        <v>#N/A</v>
        <stp/>
        <stp>BDH|926456140616238799</stp>
        <tr r="AA58" s="24"/>
      </tp>
      <tp t="e">
        <v>#N/A</v>
        <stp/>
        <stp>BDH|911954088326001638</stp>
        <tr r="R48" s="12"/>
      </tp>
      <tp t="e">
        <v>#N/A</v>
        <stp/>
        <stp>BDH|796550546679075935</stp>
        <tr r="E155" s="18"/>
      </tp>
      <tp t="e">
        <v>#N/A</v>
        <stp/>
        <stp>BDH|492571633262480532</stp>
        <tr r="L32" s="10"/>
        <tr r="L26" s="11"/>
      </tp>
      <tp t="e">
        <v>#N/A</v>
        <stp/>
        <stp>BDH|755535106163254773</stp>
        <tr r="P45" s="4"/>
        <tr r="P30" s="10"/>
        <tr r="P24" s="11"/>
        <tr r="R30" s="13"/>
      </tp>
      <tp t="e">
        <v>#N/A</v>
        <stp/>
        <stp>BDH|280293035905849511</stp>
        <tr r="U14" s="30"/>
      </tp>
      <tp t="e">
        <v>#N/A</v>
        <stp/>
        <stp>BDH|679880591827661795</stp>
        <tr r="K53" s="13"/>
      </tp>
      <tp t="e">
        <v>#N/A</v>
        <stp/>
        <stp>BDH|199426902683704664</stp>
        <tr r="C13" s="6"/>
      </tp>
      <tp t="e">
        <v>#N/A</v>
        <stp/>
        <stp>BDH|509611422594326150</stp>
        <tr r="J42" s="21"/>
      </tp>
      <tp t="e">
        <v>#N/A</v>
        <stp/>
        <stp>BDH|571152950056361335</stp>
        <tr r="X108" s="18"/>
        <tr r="V8" s="20"/>
      </tp>
      <tp t="e">
        <v>#N/A</v>
        <stp/>
        <stp>BDH|134191939460604370</stp>
        <tr r="D39" s="4"/>
        <tr r="D65" s="10"/>
      </tp>
      <tp t="e">
        <v>#N/A</v>
        <stp/>
        <stp>BDH|146962682069064940</stp>
        <tr r="I18" s="6"/>
      </tp>
      <tp t="e">
        <v>#N/A</v>
        <stp/>
        <stp>BDH|636696617222958438</stp>
        <tr r="L43" s="18"/>
      </tp>
      <tp t="e">
        <v>#N/A</v>
        <stp/>
        <stp>BDH|204600407394690311</stp>
        <tr r="AA56" s="17"/>
        <tr r="AA17" s="3"/>
      </tp>
      <tp t="e">
        <v>#N/A</v>
        <stp/>
        <stp>BDH|996894694126154671</stp>
        <tr r="P136" s="18"/>
      </tp>
      <tp t="e">
        <v>#N/A</v>
        <stp/>
        <stp>BDH|696826247235530840</stp>
        <tr r="Q109" s="18"/>
        <tr r="O9" s="20"/>
      </tp>
      <tp t="e">
        <v>#N/A</v>
        <stp/>
        <stp>BDH|877239738271531141</stp>
        <tr r="M32" s="12"/>
      </tp>
      <tp t="e">
        <v>#N/A</v>
        <stp/>
        <stp>BDH|817490961955460662</stp>
        <tr r="AA78" s="12"/>
      </tp>
      <tp t="e">
        <v>#N/A</v>
        <stp/>
        <stp>BDH|162428802471567460</stp>
        <tr r="O156" s="18"/>
      </tp>
      <tp t="e">
        <v>#N/A</v>
        <stp/>
        <stp>BDH|193936635418324364</stp>
        <tr r="C124" s="18"/>
      </tp>
      <tp t="e">
        <v>#N/A</v>
        <stp/>
        <stp>BDH|188750230672377754</stp>
        <tr r="M109" s="18"/>
        <tr r="K9" s="20"/>
      </tp>
      <tp t="e">
        <v>#N/A</v>
        <stp/>
        <stp>BDH|802414225910790793</stp>
        <tr r="K42" s="13"/>
      </tp>
      <tp t="e">
        <v>#N/A</v>
        <stp/>
        <stp>BDH|250543200476531216</stp>
        <tr r="U61" s="24"/>
      </tp>
      <tp t="e">
        <v>#N/A</v>
        <stp/>
        <stp>BDH|247771536993519656</stp>
        <tr r="Q37" s="21"/>
        <tr r="Q24" s="3"/>
      </tp>
      <tp t="e">
        <v>#N/A</v>
        <stp/>
        <stp>BDH|651620616562827499</stp>
        <tr r="N67" s="10"/>
      </tp>
      <tp t="e">
        <v>#N/A</v>
        <stp/>
        <stp>BDH|311992695062579399</stp>
        <tr r="X45" s="24"/>
      </tp>
      <tp t="e">
        <v>#N/A</v>
        <stp/>
        <stp>BDH|422581002100879457</stp>
        <tr r="N30" s="26"/>
      </tp>
      <tp t="e">
        <v>#N/A</v>
        <stp/>
        <stp>BDH|235063825613043021</stp>
        <tr r="O24" s="26"/>
      </tp>
      <tp t="e">
        <v>#N/A</v>
        <stp/>
        <stp>BDH|947340502652978055</stp>
        <tr r="H24" s="4"/>
        <tr r="H58" s="11"/>
      </tp>
      <tp t="e">
        <v>#N/A</v>
        <stp/>
        <stp>BDH|171274081498384285</stp>
        <tr r="I16" s="11"/>
      </tp>
      <tp t="e">
        <v>#N/A</v>
        <stp/>
        <stp>BDH|140292785228315225</stp>
        <tr r="E10" s="34"/>
      </tp>
      <tp t="e">
        <v>#N/A</v>
        <stp/>
        <stp>BDH|732295867384759021</stp>
        <tr r="N19" s="10"/>
      </tp>
      <tp t="e">
        <v>#N/A</v>
        <stp/>
        <stp>BDH|992145630250500251</stp>
        <tr r="S7" s="8"/>
      </tp>
      <tp t="e">
        <v>#N/A</v>
        <stp/>
        <stp>BDH|395243190802395996</stp>
        <tr r="F29" s="9"/>
      </tp>
      <tp t="e">
        <v>#N/A</v>
        <stp/>
        <stp>BDH|814352201080816392</stp>
        <tr r="T73" s="24"/>
      </tp>
      <tp t="e">
        <v>#N/A</v>
        <stp/>
        <stp>BDH|905444466411266347</stp>
        <tr r="D16" s="22"/>
      </tp>
      <tp t="e">
        <v>#N/A</v>
        <stp/>
        <stp>BDH|323605525643250792</stp>
        <tr r="M24" s="4"/>
        <tr r="M58" s="11"/>
      </tp>
      <tp t="e">
        <v>#N/A</v>
        <stp/>
        <stp>BDH|817690364332952212</stp>
        <tr r="H32" s="12"/>
      </tp>
      <tp t="e">
        <v>#N/A</v>
        <stp/>
        <stp>BDH|478063419173784226</stp>
        <tr r="V84" s="18"/>
      </tp>
      <tp t="e">
        <v>#N/A</v>
        <stp/>
        <stp>BDH|667078305175928530</stp>
        <tr r="M30" s="34"/>
      </tp>
      <tp t="e">
        <v>#N/A</v>
        <stp/>
        <stp>BDH|874250737590510110</stp>
        <tr r="Y22" s="12"/>
      </tp>
      <tp t="e">
        <v>#N/A</v>
        <stp/>
        <stp>BDH|458681851184682736</stp>
        <tr r="X24" s="12"/>
      </tp>
      <tp t="e">
        <v>#N/A</v>
        <stp/>
        <stp>BDH|681495900303113767</stp>
        <tr r="K73" s="12"/>
      </tp>
      <tp t="e">
        <v>#N/A</v>
        <stp/>
        <stp>BDH|107959858055042943</stp>
        <tr r="H17" s="22"/>
      </tp>
      <tp t="e">
        <v>#N/A</v>
        <stp/>
        <stp>BDH|531889859819911452</stp>
        <tr r="H24" s="18"/>
      </tp>
      <tp t="e">
        <v>#N/A</v>
        <stp/>
        <stp>BDH|182211401586043483</stp>
        <tr r="O18" s="2"/>
        <tr r="O53" s="4"/>
        <tr r="O45" s="10"/>
        <tr r="O39" s="11"/>
        <tr r="Q46" s="13"/>
      </tp>
      <tp t="e">
        <v>#N/A</v>
        <stp/>
        <stp>BDH|131057367967247181</stp>
        <tr r="T92" s="18"/>
      </tp>
      <tp t="e">
        <v>#N/A</v>
        <stp/>
        <stp>BDH|448707000271409698</stp>
        <tr r="S11" s="24"/>
      </tp>
      <tp t="e">
        <v>#N/A</v>
        <stp/>
        <stp>BDH|601860285853896340</stp>
        <tr r="O39" s="4"/>
        <tr r="O65" s="10"/>
      </tp>
      <tp t="e">
        <v>#N/A</v>
        <stp/>
        <stp>BDH|813586940132819313</stp>
        <tr r="N37" s="6"/>
      </tp>
      <tp t="e">
        <v>#N/A</v>
        <stp/>
        <stp>BDH|760635928431273541</stp>
        <tr r="Z9" s="13"/>
      </tp>
      <tp t="e">
        <v>#N/A</v>
        <stp/>
        <stp>BDH|226794093868793651</stp>
        <tr r="AA146" s="18"/>
      </tp>
      <tp t="e">
        <v>#N/A</v>
        <stp/>
        <stp>BDH|791829222792486898</stp>
        <tr r="S33" s="18"/>
      </tp>
      <tp t="e">
        <v>#N/A</v>
        <stp/>
        <stp>BDH|504929189650306164</stp>
        <tr r="K20" s="2"/>
        <tr r="K18" s="4"/>
        <tr r="K57" s="10"/>
        <tr r="K51" s="11"/>
        <tr r="K19" s="7"/>
        <tr r="M57" s="13"/>
      </tp>
      <tp t="e">
        <v>#N/A</v>
        <stp/>
        <stp>BDH|854174832657509538</stp>
        <tr r="Q36" s="10"/>
        <tr r="Q30" s="11"/>
        <tr r="S39" s="13"/>
      </tp>
      <tp t="e">
        <v>#N/A</v>
        <stp/>
        <stp>BDH|230771801515715289</stp>
        <tr r="T11" s="22"/>
      </tp>
      <tp t="e">
        <v>#N/A</v>
        <stp/>
        <stp>BDH|312120353931059591</stp>
        <tr r="M17" s="20"/>
      </tp>
      <tp t="e">
        <v>#N/A</v>
        <stp/>
        <stp>BDH|101754128714431133</stp>
        <tr r="D6" s="19"/>
        <tr r="D37" s="17"/>
        <tr r="D16" s="3"/>
      </tp>
      <tp t="e">
        <v>#N/A</v>
        <stp/>
        <stp>BDH|352958407691322898</stp>
        <tr r="C8" s="8"/>
      </tp>
      <tp t="e">
        <v>#N/A</v>
        <stp/>
        <stp>BDH|704190611449168953</stp>
        <tr r="F12" s="18"/>
      </tp>
      <tp t="e">
        <v>#N/A</v>
        <stp/>
        <stp>BDH|864107927344501717</stp>
        <tr r="L44" s="13"/>
      </tp>
      <tp t="e">
        <v>#N/A</v>
        <stp/>
        <stp>BDH|809612018310213772</stp>
        <tr r="C58" s="18"/>
      </tp>
      <tp t="e">
        <v>#N/A</v>
        <stp/>
        <stp>BDH|429724469470903122</stp>
        <tr r="H27" s="25"/>
        <tr r="E14" s="5"/>
        <tr r="H17" s="27"/>
      </tp>
      <tp t="e">
        <v>#N/A</v>
        <stp/>
        <stp>BDH|289524778116598491</stp>
        <tr r="Q21" s="20"/>
      </tp>
      <tp t="e">
        <v>#N/A</v>
        <stp/>
        <stp>BDH|423487269387218524</stp>
        <tr r="I43" s="22"/>
      </tp>
      <tp t="e">
        <v>#N/A</v>
        <stp/>
        <stp>BDH|336526131485422310</stp>
        <tr r="P27" s="25"/>
        <tr r="M14" s="5"/>
        <tr r="P17" s="27"/>
      </tp>
      <tp t="e">
        <v>#N/A</v>
        <stp/>
        <stp>BDH|488031369745311388</stp>
        <tr r="AA27" s="22"/>
      </tp>
      <tp t="e">
        <v>#N/A</v>
        <stp/>
        <stp>BDH|789601165642752239</stp>
        <tr r="E12" s="12"/>
      </tp>
      <tp t="e">
        <v>#N/A</v>
        <stp/>
        <stp>BDH|119945187783461203</stp>
        <tr r="Q77" s="18"/>
      </tp>
      <tp t="e">
        <v>#N/A</v>
        <stp/>
        <stp>BDH|188793815072271499</stp>
        <tr r="O12" s="7"/>
      </tp>
      <tp t="e">
        <v>#N/A</v>
        <stp/>
        <stp>BDH|788279526852774264</stp>
        <tr r="W29" s="4"/>
      </tp>
      <tp t="e">
        <v>#N/A</v>
        <stp/>
        <stp>BDH|484671936006231301</stp>
        <tr r="F101" s="18"/>
      </tp>
      <tp t="e">
        <v>#N/A</v>
        <stp/>
        <stp>BDH|978460859192180309</stp>
        <tr r="V10" s="21"/>
      </tp>
      <tp t="e">
        <v>#N/A</v>
        <stp/>
        <stp>BDH|912960946229839464</stp>
        <tr r="L35" s="26"/>
      </tp>
      <tp t="e">
        <v>#N/A</v>
        <stp/>
        <stp>BDH|459807987498249867</stp>
        <tr r="S17" s="14"/>
      </tp>
      <tp t="e">
        <v>#N/A</v>
        <stp/>
        <stp>BDH|854745535301846510</stp>
        <tr r="E27" s="25"/>
        <tr r="E17" s="27"/>
      </tp>
      <tp t="e">
        <v>#N/A</v>
        <stp/>
        <stp>BDH|708626224123105700</stp>
        <tr r="V41" s="10"/>
        <tr r="V35" s="11"/>
      </tp>
      <tp t="e">
        <v>#N/A</v>
        <stp/>
        <stp>BDH|108728860647523668</stp>
        <tr r="E42" s="17"/>
      </tp>
      <tp t="e">
        <v>#N/A</v>
        <stp/>
        <stp>BDH|111573675917570577</stp>
        <tr r="I108" s="18"/>
        <tr r="G8" s="20"/>
      </tp>
      <tp t="e">
        <v>#N/A</v>
        <stp/>
        <stp>BDH|422360610694358601</stp>
        <tr r="K11" s="7"/>
      </tp>
      <tp t="e">
        <v>#N/A</v>
        <stp/>
        <stp>BDH|734557434294139262</stp>
        <tr r="N32" s="22"/>
      </tp>
      <tp t="e">
        <v>#N/A</v>
        <stp/>
        <stp>BDH|573976691938222834</stp>
        <tr r="X27" s="5"/>
        <tr r="X27" s="9"/>
      </tp>
      <tp t="e">
        <v>#N/A</v>
        <stp/>
        <stp>BDH|401660580096684865</stp>
        <tr r="D140" s="18"/>
      </tp>
      <tp t="e">
        <v>#N/A</v>
        <stp/>
        <stp>BDH|904390737374238477</stp>
        <tr r="D27" s="17"/>
      </tp>
      <tp t="e">
        <v>#N/A</v>
        <stp/>
        <stp>BDH|141315689352943923</stp>
        <tr r="J99" s="17"/>
      </tp>
      <tp t="e">
        <v>#N/A</v>
        <stp/>
        <stp>BDH|710988799145053557</stp>
        <tr r="H99" s="18"/>
      </tp>
      <tp t="e">
        <v>#N/A</v>
        <stp/>
        <stp>BDH|875822598454633578</stp>
        <tr r="T8" s="24"/>
      </tp>
      <tp t="e">
        <v>#N/A</v>
        <stp/>
        <stp>BDH|888301037317816740</stp>
        <tr r="F135" s="18"/>
      </tp>
      <tp t="e">
        <v>#N/A</v>
        <stp/>
        <stp>BDH|343481366807931682</stp>
        <tr r="K139" s="18"/>
      </tp>
      <tp t="e">
        <v>#N/A</v>
        <stp/>
        <stp>BDH|150748902552362688</stp>
        <tr r="P18" s="5"/>
        <tr r="P30" s="6"/>
      </tp>
      <tp t="e">
        <v>#N/A</v>
        <stp/>
        <stp>BDH|170347597908976166</stp>
        <tr r="M67" s="12"/>
      </tp>
      <tp t="e">
        <v>#N/A</v>
        <stp/>
        <stp>BDH|909584638647520219</stp>
        <tr r="I23" s="11"/>
      </tp>
      <tp t="e">
        <v>#N/A</v>
        <stp/>
        <stp>BDH|407390285571120949</stp>
        <tr r="G8" s="14"/>
      </tp>
      <tp t="e">
        <v>#N/A</v>
        <stp/>
        <stp>BDH|333636012221977563</stp>
        <tr r="X142" s="18"/>
      </tp>
      <tp t="e">
        <v>#N/A</v>
        <stp/>
        <stp>BDH|557090081638642366</stp>
        <tr r="K69" s="17"/>
      </tp>
      <tp t="e">
        <v>#N/A</v>
        <stp/>
        <stp>BDH|212352328132168035</stp>
        <tr r="K72" s="12"/>
      </tp>
      <tp t="e">
        <v>#N/A</v>
        <stp/>
        <stp>BDH|259493287706731965</stp>
        <tr r="Y32" s="17"/>
      </tp>
      <tp t="e">
        <v>#N/A</v>
        <stp/>
        <stp>BDH|934502893148538726</stp>
        <tr r="V17" s="20"/>
      </tp>
      <tp t="e">
        <v>#N/A</v>
        <stp/>
        <stp>BDH|193595274675267404</stp>
        <tr r="W17" s="10"/>
      </tp>
      <tp t="e">
        <v>#N/A</v>
        <stp/>
        <stp>BDH|484053448103660415</stp>
        <tr r="E8" s="18"/>
      </tp>
      <tp t="e">
        <v>#N/A</v>
        <stp/>
        <stp>BDH|455646615247316381</stp>
        <tr r="X70" s="17"/>
      </tp>
      <tp t="e">
        <v>#N/A</v>
        <stp/>
        <stp>BDH|746293596350140871</stp>
        <tr r="AA139" s="18"/>
      </tp>
      <tp t="e">
        <v>#N/A</v>
        <stp/>
        <stp>BDH|388146710932031195</stp>
        <tr r="H41" s="12"/>
      </tp>
      <tp t="e">
        <v>#N/A</v>
        <stp/>
        <stp>BDH|627507799056466955</stp>
        <tr r="T41" s="17"/>
      </tp>
      <tp t="e">
        <v>#N/A</v>
        <stp/>
        <stp>BDH|364887059868933645</stp>
        <tr r="Y97" s="18"/>
      </tp>
      <tp t="e">
        <v>#N/A</v>
        <stp/>
        <stp>BDH|506022645850821758</stp>
        <tr r="F62" s="10"/>
      </tp>
      <tp t="e">
        <v>#N/A</v>
        <stp/>
        <stp>BDH|743709320676617094</stp>
        <tr r="S68" s="12"/>
      </tp>
      <tp t="e">
        <v>#N/A</v>
        <stp/>
        <stp>BDH|233891251268611641</stp>
        <tr r="Z78" s="12"/>
      </tp>
      <tp t="e">
        <v>#N/A</v>
        <stp/>
        <stp>BDH|164163313601953257</stp>
        <tr r="K60" s="11"/>
        <tr r="M15" s="23"/>
      </tp>
      <tp t="e">
        <v>#N/A</v>
        <stp/>
        <stp>BDH|410037714684964627</stp>
        <tr r="G67" s="18"/>
      </tp>
      <tp t="e">
        <v>#N/A</v>
        <stp/>
        <stp>BDH|818606615465129145</stp>
        <tr r="C12" s="10"/>
      </tp>
      <tp t="e">
        <v>#N/A</v>
        <stp/>
        <stp>BDH|524588159506555581</stp>
        <tr r="N35" s="12"/>
      </tp>
      <tp t="e">
        <v>#N/A</v>
        <stp/>
        <stp>BDH|810354653755052078</stp>
        <tr r="P102" s="18"/>
      </tp>
      <tp t="e">
        <v>#N/A</v>
        <stp/>
        <stp>BDH|595280056010702454</stp>
        <tr r="S144" s="18"/>
      </tp>
      <tp t="e">
        <v>#N/A</v>
        <stp/>
        <stp>BDH|807250154015191118</stp>
        <tr r="U24" s="4"/>
        <tr r="U58" s="11"/>
      </tp>
      <tp t="e">
        <v>#N/A</v>
        <stp/>
        <stp>BDH|195104358971968696</stp>
        <tr r="E9" s="3"/>
        <tr r="C50" s="10"/>
        <tr r="C44" s="11"/>
        <tr r="C14" s="7"/>
      </tp>
      <tp t="e">
        <v>#N/A</v>
        <stp/>
        <stp>BDH|693543973780948122</stp>
        <tr r="M23" s="25"/>
        <tr r="M13" s="27"/>
      </tp>
      <tp t="e">
        <v>#N/A</v>
        <stp/>
        <stp>BDH|446810479324384850</stp>
        <tr r="T48" s="12"/>
      </tp>
      <tp t="e">
        <v>#N/A</v>
        <stp/>
        <stp>BDH|249114853513388482</stp>
        <tr r="K18" s="13"/>
      </tp>
      <tp t="e">
        <v>#N/A</v>
        <stp/>
        <stp>BDH|139447375433246391</stp>
        <tr r="F25" s="13"/>
      </tp>
      <tp t="e">
        <v>#N/A</v>
        <stp/>
        <stp>BDH|806885347347166829</stp>
        <tr r="H37" s="34"/>
      </tp>
      <tp t="e">
        <v>#N/A</v>
        <stp/>
        <stp>BDH|743472949974486797</stp>
        <tr r="M22" s="25"/>
        <tr r="M12" s="27"/>
      </tp>
      <tp t="e">
        <v>#N/A</v>
        <stp/>
        <stp>BDH|487677627835864284</stp>
        <tr r="S63" s="21"/>
      </tp>
      <tp t="e">
        <v>#N/A</v>
        <stp/>
        <stp>BDH|435547028484806058</stp>
        <tr r="F59" s="24"/>
      </tp>
      <tp t="e">
        <v>#N/A</v>
        <stp/>
        <stp>BDH|736539665167031746</stp>
        <tr r="N18" s="20"/>
      </tp>
      <tp t="e">
        <v>#N/A</v>
        <stp/>
        <stp>BDH|962966989815216716</stp>
        <tr r="E142" s="18"/>
      </tp>
      <tp t="e">
        <v>#N/A</v>
        <stp/>
        <stp>BDH|739440146312960195</stp>
        <tr r="F14" s="10"/>
      </tp>
      <tp t="e">
        <v>#N/A</v>
        <stp/>
        <stp>BDH|127417605505919294</stp>
        <tr r="T99" s="17"/>
      </tp>
      <tp t="e">
        <v>#N/A</v>
        <stp/>
        <stp>BDH|477537906211332774</stp>
        <tr r="J44" s="12"/>
      </tp>
      <tp t="e">
        <v>#N/A</v>
        <stp/>
        <stp>BDH|439740253848473917</stp>
        <tr r="Y158" s="18"/>
      </tp>
      <tp t="e">
        <v>#N/A</v>
        <stp/>
        <stp>BDH|142001882878673339</stp>
        <tr r="L16" s="25"/>
      </tp>
      <tp t="e">
        <v>#N/A</v>
        <stp/>
        <stp>BDH|161162953495113230</stp>
        <tr r="X111" s="18"/>
        <tr r="V12" s="20"/>
      </tp>
      <tp t="e">
        <v>#N/A</v>
        <stp/>
        <stp>BDH|618071306563491045</stp>
        <tr r="S14" s="4"/>
      </tp>
      <tp t="e">
        <v>#N/A</v>
        <stp/>
        <stp>BDH|451755753947479610</stp>
        <tr r="E15" s="10"/>
      </tp>
      <tp t="e">
        <v>#N/A</v>
        <stp/>
        <stp>BDH|780672646859792867</stp>
        <tr r="I50" s="13"/>
      </tp>
      <tp t="e">
        <v>#N/A</v>
        <stp/>
        <stp>BDH|726027533718771860</stp>
        <tr r="P76" s="18"/>
      </tp>
      <tp t="e">
        <v>#N/A</v>
        <stp/>
        <stp>BDH|496308352255229034</stp>
        <tr r="M17" s="23"/>
      </tp>
      <tp t="e">
        <v>#N/A</v>
        <stp/>
        <stp>BDH|485523274952799355</stp>
        <tr r="D67" s="18"/>
      </tp>
      <tp t="e">
        <v>#N/A</v>
        <stp/>
        <stp>BDH|793021574275641171</stp>
        <tr r="Y10" s="10"/>
      </tp>
      <tp t="e">
        <v>#N/A</v>
        <stp/>
        <stp>BDH|775101651144090363</stp>
        <tr r="Q32" s="17"/>
      </tp>
      <tp t="e">
        <v>#N/A</v>
        <stp/>
        <stp>BDH|812474939340582427</stp>
        <tr r="G63" s="24"/>
      </tp>
      <tp t="e">
        <v>#N/A</v>
        <stp/>
        <stp>BDH|906048879975017150</stp>
        <tr r="M128" s="18"/>
      </tp>
      <tp t="e">
        <v>#N/A</v>
        <stp/>
        <stp>BDH|823758271687591483</stp>
        <tr r="U164" s="18"/>
      </tp>
      <tp t="e">
        <v>#N/A</v>
        <stp/>
        <stp>BDH|259355358164406199</stp>
        <tr r="U15" s="12"/>
      </tp>
      <tp t="e">
        <v>#N/A</v>
        <stp/>
        <stp>BDH|215179236516169703</stp>
        <tr r="Q84" s="18"/>
      </tp>
      <tp t="e">
        <v>#N/A</v>
        <stp/>
        <stp>BDH|666960600702738848</stp>
        <tr r="G98" s="17"/>
        <tr r="G13" s="28"/>
      </tp>
      <tp t="e">
        <v>#N/A</v>
        <stp/>
        <stp>BDH|552777032621282615</stp>
        <tr r="W12" s="10"/>
      </tp>
      <tp t="e">
        <v>#N/A</v>
        <stp/>
        <stp>BDH|666732114714269103</stp>
        <tr r="H36" s="21"/>
      </tp>
      <tp t="e">
        <v>#N/A</v>
        <stp/>
        <stp>BDH|747739056291115009</stp>
        <tr r="R37" s="6"/>
      </tp>
      <tp t="e">
        <v>#N/A</v>
        <stp/>
        <stp>BDH|443282259410055462</stp>
        <tr r="W36" s="4"/>
      </tp>
      <tp t="e">
        <v>#N/A</v>
        <stp/>
        <stp>BDH|839149571000076411</stp>
        <tr r="I21" s="10"/>
      </tp>
      <tp t="e">
        <v>#N/A</v>
        <stp/>
        <stp>BDH|746071379141450413</stp>
        <tr r="G44" s="12"/>
      </tp>
      <tp t="e">
        <v>#N/A</v>
        <stp/>
        <stp>BDH|725498475184210558</stp>
        <tr r="Q24" s="4"/>
        <tr r="Q58" s="11"/>
      </tp>
      <tp t="e">
        <v>#N/A</v>
        <stp/>
        <stp>BDH|667757551833982375</stp>
        <tr r="H45" s="13"/>
      </tp>
      <tp t="e">
        <v>#N/A</v>
        <stp/>
        <stp>BDH|329986430979541133</stp>
        <tr r="N7" s="17"/>
      </tp>
      <tp t="e">
        <v>#N/A</v>
        <stp/>
        <stp>BDH|596577168597169665</stp>
        <tr r="C63" s="21"/>
      </tp>
      <tp t="e">
        <v>#N/A</v>
        <stp/>
        <stp>BDH|164514860062833351</stp>
        <tr r="X29" s="9"/>
      </tp>
      <tp t="e">
        <v>#N/A</v>
        <stp/>
        <stp>BDH|194411757006988536</stp>
        <tr r="O32" s="21"/>
      </tp>
      <tp t="e">
        <v>#N/A</v>
        <stp/>
        <stp>BDH|694103810334059684</stp>
        <tr r="S24" s="22"/>
      </tp>
      <tp t="e">
        <v>#N/A</v>
        <stp/>
        <stp>BDH|177648626407827150</stp>
        <tr r="L7" s="14"/>
      </tp>
      <tp t="e">
        <v>#N/A</v>
        <stp/>
        <stp>BDH|598949678004312848</stp>
        <tr r="J11" s="11"/>
      </tp>
      <tp t="e">
        <v>#N/A</v>
        <stp/>
        <stp>BDH|587642628035251352</stp>
        <tr r="K45" s="13"/>
      </tp>
      <tp t="e">
        <v>#N/A</v>
        <stp/>
        <stp>BDH|798197188173884805</stp>
        <tr r="Q66" s="10"/>
      </tp>
      <tp t="e">
        <v>#N/A</v>
        <stp/>
        <stp>BDH|935226046045233116</stp>
        <tr r="E16" s="18"/>
      </tp>
      <tp t="e">
        <v>#N/A</v>
        <stp/>
        <stp>BDH|219189763384378148</stp>
        <tr r="U9" s="6"/>
      </tp>
      <tp t="e">
        <v>#N/A</v>
        <stp/>
        <stp>BDH|439934268705615867</stp>
        <tr r="K15" s="25"/>
      </tp>
      <tp t="e">
        <v>#N/A</v>
        <stp/>
        <stp>BDH|165420243774776683</stp>
        <tr r="M39" s="34"/>
      </tp>
      <tp t="e">
        <v>#N/A</v>
        <stp/>
        <stp>BDH|953212225834449614</stp>
        <tr r="Q8" s="27"/>
      </tp>
      <tp t="e">
        <v>#N/A</v>
        <stp/>
        <stp>BDH|633806159017466833</stp>
        <tr r="AA23" s="23"/>
      </tp>
      <tp t="e">
        <v>#N/A</v>
        <stp/>
        <stp>BDH|963848590682021146</stp>
        <tr r="T17" s="12"/>
      </tp>
      <tp t="e">
        <v>#N/A</v>
        <stp/>
        <stp>BDH|923570702871350668</stp>
        <tr r="C32" s="6"/>
        <tr r="E6" s="8"/>
      </tp>
      <tp t="e">
        <v>#N/A</v>
        <stp/>
        <stp>BDH|855349123185075651</stp>
        <tr r="V37" s="22"/>
      </tp>
      <tp t="e">
        <v>#N/A</v>
        <stp/>
        <stp>BDH|526183162047493211</stp>
        <tr r="X8" s="13"/>
      </tp>
      <tp t="e">
        <v>#N/A</v>
        <stp/>
        <stp>BDH|128509490946863836</stp>
        <tr r="G27" s="22"/>
      </tp>
      <tp t="e">
        <v>#N/A</v>
        <stp/>
        <stp>BDH|556605206105152192</stp>
        <tr r="J17" s="11"/>
      </tp>
      <tp t="e">
        <v>#N/A</v>
        <stp/>
        <stp>BDH|858704219740923433</stp>
        <tr r="D15" s="29"/>
        <tr r="D35" s="29"/>
      </tp>
      <tp t="e">
        <v>#N/A</v>
        <stp/>
        <stp>BDH|102624142020264086</stp>
        <tr r="D29" s="4"/>
      </tp>
      <tp t="e">
        <v>#N/A</v>
        <stp/>
        <stp>BDH|430646635454905375</stp>
        <tr r="H8" s="26"/>
        <tr r="E10" s="9"/>
      </tp>
      <tp t="e">
        <v>#N/A</v>
        <stp/>
        <stp>BDH|913542218607087116</stp>
        <tr r="E28" s="24"/>
      </tp>
      <tp t="e">
        <v>#N/A</v>
        <stp/>
        <stp>BDH|640495389206234809</stp>
        <tr r="R157" s="18"/>
      </tp>
      <tp t="e">
        <v>#N/A</v>
        <stp/>
        <stp>BDH|586746515931183511</stp>
        <tr r="C22" s="4"/>
      </tp>
      <tp t="e">
        <v>#N/A</v>
        <stp/>
        <stp>BDH|743239623354176627</stp>
        <tr r="M71" s="10"/>
        <tr r="M65" s="11"/>
      </tp>
      <tp t="e">
        <v>#N/A</v>
        <stp/>
        <stp>BDH|541661050201596023</stp>
        <tr r="AA84" s="18"/>
      </tp>
      <tp t="e">
        <v>#N/A</v>
        <stp/>
        <stp>BDH|993449738736641369</stp>
        <tr r="N13" s="22"/>
      </tp>
      <tp t="e">
        <v>#N/A</v>
        <stp/>
        <stp>BDH|579349047262040730</stp>
        <tr r="K79" s="18"/>
      </tp>
      <tp t="e">
        <v>#N/A</v>
        <stp/>
        <stp>BDH|188519204691106604</stp>
        <tr r="P27" s="10"/>
        <tr r="R32" s="13"/>
      </tp>
      <tp t="e">
        <v>#N/A</v>
        <stp/>
        <stp>BDH|101024515483390030</stp>
        <tr r="E70" s="18"/>
      </tp>
      <tp t="e">
        <v>#N/A</v>
        <stp/>
        <stp>BDH|114164775130414409</stp>
        <tr r="X73" s="18"/>
      </tp>
      <tp t="e">
        <v>#N/A</v>
        <stp/>
        <stp>BDH|761327523022659162</stp>
        <tr r="C30" s="26"/>
      </tp>
      <tp t="e">
        <v>#N/A</v>
        <stp/>
        <stp>BDH|675262834165532672</stp>
        <tr r="L20" s="27"/>
      </tp>
      <tp t="e">
        <v>#N/A</v>
        <stp/>
        <stp>BDH|284943191201504351</stp>
        <tr r="W24" s="25"/>
        <tr r="W14" s="27"/>
      </tp>
      <tp t="e">
        <v>#N/A</v>
        <stp/>
        <stp>BDH|553060183368785206</stp>
        <tr r="U149" s="18"/>
      </tp>
      <tp t="e">
        <v>#N/A</v>
        <stp/>
        <stp>BDH|237791498275141953</stp>
        <tr r="G95" s="17"/>
        <tr r="G30" s="25"/>
      </tp>
      <tp t="e">
        <v>#N/A</v>
        <stp/>
        <stp>BDH|172617423252327409</stp>
        <tr r="P31" s="10"/>
        <tr r="P25" s="11"/>
      </tp>
      <tp t="e">
        <v>#N/A</v>
        <stp/>
        <stp>BDH|725588125416935333</stp>
        <tr r="U70" s="12"/>
      </tp>
      <tp t="e">
        <v>#N/A</v>
        <stp/>
        <stp>BDH|822923409792357900</stp>
        <tr r="H55" s="13"/>
      </tp>
      <tp t="e">
        <v>#N/A</v>
        <stp/>
        <stp>BDH|497835786896687467</stp>
        <tr r="Y13" s="24"/>
      </tp>
      <tp t="e">
        <v>#N/A</v>
        <stp/>
        <stp>BDH|696756841414760545</stp>
        <tr r="O34" s="17"/>
      </tp>
      <tp t="e">
        <v>#N/A</v>
        <stp/>
        <stp>BDH|660347958354221099</stp>
        <tr r="N27" s="21"/>
      </tp>
      <tp t="e">
        <v>#N/A</v>
        <stp/>
        <stp>BDH|286632610537686268</stp>
        <tr r="M11" s="22"/>
      </tp>
      <tp t="e">
        <v>#N/A</v>
        <stp/>
        <stp>BDH|108145039347539789</stp>
        <tr r="U141" s="18"/>
      </tp>
      <tp t="e">
        <v>#N/A</v>
        <stp/>
        <stp>BDH|681124485339621261</stp>
        <tr r="T26" s="25"/>
        <tr r="T16" s="27"/>
      </tp>
      <tp t="e">
        <v>#N/A</v>
        <stp/>
        <stp>BDH|129754182864165969</stp>
        <tr r="M19" s="6"/>
      </tp>
      <tp t="e">
        <v>#N/A</v>
        <stp/>
        <stp>BDH|257553843154295745</stp>
        <tr r="AA154" s="18"/>
      </tp>
      <tp t="e">
        <v>#N/A</v>
        <stp/>
        <stp>BDH|514117456915011307</stp>
        <tr r="G65" s="17"/>
      </tp>
      <tp t="e">
        <v>#N/A</v>
        <stp/>
        <stp>BDH|370319603752504366</stp>
        <tr r="L33" s="26"/>
      </tp>
      <tp t="e">
        <v>#N/A</v>
        <stp/>
        <stp>BDH|963686758941277091</stp>
        <tr r="Z43" s="12"/>
      </tp>
      <tp t="e">
        <v>#N/A</v>
        <stp/>
        <stp>BDH|836906591951821333</stp>
        <tr r="AA23" s="26"/>
      </tp>
      <tp t="e">
        <v>#N/A</v>
        <stp/>
        <stp>BDH|196744907335540041</stp>
        <tr r="K8" s="13"/>
      </tp>
      <tp t="e">
        <v>#N/A</v>
        <stp/>
        <stp>BDH|685542330204122005</stp>
        <tr r="D64" s="18"/>
      </tp>
      <tp t="e">
        <v>#N/A</v>
        <stp/>
        <stp>BDH|942653662655408793</stp>
        <tr r="H41" s="21"/>
      </tp>
      <tp t="e">
        <v>#N/A</v>
        <stp/>
        <stp>BDH|146540894417529974</stp>
        <tr r="L8" s="13"/>
      </tp>
      <tp t="e">
        <v>#N/A</v>
        <stp/>
        <stp>BDH|381279017421069005</stp>
        <tr r="Y58" s="21"/>
        <tr r="Y33" s="25"/>
        <tr r="W31" s="4"/>
        <tr r="W55" s="11"/>
      </tp>
      <tp t="e">
        <v>#N/A</v>
        <stp/>
        <stp>BDH|659215241553325888</stp>
        <tr r="AA9" s="28"/>
      </tp>
      <tp t="e">
        <v>#N/A</v>
        <stp/>
        <stp>BDH|109905912382602789</stp>
        <tr r="G47" s="24"/>
      </tp>
      <tp t="e">
        <v>#N/A</v>
        <stp/>
        <stp>BDH|164892434873405562</stp>
        <tr r="F43" s="12"/>
      </tp>
      <tp t="e">
        <v>#N/A</v>
        <stp/>
        <stp>BDH|480729175645981841</stp>
        <tr r="U23" s="23"/>
      </tp>
      <tp t="e">
        <v>#N/A</v>
        <stp/>
        <stp>BDH|725610595076911447</stp>
        <tr r="D72" s="12"/>
      </tp>
      <tp t="e">
        <v>#N/A</v>
        <stp/>
        <stp>BDH|166753490904263792</stp>
        <tr r="F47" s="17"/>
      </tp>
      <tp t="e">
        <v>#N/A</v>
        <stp/>
        <stp>BDH|385725521091625990</stp>
        <tr r="H10" s="23"/>
      </tp>
      <tp t="e">
        <v>#N/A</v>
        <stp/>
        <stp>BDH|925564125458303210</stp>
        <tr r="D21" s="10"/>
      </tp>
      <tp t="e">
        <v>#N/A</v>
        <stp/>
        <stp>BDH|480208691666495087</stp>
        <tr r="I60" s="12"/>
      </tp>
      <tp t="e">
        <v>#N/A</v>
        <stp/>
        <stp>BDH|903814142172320308</stp>
        <tr r="T11" s="24"/>
      </tp>
      <tp t="e">
        <v>#N/A</v>
        <stp/>
        <stp>BDH|688820603637843269</stp>
        <tr r="F7" s="14"/>
      </tp>
      <tp t="e">
        <v>#N/A</v>
        <stp/>
        <stp>BDH|277656948608650738</stp>
        <tr r="U21" s="18"/>
      </tp>
      <tp t="e">
        <v>#N/A</v>
        <stp/>
        <stp>BDH|324588690844164519</stp>
        <tr r="L26" s="12"/>
      </tp>
      <tp t="e">
        <v>#N/A</v>
        <stp/>
        <stp>BDH|229403292919115951</stp>
        <tr r="AA160" s="18"/>
      </tp>
      <tp t="e">
        <v>#N/A</v>
        <stp/>
        <stp>BDH|633346835119183420</stp>
        <tr r="O20" s="27"/>
      </tp>
      <tp t="e">
        <v>#N/A</v>
        <stp/>
        <stp>BDH|608127857180563924</stp>
        <tr r="P25" s="17"/>
      </tp>
      <tp t="e">
        <v>#N/A</v>
        <stp/>
        <stp>BDH|607298551372853830</stp>
        <tr r="U10" s="4"/>
        <tr r="T6" s="16"/>
        <tr r="W6" s="3"/>
        <tr r="U6" s="11"/>
      </tp>
      <tp t="e">
        <v>#N/A</v>
        <stp/>
        <stp>BDH|145521619919930056</stp>
        <tr r="T74" s="12"/>
      </tp>
      <tp t="e">
        <v>#N/A</v>
        <stp/>
        <stp>BDH|530040585446029329</stp>
        <tr r="S36" s="18"/>
      </tp>
      <tp t="e">
        <v>#N/A</v>
        <stp/>
        <stp>BDH|833103243118465085</stp>
        <tr r="N37" s="24"/>
      </tp>
      <tp t="e">
        <v>#N/A</v>
        <stp/>
        <stp>BDH|143193400639860575</stp>
        <tr r="W42" s="17"/>
      </tp>
      <tp t="e">
        <v>#N/A</v>
        <stp/>
        <stp>BDH|550424383257451675</stp>
        <tr r="O23" s="20"/>
      </tp>
      <tp t="e">
        <v>#N/A</v>
        <stp/>
        <stp>BDH|216815169790846350</stp>
        <tr r="N25" s="2"/>
        <tr r="P62" s="21"/>
      </tp>
      <tp t="e">
        <v>#N/A</v>
        <stp/>
        <stp>BDH|722451535388678262</stp>
        <tr r="J8" s="23"/>
      </tp>
      <tp t="e">
        <v>#N/A</v>
        <stp/>
        <stp>BDH|309958024796678049</stp>
        <tr r="F72" s="18"/>
      </tp>
      <tp t="e">
        <v>#N/A</v>
        <stp/>
        <stp>BDH|144507181245845583</stp>
        <tr r="J65" s="17"/>
      </tp>
      <tp t="e">
        <v>#N/A</v>
        <stp/>
        <stp>BDH|808878457965008598</stp>
        <tr r="H8" s="21"/>
      </tp>
      <tp t="e">
        <v>#N/A</v>
        <stp/>
        <stp>BDH|993399933224356915</stp>
        <tr r="O56" s="10"/>
        <tr r="O50" s="11"/>
        <tr r="O18" s="7"/>
        <tr r="Q52" s="13"/>
      </tp>
      <tp t="e">
        <v>#N/A</v>
        <stp/>
        <stp>BDH|568747386774613637</stp>
        <tr r="Q128" s="18"/>
      </tp>
      <tp t="e">
        <v>#N/A</v>
        <stp/>
        <stp>BDH|252506951905439842</stp>
        <tr r="R51" s="13"/>
      </tp>
      <tp t="e">
        <v>#N/A</v>
        <stp/>
        <stp>BDH|258410084679489804</stp>
        <tr r="H164" s="18"/>
      </tp>
      <tp t="e">
        <v>#N/A</v>
        <stp/>
        <stp>BDH|339624935928356046</stp>
        <tr r="T24" s="20"/>
      </tp>
      <tp t="e">
        <v>#N/A</v>
        <stp/>
        <stp>BDH|477815962306081548</stp>
        <tr r="K10" s="12"/>
      </tp>
      <tp t="e">
        <v>#N/A</v>
        <stp/>
        <stp>BDH|602851633531407680</stp>
        <tr r="T11" s="9"/>
      </tp>
      <tp t="e">
        <v>#N/A</v>
        <stp/>
        <stp>BDH|438035896673433683</stp>
        <tr r="T17" s="6"/>
      </tp>
      <tp t="e">
        <v>#N/A</v>
        <stp/>
        <stp>BDH|539764750009655784</stp>
        <tr r="J75" s="17"/>
      </tp>
      <tp t="e">
        <v>#N/A</v>
        <stp/>
        <stp>BDH|750059384136940213</stp>
        <tr r="I14" s="21"/>
      </tp>
      <tp t="e">
        <v>#N/A</v>
        <stp/>
        <stp>BDH|769112584977827240</stp>
        <tr r="Z63" s="12"/>
      </tp>
      <tp t="e">
        <v>#N/A</v>
        <stp/>
        <stp>BDH|914032596597435269</stp>
        <tr r="C76" s="17"/>
      </tp>
      <tp t="e">
        <v>#N/A</v>
        <stp/>
        <stp>BDH|925959443372331329</stp>
        <tr r="U59" s="18"/>
      </tp>
      <tp t="e">
        <v>#N/A</v>
        <stp/>
        <stp>BDH|363136936029865700</stp>
        <tr r="I96" s="18"/>
      </tp>
      <tp t="e">
        <v>#N/A</v>
        <stp/>
        <stp>BDH|922542731068785243</stp>
        <tr r="I30" s="12"/>
      </tp>
      <tp t="e">
        <v>#N/A</v>
        <stp/>
        <stp>BDH|572119049520409964</stp>
        <tr r="Y24" s="4"/>
        <tr r="Y58" s="11"/>
      </tp>
      <tp t="e">
        <v>#N/A</v>
        <stp/>
        <stp>BDH|392475784536011682</stp>
        <tr r="E67" s="17"/>
      </tp>
      <tp t="e">
        <v>#N/A</v>
        <stp/>
        <stp>BDH|187013908828464447</stp>
        <tr r="E31" s="22"/>
      </tp>
      <tp t="e">
        <v>#N/A</v>
        <stp/>
        <stp>BDH|186067181167833368</stp>
        <tr r="V20" s="27"/>
      </tp>
      <tp t="e">
        <v>#N/A</v>
        <stp/>
        <stp>BDH|504341093673875538</stp>
        <tr r="M8" s="8"/>
      </tp>
      <tp t="e">
        <v>#N/A</v>
        <stp/>
        <stp>BDH|193864736164804303</stp>
        <tr r="N21" s="17"/>
      </tp>
      <tp t="e">
        <v>#N/A</v>
        <stp/>
        <stp>BDH|450066875848753392</stp>
        <tr r="N15" s="24"/>
      </tp>
      <tp t="e">
        <v>#N/A</v>
        <stp/>
        <stp>BDH|926831315012529737</stp>
        <tr r="P28" s="22"/>
      </tp>
      <tp t="e">
        <v>#N/A</v>
        <stp/>
        <stp>BDH|904508904828353172</stp>
        <tr r="M10" s="30"/>
      </tp>
      <tp t="e">
        <v>#N/A</v>
        <stp/>
        <stp>BDH|312509649414950990</stp>
        <tr r="I33" s="10"/>
        <tr r="I27" s="11"/>
      </tp>
      <tp t="e">
        <v>#N/A</v>
        <stp/>
        <stp>BDH|156889702405608174</stp>
        <tr r="G55" s="13"/>
      </tp>
      <tp t="e">
        <v>#N/A</v>
        <stp/>
        <stp>BDH|863936145430755134</stp>
        <tr r="O75" s="18"/>
      </tp>
      <tp t="e">
        <v>#N/A</v>
        <stp/>
        <stp>BDH|740871308327729342</stp>
        <tr r="G35" s="22"/>
      </tp>
      <tp t="e">
        <v>#N/A</v>
        <stp/>
        <stp>BDH|445883956037994677</stp>
        <tr r="R18" s="17"/>
      </tp>
      <tp t="e">
        <v>#N/A</v>
        <stp/>
        <stp>BDH|565328764758365157</stp>
        <tr r="M11" s="3"/>
        <tr r="K49" s="10"/>
        <tr r="K43" s="11"/>
        <tr r="K8" s="7"/>
      </tp>
      <tp t="e">
        <v>#N/A</v>
        <stp/>
        <stp>BDH|942107588473639629</stp>
        <tr r="U20" s="17"/>
      </tp>
      <tp t="e">
        <v>#N/A</v>
        <stp/>
        <stp>BDH|642820053080390110</stp>
        <tr r="T9" s="11"/>
      </tp>
      <tp t="e">
        <v>#N/A</v>
        <stp/>
        <stp>BDH|467480010081804838</stp>
        <tr r="W36" s="24"/>
      </tp>
      <tp t="e">
        <v>#N/A</v>
        <stp/>
        <stp>BDH|957765062315397898</stp>
        <tr r="Z12" s="30"/>
      </tp>
      <tp t="e">
        <v>#N/A</v>
        <stp/>
        <stp>BDH|581639523158785058</stp>
        <tr r="P65" s="17"/>
      </tp>
      <tp t="e">
        <v>#N/A</v>
        <stp/>
        <stp>BDH|344002564462471842</stp>
        <tr r="W8" s="24"/>
      </tp>
      <tp t="e">
        <v>#N/A</v>
        <stp/>
        <stp>BDH|214935279175800709</stp>
        <tr r="X18" s="12"/>
      </tp>
      <tp t="e">
        <v>#N/A</v>
        <stp/>
        <stp>BDH|915504595973540383</stp>
        <tr r="R97" s="18"/>
      </tp>
      <tp t="e">
        <v>#N/A</v>
        <stp/>
        <stp>BDH|767403343075085956</stp>
        <tr r="S22" s="5"/>
      </tp>
      <tp t="e">
        <v>#N/A</v>
        <stp/>
        <stp>BDH|641840970941648251</stp>
        <tr r="C18" s="10"/>
        <tr r="E16" s="13"/>
        <tr r="E27" s="13"/>
      </tp>
      <tp t="e">
        <v>#N/A</v>
        <stp/>
        <stp>BDH|288534134692239852</stp>
        <tr r="I17" s="11"/>
      </tp>
      <tp t="e">
        <v>#N/A</v>
        <stp/>
        <stp>BDH|799472076359155653</stp>
        <tr r="Y39" s="10"/>
        <tr r="Y33" s="11"/>
      </tp>
      <tp t="e">
        <v>#N/A</v>
        <stp/>
        <stp>BDH|456951122481282637</stp>
        <tr r="D42" s="18"/>
      </tp>
      <tp t="e">
        <v>#N/A</v>
        <stp/>
        <stp>BDH|838976963961824262</stp>
        <tr r="G42" s="17"/>
      </tp>
      <tp t="e">
        <v>#N/A</v>
        <stp/>
        <stp>BDH|997134930667865901</stp>
        <tr r="I13" s="14"/>
      </tp>
      <tp t="e">
        <v>#N/A</v>
        <stp/>
        <stp>BDH|407323006586658940</stp>
        <tr r="Y62" s="11"/>
      </tp>
      <tp t="e">
        <v>#N/A</v>
        <stp/>
        <stp>BDH|851454998261656015</stp>
        <tr r="V35" s="22"/>
      </tp>
      <tp t="e">
        <v>#N/A</v>
        <stp/>
        <stp>BDH|774850645355734520</stp>
        <tr r="L49" s="12"/>
      </tp>
      <tp t="e">
        <v>#N/A</v>
        <stp/>
        <stp>BDH|573479054054412912</stp>
        <tr r="M61" s="21"/>
      </tp>
      <tp t="e">
        <v>#N/A</v>
        <stp/>
        <stp>BDH|903178069339481203</stp>
        <tr r="V65" s="17"/>
      </tp>
      <tp t="e">
        <v>#N/A</v>
        <stp/>
        <stp>BDH|360905841098477952</stp>
        <tr r="M56" s="18"/>
      </tp>
      <tp t="e">
        <v>#N/A</v>
        <stp/>
        <stp>BDH|876073432334937888</stp>
        <tr r="L49" s="21"/>
      </tp>
      <tp t="e">
        <v>#N/A</v>
        <stp/>
        <stp>BDH|532450251839928744</stp>
        <tr r="T97" s="18"/>
      </tp>
      <tp t="e">
        <v>#N/A</v>
        <stp/>
        <stp>BDH|213297287484070107</stp>
        <tr r="F25" s="2"/>
        <tr r="H62" s="21"/>
      </tp>
      <tp t="e">
        <v>#N/A</v>
        <stp/>
        <stp>BDH|343879275432871259</stp>
        <tr r="R75" s="17"/>
      </tp>
      <tp t="e">
        <v>#N/A</v>
        <stp/>
        <stp>BDH|826850210070474652</stp>
        <tr r="P13" s="6"/>
      </tp>
      <tp t="e">
        <v>#N/A</v>
        <stp/>
        <stp>BDH|882910265222604271</stp>
        <tr r="T10" s="17"/>
      </tp>
      <tp t="e">
        <v>#N/A</v>
        <stp/>
        <stp>BDH|199441844768583798</stp>
        <tr r="H11" s="22"/>
      </tp>
      <tp t="e">
        <v>#N/A</v>
        <stp/>
        <stp>BDH|166207526396229987</stp>
        <tr r="D46" s="13"/>
      </tp>
      <tp t="e">
        <v>#N/A</v>
        <stp/>
        <stp>BDH|324826551537926547</stp>
        <tr r="Z42" s="24"/>
      </tp>
      <tp t="e">
        <v>#N/A</v>
        <stp/>
        <stp>BDH|515933979648533973</stp>
        <tr r="R83" s="17"/>
      </tp>
      <tp t="e">
        <v>#N/A</v>
        <stp/>
        <stp>BDH|158791792738433934</stp>
        <tr r="Z35" s="12"/>
      </tp>
      <tp t="e">
        <v>#N/A</v>
        <stp/>
        <stp>BDH|288025647793010890</stp>
        <tr r="C74" s="12"/>
      </tp>
      <tp t="e">
        <v>#N/A</v>
        <stp/>
        <stp>BDH|574927608247481159</stp>
        <tr r="S35" s="25"/>
        <tr r="S7" s="3"/>
        <tr r="Q18" s="11"/>
        <tr r="S22" s="13"/>
        <tr r="S7" s="13"/>
      </tp>
      <tp t="e">
        <v>#N/A</v>
        <stp/>
        <stp>BDH|516895927373476617</stp>
        <tr r="V72" s="24"/>
      </tp>
      <tp t="e">
        <v>#N/A</v>
        <stp/>
        <stp>BDH|150417699437528520</stp>
        <tr r="H37" s="6"/>
      </tp>
      <tp t="e">
        <v>#N/A</v>
        <stp/>
        <stp>BDH|812928136595411073</stp>
        <tr r="W43" s="4"/>
      </tp>
      <tp t="e">
        <v>#N/A</v>
        <stp/>
        <stp>BDH|678166201867682980</stp>
        <tr r="Y81" s="18"/>
      </tp>
      <tp t="e">
        <v>#N/A</v>
        <stp/>
        <stp>BDH|854505737530279958</stp>
        <tr r="Y24" s="20"/>
      </tp>
      <tp t="e">
        <v>#N/A</v>
        <stp/>
        <stp>BDH|550139121045736987</stp>
        <tr r="Q61" s="18"/>
      </tp>
      <tp t="e">
        <v>#N/A</v>
        <stp/>
        <stp>BDH|306255274632225882</stp>
        <tr r="I58" s="17"/>
      </tp>
      <tp t="e">
        <v>#N/A</v>
        <stp/>
        <stp>BDH|333094025784366943</stp>
        <tr r="T18" s="2"/>
        <tr r="T53" s="4"/>
        <tr r="T45" s="10"/>
        <tr r="T39" s="11"/>
        <tr r="V46" s="13"/>
      </tp>
      <tp t="e">
        <v>#N/A</v>
        <stp/>
        <stp>BDH|725497617883864981</stp>
        <tr r="M17" s="14"/>
      </tp>
      <tp t="e">
        <v>#N/A</v>
        <stp/>
        <stp>BDH|779738617431841811</stp>
        <tr r="Q7" s="30"/>
      </tp>
      <tp t="e">
        <v>#N/A</v>
        <stp/>
        <stp>BDH|304690681983523244</stp>
        <tr r="K52" s="21"/>
      </tp>
      <tp t="e">
        <v>#N/A</v>
        <stp/>
        <stp>BDH|621823618770587632</stp>
        <tr r="I57" s="12"/>
      </tp>
      <tp t="e">
        <v>#N/A</v>
        <stp/>
        <stp>BDH|823250056620872891</stp>
        <tr r="Y40" s="24"/>
      </tp>
      <tp t="e">
        <v>#N/A</v>
        <stp/>
        <stp>BDH|826123839098031590</stp>
        <tr r="T14" s="30"/>
      </tp>
      <tp t="e">
        <v>#N/A</v>
        <stp/>
        <stp>BDH|518753683268885819</stp>
        <tr r="D137" s="18"/>
      </tp>
      <tp t="e">
        <v>#N/A</v>
        <stp/>
        <stp>BDH|755546994836923557</stp>
        <tr r="F45" s="12"/>
      </tp>
      <tp t="e">
        <v>#N/A</v>
        <stp/>
        <stp>BDH|359960314807394092</stp>
        <tr r="R59" s="21"/>
        <tr r="P56" s="11"/>
      </tp>
      <tp t="e">
        <v>#N/A</v>
        <stp/>
        <stp>BDH|701129520889835566</stp>
        <tr r="M40" s="18"/>
      </tp>
      <tp t="e">
        <v>#N/A</v>
        <stp/>
        <stp>BDH|720990210487755027</stp>
        <tr r="Y35" s="10"/>
        <tr r="Y47" s="10"/>
        <tr r="Y29" s="11"/>
        <tr r="Y41" s="11"/>
      </tp>
      <tp t="e">
        <v>#N/A</v>
        <stp/>
        <stp>BDH|886994738746509382</stp>
        <tr r="G15" s="13"/>
      </tp>
      <tp t="e">
        <v>#N/A</v>
        <stp/>
        <stp>BDH|705002274201562926</stp>
        <tr r="U45" s="18"/>
      </tp>
      <tp t="e">
        <v>#N/A</v>
        <stp/>
        <stp>BDH|207777176469316642</stp>
        <tr r="D67" s="24"/>
      </tp>
      <tp t="e">
        <v>#N/A</v>
        <stp/>
        <stp>BDH|860397788464423091</stp>
        <tr r="K68" s="24"/>
      </tp>
      <tp t="e">
        <v>#N/A</v>
        <stp/>
        <stp>BDH|147894027694297198</stp>
        <tr r="I10" s="24"/>
      </tp>
      <tp t="e">
        <v>#N/A</v>
        <stp/>
        <stp>BDH|663058402487416801</stp>
        <tr r="X20" s="5"/>
        <tr r="X20" s="9"/>
      </tp>
      <tp t="e">
        <v>#N/A</v>
        <stp/>
        <stp>BDH|346849362091209011</stp>
        <tr r="E26" s="22"/>
      </tp>
      <tp t="e">
        <v>#N/A</v>
        <stp/>
        <stp>BDH|742814850127214538</stp>
        <tr r="J8" s="17"/>
      </tp>
      <tp t="e">
        <v>#N/A</v>
        <stp/>
        <stp>BDH|622993086428752699</stp>
        <tr r="L64" s="21"/>
      </tp>
      <tp t="e">
        <v>#N/A</v>
        <stp/>
        <stp>BDH|756909677623413237</stp>
        <tr r="I34" s="24"/>
      </tp>
      <tp t="e">
        <v>#N/A</v>
        <stp/>
        <stp>BDH|510989469353166320</stp>
        <tr r="P90" s="18"/>
      </tp>
      <tp t="e">
        <v>#N/A</v>
        <stp/>
        <stp>BDH|227791399285144447</stp>
        <tr r="P14" s="18"/>
      </tp>
      <tp t="e">
        <v>#N/A</v>
        <stp/>
        <stp>BDH|914347889133125725</stp>
        <tr r="F18" s="2"/>
        <tr r="F53" s="4"/>
        <tr r="F45" s="10"/>
        <tr r="F39" s="11"/>
        <tr r="H46" s="13"/>
      </tp>
      <tp t="e">
        <v>#N/A</v>
        <stp/>
        <stp>BDH|254029946823483859</stp>
        <tr r="R8" s="24"/>
      </tp>
      <tp t="e">
        <v>#N/A</v>
        <stp/>
        <stp>BDH|244523295994336777</stp>
        <tr r="Z42" s="17"/>
      </tp>
      <tp t="e">
        <v>#N/A</v>
        <stp/>
        <stp>BDH|119965874963615245</stp>
        <tr r="Y30" s="22"/>
      </tp>
      <tp t="e">
        <v>#N/A</v>
        <stp/>
        <stp>BDH|693720122918674215</stp>
        <tr r="E19" s="20"/>
      </tp>
      <tp t="e">
        <v>#N/A</v>
        <stp/>
        <stp>BDH|426288964978945307</stp>
        <tr r="R23" s="18"/>
      </tp>
      <tp t="e">
        <v>#N/A</v>
        <stp/>
        <stp>BDH|373297365919855253</stp>
        <tr r="AA7" s="23"/>
      </tp>
      <tp t="e">
        <v>#N/A</v>
        <stp/>
        <stp>BDH|516025894482828490</stp>
        <tr r="H44" s="24"/>
      </tp>
      <tp t="e">
        <v>#N/A</v>
        <stp/>
        <stp>BDH|470447112822903899</stp>
        <tr r="T70" s="17"/>
      </tp>
      <tp t="e">
        <v>#N/A</v>
        <stp/>
        <stp>BDH|742127792277536003</stp>
        <tr r="T30" s="22"/>
      </tp>
      <tp t="e">
        <v>#N/A</v>
        <stp/>
        <stp>BDH|634860065339124878</stp>
        <tr r="T28" s="5"/>
      </tp>
      <tp t="e">
        <v>#N/A</v>
        <stp/>
        <stp>BDH|597005526628159512</stp>
        <tr r="S28" s="21"/>
      </tp>
      <tp t="e">
        <v>#N/A</v>
        <stp/>
        <stp>BDH|701624425323335806</stp>
        <tr r="H19" s="26"/>
      </tp>
      <tp t="e">
        <v>#N/A</v>
        <stp/>
        <stp>BDH|164645354259076525</stp>
        <tr r="Z10" s="22"/>
      </tp>
      <tp t="e">
        <v>#N/A</v>
        <stp/>
        <stp>BDH|495438785787687584</stp>
        <tr r="I27" s="5"/>
        <tr r="I27" s="9"/>
      </tp>
      <tp t="e">
        <v>#N/A</v>
        <stp/>
        <stp>BDH|389918366331046080</stp>
        <tr r="J31" s="10"/>
        <tr r="J25" s="11"/>
      </tp>
      <tp t="e">
        <v>#N/A</v>
        <stp/>
        <stp>BDH|663785935093336945</stp>
        <tr r="U92" s="18"/>
      </tp>
      <tp t="e">
        <v>#N/A</v>
        <stp/>
        <stp>BDH|200673678699496643</stp>
        <tr r="Q48" s="17"/>
      </tp>
      <tp t="e">
        <v>#N/A</v>
        <stp/>
        <stp>BDH|505823733216891319</stp>
        <tr r="L61" s="24"/>
      </tp>
      <tp t="e">
        <v>#N/A</v>
        <stp/>
        <stp>BDH|343711688098206953</stp>
        <tr r="O16" s="18"/>
      </tp>
      <tp t="e">
        <v>#N/A</v>
        <stp/>
        <stp>BDH|256088639359822457</stp>
        <tr r="I8" s="18"/>
      </tp>
      <tp t="e">
        <v>#N/A</v>
        <stp/>
        <stp>BDH|481625539608838396</stp>
        <tr r="W147" s="18"/>
      </tp>
      <tp t="e">
        <v>#N/A</v>
        <stp/>
        <stp>BDH|497035629705935998</stp>
        <tr r="T25" s="22"/>
      </tp>
      <tp t="e">
        <v>#N/A</v>
        <stp/>
        <stp>BDH|427681899809927829</stp>
        <tr r="L52" s="18"/>
      </tp>
      <tp t="e">
        <v>#N/A</v>
        <stp/>
        <stp>BDH|578701618299631146</stp>
        <tr r="U118" s="18"/>
      </tp>
      <tp t="e">
        <v>#N/A</v>
        <stp/>
        <stp>BDH|434673449875284976</stp>
        <tr r="J18" s="12"/>
      </tp>
      <tp t="e">
        <v>#N/A</v>
        <stp/>
        <stp>BDH|924206450108177175</stp>
        <tr r="W8" s="21"/>
      </tp>
      <tp t="e">
        <v>#N/A</v>
        <stp/>
        <stp>BDH|950705664666039952</stp>
        <tr r="H28" s="10"/>
        <tr r="J33" s="13"/>
      </tp>
      <tp t="e">
        <v>#N/A</v>
        <stp/>
        <stp>BDH|459278344168644082</stp>
        <tr r="K10" s="28"/>
      </tp>
      <tp t="e">
        <v>#N/A</v>
        <stp/>
        <stp>BDH|855820904024429235</stp>
        <tr r="W88" s="18"/>
      </tp>
      <tp t="e">
        <v>#N/A</v>
        <stp/>
        <stp>BDH|762936527574399199</stp>
        <tr r="S36" s="22"/>
      </tp>
      <tp t="e">
        <v>#N/A</v>
        <stp/>
        <stp>BDH|836246629596782886</stp>
        <tr r="M21" s="17"/>
      </tp>
      <tp t="e">
        <v>#N/A</v>
        <stp/>
        <stp>BDH|158764133352642885</stp>
        <tr r="K37" s="18"/>
      </tp>
      <tp t="e">
        <v>#N/A</v>
        <stp/>
        <stp>BDH|301608464158540696</stp>
        <tr r="H9" s="17"/>
      </tp>
      <tp t="e">
        <v>#N/A</v>
        <stp/>
        <stp>BDH|597402090344939772</stp>
        <tr r="I89" s="17"/>
      </tp>
      <tp t="e">
        <v>#N/A</v>
        <stp/>
        <stp>BDH|352170950243981960</stp>
        <tr r="V95" s="18"/>
      </tp>
      <tp t="e">
        <v>#N/A</v>
        <stp/>
        <stp>BDH|512837740393507187</stp>
        <tr r="J20" s="10"/>
      </tp>
      <tp t="e">
        <v>#N/A</v>
        <stp/>
        <stp>BDH|414545529161754853</stp>
        <tr r="V148" s="18"/>
      </tp>
      <tp t="e">
        <v>#N/A</v>
        <stp/>
        <stp>BDH|168698517868782139</stp>
        <tr r="T91" s="17"/>
      </tp>
      <tp t="e">
        <v>#N/A</v>
        <stp/>
        <stp>BDH|944850702380940634</stp>
        <tr r="U12" s="18"/>
      </tp>
      <tp t="e">
        <v>#N/A</v>
        <stp/>
        <stp>BDH|427416747059191779</stp>
        <tr r="L57" s="17"/>
        <tr r="L10" s="25"/>
      </tp>
      <tp t="e">
        <v>#N/A</v>
        <stp/>
        <stp>BDH|406499279229530441</stp>
        <tr r="D37" s="18"/>
      </tp>
      <tp t="e">
        <v>#N/A</v>
        <stp/>
        <stp>BDH|487006507157541937</stp>
        <tr r="V43" s="13"/>
      </tp>
      <tp t="e">
        <v>#N/A</v>
        <stp/>
        <stp>BDH|713842166868274821</stp>
        <tr r="L33" s="6"/>
        <tr r="N9" s="8"/>
      </tp>
      <tp t="e">
        <v>#N/A</v>
        <stp/>
        <stp>BDH|570463782315635721</stp>
        <tr r="E23" s="22"/>
      </tp>
      <tp t="e">
        <v>#N/A</v>
        <stp/>
        <stp>BDH|227953160889180834</stp>
        <tr r="K18" s="9"/>
      </tp>
      <tp t="e">
        <v>#N/A</v>
        <stp/>
        <stp>BDH|966125413948777694</stp>
        <tr r="Q28" s="26"/>
      </tp>
      <tp t="e">
        <v>#N/A</v>
        <stp/>
        <stp>BDH|491510483385085601</stp>
        <tr r="U34" s="18"/>
      </tp>
      <tp t="e">
        <v>#N/A</v>
        <stp/>
        <stp>BDH|860963077247856769</stp>
        <tr r="V9" s="10"/>
      </tp>
      <tp t="e">
        <v>#N/A</v>
        <stp/>
        <stp>BDH|138998607421165691</stp>
        <tr r="Y58" s="24"/>
      </tp>
      <tp t="e">
        <v>#N/A</v>
        <stp/>
        <stp>BDH|241827472430573103</stp>
        <tr r="E72" s="18"/>
      </tp>
      <tp t="e">
        <v>#N/A</v>
        <stp/>
        <stp>BDH|790231686313171731</stp>
        <tr r="Y167" s="18"/>
      </tp>
      <tp t="e">
        <v>#N/A</v>
        <stp/>
        <stp>BDH|594372220217452877</stp>
        <tr r="Y6" s="2"/>
        <tr r="X6" s="5"/>
        <tr r="X6" s="9"/>
        <tr r="Z12" s="8"/>
        <tr r="AA10" s="29"/>
        <tr r="AA19" s="29"/>
        <tr r="AA25" s="29"/>
      </tp>
      <tp t="e">
        <v>#N/A</v>
        <stp/>
        <stp>BDH|694041680322175427</stp>
        <tr r="S56" s="13"/>
      </tp>
      <tp t="e">
        <v>#N/A</v>
        <stp/>
        <stp>BDH|368905558720842229</stp>
        <tr r="P7" s="17"/>
      </tp>
      <tp t="e">
        <v>#N/A</v>
        <stp/>
        <stp>BDH|144499995120468385</stp>
        <tr r="N29" s="4"/>
      </tp>
      <tp t="e">
        <v>#N/A</v>
        <stp/>
        <stp>BDH|598251223697488969</stp>
        <tr r="I8" s="13"/>
      </tp>
      <tp t="e">
        <v>#N/A</v>
        <stp/>
        <stp>BDH|648991009663503420</stp>
        <tr r="I27" s="7"/>
      </tp>
      <tp t="e">
        <v>#N/A</v>
        <stp/>
        <stp>BDH|478092339674529901</stp>
        <tr r="N16" s="20"/>
      </tp>
      <tp t="e">
        <v>#N/A</v>
        <stp/>
        <stp>BDH|612900574496809686</stp>
        <tr r="E8" s="34"/>
      </tp>
      <tp t="e">
        <v>#N/A</v>
        <stp/>
        <stp>BDH|889623943474875838</stp>
        <tr r="J67" s="18"/>
      </tp>
      <tp t="e">
        <v>#N/A</v>
        <stp/>
        <stp>BDH|203871814352371500</stp>
        <tr r="K9" s="3"/>
        <tr r="I50" s="10"/>
        <tr r="I44" s="11"/>
        <tr r="I14" s="7"/>
      </tp>
      <tp t="e">
        <v>#N/A</v>
        <stp/>
        <stp>BDH|672784948394076954</stp>
        <tr r="U51" s="10"/>
        <tr r="U45" s="11"/>
        <tr r="U15" s="7"/>
      </tp>
      <tp t="e">
        <v>#N/A</v>
        <stp/>
        <stp>BDH|462649202710510849</stp>
        <tr r="M122" s="18"/>
      </tp>
      <tp t="e">
        <v>#N/A</v>
        <stp/>
        <stp>BDH|214870467593874392</stp>
        <tr r="C10" s="17"/>
      </tp>
      <tp t="e">
        <v>#N/A</v>
        <stp/>
        <stp>BDH|681934839573514050</stp>
        <tr r="C67" s="18"/>
      </tp>
      <tp t="e">
        <v>#N/A</v>
        <stp/>
        <stp>BDH|704544626416993804</stp>
        <tr r="AA33" s="22"/>
      </tp>
      <tp t="e">
        <v>#N/A</v>
        <stp/>
        <stp>BDH|910567560708130220</stp>
        <tr r="I52" s="12"/>
      </tp>
      <tp t="e">
        <v>#N/A</v>
        <stp/>
        <stp>BDH|643772299554715333</stp>
        <tr r="H31" s="26"/>
      </tp>
      <tp t="e">
        <v>#N/A</v>
        <stp/>
        <stp>BDH|859551121109057701</stp>
        <tr r="S16" s="30"/>
      </tp>
      <tp t="e">
        <v>#N/A</v>
        <stp/>
        <stp>BDH|303003172556558885</stp>
        <tr r="M94" s="18"/>
      </tp>
      <tp t="e">
        <v>#N/A</v>
        <stp/>
        <stp>BDH|164142134148974347</stp>
        <tr r="U8" s="21"/>
      </tp>
      <tp t="e">
        <v>#N/A</v>
        <stp/>
        <stp>BDH|140349289532503041</stp>
        <tr r="C153" s="18"/>
      </tp>
      <tp t="e">
        <v>#N/A</v>
        <stp/>
        <stp>BDH|676541608938761433</stp>
        <tr r="H8" s="10"/>
      </tp>
      <tp t="e">
        <v>#N/A</v>
        <stp/>
        <stp>BDH|132276528671745872</stp>
        <tr r="X55" s="24"/>
      </tp>
      <tp t="e">
        <v>#N/A</v>
        <stp/>
        <stp>BDH|481894204379643807</stp>
        <tr r="R60" s="17"/>
      </tp>
      <tp t="e">
        <v>#N/A</v>
        <stp/>
        <stp>BDH|938995849490353457</stp>
        <tr r="L70" s="18"/>
      </tp>
      <tp t="e">
        <v>#N/A</v>
        <stp/>
        <stp>BDH|772186190140454138</stp>
        <tr r="G20" s="22"/>
      </tp>
      <tp t="e">
        <v>#N/A</v>
        <stp/>
        <stp>BDH|804385158309420642</stp>
        <tr r="Q9" s="6"/>
      </tp>
      <tp t="e">
        <v>#N/A</v>
        <stp/>
        <stp>BDH|288917988340749850</stp>
        <tr r="L166" s="18"/>
      </tp>
      <tp t="e">
        <v>#N/A</v>
        <stp/>
        <stp>BDH|193151078106413916</stp>
        <tr r="G6" s="2"/>
        <tr r="F6" s="5"/>
        <tr r="F6" s="9"/>
        <tr r="H12" s="8"/>
        <tr r="I10" s="29"/>
        <tr r="I19" s="29"/>
        <tr r="I25" s="29"/>
      </tp>
      <tp t="e">
        <v>#N/A</v>
        <stp/>
        <stp>BDH|588291980527528403</stp>
        <tr r="R36" s="22"/>
      </tp>
      <tp t="e">
        <v>#N/A</v>
        <stp/>
        <stp>BDH|813356654268343730</stp>
        <tr r="U28" s="18"/>
      </tp>
      <tp t="e">
        <v>#N/A</v>
        <stp/>
        <stp>BDH|700152151859874415</stp>
        <tr r="Z29" s="17"/>
      </tp>
      <tp t="e">
        <v>#N/A</v>
        <stp/>
        <stp>BDH|889205686212013140</stp>
        <tr r="Z65" s="18"/>
      </tp>
      <tp t="e">
        <v>#N/A</v>
        <stp/>
        <stp>BDH|212899740591302421</stp>
        <tr r="N71" s="18"/>
      </tp>
      <tp t="e">
        <v>#N/A</v>
        <stp/>
        <stp>BDH|403420148798672124</stp>
        <tr r="AA66" s="17"/>
      </tp>
      <tp t="e">
        <v>#N/A</v>
        <stp/>
        <stp>BDH|491622881597928048</stp>
        <tr r="Q13" s="17"/>
        <tr r="Q16" s="28"/>
      </tp>
      <tp t="e">
        <v>#N/A</v>
        <stp/>
        <stp>BDH|907825934630191256</stp>
        <tr r="F40" s="10"/>
        <tr r="F34" s="11"/>
      </tp>
      <tp t="e">
        <v>#N/A</v>
        <stp/>
        <stp>BDH|122330238088119107</stp>
        <tr r="AA54" s="13"/>
      </tp>
      <tp t="e">
        <v>#N/A</v>
        <stp/>
        <stp>BDH|743089182543199275</stp>
        <tr r="V63" s="21"/>
      </tp>
      <tp t="e">
        <v>#N/A</v>
        <stp/>
        <stp>BDH|500449397176362216</stp>
        <tr r="H9" s="27"/>
      </tp>
      <tp t="e">
        <v>#N/A</v>
        <stp/>
        <stp>BDH|285355004499389341</stp>
        <tr r="H50" s="21"/>
      </tp>
      <tp t="e">
        <v>#N/A</v>
        <stp/>
        <stp>BDH|562333684573679100</stp>
        <tr r="Q7" s="11"/>
      </tp>
      <tp t="e">
        <v>#N/A</v>
        <stp/>
        <stp>BDH|526559813089466420</stp>
        <tr r="J12" s="30"/>
      </tp>
      <tp t="e">
        <v>#N/A</v>
        <stp/>
        <stp>BDH|401556930508730732</stp>
        <tr r="N62" s="12"/>
      </tp>
      <tp t="e">
        <v>#N/A</v>
        <stp/>
        <stp>BDH|648518591260117529</stp>
        <tr r="U102" s="18"/>
      </tp>
      <tp t="e">
        <v>#N/A</v>
        <stp/>
        <stp>BDH|436295040827194892</stp>
        <tr r="V150" s="18"/>
      </tp>
      <tp t="e">
        <v>#N/A</v>
        <stp/>
        <stp>BDH|385292436868073090</stp>
        <tr r="T16" s="17"/>
        <tr r="T19" s="28"/>
      </tp>
      <tp t="e">
        <v>#N/A</v>
        <stp/>
        <stp>BDH|345045144919411415</stp>
        <tr r="M33" s="17"/>
      </tp>
      <tp t="e">
        <v>#N/A</v>
        <stp/>
        <stp>BDH|667788439094181901</stp>
        <tr r="D42" s="24"/>
      </tp>
      <tp t="e">
        <v>#N/A</v>
        <stp/>
        <stp>BDH|265669094247026171</stp>
        <tr r="U21" s="4"/>
      </tp>
      <tp t="e">
        <v>#N/A</v>
        <stp/>
        <stp>BDH|695356807633770942</stp>
        <tr r="W31" s="17"/>
      </tp>
      <tp t="e">
        <v>#N/A</v>
        <stp/>
        <stp>BDH|715779946723897991</stp>
        <tr r="U43" s="17"/>
      </tp>
      <tp t="e">
        <v>#N/A</v>
        <stp/>
        <stp>BDH|445975890199192023</stp>
        <tr r="W16" s="2"/>
        <tr r="W32" s="4"/>
        <tr r="W61" s="10"/>
        <tr r="Y19" s="13"/>
      </tp>
      <tp t="e">
        <v>#N/A</v>
        <stp/>
        <stp>BDH|684846938507900530</stp>
        <tr r="M18" s="22"/>
      </tp>
      <tp t="e">
        <v>#N/A</v>
        <stp/>
        <stp>BDH|343159806529728176</stp>
        <tr r="J50" s="17"/>
      </tp>
      <tp t="e">
        <v>#N/A</v>
        <stp/>
        <stp>BDH|476872052794395029</stp>
        <tr r="R68" s="10"/>
      </tp>
      <tp t="e">
        <v>#N/A</v>
        <stp/>
        <stp>BDH|335718382822169409</stp>
        <tr r="T10" s="6"/>
      </tp>
      <tp t="e">
        <v>#N/A</v>
        <stp/>
        <stp>BDH|104935627403603123</stp>
        <tr r="P37" s="6"/>
      </tp>
      <tp t="e">
        <v>#N/A</v>
        <stp/>
        <stp>BDH|399643053822144845</stp>
        <tr r="S9" s="3"/>
        <tr r="Q50" s="10"/>
        <tr r="Q44" s="11"/>
        <tr r="Q14" s="7"/>
      </tp>
      <tp t="e">
        <v>#N/A</v>
        <stp/>
        <stp>BDH|503515620569024752</stp>
        <tr r="U83" s="18"/>
      </tp>
      <tp t="e">
        <v>#N/A</v>
        <stp/>
        <stp>BDH|277916573173835494</stp>
        <tr r="R24" s="13"/>
      </tp>
      <tp t="e">
        <v>#N/A</v>
        <stp/>
        <stp>BDH|939343954317157892</stp>
        <tr r="K13" s="29"/>
        <tr r="K22" s="29"/>
        <tr r="K33" s="29"/>
      </tp>
      <tp t="e">
        <v>#N/A</v>
        <stp/>
        <stp>BDH|930878205941222085</stp>
        <tr r="G8" s="2"/>
      </tp>
      <tp t="e">
        <v>#N/A</v>
        <stp/>
        <stp>BDH|309512615979624433</stp>
        <tr r="J61" s="24"/>
      </tp>
      <tp t="e">
        <v>#N/A</v>
        <stp/>
        <stp>BDH|870811333610812208</stp>
        <tr r="O6" s="27"/>
      </tp>
      <tp t="e">
        <v>#N/A</v>
        <stp/>
        <stp>BDH|479431462663648815</stp>
        <tr r="L8" s="14"/>
      </tp>
      <tp t="e">
        <v>#N/A</v>
        <stp/>
        <stp>BDH|171849517402866294</stp>
        <tr r="Y37" s="22"/>
      </tp>
      <tp t="e">
        <v>#N/A</v>
        <stp/>
        <stp>BDH|391030887679555812</stp>
        <tr r="D21" s="3"/>
      </tp>
      <tp t="e">
        <v>#N/A</v>
        <stp/>
        <stp>BDH|467956525593732107</stp>
        <tr r="W24" s="26"/>
      </tp>
      <tp t="e">
        <v>#N/A</v>
        <stp/>
        <stp>BDH|495382166398015498</stp>
        <tr r="U34" s="25"/>
      </tp>
      <tp t="e">
        <v>#N/A</v>
        <stp/>
        <stp>BDH|474949607684089444</stp>
        <tr r="Q59" s="24"/>
      </tp>
      <tp t="e">
        <v>#N/A</v>
        <stp/>
        <stp>BDH|302247916272487997</stp>
        <tr r="N74" s="17"/>
      </tp>
      <tp t="e">
        <v>#N/A</v>
        <stp/>
        <stp>BDH|562273545838216692</stp>
        <tr r="Y79" s="18"/>
      </tp>
      <tp t="e">
        <v>#N/A</v>
        <stp/>
        <stp>BDH|995954995621760936</stp>
        <tr r="R10" s="11"/>
      </tp>
      <tp t="e">
        <v>#N/A</v>
        <stp/>
        <stp>BDH|736909531180838234</stp>
        <tr r="Z122" s="18"/>
      </tp>
      <tp t="e">
        <v>#N/A</v>
        <stp/>
        <stp>BDH|789827870614838336</stp>
        <tr r="V45" s="21"/>
      </tp>
      <tp t="e">
        <v>#N/A</v>
        <stp/>
        <stp>BDH|721085090370655177</stp>
        <tr r="AA49" s="12"/>
      </tp>
      <tp t="e">
        <v>#N/A</v>
        <stp/>
        <stp>BDH|307485374088894398</stp>
        <tr r="E10" s="26"/>
      </tp>
      <tp t="e">
        <v>#N/A</v>
        <stp/>
        <stp>BDH|394101423113064882</stp>
        <tr r="R27" s="17"/>
      </tp>
      <tp t="e">
        <v>#N/A</v>
        <stp/>
        <stp>BDH|159913074161944753</stp>
        <tr r="W41" s="17"/>
      </tp>
      <tp t="e">
        <v>#N/A</v>
        <stp/>
        <stp>BDH|656493907195006903</stp>
        <tr r="N42" s="13"/>
      </tp>
      <tp t="e">
        <v>#N/A</v>
        <stp/>
        <stp>BDH|383532641638012187</stp>
        <tr r="D161" s="18"/>
      </tp>
      <tp t="e">
        <v>#N/A</v>
        <stp/>
        <stp>BDH|465208409482000845</stp>
        <tr r="F25" s="21"/>
      </tp>
      <tp t="e">
        <v>#N/A</v>
        <stp/>
        <stp>BDH|772783637289840594</stp>
        <tr r="K29" s="4"/>
      </tp>
      <tp t="e">
        <v>#N/A</v>
        <stp/>
        <stp>BDH|691142258084045806</stp>
        <tr r="T69" s="12"/>
      </tp>
      <tp t="e">
        <v>#N/A</v>
        <stp/>
        <stp>BDH|427621319527711824</stp>
        <tr r="G8" s="34"/>
      </tp>
      <tp t="e">
        <v>#N/A</v>
        <stp/>
        <stp>BDH|477243629469743145</stp>
        <tr r="K76" s="17"/>
      </tp>
      <tp t="e">
        <v>#N/A</v>
        <stp/>
        <stp>BDH|293529938709324714</stp>
        <tr r="U6" s="19"/>
        <tr r="U37" s="17"/>
        <tr r="U16" s="3"/>
      </tp>
      <tp t="e">
        <v>#N/A</v>
        <stp/>
        <stp>BDH|110137856784685895</stp>
        <tr r="T14" s="13"/>
      </tp>
      <tp t="e">
        <v>#N/A</v>
        <stp/>
        <stp>BDH|580363798772245024</stp>
        <tr r="T24" s="12"/>
      </tp>
      <tp t="e">
        <v>#N/A</v>
        <stp/>
        <stp>BDH|797155651115983916</stp>
        <tr r="U29" s="12"/>
      </tp>
      <tp t="e">
        <v>#N/A</v>
        <stp/>
        <stp>BDH|615988360103803422</stp>
        <tr r="AA9" s="20"/>
      </tp>
      <tp t="e">
        <v>#N/A</v>
        <stp/>
        <stp>BDH|360241887687188553</stp>
        <tr r="P14" s="29"/>
        <tr r="P23" s="29"/>
        <tr r="P34" s="29"/>
      </tp>
      <tp t="e">
        <v>#N/A</v>
        <stp/>
        <stp>BDH|870374730349320192</stp>
        <tr r="Y25" s="7"/>
      </tp>
      <tp t="e">
        <v>#N/A</v>
        <stp/>
        <stp>BDH|693525384673753611</stp>
        <tr r="L135" s="18"/>
      </tp>
      <tp t="e">
        <v>#N/A</v>
        <stp/>
        <stp>BDH|620945285938499159</stp>
        <tr r="G146" s="18"/>
      </tp>
      <tp t="e">
        <v>#N/A</v>
        <stp/>
        <stp>BDH|497320185596729523</stp>
        <tr r="H15" s="9"/>
      </tp>
      <tp t="e">
        <v>#N/A</v>
        <stp/>
        <stp>BDH|704811236535104674</stp>
        <tr r="C66" s="12"/>
      </tp>
      <tp t="e">
        <v>#N/A</v>
        <stp/>
        <stp>BDH|678014139183963815</stp>
        <tr r="T24" s="22"/>
      </tp>
      <tp t="e">
        <v>#N/A</v>
        <stp/>
        <stp>BDH|120027219671530891</stp>
        <tr r="U153" s="18"/>
      </tp>
      <tp t="e">
        <v>#N/A</v>
        <stp/>
        <stp>BDH|949212485611211390</stp>
        <tr r="U69" s="17"/>
      </tp>
      <tp t="e">
        <v>#N/A</v>
        <stp/>
        <stp>BDH|864449239536199930</stp>
        <tr r="J20" s="30"/>
      </tp>
      <tp t="e">
        <v>#N/A</v>
        <stp/>
        <stp>BDH|241464213894239950</stp>
        <tr r="H16" s="24"/>
      </tp>
      <tp t="e">
        <v>#N/A</v>
        <stp/>
        <stp>BDH|546367545748340759</stp>
        <tr r="P24" s="13"/>
      </tp>
      <tp t="e">
        <v>#N/A</v>
        <stp/>
        <stp>BDH|123628263411625960</stp>
        <tr r="C20" s="22"/>
      </tp>
      <tp t="e">
        <v>#N/A</v>
        <stp/>
        <stp>BDH|139753903437242853</stp>
        <tr r="R6" s="27"/>
      </tp>
      <tp t="e">
        <v>#N/A</v>
        <stp/>
        <stp>BDH|110567005114343913</stp>
        <tr r="K50" s="21"/>
      </tp>
      <tp t="e">
        <v>#N/A</v>
        <stp/>
        <stp>BDH|348981179392188422</stp>
        <tr r="L97" s="18"/>
      </tp>
      <tp t="e">
        <v>#N/A</v>
        <stp/>
        <stp>BDH|674844097868492101</stp>
        <tr r="W34" s="6"/>
        <tr r="Y10" s="8"/>
      </tp>
      <tp t="e">
        <v>#N/A</v>
        <stp/>
        <stp>BDH|986829258806697343</stp>
        <tr r="C30" s="18"/>
      </tp>
      <tp t="e">
        <v>#N/A</v>
        <stp/>
        <stp>BDH|155321656587670920</stp>
        <tr r="W10" s="24"/>
      </tp>
      <tp t="e">
        <v>#N/A</v>
        <stp/>
        <stp>BDH|632235065185346919</stp>
        <tr r="E56" s="18"/>
      </tp>
      <tp t="e">
        <v>#N/A</v>
        <stp/>
        <stp>BDH|239169822588112352</stp>
        <tr r="K15" s="5"/>
      </tp>
      <tp t="e">
        <v>#N/A</v>
        <stp/>
        <stp>BDH|199971676897116131</stp>
        <tr r="I35" s="18"/>
      </tp>
      <tp t="e">
        <v>#N/A</v>
        <stp/>
        <stp>BDH|238623357982073958</stp>
        <tr r="W23" s="26"/>
      </tp>
      <tp t="e">
        <v>#N/A</v>
        <stp/>
        <stp>BDH|159830552771118435</stp>
        <tr r="U60" s="24"/>
      </tp>
      <tp t="e">
        <v>#N/A</v>
        <stp/>
        <stp>BDH|877379594733967109</stp>
        <tr r="C62" s="10"/>
      </tp>
      <tp t="e">
        <v>#N/A</v>
        <stp/>
        <stp>BDH|483534702958318540</stp>
        <tr r="G73" s="12"/>
      </tp>
      <tp t="e">
        <v>#N/A</v>
        <stp/>
        <stp>BDH|294985063801983635</stp>
        <tr r="V45" s="18"/>
      </tp>
      <tp t="e">
        <v>#N/A</v>
        <stp/>
        <stp>BDH|553633074708464151</stp>
        <tr r="W27" s="18"/>
      </tp>
      <tp t="e">
        <v>#N/A</v>
        <stp/>
        <stp>BDH|630965122211663277</stp>
        <tr r="W60" s="11"/>
        <tr r="Y15" s="23"/>
      </tp>
      <tp t="e">
        <v>#N/A</v>
        <stp/>
        <stp>BDH|943749161533970984</stp>
        <tr r="M13" s="24"/>
      </tp>
      <tp t="e">
        <v>#N/A</v>
        <stp/>
        <stp>BDH|155885103810666310</stp>
        <tr r="C16" s="25"/>
      </tp>
      <tp t="e">
        <v>#N/A</v>
        <stp/>
        <stp>BDH|294694080586059362</stp>
        <tr r="Z20" s="27"/>
      </tp>
      <tp t="e">
        <v>#N/A</v>
        <stp/>
        <stp>BDH|238694873633236971</stp>
        <tr r="H28" s="22"/>
      </tp>
      <tp t="e">
        <v>#N/A</v>
        <stp/>
        <stp>BDH|570257935992234895</stp>
        <tr r="Q18" s="13"/>
      </tp>
      <tp t="e">
        <v>#N/A</v>
        <stp/>
        <stp>BDH|369787840210786840</stp>
        <tr r="Z83" s="17"/>
      </tp>
      <tp t="e">
        <v>#N/A</v>
        <stp/>
        <stp>BDH|263661287367984232</stp>
        <tr r="V24" s="4"/>
        <tr r="V58" s="11"/>
      </tp>
      <tp t="e">
        <v>#N/A</v>
        <stp/>
        <stp>BDH|837330343039885595</stp>
        <tr r="D162" s="18"/>
      </tp>
      <tp t="e">
        <v>#N/A</v>
        <stp/>
        <stp>BDH|656874378371291524</stp>
        <tr r="W33" s="18"/>
      </tp>
      <tp t="e">
        <v>#N/A</v>
        <stp/>
        <stp>BDH|261740313639575491</stp>
        <tr r="AA44" s="12"/>
      </tp>
      <tp t="e">
        <v>#N/A</v>
        <stp/>
        <stp>BDH|699095068144543980</stp>
        <tr r="N9" s="3"/>
        <tr r="L50" s="10"/>
        <tr r="L44" s="11"/>
        <tr r="L14" s="7"/>
      </tp>
      <tp t="e">
        <v>#N/A</v>
        <stp/>
        <stp>BDH|615425296603814504</stp>
        <tr r="T27" s="18"/>
      </tp>
      <tp t="e">
        <v>#N/A</v>
        <stp/>
        <stp>BDH|855890728196414766</stp>
        <tr r="Y93" s="17"/>
      </tp>
      <tp t="e">
        <v>#N/A</v>
        <stp/>
        <stp>BDH|953899161112523703</stp>
        <tr r="D16" s="26"/>
      </tp>
      <tp t="e">
        <v>#N/A</v>
        <stp/>
        <stp>BDH|814222663979482692</stp>
        <tr r="V23" s="25"/>
        <tr r="V13" s="27"/>
      </tp>
      <tp t="e">
        <v>#N/A</v>
        <stp/>
        <stp>BDH|732064943478451720</stp>
        <tr r="Q51" s="12"/>
      </tp>
      <tp t="e">
        <v>#N/A</v>
        <stp/>
        <stp>BDH|212562093174311311</stp>
        <tr r="AA22" s="30"/>
        <tr r="AA25" s="23"/>
      </tp>
      <tp t="e">
        <v>#N/A</v>
        <stp/>
        <stp>BDH|523156374595254833</stp>
        <tr r="F168" s="18"/>
      </tp>
      <tp t="e">
        <v>#N/A</v>
        <stp/>
        <stp>BDH|291357277347172874</stp>
        <tr r="R60" s="11"/>
        <tr r="T15" s="23"/>
      </tp>
      <tp t="e">
        <v>#N/A</v>
        <stp/>
        <stp>BDH|974167789505048706</stp>
        <tr r="X156" s="18"/>
      </tp>
      <tp t="e">
        <v>#N/A</v>
        <stp/>
        <stp>BDH|151823220513353274</stp>
        <tr r="G129" s="18"/>
      </tp>
      <tp t="e">
        <v>#N/A</v>
        <stp/>
        <stp>BDH|101260395562008226</stp>
        <tr r="C46" s="17"/>
      </tp>
      <tp t="e">
        <v>#N/A</v>
        <stp/>
        <stp>BDH|369068280452285173</stp>
        <tr r="C8" s="24"/>
      </tp>
      <tp t="e">
        <v>#N/A</v>
        <stp/>
        <stp>BDH|294571053249540238</stp>
        <tr r="J157" s="18"/>
      </tp>
      <tp t="e">
        <v>#N/A</v>
        <stp/>
        <stp>BDH|640457826724240976</stp>
        <tr r="N22" s="25"/>
        <tr r="N12" s="27"/>
      </tp>
      <tp t="e">
        <v>#N/A</v>
        <stp/>
        <stp>BDH|717501211649707604</stp>
        <tr r="Q60" s="11"/>
        <tr r="S15" s="23"/>
      </tp>
      <tp t="e">
        <v>#N/A</v>
        <stp/>
        <stp>BDH|403090904999867234</stp>
        <tr r="S98" s="18"/>
      </tp>
      <tp t="e">
        <v>#N/A</v>
        <stp/>
        <stp>BDH|554414689856906161</stp>
        <tr r="K33" s="12"/>
      </tp>
      <tp t="e">
        <v>#N/A</v>
        <stp/>
        <stp>BDH|518071590277219522</stp>
        <tr r="V34" s="25"/>
      </tp>
      <tp t="e">
        <v>#N/A</v>
        <stp/>
        <stp>BDH|368644275699249330</stp>
        <tr r="X88" s="18"/>
      </tp>
      <tp t="e">
        <v>#N/A</v>
        <stp/>
        <stp>BDH|772124962399890433</stp>
        <tr r="E9" s="28"/>
      </tp>
      <tp t="e">
        <v>#N/A</v>
        <stp/>
        <stp>BDH|475802061880103487</stp>
        <tr r="V26" s="12"/>
      </tp>
      <tp t="e">
        <v>#N/A</v>
        <stp/>
        <stp>BDH|956335936893031905</stp>
        <tr r="X15" s="5"/>
      </tp>
      <tp t="e">
        <v>#N/A</v>
        <stp/>
        <stp>BDH|296751708334026934</stp>
        <tr r="H68" s="12"/>
      </tp>
      <tp t="e">
        <v>#N/A</v>
        <stp/>
        <stp>BDH|419210428863974988</stp>
        <tr r="F68" s="12"/>
      </tp>
      <tp t="e">
        <v>#N/A</v>
        <stp/>
        <stp>BDH|499043518762426908</stp>
        <tr r="W36" s="10"/>
        <tr r="W30" s="11"/>
        <tr r="Y39" s="13"/>
      </tp>
      <tp t="e">
        <v>#N/A</v>
        <stp/>
        <stp>BDH|342705018434056862</stp>
        <tr r="X14" s="30"/>
      </tp>
      <tp t="e">
        <v>#N/A</v>
        <stp/>
        <stp>BDH|224156659887673958</stp>
        <tr r="T56" s="13"/>
      </tp>
      <tp t="e">
        <v>#N/A</v>
        <stp/>
        <stp>BDH|138365902370943911</stp>
        <tr r="Z54" s="24"/>
      </tp>
      <tp t="e">
        <v>#N/A</v>
        <stp/>
        <stp>BDH|474729598391292514</stp>
        <tr r="K13" s="5"/>
      </tp>
      <tp t="e">
        <v>#N/A</v>
        <stp/>
        <stp>BDH|327242503758101086</stp>
        <tr r="C54" s="21"/>
      </tp>
      <tp t="e">
        <v>#N/A</v>
        <stp/>
        <stp>BDH|797284696684294564</stp>
        <tr r="Y19" s="24"/>
      </tp>
      <tp t="e">
        <v>#N/A</v>
        <stp/>
        <stp>BDH|979518863979655033</stp>
        <tr r="S17" s="13"/>
      </tp>
      <tp t="e">
        <v>#N/A</v>
        <stp/>
        <stp>BDH|626727393181827511</stp>
        <tr r="H13" s="24"/>
      </tp>
      <tp t="e">
        <v>#N/A</v>
        <stp/>
        <stp>BDH|617331897670493094</stp>
        <tr r="S9" s="27"/>
      </tp>
      <tp t="e">
        <v>#N/A</v>
        <stp/>
        <stp>BDH|473612554489741097</stp>
        <tr r="Q147" s="18"/>
      </tp>
      <tp t="e">
        <v>#N/A</v>
        <stp/>
        <stp>BDH|953151560114593968</stp>
        <tr r="G16" s="23"/>
      </tp>
      <tp t="e">
        <v>#N/A</v>
        <stp/>
        <stp>BDH|193633389075788136</stp>
        <tr r="P34" s="22"/>
      </tp>
      <tp t="e">
        <v>#N/A</v>
        <stp/>
        <stp>BDH|881522147763238874</stp>
        <tr r="G36" s="34"/>
      </tp>
      <tp t="e">
        <v>#N/A</v>
        <stp/>
        <stp>BDH|445945610262134096</stp>
        <tr r="Z35" s="21"/>
      </tp>
      <tp t="e">
        <v>#N/A</v>
        <stp/>
        <stp>BDH|263611604064748884</stp>
        <tr r="J17" s="22"/>
      </tp>
      <tp t="e">
        <v>#N/A</v>
        <stp/>
        <stp>BDH|216228054735862852</stp>
        <tr r="S53" s="17"/>
      </tp>
      <tp t="e">
        <v>#N/A</v>
        <stp/>
        <stp>BDH|309317890883943324</stp>
        <tr r="L76" s="17"/>
      </tp>
      <tp t="e">
        <v>#N/A</v>
        <stp/>
        <stp>BDH|912408023608108414</stp>
        <tr r="X26" s="18"/>
      </tp>
      <tp t="e">
        <v>#N/A</v>
        <stp/>
        <stp>BDH|847463320479540515</stp>
        <tr r="C54" s="17"/>
      </tp>
      <tp t="e">
        <v>#N/A</v>
        <stp/>
        <stp>BDH|112258497598980904</stp>
        <tr r="AA14" s="29"/>
        <tr r="AA23" s="29"/>
        <tr r="AA34" s="29"/>
      </tp>
      <tp t="e">
        <v>#N/A</v>
        <stp/>
        <stp>BDH|381401249782989890</stp>
        <tr r="L6" s="15"/>
        <tr r="L12" s="2"/>
        <tr r="L11" s="4"/>
        <tr r="L6" s="10"/>
      </tp>
      <tp t="e">
        <v>#N/A</v>
        <stp/>
        <stp>BDH|226070090465991668</stp>
        <tr r="I49" s="12"/>
      </tp>
      <tp t="e">
        <v>#N/A</v>
        <stp/>
        <stp>BDH|604894623631452133</stp>
        <tr r="V23" s="20"/>
      </tp>
      <tp t="e">
        <v>#N/A</v>
        <stp/>
        <stp>BDH|987522006246806914</stp>
        <tr r="V46" s="17"/>
      </tp>
      <tp t="e">
        <v>#N/A</v>
        <stp/>
        <stp>BDH|173151780452950195</stp>
        <tr r="C72" s="17"/>
        <tr r="C18" s="3"/>
      </tp>
      <tp t="e">
        <v>#N/A</v>
        <stp/>
        <stp>BDH|595942621314692523</stp>
        <tr r="F32" s="12"/>
      </tp>
      <tp t="e">
        <v>#N/A</v>
        <stp/>
        <stp>BDH|153577776150245863</stp>
        <tr r="L87" s="17"/>
        <tr r="L20" s="3"/>
        <tr r="J6" s="7"/>
      </tp>
      <tp t="e">
        <v>#N/A</v>
        <stp/>
        <stp>BDH|946872831082300393</stp>
        <tr r="F8" s="12"/>
      </tp>
      <tp t="e">
        <v>#N/A</v>
        <stp/>
        <stp>BDH|310831451367710001</stp>
        <tr r="U39" s="4"/>
        <tr r="U65" s="10"/>
      </tp>
      <tp t="e">
        <v>#N/A</v>
        <stp/>
        <stp>BDH|629385799500887099</stp>
        <tr r="P26" s="6"/>
      </tp>
      <tp t="e">
        <v>#N/A</v>
        <stp/>
        <stp>BDH|182089370075602890</stp>
        <tr r="R34" s="26"/>
      </tp>
      <tp t="e">
        <v>#N/A</v>
        <stp/>
        <stp>BDH|491776764659519249</stp>
        <tr r="T18" s="30"/>
      </tp>
      <tp t="e">
        <v>#N/A</v>
        <stp/>
        <stp>BDH|789529092065233334</stp>
        <tr r="F8" s="28"/>
      </tp>
      <tp t="e">
        <v>#N/A</v>
        <stp/>
        <stp>BDH|496131720249933092</stp>
        <tr r="R52" s="21"/>
      </tp>
      <tp t="e">
        <v>#N/A</v>
        <stp/>
        <stp>BDH|917678691571101492</stp>
        <tr r="W19" s="11"/>
      </tp>
      <tp t="e">
        <v>#N/A</v>
        <stp/>
        <stp>BDH|339403929164837851</stp>
        <tr r="Z23" s="20"/>
      </tp>
      <tp t="e">
        <v>#N/A</v>
        <stp/>
        <stp>BDH|416695117479813452</stp>
        <tr r="Y33" s="17"/>
      </tp>
      <tp t="e">
        <v>#N/A</v>
        <stp/>
        <stp>BDH|799283848235389931</stp>
        <tr r="O63" s="24"/>
      </tp>
      <tp t="e">
        <v>#N/A</v>
        <stp/>
        <stp>BDH|955909476444890005</stp>
        <tr r="N37" s="18"/>
      </tp>
      <tp t="e">
        <v>#N/A</v>
        <stp/>
        <stp>BDH|773980976504935003</stp>
        <tr r="K93" s="17"/>
      </tp>
      <tp t="e">
        <v>#N/A</v>
        <stp/>
        <stp>BDH|738264067009558733</stp>
        <tr r="O16" s="21"/>
      </tp>
      <tp t="e">
        <v>#N/A</v>
        <stp/>
        <stp>BDH|386963215283960181</stp>
        <tr r="E23" s="12"/>
      </tp>
      <tp t="e">
        <v>#N/A</v>
        <stp/>
        <stp>BDH|176271124522390806</stp>
        <tr r="M60" s="17"/>
      </tp>
      <tp t="e">
        <v>#N/A</v>
        <stp/>
        <stp>BDH|176657055040249928</stp>
        <tr r="K86" s="18"/>
      </tp>
      <tp t="e">
        <v>#N/A</v>
        <stp/>
        <stp>BDH|441652491603316623</stp>
        <tr r="Z70" s="18"/>
      </tp>
      <tp t="e">
        <v>#N/A</v>
        <stp/>
        <stp>BDH|267766882402305746</stp>
        <tr r="Z78" s="18"/>
      </tp>
      <tp t="e">
        <v>#N/A</v>
        <stp/>
        <stp>BDH|965294153109034425</stp>
        <tr r="X88" s="17"/>
      </tp>
      <tp t="e">
        <v>#N/A</v>
        <stp/>
        <stp>BDH|685382684586175793</stp>
        <tr r="R28" s="9"/>
      </tp>
      <tp t="e">
        <v>#N/A</v>
        <stp/>
        <stp>BDH|393905301862181115</stp>
        <tr r="S30" s="17"/>
      </tp>
      <tp t="e">
        <v>#N/A</v>
        <stp/>
        <stp>BDH|818454538628661505</stp>
        <tr r="P49" s="1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7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59</v>
      </c>
      <c r="B6" s="6" t="s">
        <v>60</v>
      </c>
      <c r="C6" s="19">
        <f>_xll.BDH("BLUE US Equity","HISTORICAL_MARKET_CAP","FQ2 2019","FQ2 2019","Currency=USD","Period=FQ","BEST_FPERIOD_OVERRIDE=FQ","FILING_STATUS=MR","SCALING_FORMAT=MLN","Sort=A","Dates=H","DateFormat=P","Fill=—","Direction=H","UseDPDF=Y")</f>
        <v>7025.0015999999996</v>
      </c>
      <c r="D6" s="19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E6" s="19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F6" s="19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G6" s="19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H6" s="19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I6" s="19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J6" s="19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K6" s="19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L6" s="19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M6" s="19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N6" s="19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O6" s="19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P6" s="19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Q6" s="19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R6" s="19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S6" s="19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T6" s="19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U6" s="19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V6" s="19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W6" s="19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X6" s="19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Y6" s="19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  <c r="Z6" s="19"/>
      <c r="AA6" s="19"/>
    </row>
    <row r="7" spans="1:27" x14ac:dyDescent="0.25">
      <c r="A7" s="10" t="s">
        <v>61</v>
      </c>
      <c r="B7" s="10" t="s">
        <v>62</v>
      </c>
      <c r="C7" s="13">
        <f>_xll.BDH("BLUE US Equity","CASH_AND_MARKETABLE_SECURITIES","FQ2 2019","FQ2 2019","Currency=USD","Period=FQ","BEST_FPERIOD_OVERRIDE=FQ","FILING_STATUS=MR","SCALING_FORMAT=MLN","Sort=A","Dates=H","DateFormat=P","Fill=—","Direction=H","UseDPDF=Y")</f>
        <v>1541.8019999999999</v>
      </c>
      <c r="D7" s="13">
        <f>_xll.BDH("BLUE US Equity","CASH_AND_MARKETABLE_SECURITIES","FQ3 2019","FQ3 2019","Currency=USD","Period=FQ","BEST_FPERIOD_OVERRIDE=FQ","FILING_STATUS=MR","SCALING_FORMAT=MLN","Sort=A","Dates=H","DateFormat=P","Fill=—","Direction=H","UseDPDF=Y")</f>
        <v>1405.8869999999999</v>
      </c>
      <c r="E7" s="13">
        <f>_xll.BDH("BLUE US Equity","CASH_AND_MARKETABLE_SECURITIES","FQ4 2019","FQ4 2019","Currency=USD","Period=FQ","BEST_FPERIOD_OVERRIDE=FQ","FILING_STATUS=MR","SCALING_FORMAT=MLN","Sort=A","Dates=H","DateFormat=P","Fill=—","Direction=H","UseDPDF=Y")</f>
        <v>1237.9659999999999</v>
      </c>
      <c r="F7" s="13">
        <f>_xll.BDH("BLUE US Equity","CASH_AND_MARKETABLE_SECURITIES","FQ1 2020","FQ1 2020","Currency=USD","Period=FQ","BEST_FPERIOD_OVERRIDE=FQ","FILING_STATUS=MR","SCALING_FORMAT=MLN","Sort=A","Dates=H","DateFormat=P","Fill=—","Direction=H","UseDPDF=Y")</f>
        <v>1018.357</v>
      </c>
      <c r="G7" s="13">
        <f>_xll.BDH("BLUE US Equity","CASH_AND_MARKETABLE_SECURITIES","FQ2 2020","FQ2 2020","Currency=USD","Period=FQ","BEST_FPERIOD_OVERRIDE=FQ","FILING_STATUS=MR","SCALING_FORMAT=MLN","Sort=A","Dates=H","DateFormat=P","Fill=—","Direction=H","UseDPDF=Y")</f>
        <v>1598.7929999999999</v>
      </c>
      <c r="H7" s="13">
        <f>_xll.BDH("BLUE US Equity","CASH_AND_MARKETABLE_SECURITIES","FQ3 2020","FQ3 2020","Currency=USD","Period=FQ","BEST_FPERIOD_OVERRIDE=FQ","FILING_STATUS=MR","SCALING_FORMAT=MLN","Sort=A","Dates=H","DateFormat=P","Fill=—","Direction=H","UseDPDF=Y")</f>
        <v>1437.87</v>
      </c>
      <c r="I7" s="13">
        <f>_xll.BDH("BLUE US Equity","CASH_AND_MARKETABLE_SECURITIES","FQ4 2020","FQ4 2020","Currency=USD","Period=FQ","BEST_FPERIOD_OVERRIDE=FQ","FILING_STATUS=MR","SCALING_FORMAT=MLN","Sort=A","Dates=H","DateFormat=P","Fill=—","Direction=H","UseDPDF=Y")</f>
        <v>741.673</v>
      </c>
      <c r="J7" s="13">
        <f>_xll.BDH("BLUE US Equity","CASH_AND_MARKETABLE_SECURITIES","FQ1 2021","FQ1 2021","Currency=USD","Period=FQ","BEST_FPERIOD_OVERRIDE=FQ","FILING_STATUS=MR","SCALING_FORMAT=MLN","Sort=A","Dates=H","DateFormat=P","Fill=—","Direction=H","UseDPDF=Y")</f>
        <v>1093.5509999999999</v>
      </c>
      <c r="K7" s="13">
        <f>_xll.BDH("BLUE US Equity","CASH_AND_MARKETABLE_SECURITIES","FQ2 2021","FQ2 2021","Currency=USD","Period=FQ","BEST_FPERIOD_OVERRIDE=FQ","FILING_STATUS=MR","SCALING_FORMAT=MLN","Sort=A","Dates=H","DateFormat=P","Fill=—","Direction=H","UseDPDF=Y")</f>
        <v>941.62800000000004</v>
      </c>
      <c r="L7" s="13">
        <f>_xll.BDH("BLUE US Equity","CASH_AND_MARKETABLE_SECURITIES","FQ3 2021","FQ3 2021","Currency=USD","Period=FQ","BEST_FPERIOD_OVERRIDE=FQ","FILING_STATUS=MR","SCALING_FORMAT=MLN","Sort=A","Dates=H","DateFormat=P","Fill=—","Direction=H","UseDPDF=Y")</f>
        <v>970.73</v>
      </c>
      <c r="M7" s="13">
        <f>_xll.BDH("BLUE US Equity","CASH_AND_MARKETABLE_SECURITIES","FQ4 2021","FQ4 2021","Currency=USD","Period=FQ","BEST_FPERIOD_OVERRIDE=FQ","FILING_STATUS=MR","SCALING_FORMAT=MLN","Sort=A","Dates=H","DateFormat=P","Fill=—","Direction=H","UseDPDF=Y")</f>
        <v>396.61700000000002</v>
      </c>
      <c r="N7" s="13">
        <f>_xll.BDH("BLUE US Equity","CASH_AND_MARKETABLE_SECURITIES","FQ1 2022","FQ1 2022","Currency=USD","Period=FQ","BEST_FPERIOD_OVERRIDE=FQ","FILING_STATUS=MR","SCALING_FORMAT=MLN","Sort=A","Dates=H","DateFormat=P","Fill=—","Direction=H","UseDPDF=Y")</f>
        <v>266.637</v>
      </c>
      <c r="O7" s="13">
        <f>_xll.BDH("BLUE US Equity","CASH_AND_MARKETABLE_SECURITIES","FQ2 2022","FQ2 2022","Currency=USD","Period=FQ","BEST_FPERIOD_OVERRIDE=FQ","FILING_STATUS=MR","SCALING_FORMAT=MLN","Sort=A","Dates=H","DateFormat=P","Fill=—","Direction=H","UseDPDF=Y")</f>
        <v>173.15</v>
      </c>
      <c r="P7" s="13">
        <f>_xll.BDH("BLUE US Equity","CASH_AND_MARKETABLE_SECURITIES","FQ3 2022","FQ3 2022","Currency=USD","Period=FQ","BEST_FPERIOD_OVERRIDE=FQ","FILING_STATUS=MR","SCALING_FORMAT=MLN","Sort=A","Dates=H","DateFormat=P","Fill=—","Direction=H","UseDPDF=Y")</f>
        <v>141.04</v>
      </c>
      <c r="Q7" s="13">
        <f>_xll.BDH("BLUE US Equity","CASH_AND_MARKETABLE_SECURITIES","FQ4 2022","FQ4 2022","Currency=USD","Period=FQ","BEST_FPERIOD_OVERRIDE=FQ","FILING_STATUS=MR","SCALING_FORMAT=MLN","Sort=A","Dates=H","DateFormat=P","Fill=—","Direction=H","UseDPDF=Y")</f>
        <v>181.74100000000001</v>
      </c>
      <c r="R7" s="13">
        <f>_xll.BDH("BLUE US Equity","CASH_AND_MARKETABLE_SECURITIES","FQ1 2023","FQ1 2023","Currency=USD","Period=FQ","BEST_FPERIOD_OVERRIDE=FQ","FILING_STATUS=MR","SCALING_FORMAT=MLN","Sort=A","Dates=H","DateFormat=P","Fill=—","Direction=H","UseDPDF=Y")</f>
        <v>318.25700000000001</v>
      </c>
      <c r="S7" s="13">
        <f>_xll.BDH("BLUE US Equity","CASH_AND_MARKETABLE_SECURITIES","FQ2 2023","FQ2 2023","Currency=USD","Period=FQ","BEST_FPERIOD_OVERRIDE=FQ","FILING_STATUS=MR","SCALING_FORMAT=MLN","Sort=A","Dates=H","DateFormat=P","Fill=—","Direction=H","UseDPDF=Y")</f>
        <v>245.303</v>
      </c>
      <c r="T7" s="13">
        <f>_xll.BDH("BLUE US Equity","CASH_AND_MARKETABLE_SECURITIES","FQ3 2023","FQ3 2023","Currency=USD","Period=FQ","BEST_FPERIOD_OVERRIDE=FQ","FILING_STATUS=MR","SCALING_FORMAT=MLN","Sort=A","Dates=H","DateFormat=P","Fill=—","Direction=H","UseDPDF=Y")</f>
        <v>174.29300000000001</v>
      </c>
      <c r="U7" s="13">
        <f>_xll.BDH("BLUE US Equity","CASH_AND_MARKETABLE_SECURITIES","FQ4 2023","FQ4 2023","Currency=USD","Period=FQ","BEST_FPERIOD_OVERRIDE=FQ","FILING_STATUS=MR","SCALING_FORMAT=MLN","Sort=A","Dates=H","DateFormat=P","Fill=—","Direction=H","UseDPDF=Y")</f>
        <v>221.755</v>
      </c>
      <c r="V7" s="13">
        <f>_xll.BDH("BLUE US Equity","CASH_AND_MARKETABLE_SECURITIES","FQ1 2024","FQ1 2024","Currency=USD","Period=FQ","BEST_FPERIOD_OVERRIDE=FQ","FILING_STATUS=MR","SCALING_FORMAT=MLN","Sort=A","Dates=H","DateFormat=P","Fill=—","Direction=H","UseDPDF=Y")</f>
        <v>212.047</v>
      </c>
      <c r="W7" s="13">
        <f>_xll.BDH("BLUE US Equity","CASH_AND_MARKETABLE_SECURITIES","FQ2 2024","FQ2 2024","Currency=USD","Period=FQ","BEST_FPERIOD_OVERRIDE=FQ","FILING_STATUS=MR","SCALING_FORMAT=MLN","Sort=A","Dates=H","DateFormat=P","Fill=—","Direction=H","UseDPDF=Y")</f>
        <v>144.06700000000001</v>
      </c>
      <c r="X7" s="13">
        <f>_xll.BDH("BLUE US Equity","CASH_AND_MARKETABLE_SECURITIES","FQ3 2024","FQ3 2024","Currency=USD","Period=FQ","BEST_FPERIOD_OVERRIDE=FQ","FILING_STATUS=MR","SCALING_FORMAT=MLN","Sort=A","Dates=H","DateFormat=P","Fill=—","Direction=H","UseDPDF=Y")</f>
        <v>70.650999999999996</v>
      </c>
      <c r="Y7" s="13">
        <f>_xll.BDH("BLUE US Equity","CASH_AND_MARKETABLE_SECURITIES","FQ4 2024","FQ4 2024","Currency=USD","Period=FQ","BEST_FPERIOD_OVERRIDE=FQ","FILING_STATUS=MR","SCALING_FORMAT=MLN","Sort=A","Dates=H","DateFormat=P","Fill=—","Direction=H","UseDPDF=Y")</f>
        <v>62.305</v>
      </c>
      <c r="Z7" s="13"/>
      <c r="AA7" s="13"/>
    </row>
    <row r="8" spans="1:27" x14ac:dyDescent="0.25">
      <c r="A8" s="10" t="s">
        <v>63</v>
      </c>
      <c r="B8" s="10" t="s">
        <v>64</v>
      </c>
      <c r="C8" s="13">
        <f>_xll.BDH("BLUE US Equity","PFD_EQTY_MINORTY_INTEREST","FQ2 2019","FQ2 2019","Currency=USD","Period=FQ","BEST_FPERIOD_OVERRIDE=FQ","FILING_STATUS=MR","SCALING_FORMAT=MLN","Sort=A","Dates=H","DateFormat=P","Fill=—","Direction=H","UseDPDF=Y")</f>
        <v>0</v>
      </c>
      <c r="D8" s="13">
        <f>_xll.BDH("BLUE US Equity","PFD_EQTY_MINORTY_INTEREST","FQ3 2019","FQ3 2019","Currency=USD","Period=FQ","BEST_FPERIOD_OVERRIDE=FQ","FILING_STATUS=MR","SCALING_FORMAT=MLN","Sort=A","Dates=H","DateFormat=P","Fill=—","Direction=H","UseDPDF=Y")</f>
        <v>0</v>
      </c>
      <c r="E8" s="13">
        <f>_xll.BDH("BLUE US Equity","PFD_EQTY_MINORTY_INTEREST","FQ4 2019","FQ4 2019","Currency=USD","Period=FQ","BEST_FPERIOD_OVERRIDE=FQ","FILING_STATUS=MR","SCALING_FORMAT=MLN","Sort=A","Dates=H","DateFormat=P","Fill=—","Direction=H","UseDPDF=Y")</f>
        <v>0</v>
      </c>
      <c r="F8" s="13">
        <f>_xll.BDH("BLUE US Equity","PFD_EQTY_MINORTY_INTEREST","FQ1 2020","FQ1 2020","Currency=USD","Period=FQ","BEST_FPERIOD_OVERRIDE=FQ","FILING_STATUS=MR","SCALING_FORMAT=MLN","Sort=A","Dates=H","DateFormat=P","Fill=—","Direction=H","UseDPDF=Y")</f>
        <v>0</v>
      </c>
      <c r="G8" s="13">
        <f>_xll.BDH("BLUE US Equity","PFD_EQTY_MINORTY_INTEREST","FQ2 2020","FQ2 2020","Currency=USD","Period=FQ","BEST_FPERIOD_OVERRIDE=FQ","FILING_STATUS=MR","SCALING_FORMAT=MLN","Sort=A","Dates=H","DateFormat=P","Fill=—","Direction=H","UseDPDF=Y")</f>
        <v>0</v>
      </c>
      <c r="H8" s="13">
        <f>_xll.BDH("BLUE US Equity","PFD_EQTY_MINORTY_INTEREST","FQ3 2020","FQ3 2020","Currency=USD","Period=FQ","BEST_FPERIOD_OVERRIDE=FQ","FILING_STATUS=MR","SCALING_FORMAT=MLN","Sort=A","Dates=H","DateFormat=P","Fill=—","Direction=H","UseDPDF=Y")</f>
        <v>0</v>
      </c>
      <c r="I8" s="13">
        <f>_xll.BDH("BLUE US Equity","PFD_EQTY_MINORTY_INTEREST","FQ4 2020","FQ4 2020","Currency=USD","Period=FQ","BEST_FPERIOD_OVERRIDE=FQ","FILING_STATUS=MR","SCALING_FORMAT=MLN","Sort=A","Dates=H","DateFormat=P","Fill=—","Direction=H","UseDPDF=Y")</f>
        <v>0</v>
      </c>
      <c r="J8" s="13">
        <f>_xll.BDH("BLUE US Equity","PFD_EQTY_MINORTY_INTEREST","FQ1 2021","FQ1 2021","Currency=USD","Period=FQ","BEST_FPERIOD_OVERRIDE=FQ","FILING_STATUS=MR","SCALING_FORMAT=MLN","Sort=A","Dates=H","DateFormat=P","Fill=—","Direction=H","UseDPDF=Y")</f>
        <v>0</v>
      </c>
      <c r="K8" s="13">
        <f>_xll.BDH("BLUE US Equity","PFD_EQTY_MINORTY_INTEREST","FQ2 2021","FQ2 2021","Currency=USD","Period=FQ","BEST_FPERIOD_OVERRIDE=FQ","FILING_STATUS=MR","SCALING_FORMAT=MLN","Sort=A","Dates=H","DateFormat=P","Fill=—","Direction=H","UseDPDF=Y")</f>
        <v>0</v>
      </c>
      <c r="L8" s="13">
        <f>_xll.BDH("BLUE US Equity","PFD_EQTY_MINORTY_INTEREST","FQ3 2021","FQ3 2021","Currency=USD","Period=FQ","BEST_FPERIOD_OVERRIDE=FQ","FILING_STATUS=MR","SCALING_FORMAT=MLN","Sort=A","Dates=H","DateFormat=P","Fill=—","Direction=H","UseDPDF=Y")</f>
        <v>0</v>
      </c>
      <c r="M8" s="13">
        <f>_xll.BDH("BLUE US Equity","PFD_EQTY_MINORTY_INTEREST","FQ4 2021","FQ4 2021","Currency=USD","Period=FQ","BEST_FPERIOD_OVERRIDE=FQ","FILING_STATUS=MR","SCALING_FORMAT=MLN","Sort=A","Dates=H","DateFormat=P","Fill=—","Direction=H","UseDPDF=Y")</f>
        <v>0</v>
      </c>
      <c r="N8" s="13">
        <f>_xll.BDH("BLUE US Equity","PFD_EQTY_MINORTY_INTEREST","FQ1 2022","FQ1 2022","Currency=USD","Period=FQ","BEST_FPERIOD_OVERRIDE=FQ","FILING_STATUS=MR","SCALING_FORMAT=MLN","Sort=A","Dates=H","DateFormat=P","Fill=—","Direction=H","UseDPDF=Y")</f>
        <v>0</v>
      </c>
      <c r="O8" s="13">
        <f>_xll.BDH("BLUE US Equity","PFD_EQTY_MINORTY_INTEREST","FQ2 2022","FQ2 2022","Currency=USD","Period=FQ","BEST_FPERIOD_OVERRIDE=FQ","FILING_STATUS=MR","SCALING_FORMAT=MLN","Sort=A","Dates=H","DateFormat=P","Fill=—","Direction=H","UseDPDF=Y")</f>
        <v>0</v>
      </c>
      <c r="P8" s="13">
        <f>_xll.BDH("BLUE US Equity","PFD_EQTY_MINORTY_INTEREST","FQ3 2022","FQ3 2022","Currency=USD","Period=FQ","BEST_FPERIOD_OVERRIDE=FQ","FILING_STATUS=MR","SCALING_FORMAT=MLN","Sort=A","Dates=H","DateFormat=P","Fill=—","Direction=H","UseDPDF=Y")</f>
        <v>0</v>
      </c>
      <c r="Q8" s="13">
        <f>_xll.BDH("BLUE US Equity","PFD_EQTY_MINORTY_INTEREST","FQ4 2022","FQ4 2022","Currency=USD","Period=FQ","BEST_FPERIOD_OVERRIDE=FQ","FILING_STATUS=MR","SCALING_FORMAT=MLN","Sort=A","Dates=H","DateFormat=P","Fill=—","Direction=H","UseDPDF=Y")</f>
        <v>0</v>
      </c>
      <c r="R8" s="13">
        <f>_xll.BDH("BLUE US Equity","PFD_EQTY_MINORTY_INTEREST","FQ1 2023","FQ1 2023","Currency=USD","Period=FQ","BEST_FPERIOD_OVERRIDE=FQ","FILING_STATUS=MR","SCALING_FORMAT=MLN","Sort=A","Dates=H","DateFormat=P","Fill=—","Direction=H","UseDPDF=Y")</f>
        <v>0</v>
      </c>
      <c r="S8" s="13">
        <f>_xll.BDH("BLUE US Equity","PFD_EQTY_MINORTY_INTEREST","FQ2 2023","FQ2 2023","Currency=USD","Period=FQ","BEST_FPERIOD_OVERRIDE=FQ","FILING_STATUS=MR","SCALING_FORMAT=MLN","Sort=A","Dates=H","DateFormat=P","Fill=—","Direction=H","UseDPDF=Y")</f>
        <v>0</v>
      </c>
      <c r="T8" s="13">
        <f>_xll.BDH("BLUE US Equity","PFD_EQTY_MINORTY_INTEREST","FQ3 2023","FQ3 2023","Currency=USD","Period=FQ","BEST_FPERIOD_OVERRIDE=FQ","FILING_STATUS=MR","SCALING_FORMAT=MLN","Sort=A","Dates=H","DateFormat=P","Fill=—","Direction=H","UseDPDF=Y")</f>
        <v>0</v>
      </c>
      <c r="U8" s="13">
        <f>_xll.BDH("BLUE US Equity","PFD_EQTY_MINORTY_INTEREST","FQ4 2023","FQ4 2023","Currency=USD","Period=FQ","BEST_FPERIOD_OVERRIDE=FQ","FILING_STATUS=MR","SCALING_FORMAT=MLN","Sort=A","Dates=H","DateFormat=P","Fill=—","Direction=H","UseDPDF=Y")</f>
        <v>0</v>
      </c>
      <c r="V8" s="13">
        <f>_xll.BDH("BLUE US Equity","PFD_EQTY_MINORTY_INTEREST","FQ1 2024","FQ1 2024","Currency=USD","Period=FQ","BEST_FPERIOD_OVERRIDE=FQ","FILING_STATUS=MR","SCALING_FORMAT=MLN","Sort=A","Dates=H","DateFormat=P","Fill=—","Direction=H","UseDPDF=Y")</f>
        <v>0</v>
      </c>
      <c r="W8" s="13">
        <f>_xll.BDH("BLUE US Equity","PFD_EQTY_MINORTY_INTEREST","FQ2 2024","FQ2 2024","Currency=USD","Period=FQ","BEST_FPERIOD_OVERRIDE=FQ","FILING_STATUS=MR","SCALING_FORMAT=MLN","Sort=A","Dates=H","DateFormat=P","Fill=—","Direction=H","UseDPDF=Y")</f>
        <v>0</v>
      </c>
      <c r="X8" s="13">
        <f>_xll.BDH("BLUE US Equity","PFD_EQTY_MINORTY_INTEREST","FQ3 2024","FQ3 2024","Currency=USD","Period=FQ","BEST_FPERIOD_OVERRIDE=FQ","FILING_STATUS=MR","SCALING_FORMAT=MLN","Sort=A","Dates=H","DateFormat=P","Fill=—","Direction=H","UseDPDF=Y")</f>
        <v>0</v>
      </c>
      <c r="Y8" s="13">
        <f>_xll.BDH("BLUE US Equity","PFD_EQTY_MINORTY_INTEREST","FQ4 2024","FQ4 2024","Currency=USD","Period=FQ","BEST_FPERIOD_OVERRIDE=FQ","FILING_STATUS=MR","SCALING_FORMAT=MLN","Sort=A","Dates=H","DateFormat=P","Fill=—","Direction=H","UseDPDF=Y")</f>
        <v>0</v>
      </c>
      <c r="Z8" s="13"/>
      <c r="AA8" s="13"/>
    </row>
    <row r="9" spans="1:27" x14ac:dyDescent="0.25">
      <c r="A9" s="10" t="s">
        <v>65</v>
      </c>
      <c r="B9" s="10" t="s">
        <v>66</v>
      </c>
      <c r="C9" s="13">
        <f>_xll.BDH("BLUE US Equity","SHORT_AND_LONG_TERM_DEBT","FQ2 2019","FQ2 2019","Currency=USD","Period=FQ","BEST_FPERIOD_OVERRIDE=FQ","FILING_STATUS=MR","SCALING_FORMAT=MLN","Sort=A","Dates=H","DateFormat=P","Fill=—","Direction=H","UseDPDF=Y")</f>
        <v>194.22200000000001</v>
      </c>
      <c r="D9" s="13">
        <f>_xll.BDH("BLUE US Equity","SHORT_AND_LONG_TERM_DEBT","FQ3 2019","FQ3 2019","Currency=USD","Period=FQ","BEST_FPERIOD_OVERRIDE=FQ","FILING_STATUS=MR","SCALING_FORMAT=MLN","Sort=A","Dates=H","DateFormat=P","Fill=—","Direction=H","UseDPDF=Y")</f>
        <v>195.95699999999999</v>
      </c>
      <c r="E9" s="13">
        <f>_xll.BDH("BLUE US Equity","SHORT_AND_LONG_TERM_DEBT","FQ4 2019","FQ4 2019","Currency=USD","Period=FQ","BEST_FPERIOD_OVERRIDE=FQ","FILING_STATUS=MR","SCALING_FORMAT=MLN","Sort=A","Dates=H","DateFormat=P","Fill=—","Direction=H","UseDPDF=Y")</f>
        <v>190.98699999999999</v>
      </c>
      <c r="F9" s="13">
        <f>_xll.BDH("BLUE US Equity","SHORT_AND_LONG_TERM_DEBT","FQ1 2020","FQ1 2020","Currency=USD","Period=FQ","BEST_FPERIOD_OVERRIDE=FQ","FILING_STATUS=MR","SCALING_FORMAT=MLN","Sort=A","Dates=H","DateFormat=P","Fill=—","Direction=H","UseDPDF=Y")</f>
        <v>200.34200000000001</v>
      </c>
      <c r="G9" s="13">
        <f>_xll.BDH("BLUE US Equity","SHORT_AND_LONG_TERM_DEBT","FQ2 2020","FQ2 2020","Currency=USD","Period=FQ","BEST_FPERIOD_OVERRIDE=FQ","FILING_STATUS=MR","SCALING_FORMAT=MLN","Sort=A","Dates=H","DateFormat=P","Fill=—","Direction=H","UseDPDF=Y")</f>
        <v>195.51900000000001</v>
      </c>
      <c r="H9" s="13">
        <f>_xll.BDH("BLUE US Equity","SHORT_AND_LONG_TERM_DEBT","FQ3 2020","FQ3 2020","Currency=USD","Period=FQ","BEST_FPERIOD_OVERRIDE=FQ","FILING_STATUS=MR","SCALING_FORMAT=MLN","Sort=A","Dates=H","DateFormat=P","Fill=—","Direction=H","UseDPDF=Y")</f>
        <v>195.29300000000001</v>
      </c>
      <c r="I9" s="13">
        <f>_xll.BDH("BLUE US Equity","SHORT_AND_LONG_TERM_DEBT","FQ4 2020","FQ4 2020","Currency=USD","Period=FQ","BEST_FPERIOD_OVERRIDE=FQ","FILING_STATUS=MR","SCALING_FORMAT=MLN","Sort=A","Dates=H","DateFormat=P","Fill=—","Direction=H","UseDPDF=Y")</f>
        <v>65.418000000000006</v>
      </c>
      <c r="J9" s="13">
        <f>_xll.BDH("BLUE US Equity","SHORT_AND_LONG_TERM_DEBT","FQ1 2021","FQ1 2021","Currency=USD","Period=FQ","BEST_FPERIOD_OVERRIDE=FQ","FILING_STATUS=MR","SCALING_FORMAT=MLN","Sort=A","Dates=H","DateFormat=P","Fill=—","Direction=H","UseDPDF=Y")</f>
        <v>205.76499999999999</v>
      </c>
      <c r="K9" s="13">
        <f>_xll.BDH("BLUE US Equity","SHORT_AND_LONG_TERM_DEBT","FQ2 2021","FQ2 2021","Currency=USD","Period=FQ","BEST_FPERIOD_OVERRIDE=FQ","FILING_STATUS=MR","SCALING_FORMAT=MLN","Sort=A","Dates=H","DateFormat=P","Fill=—","Direction=H","UseDPDF=Y")</f>
        <v>198.602</v>
      </c>
      <c r="L9" s="13">
        <f>_xll.BDH("BLUE US Equity","SHORT_AND_LONG_TERM_DEBT","FQ3 2021","FQ3 2021","Currency=USD","Period=FQ","BEST_FPERIOD_OVERRIDE=FQ","FILING_STATUS=MR","SCALING_FORMAT=MLN","Sort=A","Dates=H","DateFormat=P","Fill=—","Direction=H","UseDPDF=Y")</f>
        <v>181.56700000000001</v>
      </c>
      <c r="M9" s="13">
        <f>_xll.BDH("BLUE US Equity","SHORT_AND_LONG_TERM_DEBT","FQ4 2021","FQ4 2021","Currency=USD","Period=FQ","BEST_FPERIOD_OVERRIDE=FQ","FILING_STATUS=MR","SCALING_FORMAT=MLN","Sort=A","Dates=H","DateFormat=P","Fill=—","Direction=H","UseDPDF=Y")</f>
        <v>89.584000000000003</v>
      </c>
      <c r="N9" s="13">
        <f>_xll.BDH("BLUE US Equity","SHORT_AND_LONG_TERM_DEBT","FQ1 2022","FQ1 2022","Currency=USD","Period=FQ","BEST_FPERIOD_OVERRIDE=FQ","FILING_STATUS=MR","SCALING_FORMAT=MLN","Sort=A","Dates=H","DateFormat=P","Fill=—","Direction=H","UseDPDF=Y")</f>
        <v>110.33799999999999</v>
      </c>
      <c r="O9" s="13">
        <f>_xll.BDH("BLUE US Equity","SHORT_AND_LONG_TERM_DEBT","FQ2 2022","FQ2 2022","Currency=USD","Period=FQ","BEST_FPERIOD_OVERRIDE=FQ","FILING_STATUS=MR","SCALING_FORMAT=MLN","Sort=A","Dates=H","DateFormat=P","Fill=—","Direction=H","UseDPDF=Y")</f>
        <v>292.96800000000002</v>
      </c>
      <c r="P9" s="13">
        <f>_xll.BDH("BLUE US Equity","SHORT_AND_LONG_TERM_DEBT","FQ3 2022","FQ3 2022","Currency=USD","Period=FQ","BEST_FPERIOD_OVERRIDE=FQ","FILING_STATUS=MR","SCALING_FORMAT=MLN","Sort=A","Dates=H","DateFormat=P","Fill=—","Direction=H","UseDPDF=Y")</f>
        <v>278.21300000000002</v>
      </c>
      <c r="Q9" s="13">
        <f>_xll.BDH("BLUE US Equity","SHORT_AND_LONG_TERM_DEBT","FQ4 2022","FQ4 2022","Currency=USD","Period=FQ","BEST_FPERIOD_OVERRIDE=FQ","FILING_STATUS=MR","SCALING_FORMAT=MLN","Sort=A","Dates=H","DateFormat=P","Fill=—","Direction=H","UseDPDF=Y")</f>
        <v>367.05799999999999</v>
      </c>
      <c r="R9" s="13">
        <f>_xll.BDH("BLUE US Equity","SHORT_AND_LONG_TERM_DEBT","FQ1 2023","FQ1 2023","Currency=USD","Period=FQ","BEST_FPERIOD_OVERRIDE=FQ","FILING_STATUS=MR","SCALING_FORMAT=MLN","Sort=A","Dates=H","DateFormat=P","Fill=—","Direction=H","UseDPDF=Y")</f>
        <v>273.375</v>
      </c>
      <c r="S9" s="13">
        <f>_xll.BDH("BLUE US Equity","SHORT_AND_LONG_TERM_DEBT","FQ2 2023","FQ2 2023","Currency=USD","Period=FQ","BEST_FPERIOD_OVERRIDE=FQ","FILING_STATUS=MR","SCALING_FORMAT=MLN","Sort=A","Dates=H","DateFormat=P","Fill=—","Direction=H","UseDPDF=Y")</f>
        <v>306.85700000000003</v>
      </c>
      <c r="T9" s="13">
        <f>_xll.BDH("BLUE US Equity","SHORT_AND_LONG_TERM_DEBT","FQ3 2023","FQ3 2023","Currency=USD","Period=FQ","BEST_FPERIOD_OVERRIDE=FQ","FILING_STATUS=MR","SCALING_FORMAT=MLN","Sort=A","Dates=H","DateFormat=P","Fill=—","Direction=H","UseDPDF=Y")</f>
        <v>303.70699999999999</v>
      </c>
      <c r="U9" s="13">
        <f>_xll.BDH("BLUE US Equity","SHORT_AND_LONG_TERM_DEBT","FQ4 2023","FQ4 2023","Currency=USD","Period=FQ","BEST_FPERIOD_OVERRIDE=FQ","FILING_STATUS=MR","SCALING_FORMAT=MLN","Sort=A","Dates=H","DateFormat=P","Fill=—","Direction=H","UseDPDF=Y")</f>
        <v>330.32600000000002</v>
      </c>
      <c r="V9" s="13">
        <f>_xll.BDH("BLUE US Equity","SHORT_AND_LONG_TERM_DEBT","FQ1 2024","FQ1 2024","Currency=USD","Period=FQ","BEST_FPERIOD_OVERRIDE=FQ","FILING_STATUS=MR","SCALING_FORMAT=MLN","Sort=A","Dates=H","DateFormat=P","Fill=—","Direction=H","UseDPDF=Y")</f>
        <v>414.34199999999998</v>
      </c>
      <c r="W9" s="13">
        <f>_xll.BDH("BLUE US Equity","SHORT_AND_LONG_TERM_DEBT","FQ2 2024","FQ2 2024","Currency=USD","Period=FQ","BEST_FPERIOD_OVERRIDE=FQ","FILING_STATUS=MR","SCALING_FORMAT=MLN","Sort=A","Dates=H","DateFormat=P","Fill=—","Direction=H","UseDPDF=Y")</f>
        <v>390.42</v>
      </c>
      <c r="X9" s="13">
        <f>_xll.BDH("BLUE US Equity","SHORT_AND_LONG_TERM_DEBT","FQ3 2024","FQ3 2024","Currency=USD","Period=FQ","BEST_FPERIOD_OVERRIDE=FQ","FILING_STATUS=MR","SCALING_FORMAT=MLN","Sort=A","Dates=H","DateFormat=P","Fill=—","Direction=H","UseDPDF=Y")</f>
        <v>365.02300000000002</v>
      </c>
      <c r="Y9" s="13">
        <f>_xll.BDH("BLUE US Equity","SHORT_AND_LONG_TERM_DEBT","FQ4 2024","FQ4 2024","Currency=USD","Period=FQ","BEST_FPERIOD_OVERRIDE=FQ","FILING_STATUS=MR","SCALING_FORMAT=MLN","Sort=A","Dates=H","DateFormat=P","Fill=—","Direction=H","UseDPDF=Y")</f>
        <v>354.86799999999999</v>
      </c>
      <c r="Z9" s="13"/>
      <c r="AA9" s="13"/>
    </row>
    <row r="10" spans="1:27" x14ac:dyDescent="0.25">
      <c r="A10" s="6" t="s">
        <v>67</v>
      </c>
      <c r="B10" s="6" t="s">
        <v>68</v>
      </c>
      <c r="C10" s="19">
        <f>_xll.BDH("BLUE US Equity","ENTERPRISE_VALUE","FQ2 2019","FQ2 2019","Currency=USD","Period=FQ","BEST_FPERIOD_OVERRIDE=FQ","FILING_STATUS=MR","SCALING_FORMAT=MLN","Sort=A","Dates=H","DateFormat=P","Fill=—","Direction=H","UseDPDF=Y")</f>
        <v>5677.4215999999997</v>
      </c>
      <c r="D10" s="19">
        <f>_xll.BDH("BLUE US Equity","ENTERPRISE_VALUE","FQ3 2019","FQ3 2019","Currency=USD","Period=FQ","BEST_FPERIOD_OVERRIDE=FQ","FILING_STATUS=MR","SCALING_FORMAT=MLN","Sort=A","Dates=H","DateFormat=P","Fill=—","Direction=H","UseDPDF=Y")</f>
        <v>3869.5524</v>
      </c>
      <c r="E10" s="19">
        <f>_xll.BDH("BLUE US Equity","ENTERPRISE_VALUE","FQ4 2019","FQ4 2019","Currency=USD","Period=FQ","BEST_FPERIOD_OVERRIDE=FQ","FILING_STATUS=MR","SCALING_FORMAT=MLN","Sort=A","Dates=H","DateFormat=P","Fill=—","Direction=H","UseDPDF=Y")</f>
        <v>3811.5630000000001</v>
      </c>
      <c r="F10" s="19">
        <f>_xll.BDH("BLUE US Equity","ENTERPRISE_VALUE","FQ1 2020","FQ1 2020","Currency=USD","Period=FQ","BEST_FPERIOD_OVERRIDE=FQ","FILING_STATUS=MR","SCALING_FORMAT=MLN","Sort=A","Dates=H","DateFormat=P","Fill=—","Direction=H","UseDPDF=Y")</f>
        <v>1738.2801999999999</v>
      </c>
      <c r="G10" s="19">
        <f>_xll.BDH("BLUE US Equity","ENTERPRISE_VALUE","FQ2 2020","FQ2 2020","Currency=USD","Period=FQ","BEST_FPERIOD_OVERRIDE=FQ","FILING_STATUS=MR","SCALING_FORMAT=MLN","Sort=A","Dates=H","DateFormat=P","Fill=—","Direction=H","UseDPDF=Y")</f>
        <v>2637.3298</v>
      </c>
      <c r="H10" s="19">
        <f>_xll.BDH("BLUE US Equity","ENTERPRISE_VALUE","FQ3 2020","FQ3 2020","Currency=USD","Period=FQ","BEST_FPERIOD_OVERRIDE=FQ","FILING_STATUS=MR","SCALING_FORMAT=MLN","Sort=A","Dates=H","DateFormat=P","Fill=—","Direction=H","UseDPDF=Y")</f>
        <v>2336.4121</v>
      </c>
      <c r="I10" s="19">
        <f>_xll.BDH("BLUE US Equity","ENTERPRISE_VALUE","FQ4 2020","FQ4 2020","Currency=USD","Period=FQ","BEST_FPERIOD_OVERRIDE=FQ","FILING_STATUS=MR","SCALING_FORMAT=MLN","Sort=A","Dates=H","DateFormat=P","Fill=—","Direction=H","UseDPDF=Y")</f>
        <v>2198.2575999999999</v>
      </c>
      <c r="J10" s="19">
        <f>_xll.BDH("BLUE US Equity","ENTERPRISE_VALUE","FQ1 2021","FQ1 2021","Currency=USD","Period=FQ","BEST_FPERIOD_OVERRIDE=FQ","FILING_STATUS=MR","SCALING_FORMAT=MLN","Sort=A","Dates=H","DateFormat=P","Fill=—","Direction=H","UseDPDF=Y")</f>
        <v>1144.9873</v>
      </c>
      <c r="K10" s="19">
        <f>_xll.BDH("BLUE US Equity","ENTERPRISE_VALUE","FQ2 2021","FQ2 2021","Currency=USD","Period=FQ","BEST_FPERIOD_OVERRIDE=FQ","FILING_STATUS=MR","SCALING_FORMAT=MLN","Sort=A","Dates=H","DateFormat=P","Fill=—","Direction=H","UseDPDF=Y")</f>
        <v>1417.2550000000001</v>
      </c>
      <c r="L10" s="19">
        <f>_xll.BDH("BLUE US Equity","ENTERPRISE_VALUE","FQ3 2021","FQ3 2021","Currency=USD","Period=FQ","BEST_FPERIOD_OVERRIDE=FQ","FILING_STATUS=MR","SCALING_FORMAT=MLN","Sort=A","Dates=H","DateFormat=P","Fill=—","Direction=H","UseDPDF=Y")</f>
        <v>550.39070000000004</v>
      </c>
      <c r="M10" s="19">
        <f>_xll.BDH("BLUE US Equity","ENTERPRISE_VALUE","FQ4 2021","FQ4 2021","Currency=USD","Period=FQ","BEST_FPERIOD_OVERRIDE=FQ","FILING_STATUS=MR","SCALING_FORMAT=MLN","Sort=A","Dates=H","DateFormat=P","Fill=—","Direction=H","UseDPDF=Y")</f>
        <v>403.40589999999997</v>
      </c>
      <c r="N10" s="19">
        <f>_xll.BDH("BLUE US Equity","ENTERPRISE_VALUE","FQ1 2022","FQ1 2022","Currency=USD","Period=FQ","BEST_FPERIOD_OVERRIDE=FQ","FILING_STATUS=MR","SCALING_FORMAT=MLN","Sort=A","Dates=H","DateFormat=P","Fill=—","Direction=H","UseDPDF=Y")</f>
        <v>190.17529999999999</v>
      </c>
      <c r="O10" s="19">
        <f>_xll.BDH("BLUE US Equity","ENTERPRISE_VALUE","FQ2 2022","FQ2 2022","Currency=USD","Period=FQ","BEST_FPERIOD_OVERRIDE=FQ","FILING_STATUS=MR","SCALING_FORMAT=MLN","Sort=A","Dates=H","DateFormat=P","Fill=—","Direction=H","UseDPDF=Y")</f>
        <v>424.31909999999999</v>
      </c>
      <c r="P10" s="19">
        <f>_xll.BDH("BLUE US Equity","ENTERPRISE_VALUE","FQ3 2022","FQ3 2022","Currency=USD","Period=FQ","BEST_FPERIOD_OVERRIDE=FQ","FILING_STATUS=MR","SCALING_FORMAT=MLN","Sort=A","Dates=H","DateFormat=P","Fill=—","Direction=H","UseDPDF=Y")</f>
        <v>661.80340000000001</v>
      </c>
      <c r="Q10" s="19">
        <f>_xll.BDH("BLUE US Equity","ENTERPRISE_VALUE","FQ4 2022","FQ4 2022","Currency=USD","Period=FQ","BEST_FPERIOD_OVERRIDE=FQ","FILING_STATUS=MR","SCALING_FORMAT=MLN","Sort=A","Dates=H","DateFormat=P","Fill=—","Direction=H","UseDPDF=Y")</f>
        <v>759.14419999999996</v>
      </c>
      <c r="R10" s="19">
        <f>_xll.BDH("BLUE US Equity","ENTERPRISE_VALUE","FQ1 2023","FQ1 2023","Currency=USD","Period=FQ","BEST_FPERIOD_OVERRIDE=FQ","FILING_STATUS=MR","SCALING_FORMAT=MLN","Sort=A","Dates=H","DateFormat=P","Fill=—","Direction=H","UseDPDF=Y")</f>
        <v>293.37459999999999</v>
      </c>
      <c r="S10" s="19">
        <f>_xll.BDH("BLUE US Equity","ENTERPRISE_VALUE","FQ2 2023","FQ2 2023","Currency=USD","Period=FQ","BEST_FPERIOD_OVERRIDE=FQ","FILING_STATUS=MR","SCALING_FORMAT=MLN","Sort=A","Dates=H","DateFormat=P","Fill=—","Direction=H","UseDPDF=Y")</f>
        <v>411.78769999999997</v>
      </c>
      <c r="T10" s="19">
        <f>_xll.BDH("BLUE US Equity","ENTERPRISE_VALUE","FQ3 2023","FQ3 2023","Currency=USD","Period=FQ","BEST_FPERIOD_OVERRIDE=FQ","FILING_STATUS=MR","SCALING_FORMAT=MLN","Sort=A","Dates=H","DateFormat=P","Fill=—","Direction=H","UseDPDF=Y")</f>
        <v>454.76089999999999</v>
      </c>
      <c r="U10" s="19">
        <f>_xll.BDH("BLUE US Equity","ENTERPRISE_VALUE","FQ4 2023","FQ4 2023","Currency=USD","Period=FQ","BEST_FPERIOD_OVERRIDE=FQ","FILING_STATUS=MR","SCALING_FORMAT=MLN","Sort=A","Dates=H","DateFormat=P","Fill=—","Direction=H","UseDPDF=Y")</f>
        <v>374.59640000000002</v>
      </c>
      <c r="V10" s="19">
        <f>_xll.BDH("BLUE US Equity","ENTERPRISE_VALUE","FQ1 2024","FQ1 2024","Currency=USD","Period=FQ","BEST_FPERIOD_OVERRIDE=FQ","FILING_STATUS=MR","SCALING_FORMAT=MLN","Sort=A","Dates=H","DateFormat=P","Fill=—","Direction=H","UseDPDF=Y")</f>
        <v>450.08120000000002</v>
      </c>
      <c r="W10" s="19">
        <f>_xll.BDH("BLUE US Equity","ENTERPRISE_VALUE","FQ2 2024","FQ2 2024","Currency=USD","Period=FQ","BEST_FPERIOD_OVERRIDE=FQ","FILING_STATUS=MR","SCALING_FORMAT=MLN","Sort=A","Dates=H","DateFormat=P","Fill=—","Direction=H","UseDPDF=Y")</f>
        <v>437.14609999999999</v>
      </c>
      <c r="X10" s="19">
        <f>_xll.BDH("BLUE US Equity","ENTERPRISE_VALUE","FQ3 2024","FQ3 2024","Currency=USD","Period=FQ","BEST_FPERIOD_OVERRIDE=FQ","FILING_STATUS=MR","SCALING_FORMAT=MLN","Sort=A","Dates=H","DateFormat=P","Fill=—","Direction=H","UseDPDF=Y")</f>
        <v>395.11189999999999</v>
      </c>
      <c r="Y10" s="19">
        <f>_xll.BDH("BLUE US Equity","ENTERPRISE_VALUE","FQ4 2024","FQ4 2024","Currency=USD","Period=FQ","BEST_FPERIOD_OVERRIDE=FQ","FILING_STATUS=MR","SCALING_FORMAT=MLN","Sort=A","Dates=H","DateFormat=P","Fill=—","Direction=H","UseDPDF=Y")</f>
        <v>373.69450000000001</v>
      </c>
      <c r="Z10" s="19"/>
      <c r="AA10" s="19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6" t="s">
        <v>69</v>
      </c>
      <c r="B12" s="6" t="s">
        <v>70</v>
      </c>
      <c r="C12" s="19">
        <f>_xll.BDH("BLUE US Equity","SALES_REV_TURN","FQ2 2019","FQ2 2019","Currency=USD","Period=FQ","BEST_FPERIOD_OVERRIDE=FQ","FILING_STATUS=MR","SCALING_FORMAT=MLN","FA_ADJUSTED=Adjusted","Sort=A","Dates=H","DateFormat=P","Fill=—","Direction=H","UseDPDF=Y")</f>
        <v>13.295999999999999</v>
      </c>
      <c r="D12" s="19">
        <f>_xll.BDH("BLUE US Equity","SALES_REV_TURN","FQ3 2019","FQ3 2019","Currency=USD","Period=FQ","BEST_FPERIOD_OVERRIDE=FQ","FILING_STATUS=MR","SCALING_FORMAT=MLN","FA_ADJUSTED=Adjusted","Sort=A","Dates=H","DateFormat=P","Fill=—","Direction=H","UseDPDF=Y")</f>
        <v>8.91</v>
      </c>
      <c r="E12" s="19">
        <f>_xll.BDH("BLUE US Equity","SALES_REV_TURN","FQ4 2019","FQ4 2019","Currency=USD","Period=FQ","BEST_FPERIOD_OVERRIDE=FQ","FILING_STATUS=MR","SCALING_FORMAT=MLN","FA_ADJUSTED=Adjusted","Sort=A","Dates=H","DateFormat=P","Fill=—","Direction=H","UseDPDF=Y")</f>
        <v>9.9969999999999999</v>
      </c>
      <c r="F12" s="19">
        <f>_xll.BDH("BLUE US Equity","SALES_REV_TURN","FQ1 2020","FQ1 2020","Currency=USD","Period=FQ","BEST_FPERIOD_OVERRIDE=FQ","FILING_STATUS=MR","SCALING_FORMAT=MLN","FA_ADJUSTED=Adjusted","Sort=A","Dates=H","DateFormat=P","Fill=—","Direction=H","UseDPDF=Y")</f>
        <v>21.863</v>
      </c>
      <c r="G12" s="19">
        <f>_xll.BDH("BLUE US Equity","SALES_REV_TURN","FQ2 2020","FQ2 2020","Currency=USD","Period=FQ","BEST_FPERIOD_OVERRIDE=FQ","FILING_STATUS=MR","SCALING_FORMAT=MLN","FA_ADJUSTED=Adjusted","Sort=A","Dates=H","DateFormat=P","Fill=—","Direction=H","UseDPDF=Y")</f>
        <v>198.89</v>
      </c>
      <c r="H12" s="19">
        <f>_xll.BDH("BLUE US Equity","SALES_REV_TURN","FQ3 2020","FQ3 2020","Currency=USD","Period=FQ","BEST_FPERIOD_OVERRIDE=FQ","FILING_STATUS=MR","SCALING_FORMAT=MLN","FA_ADJUSTED=Adjusted","Sort=A","Dates=H","DateFormat=P","Fill=—","Direction=H","UseDPDF=Y")</f>
        <v>19.273</v>
      </c>
      <c r="I12" s="19">
        <f>_xll.BDH("BLUE US Equity","SALES_REV_TURN","FQ4 2020","FQ4 2020","Currency=USD","Period=FQ","BEST_FPERIOD_OVERRIDE=FQ","FILING_STATUS=MR","SCALING_FORMAT=MLN","FA_ADJUSTED=Adjusted","Sort=A","Dates=H","DateFormat=P","Fill=—","Direction=H","UseDPDF=Y")</f>
        <v>0</v>
      </c>
      <c r="J12" s="19">
        <f>_xll.BDH("BLUE US Equity","SALES_REV_TURN","FQ1 2021","FQ1 2021","Currency=USD","Period=FQ","BEST_FPERIOD_OVERRIDE=FQ","FILING_STATUS=MR","SCALING_FORMAT=MLN","FA_ADJUSTED=Adjusted","Sort=A","Dates=H","DateFormat=P","Fill=—","Direction=H","UseDPDF=Y")</f>
        <v>0.89400000000000002</v>
      </c>
      <c r="K12" s="19">
        <f>_xll.BDH("BLUE US Equity","SALES_REV_TURN","FQ2 2021","FQ2 2021","Currency=USD","Period=FQ","BEST_FPERIOD_OVERRIDE=FQ","FILING_STATUS=MR","SCALING_FORMAT=MLN","FA_ADJUSTED=Adjusted","Sort=A","Dates=H","DateFormat=P","Fill=—","Direction=H","UseDPDF=Y")</f>
        <v>7.4720000000000004</v>
      </c>
      <c r="L12" s="19">
        <f>_xll.BDH("BLUE US Equity","SALES_REV_TURN","FQ3 2021","FQ3 2021","Currency=USD","Period=FQ","BEST_FPERIOD_OVERRIDE=FQ","FILING_STATUS=MR","SCALING_FORMAT=MLN","FA_ADJUSTED=Adjusted","Sort=A","Dates=H","DateFormat=P","Fill=—","Direction=H","UseDPDF=Y")</f>
        <v>1.0189999999999999</v>
      </c>
      <c r="M12" s="19">
        <f>_xll.BDH("BLUE US Equity","SALES_REV_TURN","FQ4 2021","FQ4 2021","Currency=USD","Period=FQ","BEST_FPERIOD_OVERRIDE=FQ","FILING_STATUS=MR","SCALING_FORMAT=MLN","FA_ADJUSTED=Adjusted","Sort=A","Dates=H","DateFormat=P","Fill=—","Direction=H","UseDPDF=Y")</f>
        <v>1.6060000000000001</v>
      </c>
      <c r="N12" s="19">
        <f>_xll.BDH("BLUE US Equity","SALES_REV_TURN","FQ1 2022","FQ1 2022","Currency=USD","Period=FQ","BEST_FPERIOD_OVERRIDE=FQ","FILING_STATUS=MR","SCALING_FORMAT=MLN","FA_ADJUSTED=Adjusted","Sort=A","Dates=H","DateFormat=P","Fill=—","Direction=H","UseDPDF=Y")</f>
        <v>1.9450000000000001</v>
      </c>
      <c r="O12" s="19">
        <f>_xll.BDH("BLUE US Equity","SALES_REV_TURN","FQ2 2022","FQ2 2022","Currency=USD","Period=FQ","BEST_FPERIOD_OVERRIDE=FQ","FILING_STATUS=MR","SCALING_FORMAT=MLN","FA_ADJUSTED=Adjusted","Sort=A","Dates=H","DateFormat=P","Fill=—","Direction=H","UseDPDF=Y")</f>
        <v>1.5189999999999999</v>
      </c>
      <c r="P12" s="19">
        <f>_xll.BDH("BLUE US Equity","SALES_REV_TURN","FQ3 2022","FQ3 2022","Currency=USD","Period=FQ","BEST_FPERIOD_OVERRIDE=FQ","FILING_STATUS=MR","SCALING_FORMAT=MLN","FA_ADJUSTED=Adjusted","Sort=A","Dates=H","DateFormat=P","Fill=—","Direction=H","UseDPDF=Y")</f>
        <v>7.0999999999999994E-2</v>
      </c>
      <c r="Q12" s="19">
        <f>_xll.BDH("BLUE US Equity","SALES_REV_TURN","FQ4 2022","FQ4 2022","Currency=USD","Period=FQ","BEST_FPERIOD_OVERRIDE=FQ","FILING_STATUS=MR","SCALING_FORMAT=MLN","FA_ADJUSTED=Adjusted","Sort=A","Dates=H","DateFormat=P","Fill=—","Direction=H","UseDPDF=Y")</f>
        <v>6.2E-2</v>
      </c>
      <c r="R12" s="19">
        <f>_xll.BDH("BLUE US Equity","SALES_REV_TURN","FQ1 2023","FQ1 2023","Currency=USD","Period=FQ","BEST_FPERIOD_OVERRIDE=FQ","FILING_STATUS=MR","SCALING_FORMAT=MLN","FA_ADJUSTED=Adjusted","Sort=A","Dates=H","DateFormat=P","Fill=—","Direction=H","UseDPDF=Y")</f>
        <v>2.3809999999999998</v>
      </c>
      <c r="S12" s="19">
        <f>_xll.BDH("BLUE US Equity","SALES_REV_TURN","FQ2 2023","FQ2 2023","Currency=USD","Period=FQ","BEST_FPERIOD_OVERRIDE=FQ","FILING_STATUS=MR","SCALING_FORMAT=MLN","FA_ADJUSTED=Adjusted","Sort=A","Dates=H","DateFormat=P","Fill=—","Direction=H","UseDPDF=Y")</f>
        <v>6.89</v>
      </c>
      <c r="T12" s="19">
        <f>_xll.BDH("BLUE US Equity","SALES_REV_TURN","FQ3 2023","FQ3 2023","Currency=USD","Period=FQ","BEST_FPERIOD_OVERRIDE=FQ","FILING_STATUS=MR","SCALING_FORMAT=MLN","FA_ADJUSTED=Adjusted","Sort=A","Dates=H","DateFormat=P","Fill=—","Direction=H","UseDPDF=Y")</f>
        <v>12.391999999999999</v>
      </c>
      <c r="U12" s="19">
        <f>_xll.BDH("BLUE US Equity","SALES_REV_TURN","FQ4 2023","FQ4 2023","Currency=USD","Period=FQ","BEST_FPERIOD_OVERRIDE=FQ","FILING_STATUS=MR","SCALING_FORMAT=MLN","FA_ADJUSTED=Adjusted","Sort=A","Dates=H","DateFormat=P","Fill=—","Direction=H","UseDPDF=Y")</f>
        <v>7.8339999999999996</v>
      </c>
      <c r="V12" s="19">
        <f>_xll.BDH("BLUE US Equity","SALES_REV_TURN","FQ1 2024","FQ1 2024","Currency=USD","Period=FQ","BEST_FPERIOD_OVERRIDE=FQ","FILING_STATUS=MR","SCALING_FORMAT=MLN","FA_ADJUSTED=Adjusted","Sort=A","Dates=H","DateFormat=P","Fill=—","Direction=H","UseDPDF=Y")</f>
        <v>18.573</v>
      </c>
      <c r="W12" s="19">
        <f>_xll.BDH("BLUE US Equity","SALES_REV_TURN","FQ2 2024","FQ2 2024","Currency=USD","Period=FQ","BEST_FPERIOD_OVERRIDE=FQ","FILING_STATUS=MR","SCALING_FORMAT=MLN","FA_ADJUSTED=Adjusted","Sort=A","Dates=H","DateFormat=P","Fill=—","Direction=H","UseDPDF=Y")</f>
        <v>16.100999999999999</v>
      </c>
      <c r="X12" s="19">
        <f>_xll.BDH("BLUE US Equity","SALES_REV_TURN","FQ3 2024","FQ3 2024","Currency=USD","Period=FQ","BEST_FPERIOD_OVERRIDE=FQ","FILING_STATUS=MR","SCALING_FORMAT=MLN","FA_ADJUSTED=Adjusted","Sort=A","Dates=H","DateFormat=P","Fill=—","Direction=H","UseDPDF=Y")</f>
        <v>10.612</v>
      </c>
      <c r="Y12" s="19">
        <f>_xll.BDH("BLUE US Equity","SALES_REV_TURN","FQ4 2024","FQ4 2024","Currency=USD","Period=FQ","BEST_FPERIOD_OVERRIDE=FQ","FILING_STATUS=MR","SCALING_FORMAT=MLN","FA_ADJUSTED=Adjusted","Sort=A","Dates=H","DateFormat=P","Fill=—","Direction=H","UseDPDF=Y")</f>
        <v>38.521000000000001</v>
      </c>
      <c r="Z12" s="19">
        <v>36.517000000000003</v>
      </c>
      <c r="AA12" s="19">
        <v>57.783000000000001</v>
      </c>
    </row>
    <row r="13" spans="1:27" x14ac:dyDescent="0.25">
      <c r="A13" s="11" t="s">
        <v>71</v>
      </c>
      <c r="B13" s="11" t="s">
        <v>72</v>
      </c>
      <c r="C13" s="25">
        <f>_xll.BDH("BLUE US Equity","SALES_GROWTH","FQ2 2019","FQ2 2019","Currency=USD","Period=FQ","BEST_FPERIOD_OVERRIDE=FQ","FILING_STATUS=MR","FA_ADJUSTED=Adjusted","Sort=A","Dates=H","DateFormat=P","Fill=—","Direction=H","UseDPDF=Y")</f>
        <v>69.354200000000006</v>
      </c>
      <c r="D13" s="25">
        <f>_xll.BDH("BLUE US Equity","SALES_GROWTH","FQ3 2019","FQ3 2019","Currency=USD","Period=FQ","BEST_FPERIOD_OVERRIDE=FQ","FILING_STATUS=MR","FA_ADJUSTED=Adjusted","Sort=A","Dates=H","DateFormat=P","Fill=—","Direction=H","UseDPDF=Y")</f>
        <v>-22.709900000000001</v>
      </c>
      <c r="E13" s="25">
        <f>_xll.BDH("BLUE US Equity","SALES_GROWTH","FQ4 2019","FQ4 2019","Currency=USD","Period=FQ","BEST_FPERIOD_OVERRIDE=FQ","FILING_STATUS=MR","FA_ADJUSTED=Adjusted","Sort=A","Dates=H","DateFormat=P","Fill=—","Direction=H","UseDPDF=Y")</f>
        <v>-48.0486</v>
      </c>
      <c r="F13" s="25">
        <f>_xll.BDH("BLUE US Equity","SALES_GROWTH","FQ1 2020","FQ1 2020","Currency=USD","Period=FQ","BEST_FPERIOD_OVERRIDE=FQ","FILING_STATUS=MR","FA_ADJUSTED=Adjusted","Sort=A","Dates=H","DateFormat=P","Fill=—","Direction=H","UseDPDF=Y")</f>
        <v>75.310699999999997</v>
      </c>
      <c r="G13" s="25">
        <f>_xll.BDH("BLUE US Equity","SALES_GROWTH","FQ2 2020","FQ2 2020","Currency=USD","Period=FQ","BEST_FPERIOD_OVERRIDE=FQ","FILING_STATUS=MR","FA_ADJUSTED=Adjusted","Sort=A","Dates=H","DateFormat=P","Fill=—","Direction=H","UseDPDF=Y")</f>
        <v>1395.8634</v>
      </c>
      <c r="H13" s="25">
        <f>_xll.BDH("BLUE US Equity","SALES_GROWTH","FQ3 2020","FQ3 2020","Currency=USD","Period=FQ","BEST_FPERIOD_OVERRIDE=FQ","FILING_STATUS=MR","FA_ADJUSTED=Adjusted","Sort=A","Dates=H","DateFormat=P","Fill=—","Direction=H","UseDPDF=Y")</f>
        <v>116.3075</v>
      </c>
      <c r="I13" s="25" t="str">
        <f>_xll.BDH("BLUE US Equity","SALES_GROWTH","FQ4 2020","FQ4 2020","Currency=USD","Period=FQ","BEST_FPERIOD_OVERRIDE=FQ","FILING_STATUS=MR","FA_ADJUSTED=Adjusted","Sort=A","Dates=H","DateFormat=P","Fill=—","Direction=H","UseDPDF=Y")</f>
        <v>—</v>
      </c>
      <c r="J13" s="25">
        <f>_xll.BDH("BLUE US Equity","SALES_GROWTH","FQ1 2021","FQ1 2021","Currency=USD","Period=FQ","BEST_FPERIOD_OVERRIDE=FQ","FILING_STATUS=MR","FA_ADJUSTED=Adjusted","Sort=A","Dates=H","DateFormat=P","Fill=—","Direction=H","UseDPDF=Y")</f>
        <v>-95.910899999999998</v>
      </c>
      <c r="K13" s="25">
        <f>_xll.BDH("BLUE US Equity","SALES_GROWTH","FQ2 2021","FQ2 2021","Currency=USD","Period=FQ","BEST_FPERIOD_OVERRIDE=FQ","FILING_STATUS=MR","FA_ADJUSTED=Adjusted","Sort=A","Dates=H","DateFormat=P","Fill=—","Direction=H","UseDPDF=Y")</f>
        <v>-96.243099999999998</v>
      </c>
      <c r="L13" s="25">
        <f>_xll.BDH("BLUE US Equity","SALES_GROWTH","FQ3 2021","FQ3 2021","Currency=USD","Period=FQ","BEST_FPERIOD_OVERRIDE=FQ","FILING_STATUS=MR","FA_ADJUSTED=Adjusted","Sort=A","Dates=H","DateFormat=P","Fill=—","Direction=H","UseDPDF=Y")</f>
        <v>-94.712800000000001</v>
      </c>
      <c r="M13" s="25" t="str">
        <f>_xll.BDH("BLUE US Equity","SALES_GROWTH","FQ4 2021","FQ4 2021","Currency=USD","Period=FQ","BEST_FPERIOD_OVERRIDE=FQ","FILING_STATUS=MR","FA_ADJUSTED=Adjusted","Sort=A","Dates=H","DateFormat=P","Fill=—","Direction=H","UseDPDF=Y")</f>
        <v>—</v>
      </c>
      <c r="N13" s="25">
        <f>_xll.BDH("BLUE US Equity","SALES_GROWTH","FQ1 2022","FQ1 2022","Currency=USD","Period=FQ","BEST_FPERIOD_OVERRIDE=FQ","FILING_STATUS=MR","FA_ADJUSTED=Adjusted","Sort=A","Dates=H","DateFormat=P","Fill=—","Direction=H","UseDPDF=Y")</f>
        <v>117.5615</v>
      </c>
      <c r="O13" s="25">
        <f>_xll.BDH("BLUE US Equity","SALES_GROWTH","FQ2 2022","FQ2 2022","Currency=USD","Period=FQ","BEST_FPERIOD_OVERRIDE=FQ","FILING_STATUS=MR","FA_ADJUSTED=Adjusted","Sort=A","Dates=H","DateFormat=P","Fill=—","Direction=H","UseDPDF=Y")</f>
        <v>-79.6708</v>
      </c>
      <c r="P13" s="25">
        <f>_xll.BDH("BLUE US Equity","SALES_GROWTH","FQ3 2022","FQ3 2022","Currency=USD","Period=FQ","BEST_FPERIOD_OVERRIDE=FQ","FILING_STATUS=MR","FA_ADJUSTED=Adjusted","Sort=A","Dates=H","DateFormat=P","Fill=—","Direction=H","UseDPDF=Y")</f>
        <v>-93.032399999999996</v>
      </c>
      <c r="Q13" s="25">
        <f>_xll.BDH("BLUE US Equity","SALES_GROWTH","FQ4 2022","FQ4 2022","Currency=USD","Period=FQ","BEST_FPERIOD_OVERRIDE=FQ","FILING_STATUS=MR","FA_ADJUSTED=Adjusted","Sort=A","Dates=H","DateFormat=P","Fill=—","Direction=H","UseDPDF=Y")</f>
        <v>-96.139499999999998</v>
      </c>
      <c r="R13" s="25">
        <f>_xll.BDH("BLUE US Equity","SALES_GROWTH","FQ1 2023","FQ1 2023","Currency=USD","Period=FQ","BEST_FPERIOD_OVERRIDE=FQ","FILING_STATUS=MR","FA_ADJUSTED=Adjusted","Sort=A","Dates=H","DateFormat=P","Fill=—","Direction=H","UseDPDF=Y")</f>
        <v>22.416499999999999</v>
      </c>
      <c r="S13" s="25">
        <f>_xll.BDH("BLUE US Equity","SALES_GROWTH","FQ2 2023","FQ2 2023","Currency=USD","Period=FQ","BEST_FPERIOD_OVERRIDE=FQ","FILING_STATUS=MR","FA_ADJUSTED=Adjusted","Sort=A","Dates=H","DateFormat=P","Fill=—","Direction=H","UseDPDF=Y")</f>
        <v>353.58789999999999</v>
      </c>
      <c r="T13" s="25">
        <f>_xll.BDH("BLUE US Equity","SALES_GROWTH","FQ3 2023","FQ3 2023","Currency=USD","Period=FQ","BEST_FPERIOD_OVERRIDE=FQ","FILING_STATUS=MR","FA_ADJUSTED=Adjusted","Sort=A","Dates=H","DateFormat=P","Fill=—","Direction=H","UseDPDF=Y")</f>
        <v>17353.521100000002</v>
      </c>
      <c r="U13" s="25">
        <f>_xll.BDH("BLUE US Equity","SALES_GROWTH","FQ4 2023","FQ4 2023","Currency=USD","Period=FQ","BEST_FPERIOD_OVERRIDE=FQ","FILING_STATUS=MR","FA_ADJUSTED=Adjusted","Sort=A","Dates=H","DateFormat=P","Fill=—","Direction=H","UseDPDF=Y")</f>
        <v>12535.483899999999</v>
      </c>
      <c r="V13" s="25">
        <f>_xll.BDH("BLUE US Equity","SALES_GROWTH","FQ1 2024","FQ1 2024","Currency=USD","Period=FQ","BEST_FPERIOD_OVERRIDE=FQ","FILING_STATUS=MR","FA_ADJUSTED=Adjusted","Sort=A","Dates=H","DateFormat=P","Fill=—","Direction=H","UseDPDF=Y")</f>
        <v>680.05039999999997</v>
      </c>
      <c r="W13" s="25">
        <f>_xll.BDH("BLUE US Equity","SALES_GROWTH","FQ2 2024","FQ2 2024","Currency=USD","Period=FQ","BEST_FPERIOD_OVERRIDE=FQ","FILING_STATUS=MR","FA_ADJUSTED=Adjusted","Sort=A","Dates=H","DateFormat=P","Fill=—","Direction=H","UseDPDF=Y")</f>
        <v>133.6865</v>
      </c>
      <c r="X13" s="25">
        <f>_xll.BDH("BLUE US Equity","SALES_GROWTH","FQ3 2024","FQ3 2024","Currency=USD","Period=FQ","BEST_FPERIOD_OVERRIDE=FQ","FILING_STATUS=MR","FA_ADJUSTED=Adjusted","Sort=A","Dates=H","DateFormat=P","Fill=—","Direction=H","UseDPDF=Y")</f>
        <v>-14.364100000000001</v>
      </c>
      <c r="Y13" s="25">
        <f>_xll.BDH("BLUE US Equity","SALES_GROWTH","FQ4 2024","FQ4 2024","Currency=USD","Period=FQ","BEST_FPERIOD_OVERRIDE=FQ","FILING_STATUS=MR","FA_ADJUSTED=Adjusted","Sort=A","Dates=H","DateFormat=P","Fill=—","Direction=H","UseDPDF=Y")</f>
        <v>391.71559999999999</v>
      </c>
      <c r="Z13" s="25">
        <v>96.613363484628195</v>
      </c>
      <c r="AA13" s="25">
        <v>258.87833053847601</v>
      </c>
    </row>
    <row r="14" spans="1:27" x14ac:dyDescent="0.25">
      <c r="A14" s="6" t="s">
        <v>73</v>
      </c>
      <c r="B14" s="6" t="s">
        <v>74</v>
      </c>
      <c r="C14" s="19" t="str">
        <f>_xll.BDH("BLUE US Equity","GROSS_PROFIT","FQ2 2019","FQ2 2019","Currency=USD","Period=FQ","BEST_FPERIOD_OVERRIDE=FQ","FILING_STATUS=MR","SCALING_FORMAT=MLN","FA_ADJUSTED=Adjusted","Sort=A","Dates=H","DateFormat=P","Fill=—","Direction=H","UseDPDF=Y")</f>
        <v>—</v>
      </c>
      <c r="D14" s="19" t="str">
        <f>_xll.BDH("BLUE US Equity","GROSS_PROFIT","FQ3 2019","FQ3 2019","Currency=USD","Period=FQ","BEST_FPERIOD_OVERRIDE=FQ","FILING_STATUS=MR","SCALING_FORMAT=MLN","FA_ADJUSTED=Adjusted","Sort=A","Dates=H","DateFormat=P","Fill=—","Direction=H","UseDPDF=Y")</f>
        <v>—</v>
      </c>
      <c r="E14" s="19" t="str">
        <f>_xll.BDH("BLUE US Equity","GROSS_PROFIT","FQ4 2019","FQ4 2019","Currency=USD","Period=FQ","BEST_FPERIOD_OVERRIDE=FQ","FILING_STATUS=MR","SCALING_FORMAT=MLN","FA_ADJUSTED=Adjusted","Sort=A","Dates=H","DateFormat=P","Fill=—","Direction=H","UseDPDF=Y")</f>
        <v>—</v>
      </c>
      <c r="F14" s="19" t="str">
        <f>_xll.BDH("BLUE US Equity","GROSS_PROFIT","FQ1 2020","FQ1 2020","Currency=USD","Period=FQ","BEST_FPERIOD_OVERRIDE=FQ","FILING_STATUS=MR","SCALING_FORMAT=MLN","FA_ADJUSTED=Adjusted","Sort=A","Dates=H","DateFormat=P","Fill=—","Direction=H","UseDPDF=Y")</f>
        <v>—</v>
      </c>
      <c r="G14" s="19" t="str">
        <f>_xll.BDH("BLUE US Equity","GROSS_PROFIT","FQ2 2020","FQ2 2020","Currency=USD","Period=FQ","BEST_FPERIOD_OVERRIDE=FQ","FILING_STATUS=MR","SCALING_FORMAT=MLN","FA_ADJUSTED=Adjusted","Sort=A","Dates=H","DateFormat=P","Fill=—","Direction=H","UseDPDF=Y")</f>
        <v>—</v>
      </c>
      <c r="H14" s="19" t="str">
        <f>_xll.BDH("BLUE US Equity","GROSS_PROFIT","FQ3 2020","FQ3 2020","Currency=USD","Period=FQ","BEST_FPERIOD_OVERRIDE=FQ","FILING_STATUS=MR","SCALING_FORMAT=MLN","FA_ADJUSTED=Adjusted","Sort=A","Dates=H","DateFormat=P","Fill=—","Direction=H","UseDPDF=Y")</f>
        <v>—</v>
      </c>
      <c r="I14" s="19">
        <f>_xll.BDH("BLUE US Equity","GROSS_PROFIT","FQ4 2020","FQ4 2020","Currency=USD","Period=FQ","BEST_FPERIOD_OVERRIDE=FQ","FILING_STATUS=MR","SCALING_FORMAT=MLN","FA_ADJUSTED=Adjusted","Sort=A","Dates=H","DateFormat=P","Fill=—","Direction=H","UseDPDF=Y")</f>
        <v>0</v>
      </c>
      <c r="J14" s="19">
        <f>_xll.BDH("BLUE US Equity","GROSS_PROFIT","FQ1 2021","FQ1 2021","Currency=USD","Period=FQ","BEST_FPERIOD_OVERRIDE=FQ","FILING_STATUS=MR","SCALING_FORMAT=MLN","FA_ADJUSTED=Adjusted","Sort=A","Dates=H","DateFormat=P","Fill=—","Direction=H","UseDPDF=Y")</f>
        <v>0.318</v>
      </c>
      <c r="K14" s="19" t="str">
        <f>_xll.BDH("BLUE US Equity","GROSS_PROFIT","FQ2 2021","FQ2 2021","Currency=USD","Period=FQ","BEST_FPERIOD_OVERRIDE=FQ","FILING_STATUS=MR","SCALING_FORMAT=MLN","FA_ADJUSTED=Adjusted","Sort=A","Dates=H","DateFormat=P","Fill=—","Direction=H","UseDPDF=Y")</f>
        <v>—</v>
      </c>
      <c r="L14" s="19">
        <f>_xll.BDH("BLUE US Equity","GROSS_PROFIT","FQ3 2021","FQ3 2021","Currency=USD","Period=FQ","BEST_FPERIOD_OVERRIDE=FQ","FILING_STATUS=MR","SCALING_FORMAT=MLN","FA_ADJUSTED=Adjusted","Sort=A","Dates=H","DateFormat=P","Fill=—","Direction=H","UseDPDF=Y")</f>
        <v>-18.366</v>
      </c>
      <c r="M14" s="19">
        <f>_xll.BDH("BLUE US Equity","GROSS_PROFIT","FQ4 2021","FQ4 2021","Currency=USD","Period=FQ","BEST_FPERIOD_OVERRIDE=FQ","FILING_STATUS=MR","SCALING_FORMAT=MLN","FA_ADJUSTED=Adjusted","Sort=A","Dates=H","DateFormat=P","Fill=—","Direction=H","UseDPDF=Y")</f>
        <v>-2.0760000000000001</v>
      </c>
      <c r="N14" s="19">
        <f>_xll.BDH("BLUE US Equity","GROSS_PROFIT","FQ1 2022","FQ1 2022","Currency=USD","Period=FQ","BEST_FPERIOD_OVERRIDE=FQ","FILING_STATUS=MR","SCALING_FORMAT=MLN","FA_ADJUSTED=Adjusted","Sort=A","Dates=H","DateFormat=P","Fill=—","Direction=H","UseDPDF=Y")</f>
        <v>-6.3650000000000002</v>
      </c>
      <c r="O14" s="19">
        <f>_xll.BDH("BLUE US Equity","GROSS_PROFIT","FQ2 2022","FQ2 2022","Currency=USD","Period=FQ","BEST_FPERIOD_OVERRIDE=FQ","FILING_STATUS=MR","SCALING_FORMAT=MLN","FA_ADJUSTED=Adjusted","Sort=A","Dates=H","DateFormat=P","Fill=—","Direction=H","UseDPDF=Y")</f>
        <v>-0.22600000000000001</v>
      </c>
      <c r="P14" s="19" t="str">
        <f>_xll.BDH("BLUE US Equity","GROSS_PROFIT","FQ3 2022","FQ3 2022","Currency=USD","Period=FQ","BEST_FPERIOD_OVERRIDE=FQ","FILING_STATUS=MR","SCALING_FORMAT=MLN","FA_ADJUSTED=Adjusted","Sort=A","Dates=H","DateFormat=P","Fill=—","Direction=H","UseDPDF=Y")</f>
        <v>—</v>
      </c>
      <c r="Q14" s="19">
        <f>_xll.BDH("BLUE US Equity","GROSS_PROFIT","FQ4 2022","FQ4 2022","Currency=USD","Period=FQ","BEST_FPERIOD_OVERRIDE=FQ","FILING_STATUS=MR","SCALING_FORMAT=MLN","FA_ADJUSTED=Adjusted","Sort=A","Dates=H","DateFormat=P","Fill=—","Direction=H","UseDPDF=Y")</f>
        <v>0.04</v>
      </c>
      <c r="R14" s="19">
        <f>_xll.BDH("BLUE US Equity","GROSS_PROFIT","FQ1 2023","FQ1 2023","Currency=USD","Period=FQ","BEST_FPERIOD_OVERRIDE=FQ","FILING_STATUS=MR","SCALING_FORMAT=MLN","FA_ADJUSTED=Adjusted","Sort=A","Dates=H","DateFormat=P","Fill=—","Direction=H","UseDPDF=Y")</f>
        <v>-3.1309999999999998</v>
      </c>
      <c r="S14" s="19">
        <f>_xll.BDH("BLUE US Equity","GROSS_PROFIT","FQ2 2023","FQ2 2023","Currency=USD","Period=FQ","BEST_FPERIOD_OVERRIDE=FQ","FILING_STATUS=MR","SCALING_FORMAT=MLN","FA_ADJUSTED=Adjusted","Sort=A","Dates=H","DateFormat=P","Fill=—","Direction=H","UseDPDF=Y")</f>
        <v>0.193</v>
      </c>
      <c r="T14" s="19">
        <f>_xll.BDH("BLUE US Equity","GROSS_PROFIT","FQ3 2023","FQ3 2023","Currency=USD","Period=FQ","BEST_FPERIOD_OVERRIDE=FQ","FILING_STATUS=MR","SCALING_FORMAT=MLN","FA_ADJUSTED=Adjusted","Sort=A","Dates=H","DateFormat=P","Fill=—","Direction=H","UseDPDF=Y")</f>
        <v>3.266</v>
      </c>
      <c r="U14" s="19">
        <f>_xll.BDH("BLUE US Equity","GROSS_PROFIT","FQ4 2023","FQ4 2023","Currency=USD","Period=FQ","BEST_FPERIOD_OVERRIDE=FQ","FILING_STATUS=MR","SCALING_FORMAT=MLN","FA_ADJUSTED=Adjusted","Sort=A","Dates=H","DateFormat=P","Fill=—","Direction=H","UseDPDF=Y")</f>
        <v>-1.798</v>
      </c>
      <c r="V14" s="19">
        <f>_xll.BDH("BLUE US Equity","GROSS_PROFIT","FQ1 2024","FQ1 2024","Currency=USD","Period=FQ","BEST_FPERIOD_OVERRIDE=FQ","FILING_STATUS=MR","SCALING_FORMAT=MLN","FA_ADJUSTED=Adjusted","Sort=A","Dates=H","DateFormat=P","Fill=—","Direction=H","UseDPDF=Y")</f>
        <v>-7.2910000000000004</v>
      </c>
      <c r="W14" s="19">
        <f>_xll.BDH("BLUE US Equity","GROSS_PROFIT","FQ2 2024","FQ2 2024","Currency=USD","Period=FQ","BEST_FPERIOD_OVERRIDE=FQ","FILING_STATUS=MR","SCALING_FORMAT=MLN","FA_ADJUSTED=Adjusted","Sort=A","Dates=H","DateFormat=P","Fill=—","Direction=H","UseDPDF=Y")</f>
        <v>-12.845000000000001</v>
      </c>
      <c r="X14" s="19">
        <f>_xll.BDH("BLUE US Equity","GROSS_PROFIT","FQ3 2024","FQ3 2024","Currency=USD","Period=FQ","BEST_FPERIOD_OVERRIDE=FQ","FILING_STATUS=MR","SCALING_FORMAT=MLN","FA_ADJUSTED=Adjusted","Sort=A","Dates=H","DateFormat=P","Fill=—","Direction=H","UseDPDF=Y")</f>
        <v>-1.169</v>
      </c>
      <c r="Y14" s="19">
        <f>_xll.BDH("BLUE US Equity","GROSS_PROFIT","FQ4 2024","FQ4 2024","Currency=USD","Period=FQ","BEST_FPERIOD_OVERRIDE=FQ","FILING_STATUS=MR","SCALING_FORMAT=MLN","FA_ADJUSTED=Adjusted","Sort=A","Dates=H","DateFormat=P","Fill=—","Direction=H","UseDPDF=Y")</f>
        <v>15.731999999999999</v>
      </c>
      <c r="Z14" s="19"/>
      <c r="AA14" s="19"/>
    </row>
    <row r="15" spans="1:27" x14ac:dyDescent="0.25">
      <c r="A15" s="11" t="s">
        <v>75</v>
      </c>
      <c r="B15" s="11" t="s">
        <v>74</v>
      </c>
      <c r="C15" s="25" t="s">
        <v>76</v>
      </c>
      <c r="D15" s="25" t="s">
        <v>76</v>
      </c>
      <c r="E15" s="25" t="s">
        <v>76</v>
      </c>
      <c r="F15" s="25" t="s">
        <v>76</v>
      </c>
      <c r="G15" s="25" t="s">
        <v>76</v>
      </c>
      <c r="H15" s="25" t="s">
        <v>76</v>
      </c>
      <c r="I15" s="25" t="s">
        <v>76</v>
      </c>
      <c r="J15" s="25">
        <v>35.570469798657697</v>
      </c>
      <c r="K15" s="25" t="s">
        <v>76</v>
      </c>
      <c r="L15" s="25">
        <v>-1802.3552502453399</v>
      </c>
      <c r="M15" s="25">
        <v>-129.26525529265299</v>
      </c>
      <c r="N15" s="25">
        <v>-327.24935732647799</v>
      </c>
      <c r="O15" s="25">
        <v>-14.8782093482554</v>
      </c>
      <c r="P15" s="25" t="s">
        <v>76</v>
      </c>
      <c r="Q15" s="25">
        <v>64.516129032258107</v>
      </c>
      <c r="R15" s="25">
        <v>-131.4993700126</v>
      </c>
      <c r="S15" s="25">
        <v>2.8011611030479</v>
      </c>
      <c r="T15" s="25">
        <v>26.3557133634603</v>
      </c>
      <c r="U15" s="25">
        <v>-22.951238192494301</v>
      </c>
      <c r="V15" s="25">
        <v>-39.2559091153826</v>
      </c>
      <c r="W15" s="25">
        <v>-79.777653561890602</v>
      </c>
      <c r="X15" s="25">
        <v>-11.0158311345646</v>
      </c>
      <c r="Y15" s="25">
        <v>40.8400612652839</v>
      </c>
      <c r="Z15" s="25"/>
      <c r="AA15" s="25"/>
    </row>
    <row r="16" spans="1:27" x14ac:dyDescent="0.25">
      <c r="A16" s="6" t="s">
        <v>77</v>
      </c>
      <c r="B16" s="6" t="s">
        <v>78</v>
      </c>
      <c r="C16" s="19">
        <f>_xll.BDH("BLUE US Equity","EBITDA","FQ2 2019","FQ2 2019","Currency=USD","Period=FQ","BEST_FPERIOD_OVERRIDE=FQ","FILING_STATUS=MR","SCALING_FORMAT=MLN","FA_ADJUSTED=Adjusted","Sort=A","Dates=H","DateFormat=P","Fill=—","Direction=H","UseDPDF=Y")</f>
        <v>-189.523</v>
      </c>
      <c r="D16" s="19">
        <f>_xll.BDH("BLUE US Equity","EBITDA","FQ3 2019","FQ3 2019","Currency=USD","Period=FQ","BEST_FPERIOD_OVERRIDE=FQ","FILING_STATUS=MR","SCALING_FORMAT=MLN","FA_ADJUSTED=Adjusted","Sort=A","Dates=H","DateFormat=P","Fill=—","Direction=H","UseDPDF=Y")</f>
        <v>-196.22399999999999</v>
      </c>
      <c r="E16" s="19">
        <f>_xll.BDH("BLUE US Equity","EBITDA","FQ4 2019","FQ4 2019","Currency=USD","Period=FQ","BEST_FPERIOD_OVERRIDE=FQ","FILING_STATUS=MR","SCALING_FORMAT=MLN","FA_ADJUSTED=Adjusted","Sort=A","Dates=H","DateFormat=P","Fill=—","Direction=H","UseDPDF=Y")</f>
        <v>-214.941</v>
      </c>
      <c r="F16" s="19">
        <f>_xll.BDH("BLUE US Equity","EBITDA","FQ1 2020","FQ1 2020","Currency=USD","Period=FQ","BEST_FPERIOD_OVERRIDE=FQ","FILING_STATUS=MR","SCALING_FORMAT=MLN","FA_ADJUSTED=Adjusted","Sort=A","Dates=H","DateFormat=P","Fill=—","Direction=H","UseDPDF=Y")</f>
        <v>-201.65299999999999</v>
      </c>
      <c r="G16" s="19">
        <f>_xll.BDH("BLUE US Equity","EBITDA","FQ2 2020","FQ2 2020","Currency=USD","Period=FQ","BEST_FPERIOD_OVERRIDE=FQ","FILING_STATUS=MR","SCALING_FORMAT=MLN","FA_ADJUSTED=Adjusted","Sort=A","Dates=H","DateFormat=P","Fill=—","Direction=H","UseDPDF=Y")</f>
        <v>-23.05</v>
      </c>
      <c r="H16" s="19">
        <f>_xll.BDH("BLUE US Equity","EBITDA","FQ3 2020","FQ3 2020","Currency=USD","Period=FQ","BEST_FPERIOD_OVERRIDE=FQ","FILING_STATUS=MR","SCALING_FORMAT=MLN","FA_ADJUSTED=Adjusted","Sort=A","Dates=H","DateFormat=P","Fill=—","Direction=H","UseDPDF=Y")</f>
        <v>-185.57400000000001</v>
      </c>
      <c r="I16" s="19">
        <f>_xll.BDH("BLUE US Equity","EBITDA","FQ4 2020","FQ4 2020","Currency=USD","Period=FQ","BEST_FPERIOD_OVERRIDE=FQ","FILING_STATUS=MR","SCALING_FORMAT=MLN","FA_ADJUSTED=Adjusted","Sort=A","Dates=H","DateFormat=P","Fill=—","Direction=H","UseDPDF=Y")</f>
        <v>-134.40899999999999</v>
      </c>
      <c r="J16" s="19">
        <f>_xll.BDH("BLUE US Equity","EBITDA","FQ1 2021","FQ1 2021","Currency=USD","Period=FQ","BEST_FPERIOD_OVERRIDE=FQ","FILING_STATUS=MR","SCALING_FORMAT=MLN","FA_ADJUSTED=Adjusted","Sort=A","Dates=H","DateFormat=P","Fill=—","Direction=H","UseDPDF=Y")</f>
        <v>-168.73699999999999</v>
      </c>
      <c r="K16" s="19">
        <f>_xll.BDH("BLUE US Equity","EBITDA","FQ2 2021","FQ2 2021","Currency=USD","Period=FQ","BEST_FPERIOD_OVERRIDE=FQ","FILING_STATUS=MR","SCALING_FORMAT=MLN","FA_ADJUSTED=Adjusted","Sort=A","Dates=H","DateFormat=P","Fill=—","Direction=H","UseDPDF=Y")</f>
        <v>-234.798</v>
      </c>
      <c r="L16" s="19">
        <f>_xll.BDH("BLUE US Equity","EBITDA","FQ3 2021","FQ3 2021","Currency=USD","Period=FQ","BEST_FPERIOD_OVERRIDE=FQ","FILING_STATUS=MR","SCALING_FORMAT=MLN","FA_ADJUSTED=Adjusted","Sort=A","Dates=H","DateFormat=P","Fill=—","Direction=H","UseDPDF=Y")</f>
        <v>-128.292</v>
      </c>
      <c r="M16" s="19">
        <f>_xll.BDH("BLUE US Equity","EBITDA","FQ4 2021","FQ4 2021","Currency=USD","Period=FQ","BEST_FPERIOD_OVERRIDE=FQ","FILING_STATUS=MR","SCALING_FORMAT=MLN","FA_ADJUSTED=Adjusted","Sort=A","Dates=H","DateFormat=P","Fill=—","Direction=H","UseDPDF=Y")</f>
        <v>-132.429</v>
      </c>
      <c r="N16" s="19">
        <f>_xll.BDH("BLUE US Equity","EBITDA","FQ1 2022","FQ1 2022","Currency=USD","Period=FQ","BEST_FPERIOD_OVERRIDE=FQ","FILING_STATUS=MR","SCALING_FORMAT=MLN","FA_ADJUSTED=Adjusted","Sort=A","Dates=H","DateFormat=P","Fill=—","Direction=H","UseDPDF=Y")</f>
        <v>-116.824</v>
      </c>
      <c r="O16" s="19">
        <f>_xll.BDH("BLUE US Equity","EBITDA","FQ2 2022","FQ2 2022","Currency=USD","Period=FQ","BEST_FPERIOD_OVERRIDE=FQ","FILING_STATUS=MR","SCALING_FORMAT=MLN","FA_ADJUSTED=Adjusted","Sort=A","Dates=H","DateFormat=P","Fill=—","Direction=H","UseDPDF=Y")</f>
        <v>-98.79</v>
      </c>
      <c r="P16" s="19">
        <f>_xll.BDH("BLUE US Equity","EBITDA","FQ3 2022","FQ3 2022","Currency=USD","Period=FQ","BEST_FPERIOD_OVERRIDE=FQ","FILING_STATUS=MR","SCALING_FORMAT=MLN","FA_ADJUSTED=Adjusted","Sort=A","Dates=H","DateFormat=P","Fill=—","Direction=H","UseDPDF=Y")</f>
        <v>-85.093000000000004</v>
      </c>
      <c r="Q16" s="19">
        <f>_xll.BDH("BLUE US Equity","EBITDA","FQ4 2022","FQ4 2022","Currency=USD","Period=FQ","BEST_FPERIOD_OVERRIDE=FQ","FILING_STATUS=MR","SCALING_FORMAT=MLN","FA_ADJUSTED=Adjusted","Sort=A","Dates=H","DateFormat=P","Fill=—","Direction=H","UseDPDF=Y")</f>
        <v>-38.194000000000003</v>
      </c>
      <c r="R16" s="19">
        <f>_xll.BDH("BLUE US Equity","EBITDA","FQ1 2023","FQ1 2023","Currency=USD","Period=FQ","BEST_FPERIOD_OVERRIDE=FQ","FILING_STATUS=MR","SCALING_FORMAT=MLN","FA_ADJUSTED=Adjusted","Sort=A","Dates=H","DateFormat=P","Fill=—","Direction=H","UseDPDF=Y")</f>
        <v>-74.650999999999996</v>
      </c>
      <c r="S16" s="19">
        <f>_xll.BDH("BLUE US Equity","EBITDA","FQ2 2023","FQ2 2023","Currency=USD","Period=FQ","BEST_FPERIOD_OVERRIDE=FQ","FILING_STATUS=MR","SCALING_FORMAT=MLN","FA_ADJUSTED=Adjusted","Sort=A","Dates=H","DateFormat=P","Fill=—","Direction=H","UseDPDF=Y")</f>
        <v>-64.542000000000002</v>
      </c>
      <c r="T16" s="19">
        <f>_xll.BDH("BLUE US Equity","EBITDA","FQ3 2023","FQ3 2023","Currency=USD","Period=FQ","BEST_FPERIOD_OVERRIDE=FQ","FILING_STATUS=MR","SCALING_FORMAT=MLN","FA_ADJUSTED=Adjusted","Sort=A","Dates=H","DateFormat=P","Fill=—","Direction=H","UseDPDF=Y")</f>
        <v>-86.867999999999995</v>
      </c>
      <c r="U16" s="19">
        <f>_xll.BDH("BLUE US Equity","EBITDA","FQ4 2023","FQ4 2023","Currency=USD","Period=FQ","BEST_FPERIOD_OVERRIDE=FQ","FILING_STATUS=MR","SCALING_FORMAT=MLN","FA_ADJUSTED=Adjusted","Sort=A","Dates=H","DateFormat=P","Fill=—","Direction=H","UseDPDF=Y")</f>
        <v>-57.271999999999998</v>
      </c>
      <c r="V16" s="19">
        <f>_xll.BDH("BLUE US Equity","EBITDA","FQ1 2024","FQ1 2024","Currency=USD","Period=FQ","BEST_FPERIOD_OVERRIDE=FQ","FILING_STATUS=MR","SCALING_FORMAT=MLN","FA_ADJUSTED=Adjusted","Sort=A","Dates=H","DateFormat=P","Fill=—","Direction=H","UseDPDF=Y")</f>
        <v>-64.082999999999998</v>
      </c>
      <c r="W16" s="19">
        <f>_xll.BDH("BLUE US Equity","EBITDA","FQ2 2024","FQ2 2024","Currency=USD","Period=FQ","BEST_FPERIOD_OVERRIDE=FQ","FILING_STATUS=MR","SCALING_FORMAT=MLN","FA_ADJUSTED=Adjusted","Sort=A","Dates=H","DateFormat=P","Fill=—","Direction=H","UseDPDF=Y")</f>
        <v>-72.64</v>
      </c>
      <c r="X16" s="19">
        <f>_xll.BDH("BLUE US Equity","EBITDA","FQ3 2024","FQ3 2024","Currency=USD","Period=FQ","BEST_FPERIOD_OVERRIDE=FQ","FILING_STATUS=MR","SCALING_FORMAT=MLN","FA_ADJUSTED=Adjusted","Sort=A","Dates=H","DateFormat=P","Fill=—","Direction=H","UseDPDF=Y")</f>
        <v>-48.764000000000003</v>
      </c>
      <c r="Y16" s="19">
        <f>_xll.BDH("BLUE US Equity","EBITDA","FQ4 2024","FQ4 2024","Currency=USD","Period=FQ","BEST_FPERIOD_OVERRIDE=FQ","FILING_STATUS=MR","SCALING_FORMAT=MLN","FA_ADJUSTED=Adjusted","Sort=A","Dates=H","DateFormat=P","Fill=—","Direction=H","UseDPDF=Y")</f>
        <v>-29.446000000000002</v>
      </c>
      <c r="Z16" s="19">
        <v>-44</v>
      </c>
      <c r="AA16" s="19">
        <v>-39.4</v>
      </c>
    </row>
    <row r="17" spans="1:27" x14ac:dyDescent="0.25">
      <c r="A17" s="11" t="s">
        <v>75</v>
      </c>
      <c r="B17" s="11" t="s">
        <v>78</v>
      </c>
      <c r="C17" s="25">
        <v>-1425.4136582430799</v>
      </c>
      <c r="D17" s="25">
        <v>-2202.2895622895599</v>
      </c>
      <c r="E17" s="25">
        <v>-2150.0550165049499</v>
      </c>
      <c r="F17" s="25">
        <v>-922.34825961670401</v>
      </c>
      <c r="G17" s="25">
        <v>-11.589320730051799</v>
      </c>
      <c r="H17" s="25">
        <v>-962.87033674051804</v>
      </c>
      <c r="I17" s="25" t="s">
        <v>76</v>
      </c>
      <c r="J17" s="25">
        <v>-18874.384787472001</v>
      </c>
      <c r="K17" s="25">
        <v>-3142.37152034261</v>
      </c>
      <c r="L17" s="25">
        <v>-12589.9901864573</v>
      </c>
      <c r="M17" s="25">
        <v>-8245.8904109589002</v>
      </c>
      <c r="N17" s="25">
        <v>-6006.37532133676</v>
      </c>
      <c r="O17" s="25">
        <v>-6503.6208031599699</v>
      </c>
      <c r="P17" s="25">
        <v>-119849.295774648</v>
      </c>
      <c r="Q17" s="25">
        <v>-61603.225806451599</v>
      </c>
      <c r="R17" s="25">
        <v>-3135.2792944141102</v>
      </c>
      <c r="S17" s="25">
        <v>-936.748911465893</v>
      </c>
      <c r="T17" s="25">
        <v>-701.00064557779206</v>
      </c>
      <c r="U17" s="25">
        <v>-731.06969619606798</v>
      </c>
      <c r="V17" s="25">
        <v>-345.03311258278097</v>
      </c>
      <c r="W17" s="25">
        <v>-451.152102353891</v>
      </c>
      <c r="X17" s="25">
        <v>-459.51752732755398</v>
      </c>
      <c r="Y17" s="25">
        <v>-76.441421562264793</v>
      </c>
      <c r="Z17" s="25">
        <v>-120.491825725005</v>
      </c>
      <c r="AA17" s="25">
        <v>-68.186144713843206</v>
      </c>
    </row>
    <row r="18" spans="1:27" x14ac:dyDescent="0.25">
      <c r="A18" s="6" t="s">
        <v>79</v>
      </c>
      <c r="B18" s="6" t="s">
        <v>80</v>
      </c>
      <c r="C18" s="19">
        <f>_xll.BDH("BLUE US Equity","EARN_FOR_COMMON","FQ2 2019","FQ2 2019","Currency=USD","Period=FQ","BEST_FPERIOD_OVERRIDE=FQ","FILING_STATUS=MR","SCALING_FORMAT=MLN","FA_ADJUSTED=Adjusted","Sort=A","Dates=H","DateFormat=P","Fill=—","Direction=H","UseDPDF=Y")</f>
        <v>-195.6129</v>
      </c>
      <c r="D18" s="19">
        <f>_xll.BDH("BLUE US Equity","EARN_FOR_COMMON","FQ3 2019","FQ3 2019","Currency=USD","Period=FQ","BEST_FPERIOD_OVERRIDE=FQ","FILING_STATUS=MR","SCALING_FORMAT=MLN","FA_ADJUSTED=Adjusted","Sort=A","Dates=H","DateFormat=P","Fill=—","Direction=H","UseDPDF=Y")</f>
        <v>-205.39940000000001</v>
      </c>
      <c r="E18" s="19">
        <f>_xll.BDH("BLUE US Equity","EARN_FOR_COMMON","FQ4 2019","FQ4 2019","Currency=USD","Period=FQ","BEST_FPERIOD_OVERRIDE=FQ","FILING_STATUS=MR","SCALING_FORMAT=MLN","FA_ADJUSTED=Adjusted","Sort=A","Dates=H","DateFormat=P","Fill=—","Direction=H","UseDPDF=Y")</f>
        <v>-222.21340000000001</v>
      </c>
      <c r="F18" s="19">
        <f>_xll.BDH("BLUE US Equity","EARN_FOR_COMMON","FQ1 2020","FQ1 2020","Currency=USD","Period=FQ","BEST_FPERIOD_OVERRIDE=FQ","FILING_STATUS=MR","SCALING_FORMAT=MLN","FA_ADJUSTED=Adjusted","Sort=A","Dates=H","DateFormat=P","Fill=—","Direction=H","UseDPDF=Y")</f>
        <v>-205.06630000000001</v>
      </c>
      <c r="G18" s="19">
        <f>_xll.BDH("BLUE US Equity","EARN_FOR_COMMON","FQ2 2020","FQ2 2020","Currency=USD","Period=FQ","BEST_FPERIOD_OVERRIDE=FQ","FILING_STATUS=MR","SCALING_FORMAT=MLN","FA_ADJUSTED=Adjusted","Sort=A","Dates=H","DateFormat=P","Fill=—","Direction=H","UseDPDF=Y")</f>
        <v>-22.772500000000001</v>
      </c>
      <c r="H18" s="19">
        <f>_xll.BDH("BLUE US Equity","EARN_FOR_COMMON","FQ3 2020","FQ3 2020","Currency=USD","Period=FQ","BEST_FPERIOD_OVERRIDE=FQ","FILING_STATUS=MR","SCALING_FORMAT=MLN","FA_ADJUSTED=Adjusted","Sort=A","Dates=H","DateFormat=P","Fill=—","Direction=H","UseDPDF=Y")</f>
        <v>-195.3991</v>
      </c>
      <c r="I18" s="19">
        <f>_xll.BDH("BLUE US Equity","EARN_FOR_COMMON","FQ4 2020","FQ4 2020","Currency=USD","Period=FQ","BEST_FPERIOD_OVERRIDE=FQ","FILING_STATUS=MR","SCALING_FORMAT=MLN","FA_ADJUSTED=Adjusted","Sort=A","Dates=H","DateFormat=P","Fill=—","Direction=H","UseDPDF=Y")</f>
        <v>-136.321</v>
      </c>
      <c r="J18" s="19">
        <f>_xll.BDH("BLUE US Equity","EARN_FOR_COMMON","FQ1 2021","FQ1 2021","Currency=USD","Period=FQ","BEST_FPERIOD_OVERRIDE=FQ","FILING_STATUS=MR","SCALING_FORMAT=MLN","FA_ADJUSTED=Adjusted","Sort=A","Dates=H","DateFormat=P","Fill=—","Direction=H","UseDPDF=Y")</f>
        <v>-143.62639999999999</v>
      </c>
      <c r="K18" s="19">
        <f>_xll.BDH("BLUE US Equity","EARN_FOR_COMMON","FQ2 2021","FQ2 2021","Currency=USD","Period=FQ","BEST_FPERIOD_OVERRIDE=FQ","FILING_STATUS=MR","SCALING_FORMAT=MLN","FA_ADJUSTED=Adjusted","Sort=A","Dates=H","DateFormat=P","Fill=—","Direction=H","UseDPDF=Y")</f>
        <v>-241.66489999999999</v>
      </c>
      <c r="L18" s="19">
        <f>_xll.BDH("BLUE US Equity","EARN_FOR_COMMON","FQ3 2021","FQ3 2021","Currency=USD","Period=FQ","BEST_FPERIOD_OVERRIDE=FQ","FILING_STATUS=MR","SCALING_FORMAT=MLN","FA_ADJUSTED=Adjusted","Sort=A","Dates=H","DateFormat=P","Fill=—","Direction=H","UseDPDF=Y")</f>
        <v>-159.62010000000001</v>
      </c>
      <c r="M18" s="19">
        <f>_xll.BDH("BLUE US Equity","EARN_FOR_COMMON","FQ4 2021","FQ4 2021","Currency=USD","Period=FQ","BEST_FPERIOD_OVERRIDE=FQ","FILING_STATUS=MR","SCALING_FORMAT=MLN","FA_ADJUSTED=Adjusted","Sort=A","Dates=H","DateFormat=P","Fill=—","Direction=H","UseDPDF=Y")</f>
        <v>-131.59700000000001</v>
      </c>
      <c r="N18" s="19">
        <f>_xll.BDH("BLUE US Equity","EARN_FOR_COMMON","FQ1 2022","FQ1 2022","Currency=USD","Period=FQ","BEST_FPERIOD_OVERRIDE=FQ","FILING_STATUS=MR","SCALING_FORMAT=MLN","FA_ADJUSTED=Adjusted","Sort=A","Dates=H","DateFormat=P","Fill=—","Direction=H","UseDPDF=Y")</f>
        <v>-120.1707</v>
      </c>
      <c r="O18" s="19">
        <f>_xll.BDH("BLUE US Equity","EARN_FOR_COMMON","FQ2 2022","FQ2 2022","Currency=USD","Period=FQ","BEST_FPERIOD_OVERRIDE=FQ","FILING_STATUS=MR","SCALING_FORMAT=MLN","FA_ADJUSTED=Adjusted","Sort=A","Dates=H","DateFormat=P","Fill=—","Direction=H","UseDPDF=Y")</f>
        <v>-94.397900000000007</v>
      </c>
      <c r="P18" s="19">
        <f>_xll.BDH("BLUE US Equity","EARN_FOR_COMMON","FQ3 2022","FQ3 2022","Currency=USD","Period=FQ","BEST_FPERIOD_OVERRIDE=FQ","FILING_STATUS=MR","SCALING_FORMAT=MLN","FA_ADJUSTED=Adjusted","Sort=A","Dates=H","DateFormat=P","Fill=—","Direction=H","UseDPDF=Y")</f>
        <v>-75.385599999999997</v>
      </c>
      <c r="Q18" s="19">
        <f>_xll.BDH("BLUE US Equity","EARN_FOR_COMMON","FQ4 2022","FQ4 2022","Currency=USD","Period=FQ","BEST_FPERIOD_OVERRIDE=FQ","FILING_STATUS=MR","SCALING_FORMAT=MLN","FA_ADJUSTED=Adjusted","Sort=A","Dates=H","DateFormat=P","Fill=—","Direction=H","UseDPDF=Y")</f>
        <v>-17.065300000000001</v>
      </c>
      <c r="R18" s="19">
        <f>_xll.BDH("BLUE US Equity","EARN_FOR_COMMON","FQ1 2023","FQ1 2023","Currency=USD","Period=FQ","BEST_FPERIOD_OVERRIDE=FQ","FILING_STATUS=MR","SCALING_FORMAT=MLN","FA_ADJUSTED=Adjusted","Sort=A","Dates=H","DateFormat=P","Fill=—","Direction=H","UseDPDF=Y")</f>
        <v>-54.484699999999997</v>
      </c>
      <c r="S18" s="19">
        <f>_xll.BDH("BLUE US Equity","EARN_FOR_COMMON","FQ2 2023","FQ2 2023","Currency=USD","Period=FQ","BEST_FPERIOD_OVERRIDE=FQ","FILING_STATUS=MR","SCALING_FORMAT=MLN","FA_ADJUSTED=Adjusted","Sort=A","Dates=H","DateFormat=P","Fill=—","Direction=H","UseDPDF=Y")</f>
        <v>-62.789000000000001</v>
      </c>
      <c r="T18" s="19">
        <f>_xll.BDH("BLUE US Equity","EARN_FOR_COMMON","FQ3 2023","FQ3 2023","Currency=USD","Period=FQ","BEST_FPERIOD_OVERRIDE=FQ","FILING_STATUS=MR","SCALING_FORMAT=MLN","FA_ADJUSTED=Adjusted","Sort=A","Dates=H","DateFormat=P","Fill=—","Direction=H","UseDPDF=Y")</f>
        <v>-87.231999999999999</v>
      </c>
      <c r="U18" s="19">
        <f>_xll.BDH("BLUE US Equity","EARN_FOR_COMMON","FQ4 2023","FQ4 2023","Currency=USD","Period=FQ","BEST_FPERIOD_OVERRIDE=FQ","FILING_STATUS=MR","SCALING_FORMAT=MLN","FA_ADJUSTED=Adjusted","Sort=A","Dates=H","DateFormat=P","Fill=—","Direction=H","UseDPDF=Y")</f>
        <v>-88.513999999999996</v>
      </c>
      <c r="V18" s="19">
        <f>_xll.BDH("BLUE US Equity","EARN_FOR_COMMON","FQ1 2024","FQ1 2024","Currency=USD","Period=FQ","BEST_FPERIOD_OVERRIDE=FQ","FILING_STATUS=MR","SCALING_FORMAT=MLN","FA_ADJUSTED=Adjusted","Sort=A","Dates=H","DateFormat=P","Fill=—","Direction=H","UseDPDF=Y")</f>
        <v>-69.804000000000002</v>
      </c>
      <c r="W18" s="19">
        <f>_xll.BDH("BLUE US Equity","EARN_FOR_COMMON","FQ2 2024","FQ2 2024","Currency=USD","Period=FQ","BEST_FPERIOD_OVERRIDE=FQ","FILING_STATUS=MR","SCALING_FORMAT=MLN","FA_ADJUSTED=Adjusted","Sort=A","Dates=H","DateFormat=P","Fill=—","Direction=H","UseDPDF=Y")</f>
        <v>-81.393000000000001</v>
      </c>
      <c r="X18" s="19">
        <f>_xll.BDH("BLUE US Equity","EARN_FOR_COMMON","FQ3 2024","FQ3 2024","Currency=USD","Period=FQ","BEST_FPERIOD_OVERRIDE=FQ","FILING_STATUS=MR","SCALING_FORMAT=MLN","FA_ADJUSTED=Adjusted","Sort=A","Dates=H","DateFormat=P","Fill=—","Direction=H","UseDPDF=Y")</f>
        <v>-58.587299999999999</v>
      </c>
      <c r="Y18" s="19">
        <f>_xll.BDH("BLUE US Equity","EARN_FOR_COMMON","FQ4 2024","FQ4 2024","Currency=USD","Period=FQ","BEST_FPERIOD_OVERRIDE=FQ","FILING_STATUS=MR","SCALING_FORMAT=MLN","FA_ADJUSTED=Adjusted","Sort=A","Dates=H","DateFormat=P","Fill=—","Direction=H","UseDPDF=Y")</f>
        <v>-28.748699999999999</v>
      </c>
      <c r="Z18" s="19">
        <v>-42.482999999999997</v>
      </c>
      <c r="AA18" s="19">
        <v>-28.617000000000001</v>
      </c>
    </row>
    <row r="19" spans="1:27" x14ac:dyDescent="0.25">
      <c r="A19" s="11" t="s">
        <v>75</v>
      </c>
      <c r="B19" s="11" t="s">
        <v>80</v>
      </c>
      <c r="C19" s="25">
        <v>-1471.21645607702</v>
      </c>
      <c r="D19" s="25">
        <v>-2305.2684624018002</v>
      </c>
      <c r="E19" s="25">
        <v>-2222.8003401020301</v>
      </c>
      <c r="F19" s="25">
        <v>-937.96057265699994</v>
      </c>
      <c r="G19" s="25">
        <v>-11.449771230328301</v>
      </c>
      <c r="H19" s="25">
        <v>-1013.8490115705901</v>
      </c>
      <c r="I19" s="25" t="s">
        <v>76</v>
      </c>
      <c r="J19" s="25">
        <v>-16065.5894854586</v>
      </c>
      <c r="K19" s="25">
        <v>-3234.2728854389702</v>
      </c>
      <c r="L19" s="25">
        <v>-15664.3866535819</v>
      </c>
      <c r="M19" s="25">
        <v>-8194.0871731008701</v>
      </c>
      <c r="N19" s="25">
        <v>-6178.4411311054</v>
      </c>
      <c r="O19" s="25">
        <v>-6214.4739960500301</v>
      </c>
      <c r="P19" s="25">
        <v>-106176.84507042301</v>
      </c>
      <c r="Q19" s="25">
        <v>-27524.677419354801</v>
      </c>
      <c r="R19" s="25">
        <v>-2288.31163376732</v>
      </c>
      <c r="S19" s="25">
        <v>-911.30624092888195</v>
      </c>
      <c r="T19" s="25">
        <v>-703.93802453195599</v>
      </c>
      <c r="U19" s="25">
        <v>-1129.86979831504</v>
      </c>
      <c r="V19" s="25">
        <v>-375.835890809239</v>
      </c>
      <c r="W19" s="25">
        <v>-505.515185392212</v>
      </c>
      <c r="X19" s="25">
        <v>-552.08546928006001</v>
      </c>
      <c r="Y19" s="25">
        <v>-74.631266062667095</v>
      </c>
      <c r="Z19" s="25">
        <v>-116.337596188077</v>
      </c>
      <c r="AA19" s="25">
        <v>-49.524946783656098</v>
      </c>
    </row>
    <row r="20" spans="1:27" x14ac:dyDescent="0.25">
      <c r="A20" s="6" t="s">
        <v>81</v>
      </c>
      <c r="B20" s="6" t="s">
        <v>82</v>
      </c>
      <c r="C20" s="20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D20" s="20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E20" s="20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F20" s="20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G20" s="20">
        <f>_xll.BDH("BLUE US Equity","IS_DIL_EPS_CONT_OPS","FQ2 2020","FQ2 2020","Currency=USD","Period=FQ","BEST_FPERIOD_OVERRIDE=FQ","FILING_STATUS=MR","Sort=A","Dates=H","DateFormat=P","Fill=—","Direction=H","UseDPDF=Y")</f>
        <v>-7.633</v>
      </c>
      <c r="H20" s="20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I20" s="20">
        <f>_xll.BDH("BLUE US Equity","IS_DIL_EPS_CONT_OPS","FQ4 2020","FQ4 2020","Currency=USD","Period=FQ","BEST_FPERIOD_OVERRIDE=FQ","FILING_STATUS=MR","Sort=A","Dates=H","DateFormat=P","Fill=—","Direction=H","UseDPDF=Y")</f>
        <v>-41</v>
      </c>
      <c r="J20" s="20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K20" s="20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L20" s="20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M20" s="20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N20" s="20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O20" s="20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P20" s="20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Q20" s="20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R20" s="20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S20" s="20">
        <f>_xll.BDH("BLUE US Equity","IS_DIL_EPS_CONT_OPS","FQ2 2023","FQ2 2023","Currency=USD","Period=FQ","BEST_FPERIOD_OVERRIDE=FQ","FILING_STATUS=MR","Sort=A","Dates=H","DateFormat=P","Fill=—","Direction=H","UseDPDF=Y")</f>
        <v>-11.6</v>
      </c>
      <c r="T20" s="20">
        <f>_xll.BDH("BLUE US Equity","IS_DIL_EPS_CONT_OPS","FQ3 2023","FQ3 2023","Currency=USD","Period=FQ","BEST_FPERIOD_OVERRIDE=FQ","FILING_STATUS=MR","Sort=A","Dates=H","DateFormat=P","Fill=—","Direction=H","UseDPDF=Y")</f>
        <v>-16</v>
      </c>
      <c r="U20" s="20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V20" s="20">
        <f>_xll.BDH("BLUE US Equity","IS_DIL_EPS_CONT_OPS","FQ1 2024","FQ1 2024","Currency=USD","Period=FQ","BEST_FPERIOD_OVERRIDE=FQ","FILING_STATUS=MR","Sort=A","Dates=H","DateFormat=P","Fill=—","Direction=H","UseDPDF=Y")</f>
        <v>-7.2</v>
      </c>
      <c r="W20" s="20">
        <f>_xll.BDH("BLUE US Equity","IS_DIL_EPS_CONT_OPS","FQ2 2024","FQ2 2024","Currency=USD","Period=FQ","BEST_FPERIOD_OVERRIDE=FQ","FILING_STATUS=MR","Sort=A","Dates=H","DateFormat=P","Fill=—","Direction=H","UseDPDF=Y")</f>
        <v>-8.4</v>
      </c>
      <c r="X20" s="20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Y20" s="20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  <c r="Z20" s="20">
        <v>-2.931</v>
      </c>
      <c r="AA20" s="20">
        <v>-1.5149999999999999</v>
      </c>
    </row>
    <row r="21" spans="1:27" x14ac:dyDescent="0.25">
      <c r="A21" s="11" t="s">
        <v>71</v>
      </c>
      <c r="B21" s="11" t="s">
        <v>83</v>
      </c>
      <c r="C21" s="26">
        <f>_xll.BDH("BLUE US Equity","DILUTED_EPS_AFT_XO_ITEMS_GROWTH","FQ2 2019","FQ2 2019","Currency=USD","Period=FQ","BEST_FPERIOD_OVERRIDE=FQ","FILING_STATUS=MR","FA_ADJUSTED=Adjusted","Sort=A","Dates=H","DateFormat=P","Fill=—","Direction=H","UseDPDF=Y")</f>
        <v>-22.0184</v>
      </c>
      <c r="D21" s="26">
        <f>_xll.BDH("BLUE US Equity","DILUTED_EPS_AFT_XO_ITEMS_GROWTH","FQ3 2019","FQ3 2019","Currency=USD","Period=FQ","BEST_FPERIOD_OVERRIDE=FQ","FILING_STATUS=MR","FA_ADJUSTED=Adjusted","Sort=A","Dates=H","DateFormat=P","Fill=—","Direction=H","UseDPDF=Y")</f>
        <v>-36.2134</v>
      </c>
      <c r="E21" s="26">
        <f>_xll.BDH("BLUE US Equity","DILUTED_EPS_AFT_XO_ITEMS_GROWTH","FQ4 2019","FQ4 2019","Currency=USD","Period=FQ","BEST_FPERIOD_OVERRIDE=FQ","FILING_STATUS=MR","FA_ADJUSTED=Adjusted","Sort=A","Dates=H","DateFormat=P","Fill=—","Direction=H","UseDPDF=Y")</f>
        <v>-49.275100000000002</v>
      </c>
      <c r="F21" s="26">
        <f>_xll.BDH("BLUE US Equity","DILUTED_EPS_AFT_XO_ITEMS_GROWTH","FQ1 2020","FQ1 2020","Currency=USD","Period=FQ","BEST_FPERIOD_OVERRIDE=FQ","FILING_STATUS=MR","FA_ADJUSTED=Adjusted","Sort=A","Dates=H","DateFormat=P","Fill=—","Direction=H","UseDPDF=Y")</f>
        <v>-23.456900000000001</v>
      </c>
      <c r="G21" s="26">
        <f>_xll.BDH("BLUE US Equity","DILUTED_EPS_AFT_XO_ITEMS_GROWTH","FQ2 2020","FQ2 2020","Currency=USD","Period=FQ","BEST_FPERIOD_OVERRIDE=FQ","FILING_STATUS=MR","FA_ADJUSTED=Adjusted","Sort=A","Dates=H","DateFormat=P","Fill=—","Direction=H","UseDPDF=Y")</f>
        <v>89.239900000000006</v>
      </c>
      <c r="H21" s="26">
        <f>_xll.BDH("BLUE US Equity","DILUTED_EPS_AFT_XO_ITEMS_GROWTH","FQ3 2020","FQ3 2020","Currency=USD","Period=FQ","BEST_FPERIOD_OVERRIDE=FQ","FILING_STATUS=MR","FA_ADJUSTED=Adjusted","Sort=A","Dates=H","DateFormat=P","Fill=—","Direction=H","UseDPDF=Y")</f>
        <v>20.671199999999999</v>
      </c>
      <c r="I21" s="26">
        <f>_xll.BDH("BLUE US Equity","DILUTED_EPS_AFT_XO_ITEMS_GROWTH","FQ4 2020","FQ4 2020","Currency=USD","Period=FQ","BEST_FPERIOD_OVERRIDE=FQ","FILING_STATUS=MR","FA_ADJUSTED=Adjusted","Sort=A","Dates=H","DateFormat=P","Fill=—","Direction=H","UseDPDF=Y")</f>
        <v>48.998800000000003</v>
      </c>
      <c r="J21" s="26">
        <f>_xll.BDH("BLUE US Equity","DILUTED_EPS_AFT_XO_ITEMS_GROWTH","FQ1 2021","FQ1 2021","Currency=USD","Period=FQ","BEST_FPERIOD_OVERRIDE=FQ","FILING_STATUS=MR","FA_ADJUSTED=Adjusted","Sort=A","Dates=H","DateFormat=P","Fill=—","Direction=H","UseDPDF=Y")</f>
        <v>41.867699999999999</v>
      </c>
      <c r="K21" s="26">
        <f>_xll.BDH("BLUE US Equity","DILUTED_EPS_AFT_XO_ITEMS_GROWTH","FQ2 2021","FQ2 2021","Currency=USD","Period=FQ","BEST_FPERIOD_OVERRIDE=FQ","FILING_STATUS=MR","FA_ADJUSTED=Adjusted","Sort=A","Dates=H","DateFormat=P","Fill=—","Direction=H","UseDPDF=Y")</f>
        <v>-838.26570000000004</v>
      </c>
      <c r="L21" s="26">
        <f>_xll.BDH("BLUE US Equity","DILUTED_EPS_AFT_XO_ITEMS_GROWTH","FQ3 2021","FQ3 2021","Currency=USD","Period=FQ","BEST_FPERIOD_OVERRIDE=FQ","FILING_STATUS=MR","FA_ADJUSTED=Adjusted","Sort=A","Dates=H","DateFormat=P","Fill=—","Direction=H","UseDPDF=Y")</f>
        <v>21.051100000000002</v>
      </c>
      <c r="M21" s="26">
        <f>_xll.BDH("BLUE US Equity","DILUTED_EPS_AFT_XO_ITEMS_GROWTH","FQ4 2021","FQ4 2021","Currency=USD","Period=FQ","BEST_FPERIOD_OVERRIDE=FQ","FILING_STATUS=MR","FA_ADJUSTED=Adjusted","Sort=A","Dates=H","DateFormat=P","Fill=—","Direction=H","UseDPDF=Y")</f>
        <v>11.222899999999999</v>
      </c>
      <c r="N21" s="26">
        <f>_xll.BDH("BLUE US Equity","DILUTED_EPS_AFT_XO_ITEMS_GROWTH","FQ1 2022","FQ1 2022","Currency=USD","Period=FQ","BEST_FPERIOD_OVERRIDE=FQ","FILING_STATUS=MR","FA_ADJUSTED=Adjusted","Sort=A","Dates=H","DateFormat=P","Fill=—","Direction=H","UseDPDF=Y")</f>
        <v>23.8445</v>
      </c>
      <c r="O21" s="26">
        <f>_xll.BDH("BLUE US Equity","DILUTED_EPS_AFT_XO_ITEMS_GROWTH","FQ2 2022","FQ2 2022","Currency=USD","Period=FQ","BEST_FPERIOD_OVERRIDE=FQ","FILING_STATUS=MR","FA_ADJUSTED=Adjusted","Sort=A","Dates=H","DateFormat=P","Fill=—","Direction=H","UseDPDF=Y")</f>
        <v>64.193899999999999</v>
      </c>
      <c r="P21" s="26">
        <f>_xll.BDH("BLUE US Equity","DILUTED_EPS_AFT_XO_ITEMS_GROWTH","FQ3 2022","FQ3 2022","Currency=USD","Period=FQ","BEST_FPERIOD_OVERRIDE=FQ","FILING_STATUS=MR","FA_ADJUSTED=Adjusted","Sort=A","Dates=H","DateFormat=P","Fill=—","Direction=H","UseDPDF=Y")</f>
        <v>60.2348</v>
      </c>
      <c r="Q21" s="26">
        <f>_xll.BDH("BLUE US Equity","DILUTED_EPS_AFT_XO_ITEMS_GROWTH","FQ4 2022","FQ4 2022","Currency=USD","Period=FQ","BEST_FPERIOD_OVERRIDE=FQ","FILING_STATUS=MR","FA_ADJUSTED=Adjusted","Sort=A","Dates=H","DateFormat=P","Fill=—","Direction=H","UseDPDF=Y")</f>
        <v>89.012600000000006</v>
      </c>
      <c r="R21" s="26">
        <f>_xll.BDH("BLUE US Equity","DILUTED_EPS_AFT_XO_ITEMS_GROWTH","FQ1 2023","FQ1 2023","Currency=USD","Period=FQ","BEST_FPERIOD_OVERRIDE=FQ","FILING_STATUS=MR","FA_ADJUSTED=Adjusted","Sort=A","Dates=H","DateFormat=P","Fill=—","Direction=H","UseDPDF=Y")</f>
        <v>67.505399999999995</v>
      </c>
      <c r="S21" s="26">
        <f>_xll.BDH("BLUE US Equity","DILUTED_EPS_AFT_XO_ITEMS_GROWTH","FQ2 2023","FQ2 2023","Currency=USD","Period=FQ","BEST_FPERIOD_OVERRIDE=FQ","FILING_STATUS=MR","FA_ADJUSTED=Adjusted","Sort=A","Dates=H","DateFormat=P","Fill=—","Direction=H","UseDPDF=Y")</f>
        <v>54.764800000000001</v>
      </c>
      <c r="T21" s="26">
        <f>_xll.BDH("BLUE US Equity","DILUTED_EPS_AFT_XO_ITEMS_GROWTH","FQ3 2023","FQ3 2023","Currency=USD","Period=FQ","BEST_FPERIOD_OVERRIDE=FQ","FILING_STATUS=MR","FA_ADJUSTED=Adjusted","Sort=A","Dates=H","DateFormat=P","Fill=—","Direction=H","UseDPDF=Y")</f>
        <v>13.6151</v>
      </c>
      <c r="U21" s="26">
        <f>_xll.BDH("BLUE US Equity","DILUTED_EPS_AFT_XO_ITEMS_GROWTH","FQ4 2023","FQ4 2023","Currency=USD","Period=FQ","BEST_FPERIOD_OVERRIDE=FQ","FILING_STATUS=MR","FA_ADJUSTED=Adjusted","Sort=A","Dates=H","DateFormat=P","Fill=—","Direction=H","UseDPDF=Y")</f>
        <v>-273.23869999999999</v>
      </c>
      <c r="V21" s="26">
        <f>_xll.BDH("BLUE US Equity","DILUTED_EPS_AFT_XO_ITEMS_GROWTH","FQ1 2024","FQ1 2024","Currency=USD","Period=FQ","BEST_FPERIOD_OVERRIDE=FQ","FILING_STATUS=MR","FA_ADJUSTED=Adjusted","Sort=A","Dates=H","DateFormat=P","Fill=—","Direction=H","UseDPDF=Y")</f>
        <v>32.1616</v>
      </c>
      <c r="W21" s="26">
        <f>_xll.BDH("BLUE US Equity","DILUTED_EPS_AFT_XO_ITEMS_GROWTH","FQ2 2024","FQ2 2024","Currency=USD","Period=FQ","BEST_FPERIOD_OVERRIDE=FQ","FILING_STATUS=MR","FA_ADJUSTED=Adjusted","Sort=A","Dates=H","DateFormat=P","Fill=—","Direction=H","UseDPDF=Y")</f>
        <v>27.586200000000002</v>
      </c>
      <c r="X21" s="26">
        <f>_xll.BDH("BLUE US Equity","DILUTED_EPS_AFT_XO_ITEMS_GROWTH","FQ3 2024","FQ3 2024","Currency=USD","Period=FQ","BEST_FPERIOD_OVERRIDE=FQ","FILING_STATUS=MR","FA_ADJUSTED=Adjusted","Sort=A","Dates=H","DateFormat=P","Fill=—","Direction=H","UseDPDF=Y")</f>
        <v>62.229599999999998</v>
      </c>
      <c r="Y21" s="26">
        <f>_xll.BDH("BLUE US Equity","DILUTED_EPS_AFT_XO_ITEMS_GROWTH","FQ4 2024","FQ4 2024","Currency=USD","Period=FQ","BEST_FPERIOD_OVERRIDE=FQ","FILING_STATUS=MR","FA_ADJUSTED=Adjusted","Sort=A","Dates=H","DateFormat=P","Fill=—","Direction=H","UseDPDF=Y")</f>
        <v>80.162999999999997</v>
      </c>
      <c r="Z21" s="26">
        <v>59.2916666666667</v>
      </c>
      <c r="AA21" s="26">
        <v>81.964285714285694</v>
      </c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6" t="s">
        <v>84</v>
      </c>
      <c r="B23" s="6" t="s">
        <v>85</v>
      </c>
      <c r="C23" s="19">
        <f>_xll.BDH("BLUE US Equity","CF_CASH_FROM_OPER","FQ2 2019","FQ2 2019","Currency=USD","Period=FQ","BEST_FPERIOD_OVERRIDE=FQ","FILING_STATUS=MR","SCALING_FORMAT=MLN","Sort=A","Dates=H","DateFormat=P","Fill=—","Direction=H","UseDPDF=Y")</f>
        <v>-137.87299999999999</v>
      </c>
      <c r="D23" s="19">
        <f>_xll.BDH("BLUE US Equity","CF_CASH_FROM_OPER","FQ3 2019","FQ3 2019","Currency=USD","Period=FQ","BEST_FPERIOD_OVERRIDE=FQ","FILING_STATUS=MR","SCALING_FORMAT=MLN","Sort=A","Dates=H","DateFormat=P","Fill=—","Direction=H","UseDPDF=Y")</f>
        <v>-113.381</v>
      </c>
      <c r="E23" s="19">
        <f>_xll.BDH("BLUE US Equity","CF_CASH_FROM_OPER","FQ4 2019","FQ4 2019","Currency=USD","Period=FQ","BEST_FPERIOD_OVERRIDE=FQ","FILING_STATUS=MR","SCALING_FORMAT=MLN","Sort=A","Dates=H","DateFormat=P","Fill=—","Direction=H","UseDPDF=Y")</f>
        <v>-158.976</v>
      </c>
      <c r="F23" s="19">
        <f>_xll.BDH("BLUE US Equity","CF_CASH_FROM_OPER","FQ1 2020","FQ1 2020","Currency=USD","Period=FQ","BEST_FPERIOD_OVERRIDE=FQ","FILING_STATUS=MR","SCALING_FORMAT=MLN","Sort=A","Dates=H","DateFormat=P","Fill=—","Direction=H","UseDPDF=Y")</f>
        <v>-206.12100000000001</v>
      </c>
      <c r="G23" s="19">
        <f>_xll.BDH("BLUE US Equity","CF_CASH_FROM_OPER","FQ2 2020","FQ2 2020","Currency=USD","Period=FQ","BEST_FPERIOD_OVERRIDE=FQ","FILING_STATUS=MR","SCALING_FORMAT=MLN","Sort=A","Dates=H","DateFormat=P","Fill=—","Direction=H","UseDPDF=Y")</f>
        <v>39.743000000000002</v>
      </c>
      <c r="H23" s="19">
        <f>_xll.BDH("BLUE US Equity","CF_CASH_FROM_OPER","FQ3 2020","FQ3 2020","Currency=USD","Period=FQ","BEST_FPERIOD_OVERRIDE=FQ","FILING_STATUS=MR","SCALING_FORMAT=MLN","Sort=A","Dates=H","DateFormat=P","Fill=—","Direction=H","UseDPDF=Y")</f>
        <v>-148.78</v>
      </c>
      <c r="I23" s="19">
        <f>_xll.BDH("BLUE US Equity","CF_CASH_FROM_OPER","FQ4 2020","FQ4 2020","Currency=USD","Period=FQ","BEST_FPERIOD_OVERRIDE=FQ","FILING_STATUS=MR","SCALING_FORMAT=MLN","Sort=A","Dates=H","DateFormat=P","Fill=—","Direction=H","UseDPDF=Y")</f>
        <v>-155.19300000000001</v>
      </c>
      <c r="J23" s="19">
        <f>_xll.BDH("BLUE US Equity","CF_CASH_FROM_OPER","FQ1 2021","FQ1 2021","Currency=USD","Period=FQ","BEST_FPERIOD_OVERRIDE=FQ","FILING_STATUS=MR","SCALING_FORMAT=MLN","Sort=A","Dates=H","DateFormat=P","Fill=—","Direction=H","UseDPDF=Y")</f>
        <v>-203.327</v>
      </c>
      <c r="K23" s="19">
        <f>_xll.BDH("BLUE US Equity","CF_CASH_FROM_OPER","FQ2 2021","FQ2 2021","Currency=USD","Period=FQ","BEST_FPERIOD_OVERRIDE=FQ","FILING_STATUS=MR","SCALING_FORMAT=MLN","Sort=A","Dates=H","DateFormat=P","Fill=—","Direction=H","UseDPDF=Y")</f>
        <v>-145.648</v>
      </c>
      <c r="L23" s="19">
        <f>_xll.BDH("BLUE US Equity","CF_CASH_FROM_OPER","FQ3 2021","FQ3 2021","Currency=USD","Period=FQ","BEST_FPERIOD_OVERRIDE=FQ","FILING_STATUS=MR","SCALING_FORMAT=MLN","Sort=A","Dates=H","DateFormat=P","Fill=—","Direction=H","UseDPDF=Y")</f>
        <v>-146.93899999999999</v>
      </c>
      <c r="M23" s="19">
        <f>_xll.BDH("BLUE US Equity","CF_CASH_FROM_OPER","FQ4 2021","FQ4 2021","Currency=USD","Period=FQ","BEST_FPERIOD_OVERRIDE=FQ","FILING_STATUS=MR","SCALING_FORMAT=MLN","Sort=A","Dates=H","DateFormat=P","Fill=—","Direction=H","UseDPDF=Y")</f>
        <v>-139.72499999999999</v>
      </c>
      <c r="N23" s="19">
        <f>_xll.BDH("BLUE US Equity","CF_CASH_FROM_OPER","FQ1 2022","FQ1 2022","Currency=USD","Period=FQ","BEST_FPERIOD_OVERRIDE=FQ","FILING_STATUS=MR","SCALING_FORMAT=MLN","Sort=A","Dates=H","DateFormat=P","Fill=—","Direction=H","UseDPDF=Y")</f>
        <v>-125.29600000000001</v>
      </c>
      <c r="O23" s="19">
        <f>_xll.BDH("BLUE US Equity","CF_CASH_FROM_OPER","FQ2 2022","FQ2 2022","Currency=USD","Period=FQ","BEST_FPERIOD_OVERRIDE=FQ","FILING_STATUS=MR","SCALING_FORMAT=MLN","Sort=A","Dates=H","DateFormat=P","Fill=—","Direction=H","UseDPDF=Y")</f>
        <v>-94.358000000000004</v>
      </c>
      <c r="P23" s="19">
        <f>_xll.BDH("BLUE US Equity","CF_CASH_FROM_OPER","FQ3 2022","FQ3 2022","Currency=USD","Period=FQ","BEST_FPERIOD_OVERRIDE=FQ","FILING_STATUS=MR","SCALING_FORMAT=MLN","Sort=A","Dates=H","DateFormat=P","Fill=—","Direction=H","UseDPDF=Y")</f>
        <v>-77.025999999999996</v>
      </c>
      <c r="Q23" s="19">
        <f>_xll.BDH("BLUE US Equity","CF_CASH_FROM_OPER","FQ4 2022","FQ4 2022","Currency=USD","Period=FQ","BEST_FPERIOD_OVERRIDE=FQ","FILING_STATUS=MR","SCALING_FORMAT=MLN","Sort=A","Dates=H","DateFormat=P","Fill=—","Direction=H","UseDPDF=Y")</f>
        <v>-19.539000000000001</v>
      </c>
      <c r="R23" s="19">
        <f>_xll.BDH("BLUE US Equity","CF_CASH_FROM_OPER","FQ1 2023","FQ1 2023","Currency=USD","Period=FQ","BEST_FPERIOD_OVERRIDE=FQ","FILING_STATUS=MR","SCALING_FORMAT=MLN","Sort=A","Dates=H","DateFormat=P","Fill=—","Direction=H","UseDPDF=Y")</f>
        <v>-71.358000000000004</v>
      </c>
      <c r="S23" s="19">
        <f>_xll.BDH("BLUE US Equity","CF_CASH_FROM_OPER","FQ2 2023","FQ2 2023","Currency=USD","Period=FQ","BEST_FPERIOD_OVERRIDE=FQ","FILING_STATUS=MR","SCALING_FORMAT=MLN","Sort=A","Dates=H","DateFormat=P","Fill=—","Direction=H","UseDPDF=Y")</f>
        <v>-59.500999999999998</v>
      </c>
      <c r="T23" s="19">
        <f>_xll.BDH("BLUE US Equity","CF_CASH_FROM_OPER","FQ3 2023","FQ3 2023","Currency=USD","Period=FQ","BEST_FPERIOD_OVERRIDE=FQ","FILING_STATUS=MR","SCALING_FORMAT=MLN","Sort=A","Dates=H","DateFormat=P","Fill=—","Direction=H","UseDPDF=Y")</f>
        <v>-50.051000000000002</v>
      </c>
      <c r="U23" s="19">
        <f>_xll.BDH("BLUE US Equity","CF_CASH_FROM_OPER","FQ4 2023","FQ4 2023","Currency=USD","Period=FQ","BEST_FPERIOD_OVERRIDE=FQ","FILING_STATUS=MR","SCALING_FORMAT=MLN","Sort=A","Dates=H","DateFormat=P","Fill=—","Direction=H","UseDPDF=Y")</f>
        <v>-13.837</v>
      </c>
      <c r="V23" s="19">
        <f>_xll.BDH("BLUE US Equity","CF_CASH_FROM_OPER","FQ1 2024","FQ1 2024","Currency=USD","Period=FQ","BEST_FPERIOD_OVERRIDE=FQ","FILING_STATUS=MR","SCALING_FORMAT=MLN","Sort=A","Dates=H","DateFormat=P","Fill=—","Direction=H","UseDPDF=Y")</f>
        <v>-74.676000000000002</v>
      </c>
      <c r="W23" s="19">
        <f>_xll.BDH("BLUE US Equity","CF_CASH_FROM_OPER","FQ2 2024","FQ2 2024","Currency=USD","Period=FQ","BEST_FPERIOD_OVERRIDE=FQ","FILING_STATUS=MR","SCALING_FORMAT=MLN","Sort=A","Dates=H","DateFormat=P","Fill=—","Direction=H","UseDPDF=Y")</f>
        <v>-66.251999999999995</v>
      </c>
      <c r="X23" s="19">
        <f>_xll.BDH("BLUE US Equity","CF_CASH_FROM_OPER","FQ3 2024","FQ3 2024","Currency=USD","Period=FQ","BEST_FPERIOD_OVERRIDE=FQ","FILING_STATUS=MR","SCALING_FORMAT=MLN","Sort=A","Dates=H","DateFormat=P","Fill=—","Direction=H","UseDPDF=Y")</f>
        <v>-68.927999999999997</v>
      </c>
      <c r="Y23" s="19">
        <f>_xll.BDH("BLUE US Equity","CF_CASH_FROM_OPER","FQ4 2024","FQ4 2024","Currency=USD","Period=FQ","BEST_FPERIOD_OVERRIDE=FQ","FILING_STATUS=MR","SCALING_FORMAT=MLN","Sort=A","Dates=H","DateFormat=P","Fill=—","Direction=H","UseDPDF=Y")</f>
        <v>-50.164000000000001</v>
      </c>
      <c r="Z23" s="19"/>
      <c r="AA23" s="19"/>
    </row>
    <row r="24" spans="1:27" x14ac:dyDescent="0.25">
      <c r="A24" s="6" t="s">
        <v>86</v>
      </c>
      <c r="B24" s="6" t="s">
        <v>87</v>
      </c>
      <c r="C24" s="19">
        <f>_xll.BDH("BLUE US Equity","CAPITAL_EXPEND","FQ2 2019","FQ2 2019","Currency=USD","Period=FQ","BEST_FPERIOD_OVERRIDE=FQ","FILING_STATUS=MR","SCALING_FORMAT=MLN","Sort=A","Dates=H","DateFormat=P","Fill=—","Direction=H","UseDPDF=Y")</f>
        <v>-18.603999999999999</v>
      </c>
      <c r="D24" s="19">
        <f>_xll.BDH("BLUE US Equity","CAPITAL_EXPEND","FQ3 2019","FQ3 2019","Currency=USD","Period=FQ","BEST_FPERIOD_OVERRIDE=FQ","FILING_STATUS=MR","SCALING_FORMAT=MLN","Sort=A","Dates=H","DateFormat=P","Fill=—","Direction=H","UseDPDF=Y")</f>
        <v>-20.713000000000001</v>
      </c>
      <c r="E24" s="19">
        <f>_xll.BDH("BLUE US Equity","CAPITAL_EXPEND","FQ4 2019","FQ4 2019","Currency=USD","Period=FQ","BEST_FPERIOD_OVERRIDE=FQ","FILING_STATUS=MR","SCALING_FORMAT=MLN","Sort=A","Dates=H","DateFormat=P","Fill=—","Direction=H","UseDPDF=Y")</f>
        <v>-12.39</v>
      </c>
      <c r="F24" s="19">
        <f>_xll.BDH("BLUE US Equity","CAPITAL_EXPEND","FQ1 2020","FQ1 2020","Currency=USD","Period=FQ","BEST_FPERIOD_OVERRIDE=FQ","FILING_STATUS=MR","SCALING_FORMAT=MLN","Sort=A","Dates=H","DateFormat=P","Fill=—","Direction=H","UseDPDF=Y")</f>
        <v>-10.676</v>
      </c>
      <c r="G24" s="19">
        <f>_xll.BDH("BLUE US Equity","CAPITAL_EXPEND","FQ2 2020","FQ2 2020","Currency=USD","Period=FQ","BEST_FPERIOD_OVERRIDE=FQ","FILING_STATUS=MR","SCALING_FORMAT=MLN","Sort=A","Dates=H","DateFormat=P","Fill=—","Direction=H","UseDPDF=Y")</f>
        <v>-4.8019999999999996</v>
      </c>
      <c r="H24" s="19">
        <f>_xll.BDH("BLUE US Equity","CAPITAL_EXPEND","FQ3 2020","FQ3 2020","Currency=USD","Period=FQ","BEST_FPERIOD_OVERRIDE=FQ","FILING_STATUS=MR","SCALING_FORMAT=MLN","Sort=A","Dates=H","DateFormat=P","Fill=—","Direction=H","UseDPDF=Y")</f>
        <v>-5.62</v>
      </c>
      <c r="I24" s="19">
        <f>_xll.BDH("BLUE US Equity","CAPITAL_EXPEND","FQ4 2020","FQ4 2020","Currency=USD","Period=FQ","BEST_FPERIOD_OVERRIDE=FQ","FILING_STATUS=MR","SCALING_FORMAT=MLN","Sort=A","Dates=H","DateFormat=P","Fill=—","Direction=H","UseDPDF=Y")</f>
        <v>-7.8879999999999999</v>
      </c>
      <c r="J24" s="19">
        <f>_xll.BDH("BLUE US Equity","CAPITAL_EXPEND","FQ1 2021","FQ1 2021","Currency=USD","Period=FQ","BEST_FPERIOD_OVERRIDE=FQ","FILING_STATUS=MR","SCALING_FORMAT=MLN","Sort=A","Dates=H","DateFormat=P","Fill=—","Direction=H","UseDPDF=Y")</f>
        <v>-7.6260000000000003</v>
      </c>
      <c r="K24" s="19">
        <f>_xll.BDH("BLUE US Equity","CAPITAL_EXPEND","FQ2 2021","FQ2 2021","Currency=USD","Period=FQ","BEST_FPERIOD_OVERRIDE=FQ","FILING_STATUS=MR","SCALING_FORMAT=MLN","Sort=A","Dates=H","DateFormat=P","Fill=—","Direction=H","UseDPDF=Y")</f>
        <v>-1.5780000000000001</v>
      </c>
      <c r="L24" s="19">
        <f>_xll.BDH("BLUE US Equity","CAPITAL_EXPEND","FQ3 2021","FQ3 2021","Currency=USD","Period=FQ","BEST_FPERIOD_OVERRIDE=FQ","FILING_STATUS=MR","SCALING_FORMAT=MLN","Sort=A","Dates=H","DateFormat=P","Fill=—","Direction=H","UseDPDF=Y")</f>
        <v>-3.74</v>
      </c>
      <c r="M24" s="19">
        <f>_xll.BDH("BLUE US Equity","CAPITAL_EXPEND","FQ4 2021","FQ4 2021","Currency=USD","Period=FQ","BEST_FPERIOD_OVERRIDE=FQ","FILING_STATUS=MR","SCALING_FORMAT=MLN","Sort=A","Dates=H","DateFormat=P","Fill=—","Direction=H","UseDPDF=Y")</f>
        <v>-1.5589999999999999</v>
      </c>
      <c r="N24" s="19">
        <f>_xll.BDH("BLUE US Equity","CAPITAL_EXPEND","FQ1 2022","FQ1 2022","Currency=USD","Period=FQ","BEST_FPERIOD_OVERRIDE=FQ","FILING_STATUS=MR","SCALING_FORMAT=MLN","Sort=A","Dates=H","DateFormat=P","Fill=—","Direction=H","UseDPDF=Y")</f>
        <v>-0.85699999999999998</v>
      </c>
      <c r="O24" s="19">
        <f>_xll.BDH("BLUE US Equity","CAPITAL_EXPEND","FQ2 2022","FQ2 2022","Currency=USD","Period=FQ","BEST_FPERIOD_OVERRIDE=FQ","FILING_STATUS=MR","SCALING_FORMAT=MLN","Sort=A","Dates=H","DateFormat=P","Fill=—","Direction=H","UseDPDF=Y")</f>
        <v>-5.9790000000000001</v>
      </c>
      <c r="P24" s="19">
        <f>_xll.BDH("BLUE US Equity","CAPITAL_EXPEND","FQ3 2022","FQ3 2022","Currency=USD","Period=FQ","BEST_FPERIOD_OVERRIDE=FQ","FILING_STATUS=MR","SCALING_FORMAT=MLN","Sort=A","Dates=H","DateFormat=P","Fill=—","Direction=H","UseDPDF=Y")</f>
        <v>-1.264</v>
      </c>
      <c r="Q24" s="19">
        <f>_xll.BDH("BLUE US Equity","CAPITAL_EXPEND","FQ4 2022","FQ4 2022","Currency=USD","Period=FQ","BEST_FPERIOD_OVERRIDE=FQ","FILING_STATUS=MR","SCALING_FORMAT=MLN","Sort=A","Dates=H","DateFormat=P","Fill=—","Direction=H","UseDPDF=Y")</f>
        <v>-0.108</v>
      </c>
      <c r="R24" s="19">
        <f>_xll.BDH("BLUE US Equity","CAPITAL_EXPEND","FQ1 2023","FQ1 2023","Currency=USD","Period=FQ","BEST_FPERIOD_OVERRIDE=FQ","FILING_STATUS=MR","SCALING_FORMAT=MLN","Sort=A","Dates=H","DateFormat=P","Fill=—","Direction=H","UseDPDF=Y")</f>
        <v>-0.23200000000000001</v>
      </c>
      <c r="S24" s="19">
        <f>_xll.BDH("BLUE US Equity","CAPITAL_EXPEND","FQ2 2023","FQ2 2023","Currency=USD","Period=FQ","BEST_FPERIOD_OVERRIDE=FQ","FILING_STATUS=MR","SCALING_FORMAT=MLN","Sort=A","Dates=H","DateFormat=P","Fill=—","Direction=H","UseDPDF=Y")</f>
        <v>-0.70499999999999996</v>
      </c>
      <c r="T24" s="19">
        <f>_xll.BDH("BLUE US Equity","CAPITAL_EXPEND","FQ3 2023","FQ3 2023","Currency=USD","Period=FQ","BEST_FPERIOD_OVERRIDE=FQ","FILING_STATUS=MR","SCALING_FORMAT=MLN","Sort=A","Dates=H","DateFormat=P","Fill=—","Direction=H","UseDPDF=Y")</f>
        <v>-2.0379999999999998</v>
      </c>
      <c r="U24" s="19">
        <f>_xll.BDH("BLUE US Equity","CAPITAL_EXPEND","FQ4 2023","FQ4 2023","Currency=USD","Period=FQ","BEST_FPERIOD_OVERRIDE=FQ","FILING_STATUS=MR","SCALING_FORMAT=MLN","Sort=A","Dates=H","DateFormat=P","Fill=—","Direction=H","UseDPDF=Y")</f>
        <v>-1.214</v>
      </c>
      <c r="V24" s="19">
        <f>_xll.BDH("BLUE US Equity","CAPITAL_EXPEND","FQ1 2024","FQ1 2024","Currency=USD","Period=FQ","BEST_FPERIOD_OVERRIDE=FQ","FILING_STATUS=MR","SCALING_FORMAT=MLN","Sort=A","Dates=H","DateFormat=P","Fill=—","Direction=H","UseDPDF=Y")</f>
        <v>-1.7749999999999999</v>
      </c>
      <c r="W24" s="19">
        <f>_xll.BDH("BLUE US Equity","CAPITAL_EXPEND","FQ2 2024","FQ2 2024","Currency=USD","Period=FQ","BEST_FPERIOD_OVERRIDE=FQ","FILING_STATUS=MR","SCALING_FORMAT=MLN","Sort=A","Dates=H","DateFormat=P","Fill=—","Direction=H","UseDPDF=Y")</f>
        <v>-5.8999999999999997E-2</v>
      </c>
      <c r="X24" s="19">
        <f>_xll.BDH("BLUE US Equity","CAPITAL_EXPEND","FQ3 2024","FQ3 2024","Currency=USD","Period=FQ","BEST_FPERIOD_OVERRIDE=FQ","FILING_STATUS=MR","SCALING_FORMAT=MLN","Sort=A","Dates=H","DateFormat=P","Fill=—","Direction=H","UseDPDF=Y")</f>
        <v>-0.28000000000000003</v>
      </c>
      <c r="Y24" s="19">
        <f>_xll.BDH("BLUE US Equity","CAPITAL_EXPEND","FQ4 2024","FQ4 2024","Currency=USD","Period=FQ","BEST_FPERIOD_OVERRIDE=FQ","FILING_STATUS=MR","SCALING_FORMAT=MLN","Sort=A","Dates=H","DateFormat=P","Fill=—","Direction=H","UseDPDF=Y")</f>
        <v>-0.48499999999999999</v>
      </c>
      <c r="Z24" s="19">
        <v>-1.4970000000000001</v>
      </c>
      <c r="AA24" s="19">
        <v>-1.0469999999999999</v>
      </c>
    </row>
    <row r="25" spans="1:27" x14ac:dyDescent="0.25">
      <c r="A25" s="6" t="s">
        <v>88</v>
      </c>
      <c r="B25" s="6" t="s">
        <v>89</v>
      </c>
      <c r="C25" s="19">
        <f>_xll.BDH("BLUE US Equity","CF_FREE_CASH_FLOW","FQ2 2019","FQ2 2019","Currency=USD","Period=FQ","BEST_FPERIOD_OVERRIDE=FQ","FILING_STATUS=MR","SCALING_FORMAT=MLN","Sort=A","Dates=H","DateFormat=P","Fill=—","Direction=H","UseDPDF=Y")</f>
        <v>-156.477</v>
      </c>
      <c r="D25" s="19">
        <f>_xll.BDH("BLUE US Equity","CF_FREE_CASH_FLOW","FQ3 2019","FQ3 2019","Currency=USD","Period=FQ","BEST_FPERIOD_OVERRIDE=FQ","FILING_STATUS=MR","SCALING_FORMAT=MLN","Sort=A","Dates=H","DateFormat=P","Fill=—","Direction=H","UseDPDF=Y")</f>
        <v>-134.09399999999999</v>
      </c>
      <c r="E25" s="19">
        <f>_xll.BDH("BLUE US Equity","CF_FREE_CASH_FLOW","FQ4 2019","FQ4 2019","Currency=USD","Period=FQ","BEST_FPERIOD_OVERRIDE=FQ","FILING_STATUS=MR","SCALING_FORMAT=MLN","Sort=A","Dates=H","DateFormat=P","Fill=—","Direction=H","UseDPDF=Y")</f>
        <v>-171.36600000000001</v>
      </c>
      <c r="F25" s="19">
        <f>_xll.BDH("BLUE US Equity","CF_FREE_CASH_FLOW","FQ1 2020","FQ1 2020","Currency=USD","Period=FQ","BEST_FPERIOD_OVERRIDE=FQ","FILING_STATUS=MR","SCALING_FORMAT=MLN","Sort=A","Dates=H","DateFormat=P","Fill=—","Direction=H","UseDPDF=Y")</f>
        <v>-216.797</v>
      </c>
      <c r="G25" s="19">
        <f>_xll.BDH("BLUE US Equity","CF_FREE_CASH_FLOW","FQ2 2020","FQ2 2020","Currency=USD","Period=FQ","BEST_FPERIOD_OVERRIDE=FQ","FILING_STATUS=MR","SCALING_FORMAT=MLN","Sort=A","Dates=H","DateFormat=P","Fill=—","Direction=H","UseDPDF=Y")</f>
        <v>34.941000000000003</v>
      </c>
      <c r="H25" s="19">
        <f>_xll.BDH("BLUE US Equity","CF_FREE_CASH_FLOW","FQ3 2020","FQ3 2020","Currency=USD","Period=FQ","BEST_FPERIOD_OVERRIDE=FQ","FILING_STATUS=MR","SCALING_FORMAT=MLN","Sort=A","Dates=H","DateFormat=P","Fill=—","Direction=H","UseDPDF=Y")</f>
        <v>-154.4</v>
      </c>
      <c r="I25" s="19">
        <f>_xll.BDH("BLUE US Equity","CF_FREE_CASH_FLOW","FQ4 2020","FQ4 2020","Currency=USD","Period=FQ","BEST_FPERIOD_OVERRIDE=FQ","FILING_STATUS=MR","SCALING_FORMAT=MLN","Sort=A","Dates=H","DateFormat=P","Fill=—","Direction=H","UseDPDF=Y")</f>
        <v>-163.08099999999999</v>
      </c>
      <c r="J25" s="19">
        <f>_xll.BDH("BLUE US Equity","CF_FREE_CASH_FLOW","FQ1 2021","FQ1 2021","Currency=USD","Period=FQ","BEST_FPERIOD_OVERRIDE=FQ","FILING_STATUS=MR","SCALING_FORMAT=MLN","Sort=A","Dates=H","DateFormat=P","Fill=—","Direction=H","UseDPDF=Y")</f>
        <v>-210.953</v>
      </c>
      <c r="K25" s="19">
        <f>_xll.BDH("BLUE US Equity","CF_FREE_CASH_FLOW","FQ2 2021","FQ2 2021","Currency=USD","Period=FQ","BEST_FPERIOD_OVERRIDE=FQ","FILING_STATUS=MR","SCALING_FORMAT=MLN","Sort=A","Dates=H","DateFormat=P","Fill=—","Direction=H","UseDPDF=Y")</f>
        <v>-147.226</v>
      </c>
      <c r="L25" s="19">
        <f>_xll.BDH("BLUE US Equity","CF_FREE_CASH_FLOW","FQ3 2021","FQ3 2021","Currency=USD","Period=FQ","BEST_FPERIOD_OVERRIDE=FQ","FILING_STATUS=MR","SCALING_FORMAT=MLN","Sort=A","Dates=H","DateFormat=P","Fill=—","Direction=H","UseDPDF=Y")</f>
        <v>-150.679</v>
      </c>
      <c r="M25" s="19">
        <f>_xll.BDH("BLUE US Equity","CF_FREE_CASH_FLOW","FQ4 2021","FQ4 2021","Currency=USD","Period=FQ","BEST_FPERIOD_OVERRIDE=FQ","FILING_STATUS=MR","SCALING_FORMAT=MLN","Sort=A","Dates=H","DateFormat=P","Fill=—","Direction=H","UseDPDF=Y")</f>
        <v>-141.28399999999999</v>
      </c>
      <c r="N25" s="19">
        <f>_xll.BDH("BLUE US Equity","CF_FREE_CASH_FLOW","FQ1 2022","FQ1 2022","Currency=USD","Period=FQ","BEST_FPERIOD_OVERRIDE=FQ","FILING_STATUS=MR","SCALING_FORMAT=MLN","Sort=A","Dates=H","DateFormat=P","Fill=—","Direction=H","UseDPDF=Y")</f>
        <v>-126.15300000000001</v>
      </c>
      <c r="O25" s="19">
        <f>_xll.BDH("BLUE US Equity","CF_FREE_CASH_FLOW","FQ2 2022","FQ2 2022","Currency=USD","Period=FQ","BEST_FPERIOD_OVERRIDE=FQ","FILING_STATUS=MR","SCALING_FORMAT=MLN","Sort=A","Dates=H","DateFormat=P","Fill=—","Direction=H","UseDPDF=Y")</f>
        <v>-100.337</v>
      </c>
      <c r="P25" s="19">
        <f>_xll.BDH("BLUE US Equity","CF_FREE_CASH_FLOW","FQ3 2022","FQ3 2022","Currency=USD","Period=FQ","BEST_FPERIOD_OVERRIDE=FQ","FILING_STATUS=MR","SCALING_FORMAT=MLN","Sort=A","Dates=H","DateFormat=P","Fill=—","Direction=H","UseDPDF=Y")</f>
        <v>-78.290000000000006</v>
      </c>
      <c r="Q25" s="19">
        <f>_xll.BDH("BLUE US Equity","CF_FREE_CASH_FLOW","FQ4 2022","FQ4 2022","Currency=USD","Period=FQ","BEST_FPERIOD_OVERRIDE=FQ","FILING_STATUS=MR","SCALING_FORMAT=MLN","Sort=A","Dates=H","DateFormat=P","Fill=—","Direction=H","UseDPDF=Y")</f>
        <v>-19.646999999999998</v>
      </c>
      <c r="R25" s="19">
        <f>_xll.BDH("BLUE US Equity","CF_FREE_CASH_FLOW","FQ1 2023","FQ1 2023","Currency=USD","Period=FQ","BEST_FPERIOD_OVERRIDE=FQ","FILING_STATUS=MR","SCALING_FORMAT=MLN","Sort=A","Dates=H","DateFormat=P","Fill=—","Direction=H","UseDPDF=Y")</f>
        <v>-71.59</v>
      </c>
      <c r="S25" s="19">
        <f>_xll.BDH("BLUE US Equity","CF_FREE_CASH_FLOW","FQ2 2023","FQ2 2023","Currency=USD","Period=FQ","BEST_FPERIOD_OVERRIDE=FQ","FILING_STATUS=MR","SCALING_FORMAT=MLN","Sort=A","Dates=H","DateFormat=P","Fill=—","Direction=H","UseDPDF=Y")</f>
        <v>-60.206000000000003</v>
      </c>
      <c r="T25" s="19">
        <f>_xll.BDH("BLUE US Equity","CF_FREE_CASH_FLOW","FQ3 2023","FQ3 2023","Currency=USD","Period=FQ","BEST_FPERIOD_OVERRIDE=FQ","FILING_STATUS=MR","SCALING_FORMAT=MLN","Sort=A","Dates=H","DateFormat=P","Fill=—","Direction=H","UseDPDF=Y")</f>
        <v>-52.088999999999999</v>
      </c>
      <c r="U25" s="19">
        <f>_xll.BDH("BLUE US Equity","CF_FREE_CASH_FLOW","FQ4 2023","FQ4 2023","Currency=USD","Period=FQ","BEST_FPERIOD_OVERRIDE=FQ","FILING_STATUS=MR","SCALING_FORMAT=MLN","Sort=A","Dates=H","DateFormat=P","Fill=—","Direction=H","UseDPDF=Y")</f>
        <v>-15.051</v>
      </c>
      <c r="V25" s="19">
        <f>_xll.BDH("BLUE US Equity","CF_FREE_CASH_FLOW","FQ1 2024","FQ1 2024","Currency=USD","Period=FQ","BEST_FPERIOD_OVERRIDE=FQ","FILING_STATUS=MR","SCALING_FORMAT=MLN","Sort=A","Dates=H","DateFormat=P","Fill=—","Direction=H","UseDPDF=Y")</f>
        <v>-76.450999999999993</v>
      </c>
      <c r="W25" s="19">
        <f>_xll.BDH("BLUE US Equity","CF_FREE_CASH_FLOW","FQ2 2024","FQ2 2024","Currency=USD","Period=FQ","BEST_FPERIOD_OVERRIDE=FQ","FILING_STATUS=MR","SCALING_FORMAT=MLN","Sort=A","Dates=H","DateFormat=P","Fill=—","Direction=H","UseDPDF=Y")</f>
        <v>-66.311000000000007</v>
      </c>
      <c r="X25" s="19">
        <f>_xll.BDH("BLUE US Equity","CF_FREE_CASH_FLOW","FQ3 2024","FQ3 2024","Currency=USD","Period=FQ","BEST_FPERIOD_OVERRIDE=FQ","FILING_STATUS=MR","SCALING_FORMAT=MLN","Sort=A","Dates=H","DateFormat=P","Fill=—","Direction=H","UseDPDF=Y")</f>
        <v>-69.207999999999998</v>
      </c>
      <c r="Y25" s="19">
        <f>_xll.BDH("BLUE US Equity","CF_FREE_CASH_FLOW","FQ4 2024","FQ4 2024","Currency=USD","Period=FQ","BEST_FPERIOD_OVERRIDE=FQ","FILING_STATUS=MR","SCALING_FORMAT=MLN","Sort=A","Dates=H","DateFormat=P","Fill=—","Direction=H","UseDPDF=Y")</f>
        <v>-50.649000000000001</v>
      </c>
      <c r="Z25" s="19"/>
      <c r="AA25" s="19"/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6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374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_xll.BDH("BLUE US Equity","SALES_REV_TURN","FQ2 2019","FQ2 2019","Currency=USD","Period=FQ","BEST_FPERIOD_OVERRIDE=FQ","FILING_STATUS=MR","SCALING_FORMAT=MLN","FA_ADJUSTED=GAAP","Sort=A","Dates=H","DateFormat=P","Fill=—","Direction=H","UseDPDF=Y")</f>
        <v>13.295999999999999</v>
      </c>
      <c r="D6" s="19">
        <f>_xll.BDH("BLUE US Equity","SALES_REV_TURN","FQ3 2019","FQ3 2019","Currency=USD","Period=FQ","BEST_FPERIOD_OVERRIDE=FQ","FILING_STATUS=MR","SCALING_FORMAT=MLN","FA_ADJUSTED=GAAP","Sort=A","Dates=H","DateFormat=P","Fill=—","Direction=H","UseDPDF=Y")</f>
        <v>8.91</v>
      </c>
      <c r="E6" s="19">
        <f>_xll.BDH("BLUE US Equity","SALES_REV_TURN","FQ4 2019","FQ4 2019","Currency=USD","Period=FQ","BEST_FPERIOD_OVERRIDE=FQ","FILING_STATUS=MR","SCALING_FORMAT=MLN","FA_ADJUSTED=GAAP","Sort=A","Dates=H","DateFormat=P","Fill=—","Direction=H","UseDPDF=Y")</f>
        <v>9.9969999999999999</v>
      </c>
      <c r="F6" s="19">
        <f>_xll.BDH("BLUE US Equity","SALES_REV_TURN","FQ1 2020","FQ1 2020","Currency=USD","Period=FQ","BEST_FPERIOD_OVERRIDE=FQ","FILING_STATUS=MR","SCALING_FORMAT=MLN","FA_ADJUSTED=GAAP","Sort=A","Dates=H","DateFormat=P","Fill=—","Direction=H","UseDPDF=Y")</f>
        <v>21.863</v>
      </c>
      <c r="G6" s="19">
        <f>_xll.BDH("BLUE US Equity","SALES_REV_TURN","FQ2 2020","FQ2 2020","Currency=USD","Period=FQ","BEST_FPERIOD_OVERRIDE=FQ","FILING_STATUS=MR","SCALING_FORMAT=MLN","FA_ADJUSTED=GAAP","Sort=A","Dates=H","DateFormat=P","Fill=—","Direction=H","UseDPDF=Y")</f>
        <v>198.89</v>
      </c>
      <c r="H6" s="19">
        <f>_xll.BDH("BLUE US Equity","SALES_REV_TURN","FQ3 2020","FQ3 2020","Currency=USD","Period=FQ","BEST_FPERIOD_OVERRIDE=FQ","FILING_STATUS=MR","SCALING_FORMAT=MLN","FA_ADJUSTED=GAAP","Sort=A","Dates=H","DateFormat=P","Fill=—","Direction=H","UseDPDF=Y")</f>
        <v>19.273</v>
      </c>
      <c r="I6" s="19">
        <f>_xll.BDH("BLUE US Equity","SALES_REV_TURN","FQ4 2020","FQ4 2020","Currency=USD","Period=FQ","BEST_FPERIOD_OVERRIDE=FQ","FILING_STATUS=MR","SCALING_FORMAT=MLN","FA_ADJUSTED=GAAP","Sort=A","Dates=H","DateFormat=P","Fill=—","Direction=H","UseDPDF=Y")</f>
        <v>0</v>
      </c>
      <c r="J6" s="19">
        <f>_xll.BDH("BLUE US Equity","SALES_REV_TURN","FQ1 2021","FQ1 2021","Currency=USD","Period=FQ","BEST_FPERIOD_OVERRIDE=FQ","FILING_STATUS=MR","SCALING_FORMAT=MLN","FA_ADJUSTED=GAAP","Sort=A","Dates=H","DateFormat=P","Fill=—","Direction=H","UseDPDF=Y")</f>
        <v>0.89400000000000002</v>
      </c>
      <c r="K6" s="19">
        <f>_xll.BDH("BLUE US Equity","SALES_REV_TURN","FQ2 2021","FQ2 2021","Currency=USD","Period=FQ","BEST_FPERIOD_OVERRIDE=FQ","FILING_STATUS=MR","SCALING_FORMAT=MLN","FA_ADJUSTED=GAAP","Sort=A","Dates=H","DateFormat=P","Fill=—","Direction=H","UseDPDF=Y")</f>
        <v>7.4720000000000004</v>
      </c>
      <c r="L6" s="19">
        <f>_xll.BDH("BLUE US Equity","SALES_REV_TURN","FQ3 2021","FQ3 2021","Currency=USD","Period=FQ","BEST_FPERIOD_OVERRIDE=FQ","FILING_STATUS=MR","SCALING_FORMAT=MLN","FA_ADJUSTED=GAAP","Sort=A","Dates=H","DateFormat=P","Fill=—","Direction=H","UseDPDF=Y")</f>
        <v>1.0189999999999999</v>
      </c>
      <c r="M6" s="19">
        <f>_xll.BDH("BLUE US Equity","SALES_REV_TURN","FQ4 2021","FQ4 2021","Currency=USD","Period=FQ","BEST_FPERIOD_OVERRIDE=FQ","FILING_STATUS=MR","SCALING_FORMAT=MLN","FA_ADJUSTED=GAAP","Sort=A","Dates=H","DateFormat=P","Fill=—","Direction=H","UseDPDF=Y")</f>
        <v>1.6060000000000001</v>
      </c>
      <c r="N6" s="19">
        <f>_xll.BDH("BLUE US Equity","SALES_REV_TURN","FQ1 2022","FQ1 2022","Currency=USD","Period=FQ","BEST_FPERIOD_OVERRIDE=FQ","FILING_STATUS=MR","SCALING_FORMAT=MLN","FA_ADJUSTED=GAAP","Sort=A","Dates=H","DateFormat=P","Fill=—","Direction=H","UseDPDF=Y")</f>
        <v>1.9450000000000001</v>
      </c>
      <c r="O6" s="19">
        <f>_xll.BDH("BLUE US Equity","SALES_REV_TURN","FQ2 2022","FQ2 2022","Currency=USD","Period=FQ","BEST_FPERIOD_OVERRIDE=FQ","FILING_STATUS=MR","SCALING_FORMAT=MLN","FA_ADJUSTED=GAAP","Sort=A","Dates=H","DateFormat=P","Fill=—","Direction=H","UseDPDF=Y")</f>
        <v>1.5189999999999999</v>
      </c>
      <c r="P6" s="19">
        <f>_xll.BDH("BLUE US Equity","SALES_REV_TURN","FQ3 2022","FQ3 2022","Currency=USD","Period=FQ","BEST_FPERIOD_OVERRIDE=FQ","FILING_STATUS=MR","SCALING_FORMAT=MLN","FA_ADJUSTED=GAAP","Sort=A","Dates=H","DateFormat=P","Fill=—","Direction=H","UseDPDF=Y")</f>
        <v>7.0999999999999994E-2</v>
      </c>
      <c r="Q6" s="19">
        <f>_xll.BDH("BLUE US Equity","SALES_REV_TURN","FQ4 2022","FQ4 2022","Currency=USD","Period=FQ","BEST_FPERIOD_OVERRIDE=FQ","FILING_STATUS=MR","SCALING_FORMAT=MLN","FA_ADJUSTED=GAAP","Sort=A","Dates=H","DateFormat=P","Fill=—","Direction=H","UseDPDF=Y")</f>
        <v>6.2E-2</v>
      </c>
      <c r="R6" s="19">
        <f>_xll.BDH("BLUE US Equity","SALES_REV_TURN","FQ1 2023","FQ1 2023","Currency=USD","Period=FQ","BEST_FPERIOD_OVERRIDE=FQ","FILING_STATUS=MR","SCALING_FORMAT=MLN","FA_ADJUSTED=GAAP","Sort=A","Dates=H","DateFormat=P","Fill=—","Direction=H","UseDPDF=Y")</f>
        <v>2.3809999999999998</v>
      </c>
      <c r="S6" s="19">
        <f>_xll.BDH("BLUE US Equity","SALES_REV_TURN","FQ2 2023","FQ2 2023","Currency=USD","Period=FQ","BEST_FPERIOD_OVERRIDE=FQ","FILING_STATUS=MR","SCALING_FORMAT=MLN","FA_ADJUSTED=GAAP","Sort=A","Dates=H","DateFormat=P","Fill=—","Direction=H","UseDPDF=Y")</f>
        <v>6.89</v>
      </c>
      <c r="T6" s="19">
        <f>_xll.BDH("BLUE US Equity","SALES_REV_TURN","FQ3 2023","FQ3 2023","Currency=USD","Period=FQ","BEST_FPERIOD_OVERRIDE=FQ","FILING_STATUS=MR","SCALING_FORMAT=MLN","FA_ADJUSTED=GAAP","Sort=A","Dates=H","DateFormat=P","Fill=—","Direction=H","UseDPDF=Y")</f>
        <v>12.391999999999999</v>
      </c>
      <c r="U6" s="19">
        <f>_xll.BDH("BLUE US Equity","SALES_REV_TURN","FQ4 2023","FQ4 2023","Currency=USD","Period=FQ","BEST_FPERIOD_OVERRIDE=FQ","FILING_STATUS=MR","SCALING_FORMAT=MLN","FA_ADJUSTED=GAAP","Sort=A","Dates=H","DateFormat=P","Fill=—","Direction=H","UseDPDF=Y")</f>
        <v>7.8339999999999996</v>
      </c>
      <c r="V6" s="19">
        <f>_xll.BDH("BLUE US Equity","SALES_REV_TURN","FQ1 2024","FQ1 2024","Currency=USD","Period=FQ","BEST_FPERIOD_OVERRIDE=FQ","FILING_STATUS=MR","SCALING_FORMAT=MLN","FA_ADJUSTED=GAAP","Sort=A","Dates=H","DateFormat=P","Fill=—","Direction=H","UseDPDF=Y")</f>
        <v>18.573</v>
      </c>
      <c r="W6" s="19">
        <f>_xll.BDH("BLUE US Equity","SALES_REV_TURN","FQ2 2024","FQ2 2024","Currency=USD","Period=FQ","BEST_FPERIOD_OVERRIDE=FQ","FILING_STATUS=MR","SCALING_FORMAT=MLN","FA_ADJUSTED=GAAP","Sort=A","Dates=H","DateFormat=P","Fill=—","Direction=H","UseDPDF=Y")</f>
        <v>16.100999999999999</v>
      </c>
      <c r="X6" s="19">
        <f>_xll.BDH("BLUE US Equity","SALES_REV_TURN","FQ3 2024","FQ3 2024","Currency=USD","Period=FQ","BEST_FPERIOD_OVERRIDE=FQ","FILING_STATUS=MR","SCALING_FORMAT=MLN","FA_ADJUSTED=GAAP","Sort=A","Dates=H","DateFormat=P","Fill=—","Direction=H","UseDPDF=Y")</f>
        <v>10.612</v>
      </c>
      <c r="Y6" s="19">
        <f>_xll.BDH("BLUE US Equity","SALES_REV_TURN","FQ4 2024","FQ4 2024","Currency=USD","Period=FQ","BEST_FPERIOD_OVERRIDE=FQ","FILING_STATUS=MR","SCALING_FORMAT=MLN","FA_ADJUSTED=GAAP","Sort=A","Dates=H","DateFormat=P","Fill=—","Direction=H","UseDPDF=Y")</f>
        <v>38.521000000000001</v>
      </c>
      <c r="Z6" s="19">
        <v>36.517000000000003</v>
      </c>
      <c r="AA6" s="19">
        <v>57.783000000000001</v>
      </c>
    </row>
    <row r="7" spans="1:27" x14ac:dyDescent="0.25">
      <c r="A7" s="10" t="s">
        <v>276</v>
      </c>
      <c r="B7" s="10" t="s">
        <v>277</v>
      </c>
      <c r="C7" s="13" t="str">
        <f>_xll.BDH("BLUE US Equity","IS_SALES_AND_SERVICES_REVENUES","FQ2 2019","FQ2 2019","Currency=USD","Period=FQ","BEST_FPERIOD_OVERRIDE=FQ","FILING_STATUS=MR","SCALING_FORMAT=MLN","FA_ADJUSTED=GAAP","Sort=A","Dates=H","DateFormat=P","Fill=—","Direction=H","UseDPDF=Y")</f>
        <v>—</v>
      </c>
      <c r="D7" s="13" t="str">
        <f>_xll.BDH("BLUE US Equity","IS_SALES_AND_SERVICES_REVENUES","FQ3 2019","FQ3 2019","Currency=USD","Period=FQ","BEST_FPERIOD_OVERRIDE=FQ","FILING_STATUS=MR","SCALING_FORMAT=MLN","FA_ADJUSTED=GAAP","Sort=A","Dates=H","DateFormat=P","Fill=—","Direction=H","UseDPDF=Y")</f>
        <v>—</v>
      </c>
      <c r="E7" s="13" t="str">
        <f>_xll.BDH("BLUE US Equity","IS_SALES_AND_SERVICES_REVENUES","FQ4 2019","FQ4 2019","Currency=USD","Period=FQ","BEST_FPERIOD_OVERRIDE=FQ","FILING_STATUS=MR","SCALING_FORMAT=MLN","FA_ADJUSTED=GAAP","Sort=A","Dates=H","DateFormat=P","Fill=—","Direction=H","UseDPDF=Y")</f>
        <v>—</v>
      </c>
      <c r="F7" s="13">
        <f>_xll.BDH("BLUE US Equity","IS_SALES_AND_SERVICES_REVENUES","FQ1 2020","FQ1 2020","Currency=USD","Period=FQ","BEST_FPERIOD_OVERRIDE=FQ","FILING_STATUS=MR","SCALING_FORMAT=MLN","FA_ADJUSTED=GAAP","Sort=A","Dates=H","DateFormat=P","Fill=—","Direction=H","UseDPDF=Y")</f>
        <v>16.832999999999998</v>
      </c>
      <c r="G7" s="13">
        <f>_xll.BDH("BLUE US Equity","IS_SALES_AND_SERVICES_REVENUES","FQ2 2020","FQ2 2020","Currency=USD","Period=FQ","BEST_FPERIOD_OVERRIDE=FQ","FILING_STATUS=MR","SCALING_FORMAT=MLN","FA_ADJUSTED=GAAP","Sort=A","Dates=H","DateFormat=P","Fill=—","Direction=H","UseDPDF=Y")</f>
        <v>78.356999999999999</v>
      </c>
      <c r="H7" s="13">
        <f>_xll.BDH("BLUE US Equity","IS_SALES_AND_SERVICES_REVENUES","FQ3 2020","FQ3 2020","Currency=USD","Period=FQ","BEST_FPERIOD_OVERRIDE=FQ","FILING_STATUS=MR","SCALING_FORMAT=MLN","FA_ADJUSTED=GAAP","Sort=A","Dates=H","DateFormat=P","Fill=—","Direction=H","UseDPDF=Y")</f>
        <v>13.352</v>
      </c>
      <c r="I7" s="13">
        <f>_xll.BDH("BLUE US Equity","IS_SALES_AND_SERVICES_REVENUES","FQ4 2020","FQ4 2020","Currency=USD","Period=FQ","BEST_FPERIOD_OVERRIDE=FQ","FILING_STATUS=MR","SCALING_FORMAT=MLN","FA_ADJUSTED=GAAP","Sort=A","Dates=H","DateFormat=P","Fill=—","Direction=H","UseDPDF=Y")</f>
        <v>0</v>
      </c>
      <c r="J7" s="13">
        <f>_xll.BDH("BLUE US Equity","IS_SALES_AND_SERVICES_REVENUES","FQ1 2021","FQ1 2021","Currency=USD","Period=FQ","BEST_FPERIOD_OVERRIDE=FQ","FILING_STATUS=MR","SCALING_FORMAT=MLN","FA_ADJUSTED=GAAP","Sort=A","Dates=H","DateFormat=P","Fill=—","Direction=H","UseDPDF=Y")</f>
        <v>0.72399999999999998</v>
      </c>
      <c r="K7" s="13">
        <f>_xll.BDH("BLUE US Equity","IS_SALES_AND_SERVICES_REVENUES","FQ2 2021","FQ2 2021","Currency=USD","Period=FQ","BEST_FPERIOD_OVERRIDE=FQ","FILING_STATUS=MR","SCALING_FORMAT=MLN","FA_ADJUSTED=GAAP","Sort=A","Dates=H","DateFormat=P","Fill=—","Direction=H","UseDPDF=Y")</f>
        <v>5.3140000000000001</v>
      </c>
      <c r="L7" s="13">
        <f>_xll.BDH("BLUE US Equity","IS_SALES_AND_SERVICES_REVENUES","FQ3 2021","FQ3 2021","Currency=USD","Period=FQ","BEST_FPERIOD_OVERRIDE=FQ","FILING_STATUS=MR","SCALING_FORMAT=MLN","FA_ADJUSTED=GAAP","Sort=A","Dates=H","DateFormat=P","Fill=—","Direction=H","UseDPDF=Y")</f>
        <v>0.76800000000000002</v>
      </c>
      <c r="M7" s="13">
        <f>_xll.BDH("BLUE US Equity","IS_SALES_AND_SERVICES_REVENUES","FQ4 2021","FQ4 2021","Currency=USD","Period=FQ","BEST_FPERIOD_OVERRIDE=FQ","FILING_STATUS=MR","SCALING_FORMAT=MLN","FA_ADJUSTED=GAAP","Sort=A","Dates=H","DateFormat=P","Fill=—","Direction=H","UseDPDF=Y")</f>
        <v>1.3580000000000001</v>
      </c>
      <c r="N7" s="13">
        <f>_xll.BDH("BLUE US Equity","IS_SALES_AND_SERVICES_REVENUES","FQ1 2022","FQ1 2022","Currency=USD","Period=FQ","BEST_FPERIOD_OVERRIDE=FQ","FILING_STATUS=MR","SCALING_FORMAT=MLN","FA_ADJUSTED=GAAP","Sort=A","Dates=H","DateFormat=P","Fill=—","Direction=H","UseDPDF=Y")</f>
        <v>1.4079999999999999</v>
      </c>
      <c r="O7" s="13">
        <f>_xll.BDH("BLUE US Equity","IS_SALES_AND_SERVICES_REVENUES","FQ2 2022","FQ2 2022","Currency=USD","Period=FQ","BEST_FPERIOD_OVERRIDE=FQ","FILING_STATUS=MR","SCALING_FORMAT=MLN","FA_ADJUSTED=GAAP","Sort=A","Dates=H","DateFormat=P","Fill=—","Direction=H","UseDPDF=Y")</f>
        <v>1.331</v>
      </c>
      <c r="P7" s="13">
        <f>_xll.BDH("BLUE US Equity","IS_SALES_AND_SERVICES_REVENUES","FQ3 2022","FQ3 2022","Currency=USD","Period=FQ","BEST_FPERIOD_OVERRIDE=FQ","FILING_STATUS=MR","SCALING_FORMAT=MLN","FA_ADJUSTED=GAAP","Sort=A","Dates=H","DateFormat=P","Fill=—","Direction=H","UseDPDF=Y")</f>
        <v>0</v>
      </c>
      <c r="Q7" s="13">
        <f>_xll.BDH("BLUE US Equity","IS_SALES_AND_SERVICES_REVENUES","FQ4 2022","FQ4 2022","Currency=USD","Period=FQ","BEST_FPERIOD_OVERRIDE=FQ","FILING_STATUS=MR","SCALING_FORMAT=MLN","FA_ADJUSTED=GAAP","Sort=A","Dates=H","DateFormat=P","Fill=—","Direction=H","UseDPDF=Y")</f>
        <v>0</v>
      </c>
      <c r="R7" s="13">
        <f>_xll.BDH("BLUE US Equity","IS_SALES_AND_SERVICES_REVENUES","FQ1 2023","FQ1 2023","Currency=USD","Period=FQ","BEST_FPERIOD_OVERRIDE=FQ","FILING_STATUS=MR","SCALING_FORMAT=MLN","FA_ADJUSTED=GAAP","Sort=A","Dates=H","DateFormat=P","Fill=—","Direction=H","UseDPDF=Y")</f>
        <v>2.2959999999999998</v>
      </c>
      <c r="S7" s="13">
        <f>_xll.BDH("BLUE US Equity","IS_SALES_AND_SERVICES_REVENUES","FQ2 2023","FQ2 2023","Currency=USD","Period=FQ","BEST_FPERIOD_OVERRIDE=FQ","FILING_STATUS=MR","SCALING_FORMAT=MLN","FA_ADJUSTED=GAAP","Sort=A","Dates=H","DateFormat=P","Fill=—","Direction=H","UseDPDF=Y")</f>
        <v>6.8369999999999997</v>
      </c>
      <c r="T7" s="13">
        <f>_xll.BDH("BLUE US Equity","IS_SALES_AND_SERVICES_REVENUES","FQ3 2023","FQ3 2023","Currency=USD","Period=FQ","BEST_FPERIOD_OVERRIDE=FQ","FILING_STATUS=MR","SCALING_FORMAT=MLN","FA_ADJUSTED=GAAP","Sort=A","Dates=H","DateFormat=P","Fill=—","Direction=H","UseDPDF=Y")</f>
        <v>12.281000000000001</v>
      </c>
      <c r="U7" s="13">
        <f>_xll.BDH("BLUE US Equity","IS_SALES_AND_SERVICES_REVENUES","FQ4 2023","FQ4 2023","Currency=USD","Period=FQ","BEST_FPERIOD_OVERRIDE=FQ","FILING_STATUS=MR","SCALING_FORMAT=MLN","FA_ADJUSTED=GAAP","Sort=A","Dates=H","DateFormat=P","Fill=—","Direction=H","UseDPDF=Y")</f>
        <v>7.6509999999999998</v>
      </c>
      <c r="V7" s="13">
        <f>_xll.BDH("BLUE US Equity","IS_SALES_AND_SERVICES_REVENUES","FQ1 2024","FQ1 2024","Currency=USD","Period=FQ","BEST_FPERIOD_OVERRIDE=FQ","FILING_STATUS=MR","SCALING_FORMAT=MLN","FA_ADJUSTED=GAAP","Sort=A","Dates=H","DateFormat=P","Fill=—","Direction=H","UseDPDF=Y")</f>
        <v>18.561</v>
      </c>
      <c r="W7" s="13">
        <f>_xll.BDH("BLUE US Equity","IS_SALES_AND_SERVICES_REVENUES","FQ2 2024","FQ2 2024","Currency=USD","Period=FQ","BEST_FPERIOD_OVERRIDE=FQ","FILING_STATUS=MR","SCALING_FORMAT=MLN","FA_ADJUSTED=GAAP","Sort=A","Dates=H","DateFormat=P","Fill=—","Direction=H","UseDPDF=Y")</f>
        <v>16.100999999999999</v>
      </c>
      <c r="X7" s="13">
        <f>_xll.BDH("BLUE US Equity","IS_SALES_AND_SERVICES_REVENUES","FQ3 2024","FQ3 2024","Currency=USD","Period=FQ","BEST_FPERIOD_OVERRIDE=FQ","FILING_STATUS=MR","SCALING_FORMAT=MLN","FA_ADJUSTED=GAAP","Sort=A","Dates=H","DateFormat=P","Fill=—","Direction=H","UseDPDF=Y")</f>
        <v>10.612</v>
      </c>
      <c r="Y7" s="13">
        <f>_xll.BDH("BLUE US Equity","IS_SALES_AND_SERVICES_REVENUES","FQ4 2024","FQ4 2024","Currency=USD","Period=FQ","BEST_FPERIOD_OVERRIDE=FQ","FILING_STATUS=MR","SCALING_FORMAT=MLN","FA_ADJUSTED=GAAP","Sort=A","Dates=H","DateFormat=P","Fill=—","Direction=H","UseDPDF=Y")</f>
        <v>38.521000000000001</v>
      </c>
      <c r="Z7" s="13"/>
      <c r="AA7" s="13"/>
    </row>
    <row r="8" spans="1:27" x14ac:dyDescent="0.25">
      <c r="A8" s="10" t="s">
        <v>278</v>
      </c>
      <c r="B8" s="10" t="s">
        <v>279</v>
      </c>
      <c r="C8" s="13">
        <f>_xll.BDH("BLUE US Equity","IS_OTHER_REVENUE","FQ2 2019","FQ2 2019","Currency=USD","Period=FQ","BEST_FPERIOD_OVERRIDE=FQ","FILING_STATUS=MR","SCALING_FORMAT=MLN","FA_ADJUSTED=GAAP","Sort=A","Dates=H","DateFormat=P","Fill=—","Direction=H","UseDPDF=Y")</f>
        <v>13.295999999999999</v>
      </c>
      <c r="D8" s="13">
        <f>_xll.BDH("BLUE US Equity","IS_OTHER_REVENUE","FQ3 2019","FQ3 2019","Currency=USD","Period=FQ","BEST_FPERIOD_OVERRIDE=FQ","FILING_STATUS=MR","SCALING_FORMAT=MLN","FA_ADJUSTED=GAAP","Sort=A","Dates=H","DateFormat=P","Fill=—","Direction=H","UseDPDF=Y")</f>
        <v>8.91</v>
      </c>
      <c r="E8" s="13">
        <f>_xll.BDH("BLUE US Equity","IS_OTHER_REVENUE","FQ4 2019","FQ4 2019","Currency=USD","Period=FQ","BEST_FPERIOD_OVERRIDE=FQ","FILING_STATUS=MR","SCALING_FORMAT=MLN","FA_ADJUSTED=GAAP","Sort=A","Dates=H","DateFormat=P","Fill=—","Direction=H","UseDPDF=Y")</f>
        <v>9.9969999999999999</v>
      </c>
      <c r="F8" s="13">
        <f>_xll.BDH("BLUE US Equity","IS_OTHER_REVENUE","FQ1 2020","FQ1 2020","Currency=USD","Period=FQ","BEST_FPERIOD_OVERRIDE=FQ","FILING_STATUS=MR","SCALING_FORMAT=MLN","FA_ADJUSTED=GAAP","Sort=A","Dates=H","DateFormat=P","Fill=—","Direction=H","UseDPDF=Y")</f>
        <v>5.03</v>
      </c>
      <c r="G8" s="13">
        <f>_xll.BDH("BLUE US Equity","IS_OTHER_REVENUE","FQ2 2020","FQ2 2020","Currency=USD","Period=FQ","BEST_FPERIOD_OVERRIDE=FQ","FILING_STATUS=MR","SCALING_FORMAT=MLN","FA_ADJUSTED=GAAP","Sort=A","Dates=H","DateFormat=P","Fill=—","Direction=H","UseDPDF=Y")</f>
        <v>120.533</v>
      </c>
      <c r="H8" s="13">
        <f>_xll.BDH("BLUE US Equity","IS_OTHER_REVENUE","FQ3 2020","FQ3 2020","Currency=USD","Period=FQ","BEST_FPERIOD_OVERRIDE=FQ","FILING_STATUS=MR","SCALING_FORMAT=MLN","FA_ADJUSTED=GAAP","Sort=A","Dates=H","DateFormat=P","Fill=—","Direction=H","UseDPDF=Y")</f>
        <v>5.9210000000000003</v>
      </c>
      <c r="I8" s="13" t="str">
        <f>_xll.BDH("BLUE US Equity","IS_OTHER_REVENUE","FQ4 2020","FQ4 2020","Currency=USD","Period=FQ","BEST_FPERIOD_OVERRIDE=FQ","FILING_STATUS=MR","SCALING_FORMAT=MLN","FA_ADJUSTED=GAAP","Sort=A","Dates=H","DateFormat=P","Fill=—","Direction=H","UseDPDF=Y")</f>
        <v>—</v>
      </c>
      <c r="J8" s="13">
        <f>_xll.BDH("BLUE US Equity","IS_OTHER_REVENUE","FQ1 2021","FQ1 2021","Currency=USD","Period=FQ","BEST_FPERIOD_OVERRIDE=FQ","FILING_STATUS=MR","SCALING_FORMAT=MLN","FA_ADJUSTED=GAAP","Sort=A","Dates=H","DateFormat=P","Fill=—","Direction=H","UseDPDF=Y")</f>
        <v>0.17</v>
      </c>
      <c r="K8" s="13">
        <f>_xll.BDH("BLUE US Equity","IS_OTHER_REVENUE","FQ2 2021","FQ2 2021","Currency=USD","Period=FQ","BEST_FPERIOD_OVERRIDE=FQ","FILING_STATUS=MR","SCALING_FORMAT=MLN","FA_ADJUSTED=GAAP","Sort=A","Dates=H","DateFormat=P","Fill=—","Direction=H","UseDPDF=Y")</f>
        <v>2.1579999999999999</v>
      </c>
      <c r="L8" s="13">
        <f>_xll.BDH("BLUE US Equity","IS_OTHER_REVENUE","FQ3 2021","FQ3 2021","Currency=USD","Period=FQ","BEST_FPERIOD_OVERRIDE=FQ","FILING_STATUS=MR","SCALING_FORMAT=MLN","FA_ADJUSTED=GAAP","Sort=A","Dates=H","DateFormat=P","Fill=—","Direction=H","UseDPDF=Y")</f>
        <v>0.251</v>
      </c>
      <c r="M8" s="13">
        <f>_xll.BDH("BLUE US Equity","IS_OTHER_REVENUE","FQ4 2021","FQ4 2021","Currency=USD","Period=FQ","BEST_FPERIOD_OVERRIDE=FQ","FILING_STATUS=MR","SCALING_FORMAT=MLN","FA_ADJUSTED=GAAP","Sort=A","Dates=H","DateFormat=P","Fill=—","Direction=H","UseDPDF=Y")</f>
        <v>0.248</v>
      </c>
      <c r="N8" s="13">
        <f>_xll.BDH("BLUE US Equity","IS_OTHER_REVENUE","FQ1 2022","FQ1 2022","Currency=USD","Period=FQ","BEST_FPERIOD_OVERRIDE=FQ","FILING_STATUS=MR","SCALING_FORMAT=MLN","FA_ADJUSTED=GAAP","Sort=A","Dates=H","DateFormat=P","Fill=—","Direction=H","UseDPDF=Y")</f>
        <v>0.53700000000000003</v>
      </c>
      <c r="O8" s="13">
        <f>_xll.BDH("BLUE US Equity","IS_OTHER_REVENUE","FQ2 2022","FQ2 2022","Currency=USD","Period=FQ","BEST_FPERIOD_OVERRIDE=FQ","FILING_STATUS=MR","SCALING_FORMAT=MLN","FA_ADJUSTED=GAAP","Sort=A","Dates=H","DateFormat=P","Fill=—","Direction=H","UseDPDF=Y")</f>
        <v>0.188</v>
      </c>
      <c r="P8" s="13">
        <f>_xll.BDH("BLUE US Equity","IS_OTHER_REVENUE","FQ3 2022","FQ3 2022","Currency=USD","Period=FQ","BEST_FPERIOD_OVERRIDE=FQ","FILING_STATUS=MR","SCALING_FORMAT=MLN","FA_ADJUSTED=GAAP","Sort=A","Dates=H","DateFormat=P","Fill=—","Direction=H","UseDPDF=Y")</f>
        <v>7.0999999999999994E-2</v>
      </c>
      <c r="Q8" s="13">
        <f>_xll.BDH("BLUE US Equity","IS_OTHER_REVENUE","FQ4 2022","FQ4 2022","Currency=USD","Period=FQ","BEST_FPERIOD_OVERRIDE=FQ","FILING_STATUS=MR","SCALING_FORMAT=MLN","FA_ADJUSTED=GAAP","Sort=A","Dates=H","DateFormat=P","Fill=—","Direction=H","UseDPDF=Y")</f>
        <v>6.2E-2</v>
      </c>
      <c r="R8" s="13">
        <f>_xll.BDH("BLUE US Equity","IS_OTHER_REVENUE","FQ1 2023","FQ1 2023","Currency=USD","Period=FQ","BEST_FPERIOD_OVERRIDE=FQ","FILING_STATUS=MR","SCALING_FORMAT=MLN","FA_ADJUSTED=GAAP","Sort=A","Dates=H","DateFormat=P","Fill=—","Direction=H","UseDPDF=Y")</f>
        <v>8.5000000000000006E-2</v>
      </c>
      <c r="S8" s="13">
        <f>_xll.BDH("BLUE US Equity","IS_OTHER_REVENUE","FQ2 2023","FQ2 2023","Currency=USD","Period=FQ","BEST_FPERIOD_OVERRIDE=FQ","FILING_STATUS=MR","SCALING_FORMAT=MLN","FA_ADJUSTED=GAAP","Sort=A","Dates=H","DateFormat=P","Fill=—","Direction=H","UseDPDF=Y")</f>
        <v>5.2999999999999999E-2</v>
      </c>
      <c r="T8" s="13">
        <f>_xll.BDH("BLUE US Equity","IS_OTHER_REVENUE","FQ3 2023","FQ3 2023","Currency=USD","Period=FQ","BEST_FPERIOD_OVERRIDE=FQ","FILING_STATUS=MR","SCALING_FORMAT=MLN","FA_ADJUSTED=GAAP","Sort=A","Dates=H","DateFormat=P","Fill=—","Direction=H","UseDPDF=Y")</f>
        <v>0.111</v>
      </c>
      <c r="U8" s="13">
        <f>_xll.BDH("BLUE US Equity","IS_OTHER_REVENUE","FQ4 2023","FQ4 2023","Currency=USD","Period=FQ","BEST_FPERIOD_OVERRIDE=FQ","FILING_STATUS=MR","SCALING_FORMAT=MLN","FA_ADJUSTED=GAAP","Sort=A","Dates=H","DateFormat=P","Fill=—","Direction=H","UseDPDF=Y")</f>
        <v>0.183</v>
      </c>
      <c r="V8" s="13">
        <f>_xll.BDH("BLUE US Equity","IS_OTHER_REVENUE","FQ1 2024","FQ1 2024","Currency=USD","Period=FQ","BEST_FPERIOD_OVERRIDE=FQ","FILING_STATUS=MR","SCALING_FORMAT=MLN","FA_ADJUSTED=GAAP","Sort=A","Dates=H","DateFormat=P","Fill=—","Direction=H","UseDPDF=Y")</f>
        <v>1.2E-2</v>
      </c>
      <c r="W8" s="13" t="str">
        <f>_xll.BDH("BLUE US Equity","IS_OTHER_REVENUE","FQ2 2024","FQ2 2024","Currency=USD","Period=FQ","BEST_FPERIOD_OVERRIDE=FQ","FILING_STATUS=MR","SCALING_FORMAT=MLN","FA_ADJUSTED=GAAP","Sort=A","Dates=H","DateFormat=P","Fill=—","Direction=H","UseDPDF=Y")</f>
        <v>—</v>
      </c>
      <c r="X8" s="13" t="str">
        <f>_xll.BDH("BLUE US Equity","IS_OTHER_REVENUE","FQ3 2024","FQ3 2024","Currency=USD","Period=FQ","BEST_FPERIOD_OVERRIDE=FQ","FILING_STATUS=MR","SCALING_FORMAT=MLN","FA_ADJUSTED=GAAP","Sort=A","Dates=H","DateFormat=P","Fill=—","Direction=H","UseDPDF=Y")</f>
        <v>—</v>
      </c>
      <c r="Y8" s="13" t="str">
        <f>_xll.BDH("BLUE US Equity","IS_OTHER_REVENUE","FQ4 2024","FQ4 2024","Currency=USD","Period=FQ","BEST_FPERIOD_OVERRIDE=FQ","FILING_STATUS=MR","SCALING_FORMAT=MLN","FA_ADJUSTED=GAAP","Sort=A","Dates=H","DateFormat=P","Fill=—","Direction=H","UseDPDF=Y")</f>
        <v>—</v>
      </c>
      <c r="Z8" s="13"/>
      <c r="AA8" s="13"/>
    </row>
    <row r="9" spans="1:27" x14ac:dyDescent="0.25">
      <c r="A9" s="10" t="s">
        <v>280</v>
      </c>
      <c r="B9" s="10" t="s">
        <v>281</v>
      </c>
      <c r="C9" s="13" t="str">
        <f>_xll.BDH("BLUE US Equity","IS_COGS_TO_FE_AND_PP_AND_G","FQ2 2019","FQ2 2019","Currency=USD","Period=FQ","BEST_FPERIOD_OVERRIDE=FQ","FILING_STATUS=MR","SCALING_FORMAT=MLN","FA_ADJUSTED=GAAP","Sort=A","Dates=H","DateFormat=P","Fill=—","Direction=H","UseDPDF=Y")</f>
        <v>—</v>
      </c>
      <c r="D9" s="13" t="str">
        <f>_xll.BDH("BLUE US Equity","IS_COGS_TO_FE_AND_PP_AND_G","FQ3 2019","FQ3 2019","Currency=USD","Period=FQ","BEST_FPERIOD_OVERRIDE=FQ","FILING_STATUS=MR","SCALING_FORMAT=MLN","FA_ADJUSTED=GAAP","Sort=A","Dates=H","DateFormat=P","Fill=—","Direction=H","UseDPDF=Y")</f>
        <v>—</v>
      </c>
      <c r="E9" s="13" t="str">
        <f>_xll.BDH("BLUE US Equity","IS_COGS_TO_FE_AND_PP_AND_G","FQ4 2019","FQ4 2019","Currency=USD","Period=FQ","BEST_FPERIOD_OVERRIDE=FQ","FILING_STATUS=MR","SCALING_FORMAT=MLN","FA_ADJUSTED=GAAP","Sort=A","Dates=H","DateFormat=P","Fill=—","Direction=H","UseDPDF=Y")</f>
        <v>—</v>
      </c>
      <c r="F9" s="13" t="str">
        <f>_xll.BDH("BLUE US Equity","IS_COGS_TO_FE_AND_PP_AND_G","FQ1 2020","FQ1 2020","Currency=USD","Period=FQ","BEST_FPERIOD_OVERRIDE=FQ","FILING_STATUS=MR","SCALING_FORMAT=MLN","FA_ADJUSTED=GAAP","Sort=A","Dates=H","DateFormat=P","Fill=—","Direction=H","UseDPDF=Y")</f>
        <v>—</v>
      </c>
      <c r="G9" s="13" t="str">
        <f>_xll.BDH("BLUE US Equity","IS_COGS_TO_FE_AND_PP_AND_G","FQ2 2020","FQ2 2020","Currency=USD","Period=FQ","BEST_FPERIOD_OVERRIDE=FQ","FILING_STATUS=MR","SCALING_FORMAT=MLN","FA_ADJUSTED=GAAP","Sort=A","Dates=H","DateFormat=P","Fill=—","Direction=H","UseDPDF=Y")</f>
        <v>—</v>
      </c>
      <c r="H9" s="13" t="str">
        <f>_xll.BDH("BLUE US Equity","IS_COGS_TO_FE_AND_PP_AND_G","FQ3 2020","FQ3 2020","Currency=USD","Period=FQ","BEST_FPERIOD_OVERRIDE=FQ","FILING_STATUS=MR","SCALING_FORMAT=MLN","FA_ADJUSTED=GAAP","Sort=A","Dates=H","DateFormat=P","Fill=—","Direction=H","UseDPDF=Y")</f>
        <v>—</v>
      </c>
      <c r="I9" s="13">
        <f>_xll.BDH("BLUE US Equity","IS_COGS_TO_FE_AND_PP_AND_G","FQ4 2020","FQ4 2020","Currency=USD","Period=FQ","BEST_FPERIOD_OVERRIDE=FQ","FILING_STATUS=MR","SCALING_FORMAT=MLN","FA_ADJUSTED=GAAP","Sort=A","Dates=H","DateFormat=P","Fill=—","Direction=H","UseDPDF=Y")</f>
        <v>0</v>
      </c>
      <c r="J9" s="13">
        <f>_xll.BDH("BLUE US Equity","IS_COGS_TO_FE_AND_PP_AND_G","FQ1 2021","FQ1 2021","Currency=USD","Period=FQ","BEST_FPERIOD_OVERRIDE=FQ","FILING_STATUS=MR","SCALING_FORMAT=MLN","FA_ADJUSTED=GAAP","Sort=A","Dates=H","DateFormat=P","Fill=—","Direction=H","UseDPDF=Y")</f>
        <v>0.57599999999999996</v>
      </c>
      <c r="K9" s="13" t="str">
        <f>_xll.BDH("BLUE US Equity","IS_COGS_TO_FE_AND_PP_AND_G","FQ2 2021","FQ2 2021","Currency=USD","Period=FQ","BEST_FPERIOD_OVERRIDE=FQ","FILING_STATUS=MR","SCALING_FORMAT=MLN","FA_ADJUSTED=GAAP","Sort=A","Dates=H","DateFormat=P","Fill=—","Direction=H","UseDPDF=Y")</f>
        <v>—</v>
      </c>
      <c r="L9" s="13">
        <f>_xll.BDH("BLUE US Equity","IS_COGS_TO_FE_AND_PP_AND_G","FQ3 2021","FQ3 2021","Currency=USD","Period=FQ","BEST_FPERIOD_OVERRIDE=FQ","FILING_STATUS=MR","SCALING_FORMAT=MLN","FA_ADJUSTED=GAAP","Sort=A","Dates=H","DateFormat=P","Fill=—","Direction=H","UseDPDF=Y")</f>
        <v>19.385000000000002</v>
      </c>
      <c r="M9" s="13">
        <f>_xll.BDH("BLUE US Equity","IS_COGS_TO_FE_AND_PP_AND_G","FQ4 2021","FQ4 2021","Currency=USD","Period=FQ","BEST_FPERIOD_OVERRIDE=FQ","FILING_STATUS=MR","SCALING_FORMAT=MLN","FA_ADJUSTED=GAAP","Sort=A","Dates=H","DateFormat=P","Fill=—","Direction=H","UseDPDF=Y")</f>
        <v>3.6819999999999999</v>
      </c>
      <c r="N9" s="13">
        <f>_xll.BDH("BLUE US Equity","IS_COGS_TO_FE_AND_PP_AND_G","FQ1 2022","FQ1 2022","Currency=USD","Period=FQ","BEST_FPERIOD_OVERRIDE=FQ","FILING_STATUS=MR","SCALING_FORMAT=MLN","FA_ADJUSTED=GAAP","Sort=A","Dates=H","DateFormat=P","Fill=—","Direction=H","UseDPDF=Y")</f>
        <v>8.31</v>
      </c>
      <c r="O9" s="13">
        <f>_xll.BDH("BLUE US Equity","IS_COGS_TO_FE_AND_PP_AND_G","FQ2 2022","FQ2 2022","Currency=USD","Period=FQ","BEST_FPERIOD_OVERRIDE=FQ","FILING_STATUS=MR","SCALING_FORMAT=MLN","FA_ADJUSTED=GAAP","Sort=A","Dates=H","DateFormat=P","Fill=—","Direction=H","UseDPDF=Y")</f>
        <v>1.7450000000000001</v>
      </c>
      <c r="P9" s="13" t="str">
        <f>_xll.BDH("BLUE US Equity","IS_COGS_TO_FE_AND_PP_AND_G","FQ3 2022","FQ3 2022","Currency=USD","Period=FQ","BEST_FPERIOD_OVERRIDE=FQ","FILING_STATUS=MR","SCALING_FORMAT=MLN","FA_ADJUSTED=GAAP","Sort=A","Dates=H","DateFormat=P","Fill=—","Direction=H","UseDPDF=Y")</f>
        <v>—</v>
      </c>
      <c r="Q9" s="13">
        <f>_xll.BDH("BLUE US Equity","IS_COGS_TO_FE_AND_PP_AND_G","FQ4 2022","FQ4 2022","Currency=USD","Period=FQ","BEST_FPERIOD_OVERRIDE=FQ","FILING_STATUS=MR","SCALING_FORMAT=MLN","FA_ADJUSTED=GAAP","Sort=A","Dates=H","DateFormat=P","Fill=—","Direction=H","UseDPDF=Y")</f>
        <v>2.1999999999999999E-2</v>
      </c>
      <c r="R9" s="13">
        <f>_xll.BDH("BLUE US Equity","IS_COGS_TO_FE_AND_PP_AND_G","FQ1 2023","FQ1 2023","Currency=USD","Period=FQ","BEST_FPERIOD_OVERRIDE=FQ","FILING_STATUS=MR","SCALING_FORMAT=MLN","FA_ADJUSTED=GAAP","Sort=A","Dates=H","DateFormat=P","Fill=—","Direction=H","UseDPDF=Y")</f>
        <v>5.5119999999999996</v>
      </c>
      <c r="S9" s="13">
        <f>_xll.BDH("BLUE US Equity","IS_COGS_TO_FE_AND_PP_AND_G","FQ2 2023","FQ2 2023","Currency=USD","Period=FQ","BEST_FPERIOD_OVERRIDE=FQ","FILING_STATUS=MR","SCALING_FORMAT=MLN","FA_ADJUSTED=GAAP","Sort=A","Dates=H","DateFormat=P","Fill=—","Direction=H","UseDPDF=Y")</f>
        <v>6.6970000000000001</v>
      </c>
      <c r="T9" s="13">
        <f>_xll.BDH("BLUE US Equity","IS_COGS_TO_FE_AND_PP_AND_G","FQ3 2023","FQ3 2023","Currency=USD","Period=FQ","BEST_FPERIOD_OVERRIDE=FQ","FILING_STATUS=MR","SCALING_FORMAT=MLN","FA_ADJUSTED=GAAP","Sort=A","Dates=H","DateFormat=P","Fill=—","Direction=H","UseDPDF=Y")</f>
        <v>9.1259999999999994</v>
      </c>
      <c r="U9" s="13">
        <f>_xll.BDH("BLUE US Equity","IS_COGS_TO_FE_AND_PP_AND_G","FQ4 2023","FQ4 2023","Currency=USD","Period=FQ","BEST_FPERIOD_OVERRIDE=FQ","FILING_STATUS=MR","SCALING_FORMAT=MLN","FA_ADJUSTED=GAAP","Sort=A","Dates=H","DateFormat=P","Fill=—","Direction=H","UseDPDF=Y")</f>
        <v>9.6319999999999997</v>
      </c>
      <c r="V9" s="13">
        <f>_xll.BDH("BLUE US Equity","IS_COGS_TO_FE_AND_PP_AND_G","FQ1 2024","FQ1 2024","Currency=USD","Period=FQ","BEST_FPERIOD_OVERRIDE=FQ","FILING_STATUS=MR","SCALING_FORMAT=MLN","FA_ADJUSTED=GAAP","Sort=A","Dates=H","DateFormat=P","Fill=—","Direction=H","UseDPDF=Y")</f>
        <v>25.864000000000001</v>
      </c>
      <c r="W9" s="13">
        <f>_xll.BDH("BLUE US Equity","IS_COGS_TO_FE_AND_PP_AND_G","FQ2 2024","FQ2 2024","Currency=USD","Period=FQ","BEST_FPERIOD_OVERRIDE=FQ","FILING_STATUS=MR","SCALING_FORMAT=MLN","FA_ADJUSTED=GAAP","Sort=A","Dates=H","DateFormat=P","Fill=—","Direction=H","UseDPDF=Y")</f>
        <v>28.946000000000002</v>
      </c>
      <c r="X9" s="13">
        <f>_xll.BDH("BLUE US Equity","IS_COGS_TO_FE_AND_PP_AND_G","FQ3 2024","FQ3 2024","Currency=USD","Period=FQ","BEST_FPERIOD_OVERRIDE=FQ","FILING_STATUS=MR","SCALING_FORMAT=MLN","FA_ADJUSTED=GAAP","Sort=A","Dates=H","DateFormat=P","Fill=—","Direction=H","UseDPDF=Y")</f>
        <v>11.781000000000001</v>
      </c>
      <c r="Y9" s="13">
        <f>_xll.BDH("BLUE US Equity","IS_COGS_TO_FE_AND_PP_AND_G","FQ4 2024","FQ4 2024","Currency=USD","Period=FQ","BEST_FPERIOD_OVERRIDE=FQ","FILING_STATUS=MR","SCALING_FORMAT=MLN","FA_ADJUSTED=GAAP","Sort=A","Dates=H","DateFormat=P","Fill=—","Direction=H","UseDPDF=Y")</f>
        <v>22.789000000000001</v>
      </c>
      <c r="Z9" s="13"/>
      <c r="AA9" s="13"/>
    </row>
    <row r="10" spans="1:27" x14ac:dyDescent="0.25">
      <c r="A10" s="10" t="s">
        <v>282</v>
      </c>
      <c r="B10" s="10" t="s">
        <v>283</v>
      </c>
      <c r="C10" s="13" t="str">
        <f>_xll.BDH("BLUE US Equity","IS_COG_AND_SERVICES_SOLD","FQ2 2019","FQ2 2019","Currency=USD","Period=FQ","BEST_FPERIOD_OVERRIDE=FQ","FILING_STATUS=MR","SCALING_FORMAT=MLN","FA_ADJUSTED=GAAP","Sort=A","Dates=H","DateFormat=P","Fill=—","Direction=H","UseDPDF=Y")</f>
        <v>—</v>
      </c>
      <c r="D10" s="13" t="str">
        <f>_xll.BDH("BLUE US Equity","IS_COG_AND_SERVICES_SOLD","FQ3 2019","FQ3 2019","Currency=USD","Period=FQ","BEST_FPERIOD_OVERRIDE=FQ","FILING_STATUS=MR","SCALING_FORMAT=MLN","FA_ADJUSTED=GAAP","Sort=A","Dates=H","DateFormat=P","Fill=—","Direction=H","UseDPDF=Y")</f>
        <v>—</v>
      </c>
      <c r="E10" s="13" t="str">
        <f>_xll.BDH("BLUE US Equity","IS_COG_AND_SERVICES_SOLD","FQ4 2019","FQ4 2019","Currency=USD","Period=FQ","BEST_FPERIOD_OVERRIDE=FQ","FILING_STATUS=MR","SCALING_FORMAT=MLN","FA_ADJUSTED=GAAP","Sort=A","Dates=H","DateFormat=P","Fill=—","Direction=H","UseDPDF=Y")</f>
        <v>—</v>
      </c>
      <c r="F10" s="13" t="str">
        <f>_xll.BDH("BLUE US Equity","IS_COG_AND_SERVICES_SOLD","FQ1 2020","FQ1 2020","Currency=USD","Period=FQ","BEST_FPERIOD_OVERRIDE=FQ","FILING_STATUS=MR","SCALING_FORMAT=MLN","FA_ADJUSTED=GAAP","Sort=A","Dates=H","DateFormat=P","Fill=—","Direction=H","UseDPDF=Y")</f>
        <v>—</v>
      </c>
      <c r="G10" s="13" t="str">
        <f>_xll.BDH("BLUE US Equity","IS_COG_AND_SERVICES_SOLD","FQ2 2020","FQ2 2020","Currency=USD","Period=FQ","BEST_FPERIOD_OVERRIDE=FQ","FILING_STATUS=MR","SCALING_FORMAT=MLN","FA_ADJUSTED=GAAP","Sort=A","Dates=H","DateFormat=P","Fill=—","Direction=H","UseDPDF=Y")</f>
        <v>—</v>
      </c>
      <c r="H10" s="13" t="str">
        <f>_xll.BDH("BLUE US Equity","IS_COG_AND_SERVICES_SOLD","FQ3 2020","FQ3 2020","Currency=USD","Period=FQ","BEST_FPERIOD_OVERRIDE=FQ","FILING_STATUS=MR","SCALING_FORMAT=MLN","FA_ADJUSTED=GAAP","Sort=A","Dates=H","DateFormat=P","Fill=—","Direction=H","UseDPDF=Y")</f>
        <v>—</v>
      </c>
      <c r="I10" s="13">
        <f>_xll.BDH("BLUE US Equity","IS_COG_AND_SERVICES_SOLD","FQ4 2020","FQ4 2020","Currency=USD","Period=FQ","BEST_FPERIOD_OVERRIDE=FQ","FILING_STATUS=MR","SCALING_FORMAT=MLN","FA_ADJUSTED=GAAP","Sort=A","Dates=H","DateFormat=P","Fill=—","Direction=H","UseDPDF=Y")</f>
        <v>0</v>
      </c>
      <c r="J10" s="13">
        <f>_xll.BDH("BLUE US Equity","IS_COG_AND_SERVICES_SOLD","FQ1 2021","FQ1 2021","Currency=USD","Period=FQ","BEST_FPERIOD_OVERRIDE=FQ","FILING_STATUS=MR","SCALING_FORMAT=MLN","FA_ADJUSTED=GAAP","Sort=A","Dates=H","DateFormat=P","Fill=—","Direction=H","UseDPDF=Y")</f>
        <v>0.57599999999999996</v>
      </c>
      <c r="K10" s="13" t="str">
        <f>_xll.BDH("BLUE US Equity","IS_COG_AND_SERVICES_SOLD","FQ2 2021","FQ2 2021","Currency=USD","Period=FQ","BEST_FPERIOD_OVERRIDE=FQ","FILING_STATUS=MR","SCALING_FORMAT=MLN","FA_ADJUSTED=GAAP","Sort=A","Dates=H","DateFormat=P","Fill=—","Direction=H","UseDPDF=Y")</f>
        <v>—</v>
      </c>
      <c r="L10" s="13">
        <f>_xll.BDH("BLUE US Equity","IS_COG_AND_SERVICES_SOLD","FQ3 2021","FQ3 2021","Currency=USD","Period=FQ","BEST_FPERIOD_OVERRIDE=FQ","FILING_STATUS=MR","SCALING_FORMAT=MLN","FA_ADJUSTED=GAAP","Sort=A","Dates=H","DateFormat=P","Fill=—","Direction=H","UseDPDF=Y")</f>
        <v>19.385000000000002</v>
      </c>
      <c r="M10" s="13">
        <f>_xll.BDH("BLUE US Equity","IS_COG_AND_SERVICES_SOLD","FQ4 2021","FQ4 2021","Currency=USD","Period=FQ","BEST_FPERIOD_OVERRIDE=FQ","FILING_STATUS=MR","SCALING_FORMAT=MLN","FA_ADJUSTED=GAAP","Sort=A","Dates=H","DateFormat=P","Fill=—","Direction=H","UseDPDF=Y")</f>
        <v>3.6819999999999999</v>
      </c>
      <c r="N10" s="13">
        <f>_xll.BDH("BLUE US Equity","IS_COG_AND_SERVICES_SOLD","FQ1 2022","FQ1 2022","Currency=USD","Period=FQ","BEST_FPERIOD_OVERRIDE=FQ","FILING_STATUS=MR","SCALING_FORMAT=MLN","FA_ADJUSTED=GAAP","Sort=A","Dates=H","DateFormat=P","Fill=—","Direction=H","UseDPDF=Y")</f>
        <v>8.31</v>
      </c>
      <c r="O10" s="13">
        <f>_xll.BDH("BLUE US Equity","IS_COG_AND_SERVICES_SOLD","FQ2 2022","FQ2 2022","Currency=USD","Period=FQ","BEST_FPERIOD_OVERRIDE=FQ","FILING_STATUS=MR","SCALING_FORMAT=MLN","FA_ADJUSTED=GAAP","Sort=A","Dates=H","DateFormat=P","Fill=—","Direction=H","UseDPDF=Y")</f>
        <v>1.7450000000000001</v>
      </c>
      <c r="P10" s="13" t="str">
        <f>_xll.BDH("BLUE US Equity","IS_COG_AND_SERVICES_SOLD","FQ3 2022","FQ3 2022","Currency=USD","Period=FQ","BEST_FPERIOD_OVERRIDE=FQ","FILING_STATUS=MR","SCALING_FORMAT=MLN","FA_ADJUSTED=GAAP","Sort=A","Dates=H","DateFormat=P","Fill=—","Direction=H","UseDPDF=Y")</f>
        <v>—</v>
      </c>
      <c r="Q10" s="13">
        <f>_xll.BDH("BLUE US Equity","IS_COG_AND_SERVICES_SOLD","FQ4 2022","FQ4 2022","Currency=USD","Period=FQ","BEST_FPERIOD_OVERRIDE=FQ","FILING_STATUS=MR","SCALING_FORMAT=MLN","FA_ADJUSTED=GAAP","Sort=A","Dates=H","DateFormat=P","Fill=—","Direction=H","UseDPDF=Y")</f>
        <v>2.1999999999999999E-2</v>
      </c>
      <c r="R10" s="13">
        <f>_xll.BDH("BLUE US Equity","IS_COG_AND_SERVICES_SOLD","FQ1 2023","FQ1 2023","Currency=USD","Period=FQ","BEST_FPERIOD_OVERRIDE=FQ","FILING_STATUS=MR","SCALING_FORMAT=MLN","FA_ADJUSTED=GAAP","Sort=A","Dates=H","DateFormat=P","Fill=—","Direction=H","UseDPDF=Y")</f>
        <v>5.5119999999999996</v>
      </c>
      <c r="S10" s="13">
        <f>_xll.BDH("BLUE US Equity","IS_COG_AND_SERVICES_SOLD","FQ2 2023","FQ2 2023","Currency=USD","Period=FQ","BEST_FPERIOD_OVERRIDE=FQ","FILING_STATUS=MR","SCALING_FORMAT=MLN","FA_ADJUSTED=GAAP","Sort=A","Dates=H","DateFormat=P","Fill=—","Direction=H","UseDPDF=Y")</f>
        <v>6.6970000000000001</v>
      </c>
      <c r="T10" s="13">
        <f>_xll.BDH("BLUE US Equity","IS_COG_AND_SERVICES_SOLD","FQ3 2023","FQ3 2023","Currency=USD","Period=FQ","BEST_FPERIOD_OVERRIDE=FQ","FILING_STATUS=MR","SCALING_FORMAT=MLN","FA_ADJUSTED=GAAP","Sort=A","Dates=H","DateFormat=P","Fill=—","Direction=H","UseDPDF=Y")</f>
        <v>9.1259999999999994</v>
      </c>
      <c r="U10" s="13">
        <f>_xll.BDH("BLUE US Equity","IS_COG_AND_SERVICES_SOLD","FQ4 2023","FQ4 2023","Currency=USD","Period=FQ","BEST_FPERIOD_OVERRIDE=FQ","FILING_STATUS=MR","SCALING_FORMAT=MLN","FA_ADJUSTED=GAAP","Sort=A","Dates=H","DateFormat=P","Fill=—","Direction=H","UseDPDF=Y")</f>
        <v>9.6319999999999997</v>
      </c>
      <c r="V10" s="13">
        <f>_xll.BDH("BLUE US Equity","IS_COG_AND_SERVICES_SOLD","FQ1 2024","FQ1 2024","Currency=USD","Period=FQ","BEST_FPERIOD_OVERRIDE=FQ","FILING_STATUS=MR","SCALING_FORMAT=MLN","FA_ADJUSTED=GAAP","Sort=A","Dates=H","DateFormat=P","Fill=—","Direction=H","UseDPDF=Y")</f>
        <v>25.864000000000001</v>
      </c>
      <c r="W10" s="13">
        <f>_xll.BDH("BLUE US Equity","IS_COG_AND_SERVICES_SOLD","FQ2 2024","FQ2 2024","Currency=USD","Period=FQ","BEST_FPERIOD_OVERRIDE=FQ","FILING_STATUS=MR","SCALING_FORMAT=MLN","FA_ADJUSTED=GAAP","Sort=A","Dates=H","DateFormat=P","Fill=—","Direction=H","UseDPDF=Y")</f>
        <v>28.946000000000002</v>
      </c>
      <c r="X10" s="13">
        <f>_xll.BDH("BLUE US Equity","IS_COG_AND_SERVICES_SOLD","FQ3 2024","FQ3 2024","Currency=USD","Period=FQ","BEST_FPERIOD_OVERRIDE=FQ","FILING_STATUS=MR","SCALING_FORMAT=MLN","FA_ADJUSTED=GAAP","Sort=A","Dates=H","DateFormat=P","Fill=—","Direction=H","UseDPDF=Y")</f>
        <v>11.781000000000001</v>
      </c>
      <c r="Y10" s="13">
        <f>_xll.BDH("BLUE US Equity","IS_COG_AND_SERVICES_SOLD","FQ4 2024","FQ4 2024","Currency=USD","Period=FQ","BEST_FPERIOD_OVERRIDE=FQ","FILING_STATUS=MR","SCALING_FORMAT=MLN","FA_ADJUSTED=GAAP","Sort=A","Dates=H","DateFormat=P","Fill=—","Direction=H","UseDPDF=Y")</f>
        <v>22.789000000000001</v>
      </c>
      <c r="Z10" s="13"/>
      <c r="AA10" s="13"/>
    </row>
    <row r="11" spans="1:27" x14ac:dyDescent="0.25">
      <c r="A11" s="6" t="s">
        <v>2</v>
      </c>
      <c r="B11" s="6" t="s">
        <v>74</v>
      </c>
      <c r="C11" s="19" t="str">
        <f>_xll.BDH("BLUE US Equity","GROSS_PROFIT","FQ2 2019","FQ2 2019","Currency=USD","Period=FQ","BEST_FPERIOD_OVERRIDE=FQ","FILING_STATUS=MR","SCALING_FORMAT=MLN","FA_ADJUSTED=GAAP","Sort=A","Dates=H","DateFormat=P","Fill=—","Direction=H","UseDPDF=Y")</f>
        <v>—</v>
      </c>
      <c r="D11" s="19" t="str">
        <f>_xll.BDH("BLUE US Equity","GROSS_PROFIT","FQ3 2019","FQ3 2019","Currency=USD","Period=FQ","BEST_FPERIOD_OVERRIDE=FQ","FILING_STATUS=MR","SCALING_FORMAT=MLN","FA_ADJUSTED=GAAP","Sort=A","Dates=H","DateFormat=P","Fill=—","Direction=H","UseDPDF=Y")</f>
        <v>—</v>
      </c>
      <c r="E11" s="19" t="str">
        <f>_xll.BDH("BLUE US Equity","GROSS_PROFIT","FQ4 2019","FQ4 2019","Currency=USD","Period=FQ","BEST_FPERIOD_OVERRIDE=FQ","FILING_STATUS=MR","SCALING_FORMAT=MLN","FA_ADJUSTED=GAAP","Sort=A","Dates=H","DateFormat=P","Fill=—","Direction=H","UseDPDF=Y")</f>
        <v>—</v>
      </c>
      <c r="F11" s="19" t="str">
        <f>_xll.BDH("BLUE US Equity","GROSS_PROFIT","FQ1 2020","FQ1 2020","Currency=USD","Period=FQ","BEST_FPERIOD_OVERRIDE=FQ","FILING_STATUS=MR","SCALING_FORMAT=MLN","FA_ADJUSTED=GAAP","Sort=A","Dates=H","DateFormat=P","Fill=—","Direction=H","UseDPDF=Y")</f>
        <v>—</v>
      </c>
      <c r="G11" s="19" t="str">
        <f>_xll.BDH("BLUE US Equity","GROSS_PROFIT","FQ2 2020","FQ2 2020","Currency=USD","Period=FQ","BEST_FPERIOD_OVERRIDE=FQ","FILING_STATUS=MR","SCALING_FORMAT=MLN","FA_ADJUSTED=GAAP","Sort=A","Dates=H","DateFormat=P","Fill=—","Direction=H","UseDPDF=Y")</f>
        <v>—</v>
      </c>
      <c r="H11" s="19" t="str">
        <f>_xll.BDH("BLUE US Equity","GROSS_PROFIT","FQ3 2020","FQ3 2020","Currency=USD","Period=FQ","BEST_FPERIOD_OVERRIDE=FQ","FILING_STATUS=MR","SCALING_FORMAT=MLN","FA_ADJUSTED=GAAP","Sort=A","Dates=H","DateFormat=P","Fill=—","Direction=H","UseDPDF=Y")</f>
        <v>—</v>
      </c>
      <c r="I11" s="19">
        <f>_xll.BDH("BLUE US Equity","GROSS_PROFIT","FQ4 2020","FQ4 2020","Currency=USD","Period=FQ","BEST_FPERIOD_OVERRIDE=FQ","FILING_STATUS=MR","SCALING_FORMAT=MLN","FA_ADJUSTED=GAAP","Sort=A","Dates=H","DateFormat=P","Fill=—","Direction=H","UseDPDF=Y")</f>
        <v>0</v>
      </c>
      <c r="J11" s="19">
        <f>_xll.BDH("BLUE US Equity","GROSS_PROFIT","FQ1 2021","FQ1 2021","Currency=USD","Period=FQ","BEST_FPERIOD_OVERRIDE=FQ","FILING_STATUS=MR","SCALING_FORMAT=MLN","FA_ADJUSTED=GAAP","Sort=A","Dates=H","DateFormat=P","Fill=—","Direction=H","UseDPDF=Y")</f>
        <v>0.318</v>
      </c>
      <c r="K11" s="19" t="str">
        <f>_xll.BDH("BLUE US Equity","GROSS_PROFIT","FQ2 2021","FQ2 2021","Currency=USD","Period=FQ","BEST_FPERIOD_OVERRIDE=FQ","FILING_STATUS=MR","SCALING_FORMAT=MLN","FA_ADJUSTED=GAAP","Sort=A","Dates=H","DateFormat=P","Fill=—","Direction=H","UseDPDF=Y")</f>
        <v>—</v>
      </c>
      <c r="L11" s="19">
        <f>_xll.BDH("BLUE US Equity","GROSS_PROFIT","FQ3 2021","FQ3 2021","Currency=USD","Period=FQ","BEST_FPERIOD_OVERRIDE=FQ","FILING_STATUS=MR","SCALING_FORMAT=MLN","FA_ADJUSTED=GAAP","Sort=A","Dates=H","DateFormat=P","Fill=—","Direction=H","UseDPDF=Y")</f>
        <v>-18.366</v>
      </c>
      <c r="M11" s="19">
        <f>_xll.BDH("BLUE US Equity","GROSS_PROFIT","FQ4 2021","FQ4 2021","Currency=USD","Period=FQ","BEST_FPERIOD_OVERRIDE=FQ","FILING_STATUS=MR","SCALING_FORMAT=MLN","FA_ADJUSTED=GAAP","Sort=A","Dates=H","DateFormat=P","Fill=—","Direction=H","UseDPDF=Y")</f>
        <v>-2.0760000000000001</v>
      </c>
      <c r="N11" s="19">
        <f>_xll.BDH("BLUE US Equity","GROSS_PROFIT","FQ1 2022","FQ1 2022","Currency=USD","Period=FQ","BEST_FPERIOD_OVERRIDE=FQ","FILING_STATUS=MR","SCALING_FORMAT=MLN","FA_ADJUSTED=GAAP","Sort=A","Dates=H","DateFormat=P","Fill=—","Direction=H","UseDPDF=Y")</f>
        <v>-6.3650000000000002</v>
      </c>
      <c r="O11" s="19">
        <f>_xll.BDH("BLUE US Equity","GROSS_PROFIT","FQ2 2022","FQ2 2022","Currency=USD","Period=FQ","BEST_FPERIOD_OVERRIDE=FQ","FILING_STATUS=MR","SCALING_FORMAT=MLN","FA_ADJUSTED=GAAP","Sort=A","Dates=H","DateFormat=P","Fill=—","Direction=H","UseDPDF=Y")</f>
        <v>-0.22600000000000001</v>
      </c>
      <c r="P11" s="19" t="str">
        <f>_xll.BDH("BLUE US Equity","GROSS_PROFIT","FQ3 2022","FQ3 2022","Currency=USD","Period=FQ","BEST_FPERIOD_OVERRIDE=FQ","FILING_STATUS=MR","SCALING_FORMAT=MLN","FA_ADJUSTED=GAAP","Sort=A","Dates=H","DateFormat=P","Fill=—","Direction=H","UseDPDF=Y")</f>
        <v>—</v>
      </c>
      <c r="Q11" s="19">
        <f>_xll.BDH("BLUE US Equity","GROSS_PROFIT","FQ4 2022","FQ4 2022","Currency=USD","Period=FQ","BEST_FPERIOD_OVERRIDE=FQ","FILING_STATUS=MR","SCALING_FORMAT=MLN","FA_ADJUSTED=GAAP","Sort=A","Dates=H","DateFormat=P","Fill=—","Direction=H","UseDPDF=Y")</f>
        <v>0.04</v>
      </c>
      <c r="R11" s="19">
        <f>_xll.BDH("BLUE US Equity","GROSS_PROFIT","FQ1 2023","FQ1 2023","Currency=USD","Period=FQ","BEST_FPERIOD_OVERRIDE=FQ","FILING_STATUS=MR","SCALING_FORMAT=MLN","FA_ADJUSTED=GAAP","Sort=A","Dates=H","DateFormat=P","Fill=—","Direction=H","UseDPDF=Y")</f>
        <v>-3.1309999999999998</v>
      </c>
      <c r="S11" s="19">
        <f>_xll.BDH("BLUE US Equity","GROSS_PROFIT","FQ2 2023","FQ2 2023","Currency=USD","Period=FQ","BEST_FPERIOD_OVERRIDE=FQ","FILING_STATUS=MR","SCALING_FORMAT=MLN","FA_ADJUSTED=GAAP","Sort=A","Dates=H","DateFormat=P","Fill=—","Direction=H","UseDPDF=Y")</f>
        <v>0.193</v>
      </c>
      <c r="T11" s="19">
        <f>_xll.BDH("BLUE US Equity","GROSS_PROFIT","FQ3 2023","FQ3 2023","Currency=USD","Period=FQ","BEST_FPERIOD_OVERRIDE=FQ","FILING_STATUS=MR","SCALING_FORMAT=MLN","FA_ADJUSTED=GAAP","Sort=A","Dates=H","DateFormat=P","Fill=—","Direction=H","UseDPDF=Y")</f>
        <v>3.266</v>
      </c>
      <c r="U11" s="19">
        <f>_xll.BDH("BLUE US Equity","GROSS_PROFIT","FQ4 2023","FQ4 2023","Currency=USD","Period=FQ","BEST_FPERIOD_OVERRIDE=FQ","FILING_STATUS=MR","SCALING_FORMAT=MLN","FA_ADJUSTED=GAAP","Sort=A","Dates=H","DateFormat=P","Fill=—","Direction=H","UseDPDF=Y")</f>
        <v>-1.798</v>
      </c>
      <c r="V11" s="19">
        <f>_xll.BDH("BLUE US Equity","GROSS_PROFIT","FQ1 2024","FQ1 2024","Currency=USD","Period=FQ","BEST_FPERIOD_OVERRIDE=FQ","FILING_STATUS=MR","SCALING_FORMAT=MLN","FA_ADJUSTED=GAAP","Sort=A","Dates=H","DateFormat=P","Fill=—","Direction=H","UseDPDF=Y")</f>
        <v>-7.2910000000000004</v>
      </c>
      <c r="W11" s="19">
        <f>_xll.BDH("BLUE US Equity","GROSS_PROFIT","FQ2 2024","FQ2 2024","Currency=USD","Period=FQ","BEST_FPERIOD_OVERRIDE=FQ","FILING_STATUS=MR","SCALING_FORMAT=MLN","FA_ADJUSTED=GAAP","Sort=A","Dates=H","DateFormat=P","Fill=—","Direction=H","UseDPDF=Y")</f>
        <v>-12.845000000000001</v>
      </c>
      <c r="X11" s="19">
        <f>_xll.BDH("BLUE US Equity","GROSS_PROFIT","FQ3 2024","FQ3 2024","Currency=USD","Period=FQ","BEST_FPERIOD_OVERRIDE=FQ","FILING_STATUS=MR","SCALING_FORMAT=MLN","FA_ADJUSTED=GAAP","Sort=A","Dates=H","DateFormat=P","Fill=—","Direction=H","UseDPDF=Y")</f>
        <v>-1.169</v>
      </c>
      <c r="Y11" s="19">
        <f>_xll.BDH("BLUE US Equity","GROSS_PROFIT","FQ4 2024","FQ4 2024","Currency=USD","Period=FQ","BEST_FPERIOD_OVERRIDE=FQ","FILING_STATUS=MR","SCALING_FORMAT=MLN","FA_ADJUSTED=GAAP","Sort=A","Dates=H","DateFormat=P","Fill=—","Direction=H","UseDPDF=Y")</f>
        <v>15.731999999999999</v>
      </c>
      <c r="Z11" s="19"/>
      <c r="AA11" s="19"/>
    </row>
    <row r="12" spans="1:27" x14ac:dyDescent="0.25">
      <c r="A12" s="10" t="s">
        <v>284</v>
      </c>
      <c r="B12" s="10" t="s">
        <v>285</v>
      </c>
      <c r="C12" s="13">
        <f>_xll.BDH("BLUE US Equity","IS_OTHER_OPER_INC","FQ2 2019","FQ2 2019","Currency=USD","Period=FQ","BEST_FPERIOD_OVERRIDE=FQ","FILING_STATUS=MR","SCALING_FORMAT=MLN","FA_ADJUSTED=GAAP","Sort=A","Dates=H","DateFormat=P","Fill=—","Direction=H","UseDPDF=Y")</f>
        <v>0</v>
      </c>
      <c r="D12" s="13">
        <f>_xll.BDH("BLUE US Equity","IS_OTHER_OPER_INC","FQ3 2019","FQ3 2019","Currency=USD","Period=FQ","BEST_FPERIOD_OVERRIDE=FQ","FILING_STATUS=MR","SCALING_FORMAT=MLN","FA_ADJUSTED=GAAP","Sort=A","Dates=H","DateFormat=P","Fill=—","Direction=H","UseDPDF=Y")</f>
        <v>0</v>
      </c>
      <c r="E12" s="13">
        <f>_xll.BDH("BLUE US Equity","IS_OTHER_OPER_INC","FQ4 2019","FQ4 2019","Currency=USD","Period=FQ","BEST_FPERIOD_OVERRIDE=FQ","FILING_STATUS=MR","SCALING_FORMAT=MLN","FA_ADJUSTED=GAAP","Sort=A","Dates=H","DateFormat=P","Fill=—","Direction=H","UseDPDF=Y")</f>
        <v>0</v>
      </c>
      <c r="F12" s="13">
        <f>_xll.BDH("BLUE US Equity","IS_OTHER_OPER_INC","FQ1 2020","FQ1 2020","Currency=USD","Period=FQ","BEST_FPERIOD_OVERRIDE=FQ","FILING_STATUS=MR","SCALING_FORMAT=MLN","FA_ADJUSTED=GAAP","Sort=A","Dates=H","DateFormat=P","Fill=—","Direction=H","UseDPDF=Y")</f>
        <v>0</v>
      </c>
      <c r="G12" s="13">
        <f>_xll.BDH("BLUE US Equity","IS_OTHER_OPER_INC","FQ2 2020","FQ2 2020","Currency=USD","Period=FQ","BEST_FPERIOD_OVERRIDE=FQ","FILING_STATUS=MR","SCALING_FORMAT=MLN","FA_ADJUSTED=GAAP","Sort=A","Dates=H","DateFormat=P","Fill=—","Direction=H","UseDPDF=Y")</f>
        <v>0</v>
      </c>
      <c r="H12" s="13">
        <f>_xll.BDH("BLUE US Equity","IS_OTHER_OPER_INC","FQ3 2020","FQ3 2020","Currency=USD","Period=FQ","BEST_FPERIOD_OVERRIDE=FQ","FILING_STATUS=MR","SCALING_FORMAT=MLN","FA_ADJUSTED=GAAP","Sort=A","Dates=H","DateFormat=P","Fill=—","Direction=H","UseDPDF=Y")</f>
        <v>0</v>
      </c>
      <c r="I12" s="13">
        <f>_xll.BDH("BLUE US Equity","IS_OTHER_OPER_INC","FQ4 2020","FQ4 2020","Currency=USD","Period=FQ","BEST_FPERIOD_OVERRIDE=FQ","FILING_STATUS=MR","SCALING_FORMAT=MLN","FA_ADJUSTED=GAAP","Sort=A","Dates=H","DateFormat=P","Fill=—","Direction=H","UseDPDF=Y")</f>
        <v>0</v>
      </c>
      <c r="J12" s="13">
        <f>_xll.BDH("BLUE US Equity","IS_OTHER_OPER_INC","FQ1 2021","FQ1 2021","Currency=USD","Period=FQ","BEST_FPERIOD_OVERRIDE=FQ","FILING_STATUS=MR","SCALING_FORMAT=MLN","FA_ADJUSTED=GAAP","Sort=A","Dates=H","DateFormat=P","Fill=—","Direction=H","UseDPDF=Y")</f>
        <v>0</v>
      </c>
      <c r="K12" s="13">
        <f>_xll.BDH("BLUE US Equity","IS_OTHER_OPER_INC","FQ2 2021","FQ2 2021","Currency=USD","Period=FQ","BEST_FPERIOD_OVERRIDE=FQ","FILING_STATUS=MR","SCALING_FORMAT=MLN","FA_ADJUSTED=GAAP","Sort=A","Dates=H","DateFormat=P","Fill=—","Direction=H","UseDPDF=Y")</f>
        <v>0</v>
      </c>
      <c r="L12" s="13">
        <f>_xll.BDH("BLUE US Equity","IS_OTHER_OPER_INC","FQ3 2021","FQ3 2021","Currency=USD","Period=FQ","BEST_FPERIOD_OVERRIDE=FQ","FILING_STATUS=MR","SCALING_FORMAT=MLN","FA_ADJUSTED=GAAP","Sort=A","Dates=H","DateFormat=P","Fill=—","Direction=H","UseDPDF=Y")</f>
        <v>0</v>
      </c>
      <c r="M12" s="13">
        <f>_xll.BDH("BLUE US Equity","IS_OTHER_OPER_INC","FQ4 2021","FQ4 2021","Currency=USD","Period=FQ","BEST_FPERIOD_OVERRIDE=FQ","FILING_STATUS=MR","SCALING_FORMAT=MLN","FA_ADJUSTED=GAAP","Sort=A","Dates=H","DateFormat=P","Fill=—","Direction=H","UseDPDF=Y")</f>
        <v>0</v>
      </c>
      <c r="N12" s="13">
        <f>_xll.BDH("BLUE US Equity","IS_OTHER_OPER_INC","FQ1 2022","FQ1 2022","Currency=USD","Period=FQ","BEST_FPERIOD_OVERRIDE=FQ","FILING_STATUS=MR","SCALING_FORMAT=MLN","FA_ADJUSTED=GAAP","Sort=A","Dates=H","DateFormat=P","Fill=—","Direction=H","UseDPDF=Y")</f>
        <v>0</v>
      </c>
      <c r="O12" s="13">
        <f>_xll.BDH("BLUE US Equity","IS_OTHER_OPER_INC","FQ2 2022","FQ2 2022","Currency=USD","Period=FQ","BEST_FPERIOD_OVERRIDE=FQ","FILING_STATUS=MR","SCALING_FORMAT=MLN","FA_ADJUSTED=GAAP","Sort=A","Dates=H","DateFormat=P","Fill=—","Direction=H","UseDPDF=Y")</f>
        <v>0</v>
      </c>
      <c r="P12" s="13">
        <f>_xll.BDH("BLUE US Equity","IS_OTHER_OPER_INC","FQ3 2022","FQ3 2022","Currency=USD","Period=FQ","BEST_FPERIOD_OVERRIDE=FQ","FILING_STATUS=MR","SCALING_FORMAT=MLN","FA_ADJUSTED=GAAP","Sort=A","Dates=H","DateFormat=P","Fill=—","Direction=H","UseDPDF=Y")</f>
        <v>0</v>
      </c>
      <c r="Q12" s="13">
        <f>_xll.BDH("BLUE US Equity","IS_OTHER_OPER_INC","FQ4 2022","FQ4 2022","Currency=USD","Period=FQ","BEST_FPERIOD_OVERRIDE=FQ","FILING_STATUS=MR","SCALING_FORMAT=MLN","FA_ADJUSTED=GAAP","Sort=A","Dates=H","DateFormat=P","Fill=—","Direction=H","UseDPDF=Y")</f>
        <v>0</v>
      </c>
      <c r="R12" s="13">
        <f>_xll.BDH("BLUE US Equity","IS_OTHER_OPER_INC","FQ1 2023","FQ1 2023","Currency=USD","Period=FQ","BEST_FPERIOD_OVERRIDE=FQ","FILING_STATUS=MR","SCALING_FORMAT=MLN","FA_ADJUSTED=GAAP","Sort=A","Dates=H","DateFormat=P","Fill=—","Direction=H","UseDPDF=Y")</f>
        <v>0</v>
      </c>
      <c r="S12" s="13">
        <f>_xll.BDH("BLUE US Equity","IS_OTHER_OPER_INC","FQ2 2023","FQ2 2023","Currency=USD","Period=FQ","BEST_FPERIOD_OVERRIDE=FQ","FILING_STATUS=MR","SCALING_FORMAT=MLN","FA_ADJUSTED=GAAP","Sort=A","Dates=H","DateFormat=P","Fill=—","Direction=H","UseDPDF=Y")</f>
        <v>0</v>
      </c>
      <c r="T12" s="13">
        <f>_xll.BDH("BLUE US Equity","IS_OTHER_OPER_INC","FQ3 2023","FQ3 2023","Currency=USD","Period=FQ","BEST_FPERIOD_OVERRIDE=FQ","FILING_STATUS=MR","SCALING_FORMAT=MLN","FA_ADJUSTED=GAAP","Sort=A","Dates=H","DateFormat=P","Fill=—","Direction=H","UseDPDF=Y")</f>
        <v>0</v>
      </c>
      <c r="U12" s="13">
        <f>_xll.BDH("BLUE US Equity","IS_OTHER_OPER_INC","FQ4 2023","FQ4 2023","Currency=USD","Period=FQ","BEST_FPERIOD_OVERRIDE=FQ","FILING_STATUS=MR","SCALING_FORMAT=MLN","FA_ADJUSTED=GAAP","Sort=A","Dates=H","DateFormat=P","Fill=—","Direction=H","UseDPDF=Y")</f>
        <v>0</v>
      </c>
      <c r="V12" s="13">
        <f>_xll.BDH("BLUE US Equity","IS_OTHER_OPER_INC","FQ1 2024","FQ1 2024","Currency=USD","Period=FQ","BEST_FPERIOD_OVERRIDE=FQ","FILING_STATUS=MR","SCALING_FORMAT=MLN","FA_ADJUSTED=GAAP","Sort=A","Dates=H","DateFormat=P","Fill=—","Direction=H","UseDPDF=Y")</f>
        <v>0</v>
      </c>
      <c r="W12" s="13">
        <f>_xll.BDH("BLUE US Equity","IS_OTHER_OPER_INC","FQ2 2024","FQ2 2024","Currency=USD","Period=FQ","BEST_FPERIOD_OVERRIDE=FQ","FILING_STATUS=MR","SCALING_FORMAT=MLN","FA_ADJUSTED=GAAP","Sort=A","Dates=H","DateFormat=P","Fill=—","Direction=H","UseDPDF=Y")</f>
        <v>0</v>
      </c>
      <c r="X12" s="13">
        <f>_xll.BDH("BLUE US Equity","IS_OTHER_OPER_INC","FQ3 2024","FQ3 2024","Currency=USD","Period=FQ","BEST_FPERIOD_OVERRIDE=FQ","FILING_STATUS=MR","SCALING_FORMAT=MLN","FA_ADJUSTED=GAAP","Sort=A","Dates=H","DateFormat=P","Fill=—","Direction=H","UseDPDF=Y")</f>
        <v>0</v>
      </c>
      <c r="Y12" s="13">
        <f>_xll.BDH("BLUE US Equity","IS_OTHER_OPER_INC","FQ4 2024","FQ4 2024","Currency=USD","Period=FQ","BEST_FPERIOD_OVERRIDE=FQ","FILING_STATUS=MR","SCALING_FORMAT=MLN","FA_ADJUSTED=GAAP","Sort=A","Dates=H","DateFormat=P","Fill=—","Direction=H","UseDPDF=Y")</f>
        <v>0</v>
      </c>
      <c r="Z12" s="13"/>
      <c r="AA12" s="13"/>
    </row>
    <row r="13" spans="1:27" x14ac:dyDescent="0.25">
      <c r="A13" s="10" t="s">
        <v>286</v>
      </c>
      <c r="B13" s="10" t="s">
        <v>287</v>
      </c>
      <c r="C13" s="13">
        <f>_xll.BDH("BLUE US Equity","IS_OPERATING_EXPN","FQ2 2019","FQ2 2019","Currency=USD","Period=FQ","BEST_FPERIOD_OVERRIDE=FQ","FILING_STATUS=MR","SCALING_FORMAT=MLN","FA_ADJUSTED=GAAP","Sort=A","Dates=H","DateFormat=P","Fill=—","Direction=H","UseDPDF=Y")</f>
        <v>215.99799999999999</v>
      </c>
      <c r="D13" s="13">
        <f>_xll.BDH("BLUE US Equity","IS_OPERATING_EXPN","FQ3 2019","FQ3 2019","Currency=USD","Period=FQ","BEST_FPERIOD_OVERRIDE=FQ","FILING_STATUS=MR","SCALING_FORMAT=MLN","FA_ADJUSTED=GAAP","Sort=A","Dates=H","DateFormat=P","Fill=—","Direction=H","UseDPDF=Y")</f>
        <v>219.32599999999999</v>
      </c>
      <c r="E13" s="13">
        <f>_xll.BDH("BLUE US Equity","IS_OPERATING_EXPN","FQ4 2019","FQ4 2019","Currency=USD","Period=FQ","BEST_FPERIOD_OVERRIDE=FQ","FILING_STATUS=MR","SCALING_FORMAT=MLN","FA_ADJUSTED=GAAP","Sort=A","Dates=H","DateFormat=P","Fill=—","Direction=H","UseDPDF=Y")</f>
        <v>240.53100000000001</v>
      </c>
      <c r="F13" s="13">
        <f>_xll.BDH("BLUE US Equity","IS_OPERATING_EXPN","FQ1 2020","FQ1 2020","Currency=USD","Period=FQ","BEST_FPERIOD_OVERRIDE=FQ","FILING_STATUS=MR","SCALING_FORMAT=MLN","FA_ADJUSTED=GAAP","Sort=A","Dates=H","DateFormat=P","Fill=—","Direction=H","UseDPDF=Y")</f>
        <v>225.28800000000001</v>
      </c>
      <c r="G13" s="13">
        <f>_xll.BDH("BLUE US Equity","IS_OPERATING_EXPN","FQ2 2020","FQ2 2020","Currency=USD","Period=FQ","BEST_FPERIOD_OVERRIDE=FQ","FILING_STATUS=MR","SCALING_FORMAT=MLN","FA_ADJUSTED=GAAP","Sort=A","Dates=H","DateFormat=P","Fill=—","Direction=H","UseDPDF=Y")</f>
        <v>224.83500000000001</v>
      </c>
      <c r="H13" s="13">
        <f>_xll.BDH("BLUE US Equity","IS_OPERATING_EXPN","FQ3 2020","FQ3 2020","Currency=USD","Period=FQ","BEST_FPERIOD_OVERRIDE=FQ","FILING_STATUS=MR","SCALING_FORMAT=MLN","FA_ADJUSTED=GAAP","Sort=A","Dates=H","DateFormat=P","Fill=—","Direction=H","UseDPDF=Y")</f>
        <v>208.96700000000001</v>
      </c>
      <c r="I13" s="13">
        <f>_xll.BDH("BLUE US Equity","IS_OPERATING_EXPN","FQ4 2020","FQ4 2020","Currency=USD","Period=FQ","BEST_FPERIOD_OVERRIDE=FQ","FILING_STATUS=MR","SCALING_FORMAT=MLN","FA_ADJUSTED=GAAP","Sort=A","Dates=H","DateFormat=P","Fill=—","Direction=H","UseDPDF=Y")</f>
        <v>139.387</v>
      </c>
      <c r="J13" s="13">
        <f>_xll.BDH("BLUE US Equity","IS_OPERATING_EXPN","FQ1 2021","FQ1 2021","Currency=USD","Period=FQ","BEST_FPERIOD_OVERRIDE=FQ","FILING_STATUS=MR","SCALING_FORMAT=MLN","FA_ADJUSTED=GAAP","Sort=A","Dates=H","DateFormat=P","Fill=—","Direction=H","UseDPDF=Y")</f>
        <v>146.41200000000001</v>
      </c>
      <c r="K13" s="13">
        <f>_xll.BDH("BLUE US Equity","IS_OPERATING_EXPN","FQ2 2021","FQ2 2021","Currency=USD","Period=FQ","BEST_FPERIOD_OVERRIDE=FQ","FILING_STATUS=MR","SCALING_FORMAT=MLN","FA_ADJUSTED=GAAP","Sort=A","Dates=H","DateFormat=P","Fill=—","Direction=H","UseDPDF=Y")</f>
        <v>248.31</v>
      </c>
      <c r="L13" s="13">
        <f>_xll.BDH("BLUE US Equity","IS_OPERATING_EXPN","FQ3 2021","FQ3 2021","Currency=USD","Period=FQ","BEST_FPERIOD_OVERRIDE=FQ","FILING_STATUS=MR","SCALING_FORMAT=MLN","FA_ADJUSTED=GAAP","Sort=A","Dates=H","DateFormat=P","Fill=—","Direction=H","UseDPDF=Y")</f>
        <v>136.083</v>
      </c>
      <c r="M13" s="13">
        <f>_xll.BDH("BLUE US Equity","IS_OPERATING_EXPN","FQ4 2021","FQ4 2021","Currency=USD","Period=FQ","BEST_FPERIOD_OVERRIDE=FQ","FILING_STATUS=MR","SCALING_FORMAT=MLN","FA_ADJUSTED=GAAP","Sort=A","Dates=H","DateFormat=P","Fill=—","Direction=H","UseDPDF=Y")</f>
        <v>133.59100000000001</v>
      </c>
      <c r="N13" s="13">
        <f>_xll.BDH("BLUE US Equity","IS_OPERATING_EXPN","FQ1 2022","FQ1 2022","Currency=USD","Period=FQ","BEST_FPERIOD_OVERRIDE=FQ","FILING_STATUS=MR","SCALING_FORMAT=MLN","FA_ADJUSTED=GAAP","Sort=A","Dates=H","DateFormat=P","Fill=—","Direction=H","UseDPDF=Y")</f>
        <v>113.98099999999999</v>
      </c>
      <c r="O13" s="13">
        <f>_xll.BDH("BLUE US Equity","IS_OPERATING_EXPN","FQ2 2022","FQ2 2022","Currency=USD","Period=FQ","BEST_FPERIOD_OVERRIDE=FQ","FILING_STATUS=MR","SCALING_FORMAT=MLN","FA_ADJUSTED=GAAP","Sort=A","Dates=H","DateFormat=P","Fill=—","Direction=H","UseDPDF=Y")</f>
        <v>107.17400000000001</v>
      </c>
      <c r="P13" s="13">
        <f>_xll.BDH("BLUE US Equity","IS_OPERATING_EXPN","FQ3 2022","FQ3 2022","Currency=USD","Period=FQ","BEST_FPERIOD_OVERRIDE=FQ","FILING_STATUS=MR","SCALING_FORMAT=MLN","FA_ADJUSTED=GAAP","Sort=A","Dates=H","DateFormat=P","Fill=—","Direction=H","UseDPDF=Y")</f>
        <v>84.852000000000004</v>
      </c>
      <c r="Q13" s="13">
        <f>_xll.BDH("BLUE US Equity","IS_OPERATING_EXPN","FQ4 2022","FQ4 2022","Currency=USD","Period=FQ","BEST_FPERIOD_OVERRIDE=FQ","FILING_STATUS=MR","SCALING_FORMAT=MLN","FA_ADJUSTED=GAAP","Sort=A","Dates=H","DateFormat=P","Fill=—","Direction=H","UseDPDF=Y")</f>
        <v>-62.302</v>
      </c>
      <c r="R13" s="13">
        <f>_xll.BDH("BLUE US Equity","IS_OPERATING_EXPN","FQ1 2023","FQ1 2023","Currency=USD","Period=FQ","BEST_FPERIOD_OVERRIDE=FQ","FILING_STATUS=MR","SCALING_FORMAT=MLN","FA_ADJUSTED=GAAP","Sort=A","Dates=H","DateFormat=P","Fill=—","Direction=H","UseDPDF=Y")</f>
        <v>-13.875999999999999</v>
      </c>
      <c r="S13" s="13">
        <f>_xll.BDH("BLUE US Equity","IS_OPERATING_EXPN","FQ2 2023","FQ2 2023","Currency=USD","Period=FQ","BEST_FPERIOD_OVERRIDE=FQ","FILING_STATUS=MR","SCALING_FORMAT=MLN","FA_ADJUSTED=GAAP","Sort=A","Dates=H","DateFormat=P","Fill=—","Direction=H","UseDPDF=Y")</f>
        <v>71.91</v>
      </c>
      <c r="T13" s="13">
        <f>_xll.BDH("BLUE US Equity","IS_OPERATING_EXPN","FQ3 2023","FQ3 2023","Currency=USD","Period=FQ","BEST_FPERIOD_OVERRIDE=FQ","FILING_STATUS=MR","SCALING_FORMAT=MLN","FA_ADJUSTED=GAAP","Sort=A","Dates=H","DateFormat=P","Fill=—","Direction=H","UseDPDF=Y")</f>
        <v>99.272000000000006</v>
      </c>
      <c r="U13" s="13">
        <f>_xll.BDH("BLUE US Equity","IS_OPERATING_EXPN","FQ4 2023","FQ4 2023","Currency=USD","Period=FQ","BEST_FPERIOD_OVERRIDE=FQ","FILING_STATUS=MR","SCALING_FORMAT=MLN","FA_ADJUSTED=GAAP","Sort=A","Dates=H","DateFormat=P","Fill=—","Direction=H","UseDPDF=Y")</f>
        <v>80.875</v>
      </c>
      <c r="V13" s="13">
        <f>_xll.BDH("BLUE US Equity","IS_OPERATING_EXPN","FQ1 2024","FQ1 2024","Currency=USD","Period=FQ","BEST_FPERIOD_OVERRIDE=FQ","FILING_STATUS=MR","SCALING_FORMAT=MLN","FA_ADJUSTED=GAAP","Sort=A","Dates=H","DateFormat=P","Fill=—","Direction=H","UseDPDF=Y")</f>
        <v>71.400999999999996</v>
      </c>
      <c r="W13" s="13">
        <f>_xll.BDH("BLUE US Equity","IS_OPERATING_EXPN","FQ2 2024","FQ2 2024","Currency=USD","Period=FQ","BEST_FPERIOD_OVERRIDE=FQ","FILING_STATUS=MR","SCALING_FORMAT=MLN","FA_ADJUSTED=GAAP","Sort=A","Dates=H","DateFormat=P","Fill=—","Direction=H","UseDPDF=Y")</f>
        <v>75.546999999999997</v>
      </c>
      <c r="X13" s="13">
        <f>_xll.BDH("BLUE US Equity","IS_OPERATING_EXPN","FQ3 2024","FQ3 2024","Currency=USD","Period=FQ","BEST_FPERIOD_OVERRIDE=FQ","FILING_STATUS=MR","SCALING_FORMAT=MLN","FA_ADJUSTED=GAAP","Sort=A","Dates=H","DateFormat=P","Fill=—","Direction=H","UseDPDF=Y")</f>
        <v>65.75</v>
      </c>
      <c r="Y13" s="13">
        <f>_xll.BDH("BLUE US Equity","IS_OPERATING_EXPN","FQ4 2024","FQ4 2024","Currency=USD","Period=FQ","BEST_FPERIOD_OVERRIDE=FQ","FILING_STATUS=MR","SCALING_FORMAT=MLN","FA_ADJUSTED=GAAP","Sort=A","Dates=H","DateFormat=P","Fill=—","Direction=H","UseDPDF=Y")</f>
        <v>52.19</v>
      </c>
      <c r="Z13" s="13"/>
      <c r="AA13" s="13"/>
    </row>
    <row r="14" spans="1:27" x14ac:dyDescent="0.25">
      <c r="A14" s="10" t="s">
        <v>288</v>
      </c>
      <c r="B14" s="10" t="s">
        <v>289</v>
      </c>
      <c r="C14" s="13">
        <f>_xll.BDH("BLUE US Equity","IS_SGA_EXPENSE","FQ2 2019","FQ2 2019","Currency=USD","Period=FQ","BEST_FPERIOD_OVERRIDE=FQ","FILING_STATUS=MR","SCALING_FORMAT=MLN","FA_ADJUSTED=GAAP","Sort=A","Dates=H","DateFormat=P","Fill=—","Direction=H","UseDPDF=Y")</f>
        <v>68.631</v>
      </c>
      <c r="D14" s="13">
        <f>_xll.BDH("BLUE US Equity","IS_SGA_EXPENSE","FQ3 2019","FQ3 2019","Currency=USD","Period=FQ","BEST_FPERIOD_OVERRIDE=FQ","FILING_STATUS=MR","SCALING_FORMAT=MLN","FA_ADJUSTED=GAAP","Sort=A","Dates=H","DateFormat=P","Fill=—","Direction=H","UseDPDF=Y")</f>
        <v>66.25</v>
      </c>
      <c r="E14" s="13">
        <f>_xll.BDH("BLUE US Equity","IS_SGA_EXPENSE","FQ4 2019","FQ4 2019","Currency=USD","Period=FQ","BEST_FPERIOD_OVERRIDE=FQ","FILING_STATUS=MR","SCALING_FORMAT=MLN","FA_ADJUSTED=GAAP","Sort=A","Dates=H","DateFormat=P","Fill=—","Direction=H","UseDPDF=Y")</f>
        <v>76.201999999999998</v>
      </c>
      <c r="F14" s="13">
        <f>_xll.BDH("BLUE US Equity","IS_SGA_EXPENSE","FQ1 2020","FQ1 2020","Currency=USD","Period=FQ","BEST_FPERIOD_OVERRIDE=FQ","FILING_STATUS=MR","SCALING_FORMAT=MLN","FA_ADJUSTED=GAAP","Sort=A","Dates=H","DateFormat=P","Fill=—","Direction=H","UseDPDF=Y")</f>
        <v>73.248000000000005</v>
      </c>
      <c r="G14" s="13">
        <f>_xll.BDH("BLUE US Equity","IS_SGA_EXPENSE","FQ2 2020","FQ2 2020","Currency=USD","Period=FQ","BEST_FPERIOD_OVERRIDE=FQ","FILING_STATUS=MR","SCALING_FORMAT=MLN","FA_ADJUSTED=GAAP","Sort=A","Dates=H","DateFormat=P","Fill=—","Direction=H","UseDPDF=Y")</f>
        <v>68.628</v>
      </c>
      <c r="H14" s="13">
        <f>_xll.BDH("BLUE US Equity","IS_SGA_EXPENSE","FQ3 2020","FQ3 2020","Currency=USD","Period=FQ","BEST_FPERIOD_OVERRIDE=FQ","FILING_STATUS=MR","SCALING_FORMAT=MLN","FA_ADJUSTED=GAAP","Sort=A","Dates=H","DateFormat=P","Fill=—","Direction=H","UseDPDF=Y")</f>
        <v>68.046000000000006</v>
      </c>
      <c r="I14" s="13">
        <f>_xll.BDH("BLUE US Equity","IS_SGA_EXPENSE","FQ4 2020","FQ4 2020","Currency=USD","Period=FQ","BEST_FPERIOD_OVERRIDE=FQ","FILING_STATUS=MR","SCALING_FORMAT=MLN","FA_ADJUSTED=GAAP","Sort=A","Dates=H","DateFormat=P","Fill=—","Direction=H","UseDPDF=Y")</f>
        <v>80.572000000000003</v>
      </c>
      <c r="J14" s="13">
        <f>_xll.BDH("BLUE US Equity","IS_SGA_EXPENSE","FQ1 2021","FQ1 2021","Currency=USD","Period=FQ","BEST_FPERIOD_OVERRIDE=FQ","FILING_STATUS=MR","SCALING_FORMAT=MLN","FA_ADJUSTED=GAAP","Sort=A","Dates=H","DateFormat=P","Fill=—","Direction=H","UseDPDF=Y")</f>
        <v>63.569000000000003</v>
      </c>
      <c r="K14" s="13">
        <f>_xll.BDH("BLUE US Equity","IS_SGA_EXPENSE","FQ2 2021","FQ2 2021","Currency=USD","Period=FQ","BEST_FPERIOD_OVERRIDE=FQ","FILING_STATUS=MR","SCALING_FORMAT=MLN","FA_ADJUSTED=GAAP","Sort=A","Dates=H","DateFormat=P","Fill=—","Direction=H","UseDPDF=Y")</f>
        <v>78.575999999999993</v>
      </c>
      <c r="L14" s="13">
        <f>_xll.BDH("BLUE US Equity","IS_SGA_EXPENSE","FQ3 2021","FQ3 2021","Currency=USD","Period=FQ","BEST_FPERIOD_OVERRIDE=FQ","FILING_STATUS=MR","SCALING_FORMAT=MLN","FA_ADJUSTED=GAAP","Sort=A","Dates=H","DateFormat=P","Fill=—","Direction=H","UseDPDF=Y")</f>
        <v>42.228999999999999</v>
      </c>
      <c r="M14" s="13">
        <f>_xll.BDH("BLUE US Equity","IS_SGA_EXPENSE","FQ4 2021","FQ4 2021","Currency=USD","Period=FQ","BEST_FPERIOD_OVERRIDE=FQ","FILING_STATUS=MR","SCALING_FORMAT=MLN","FA_ADJUSTED=GAAP","Sort=A","Dates=H","DateFormat=P","Fill=—","Direction=H","UseDPDF=Y")</f>
        <v>53.206000000000003</v>
      </c>
      <c r="N14" s="13">
        <f>_xll.BDH("BLUE US Equity","IS_SGA_EXPENSE","FQ1 2022","FQ1 2022","Currency=USD","Period=FQ","BEST_FPERIOD_OVERRIDE=FQ","FILING_STATUS=MR","SCALING_FORMAT=MLN","FA_ADJUSTED=GAAP","Sort=A","Dates=H","DateFormat=P","Fill=—","Direction=H","UseDPDF=Y")</f>
        <v>36.106000000000002</v>
      </c>
      <c r="O14" s="13">
        <f>_xll.BDH("BLUE US Equity","IS_SGA_EXPENSE","FQ2 2022","FQ2 2022","Currency=USD","Period=FQ","BEST_FPERIOD_OVERRIDE=FQ","FILING_STATUS=MR","SCALING_FORMAT=MLN","FA_ADJUSTED=GAAP","Sort=A","Dates=H","DateFormat=P","Fill=—","Direction=H","UseDPDF=Y")</f>
        <v>36.694000000000003</v>
      </c>
      <c r="P14" s="13">
        <f>_xll.BDH("BLUE US Equity","IS_SGA_EXPENSE","FQ3 2022","FQ3 2022","Currency=USD","Period=FQ","BEST_FPERIOD_OVERRIDE=FQ","FILING_STATUS=MR","SCALING_FORMAT=MLN","FA_ADJUSTED=GAAP","Sort=A","Dates=H","DateFormat=P","Fill=—","Direction=H","UseDPDF=Y")</f>
        <v>33.402000000000001</v>
      </c>
      <c r="Q14" s="13">
        <f>_xll.BDH("BLUE US Equity","IS_SGA_EXPENSE","FQ4 2022","FQ4 2022","Currency=USD","Period=FQ","BEST_FPERIOD_OVERRIDE=FQ","FILING_STATUS=MR","SCALING_FORMAT=MLN","FA_ADJUSTED=GAAP","Sort=A","Dates=H","DateFormat=P","Fill=—","Direction=H","UseDPDF=Y")</f>
        <v>34.124000000000002</v>
      </c>
      <c r="R14" s="13">
        <f>_xll.BDH("BLUE US Equity","IS_SGA_EXPENSE","FQ1 2023","FQ1 2023","Currency=USD","Period=FQ","BEST_FPERIOD_OVERRIDE=FQ","FILING_STATUS=MR","SCALING_FORMAT=MLN","FA_ADJUSTED=GAAP","Sort=A","Dates=H","DateFormat=P","Fill=—","Direction=H","UseDPDF=Y")</f>
        <v>37.466999999999999</v>
      </c>
      <c r="S14" s="13">
        <f>_xll.BDH("BLUE US Equity","IS_SGA_EXPENSE","FQ2 2023","FQ2 2023","Currency=USD","Period=FQ","BEST_FPERIOD_OVERRIDE=FQ","FILING_STATUS=MR","SCALING_FORMAT=MLN","FA_ADJUSTED=GAAP","Sort=A","Dates=H","DateFormat=P","Fill=—","Direction=H","UseDPDF=Y")</f>
        <v>40.462000000000003</v>
      </c>
      <c r="T14" s="13">
        <f>_xll.BDH("BLUE US Equity","IS_SGA_EXPENSE","FQ3 2023","FQ3 2023","Currency=USD","Period=FQ","BEST_FPERIOD_OVERRIDE=FQ","FILING_STATUS=MR","SCALING_FORMAT=MLN","FA_ADJUSTED=GAAP","Sort=A","Dates=H","DateFormat=P","Fill=—","Direction=H","UseDPDF=Y")</f>
        <v>40.771000000000001</v>
      </c>
      <c r="U14" s="13">
        <f>_xll.BDH("BLUE US Equity","IS_SGA_EXPENSE","FQ4 2023","FQ4 2023","Currency=USD","Period=FQ","BEST_FPERIOD_OVERRIDE=FQ","FILING_STATUS=MR","SCALING_FORMAT=MLN","FA_ADJUSTED=GAAP","Sort=A","Dates=H","DateFormat=P","Fill=—","Direction=H","UseDPDF=Y")</f>
        <v>47.103999999999999</v>
      </c>
      <c r="V14" s="13">
        <f>_xll.BDH("BLUE US Equity","IS_SGA_EXPENSE","FQ1 2024","FQ1 2024","Currency=USD","Period=FQ","BEST_FPERIOD_OVERRIDE=FQ","FILING_STATUS=MR","SCALING_FORMAT=MLN","FA_ADJUSTED=GAAP","Sort=A","Dates=H","DateFormat=P","Fill=—","Direction=H","UseDPDF=Y")</f>
        <v>46.329000000000001</v>
      </c>
      <c r="W14" s="13">
        <f>_xll.BDH("BLUE US Equity","IS_SGA_EXPENSE","FQ2 2024","FQ2 2024","Currency=USD","Period=FQ","BEST_FPERIOD_OVERRIDE=FQ","FILING_STATUS=MR","SCALING_FORMAT=MLN","FA_ADJUSTED=GAAP","Sort=A","Dates=H","DateFormat=P","Fill=—","Direction=H","UseDPDF=Y")</f>
        <v>50.384999999999998</v>
      </c>
      <c r="X14" s="13">
        <f>_xll.BDH("BLUE US Equity","IS_SGA_EXPENSE","FQ3 2024","FQ3 2024","Currency=USD","Period=FQ","BEST_FPERIOD_OVERRIDE=FQ","FILING_STATUS=MR","SCALING_FORMAT=MLN","FA_ADJUSTED=GAAP","Sort=A","Dates=H","DateFormat=P","Fill=—","Direction=H","UseDPDF=Y")</f>
        <v>39.765000000000001</v>
      </c>
      <c r="Y14" s="13">
        <f>_xll.BDH("BLUE US Equity","IS_SGA_EXPENSE","FQ4 2024","FQ4 2024","Currency=USD","Period=FQ","BEST_FPERIOD_OVERRIDE=FQ","FILING_STATUS=MR","SCALING_FORMAT=MLN","FA_ADJUSTED=GAAP","Sort=A","Dates=H","DateFormat=P","Fill=—","Direction=H","UseDPDF=Y")</f>
        <v>31.395</v>
      </c>
      <c r="Z14" s="13"/>
      <c r="AA14" s="13"/>
    </row>
    <row r="15" spans="1:27" x14ac:dyDescent="0.25">
      <c r="A15" s="11" t="s">
        <v>290</v>
      </c>
      <c r="B15" s="11" t="s">
        <v>291</v>
      </c>
      <c r="C15" s="25">
        <f>_xll.BDH("BLUE US Equity","IS_GENERAL_AND_ADMINISTRATIVE","FQ2 2019","FQ2 2019","Currency=USD","Period=FQ","BEST_FPERIOD_OVERRIDE=FQ","FILING_STATUS=MR","SCALING_FORMAT=MLN","FA_ADJUSTED=GAAP","Sort=A","Dates=H","DateFormat=P","Fill=—","Direction=H","UseDPDF=Y")</f>
        <v>68.631</v>
      </c>
      <c r="D15" s="25">
        <f>_xll.BDH("BLUE US Equity","IS_GENERAL_AND_ADMINISTRATIVE","FQ3 2019","FQ3 2019","Currency=USD","Period=FQ","BEST_FPERIOD_OVERRIDE=FQ","FILING_STATUS=MR","SCALING_FORMAT=MLN","FA_ADJUSTED=GAAP","Sort=A","Dates=H","DateFormat=P","Fill=—","Direction=H","UseDPDF=Y")</f>
        <v>66.25</v>
      </c>
      <c r="E15" s="25" t="str">
        <f>_xll.BDH("BLUE US Equity","IS_GENERAL_AND_ADMINISTRATIVE","FQ4 2019","FQ4 2019","Currency=USD","Period=FQ","BEST_FPERIOD_OVERRIDE=FQ","FILING_STATUS=MR","SCALING_FORMAT=MLN","FA_ADJUSTED=GAAP","Sort=A","Dates=H","DateFormat=P","Fill=—","Direction=H","UseDPDF=Y")</f>
        <v>—</v>
      </c>
      <c r="F15" s="25" t="str">
        <f>_xll.BDH("BLUE US Equity","IS_GENERAL_AND_ADMINISTRATIVE","FQ1 2020","FQ1 2020","Currency=USD","Period=FQ","BEST_FPERIOD_OVERRIDE=FQ","FILING_STATUS=MR","SCALING_FORMAT=MLN","FA_ADJUSTED=GAAP","Sort=A","Dates=H","DateFormat=P","Fill=—","Direction=H","UseDPDF=Y")</f>
        <v>—</v>
      </c>
      <c r="G15" s="25" t="str">
        <f>_xll.BDH("BLUE US Equity","IS_GENERAL_AND_ADMINISTRATIVE","FQ2 2020","FQ2 2020","Currency=USD","Period=FQ","BEST_FPERIOD_OVERRIDE=FQ","FILING_STATUS=MR","SCALING_FORMAT=MLN","FA_ADJUSTED=GAAP","Sort=A","Dates=H","DateFormat=P","Fill=—","Direction=H","UseDPDF=Y")</f>
        <v>—</v>
      </c>
      <c r="H15" s="25" t="str">
        <f>_xll.BDH("BLUE US Equity","IS_GENERAL_AND_ADMINISTRATIVE","FQ3 2020","FQ3 2020","Currency=USD","Period=FQ","BEST_FPERIOD_OVERRIDE=FQ","FILING_STATUS=MR","SCALING_FORMAT=MLN","FA_ADJUSTED=GAAP","Sort=A","Dates=H","DateFormat=P","Fill=—","Direction=H","UseDPDF=Y")</f>
        <v>—</v>
      </c>
      <c r="I15" s="25" t="str">
        <f>_xll.BDH("BLUE US Equity","IS_GENERAL_AND_ADMINISTRATIVE","FQ4 2020","FQ4 2020","Currency=USD","Period=FQ","BEST_FPERIOD_OVERRIDE=FQ","FILING_STATUS=MR","SCALING_FORMAT=MLN","FA_ADJUSTED=GAAP","Sort=A","Dates=H","DateFormat=P","Fill=—","Direction=H","UseDPDF=Y")</f>
        <v>—</v>
      </c>
      <c r="J15" s="25" t="str">
        <f>_xll.BDH("BLUE US Equity","IS_GENERAL_AND_ADMINISTRATIVE","FQ1 2021","FQ1 2021","Currency=USD","Period=FQ","BEST_FPERIOD_OVERRIDE=FQ","FILING_STATUS=MR","SCALING_FORMAT=MLN","FA_ADJUSTED=GAAP","Sort=A","Dates=H","DateFormat=P","Fill=—","Direction=H","UseDPDF=Y")</f>
        <v>—</v>
      </c>
      <c r="K15" s="25" t="str">
        <f>_xll.BDH("BLUE US Equity","IS_GENERAL_AND_ADMINISTRATIVE","FQ2 2021","FQ2 2021","Currency=USD","Period=FQ","BEST_FPERIOD_OVERRIDE=FQ","FILING_STATUS=MR","SCALING_FORMAT=MLN","FA_ADJUSTED=GAAP","Sort=A","Dates=H","DateFormat=P","Fill=—","Direction=H","UseDPDF=Y")</f>
        <v>—</v>
      </c>
      <c r="L15" s="25" t="str">
        <f>_xll.BDH("BLUE US Equity","IS_GENERAL_AND_ADMINISTRATIVE","FQ3 2021","FQ3 2021","Currency=USD","Period=FQ","BEST_FPERIOD_OVERRIDE=FQ","FILING_STATUS=MR","SCALING_FORMAT=MLN","FA_ADJUSTED=GAAP","Sort=A","Dates=H","DateFormat=P","Fill=—","Direction=H","UseDPDF=Y")</f>
        <v>—</v>
      </c>
      <c r="M15" s="25" t="str">
        <f>_xll.BDH("BLUE US Equity","IS_GENERAL_AND_ADMINISTRATIVE","FQ4 2021","FQ4 2021","Currency=USD","Period=FQ","BEST_FPERIOD_OVERRIDE=FQ","FILING_STATUS=MR","SCALING_FORMAT=MLN","FA_ADJUSTED=GAAP","Sort=A","Dates=H","DateFormat=P","Fill=—","Direction=H","UseDPDF=Y")</f>
        <v>—</v>
      </c>
      <c r="N15" s="25" t="str">
        <f>_xll.BDH("BLUE US Equity","IS_GENERAL_AND_ADMINISTRATIVE","FQ1 2022","FQ1 2022","Currency=USD","Period=FQ","BEST_FPERIOD_OVERRIDE=FQ","FILING_STATUS=MR","SCALING_FORMAT=MLN","FA_ADJUSTED=GAAP","Sort=A","Dates=H","DateFormat=P","Fill=—","Direction=H","UseDPDF=Y")</f>
        <v>—</v>
      </c>
      <c r="O15" s="25" t="str">
        <f>_xll.BDH("BLUE US Equity","IS_GENERAL_AND_ADMINISTRATIVE","FQ2 2022","FQ2 2022","Currency=USD","Period=FQ","BEST_FPERIOD_OVERRIDE=FQ","FILING_STATUS=MR","SCALING_FORMAT=MLN","FA_ADJUSTED=GAAP","Sort=A","Dates=H","DateFormat=P","Fill=—","Direction=H","UseDPDF=Y")</f>
        <v>—</v>
      </c>
      <c r="P15" s="25" t="str">
        <f>_xll.BDH("BLUE US Equity","IS_GENERAL_AND_ADMINISTRATIVE","FQ3 2022","FQ3 2022","Currency=USD","Period=FQ","BEST_FPERIOD_OVERRIDE=FQ","FILING_STATUS=MR","SCALING_FORMAT=MLN","FA_ADJUSTED=GAAP","Sort=A","Dates=H","DateFormat=P","Fill=—","Direction=H","UseDPDF=Y")</f>
        <v>—</v>
      </c>
      <c r="Q15" s="25" t="str">
        <f>_xll.BDH("BLUE US Equity","IS_GENERAL_AND_ADMINISTRATIVE","FQ4 2022","FQ4 2022","Currency=USD","Period=FQ","BEST_FPERIOD_OVERRIDE=FQ","FILING_STATUS=MR","SCALING_FORMAT=MLN","FA_ADJUSTED=GAAP","Sort=A","Dates=H","DateFormat=P","Fill=—","Direction=H","UseDPDF=Y")</f>
        <v>—</v>
      </c>
      <c r="R15" s="25" t="str">
        <f>_xll.BDH("BLUE US Equity","IS_GENERAL_AND_ADMINISTRATIVE","FQ1 2023","FQ1 2023","Currency=USD","Period=FQ","BEST_FPERIOD_OVERRIDE=FQ","FILING_STATUS=MR","SCALING_FORMAT=MLN","FA_ADJUSTED=GAAP","Sort=A","Dates=H","DateFormat=P","Fill=—","Direction=H","UseDPDF=Y")</f>
        <v>—</v>
      </c>
      <c r="S15" s="25" t="str">
        <f>_xll.BDH("BLUE US Equity","IS_GENERAL_AND_ADMINISTRATIVE","FQ2 2023","FQ2 2023","Currency=USD","Period=FQ","BEST_FPERIOD_OVERRIDE=FQ","FILING_STATUS=MR","SCALING_FORMAT=MLN","FA_ADJUSTED=GAAP","Sort=A","Dates=H","DateFormat=P","Fill=—","Direction=H","UseDPDF=Y")</f>
        <v>—</v>
      </c>
      <c r="T15" s="25" t="str">
        <f>_xll.BDH("BLUE US Equity","IS_GENERAL_AND_ADMINISTRATIVE","FQ3 2023","FQ3 2023","Currency=USD","Period=FQ","BEST_FPERIOD_OVERRIDE=FQ","FILING_STATUS=MR","SCALING_FORMAT=MLN","FA_ADJUSTED=GAAP","Sort=A","Dates=H","DateFormat=P","Fill=—","Direction=H","UseDPDF=Y")</f>
        <v>—</v>
      </c>
      <c r="U15" s="25" t="str">
        <f>_xll.BDH("BLUE US Equity","IS_GENERAL_AND_ADMINISTRATIVE","FQ4 2023","FQ4 2023","Currency=USD","Period=FQ","BEST_FPERIOD_OVERRIDE=FQ","FILING_STATUS=MR","SCALING_FORMAT=MLN","FA_ADJUSTED=GAAP","Sort=A","Dates=H","DateFormat=P","Fill=—","Direction=H","UseDPDF=Y")</f>
        <v>—</v>
      </c>
      <c r="V15" s="25" t="str">
        <f>_xll.BDH("BLUE US Equity","IS_GENERAL_AND_ADMINISTRATIVE","FQ1 2024","FQ1 2024","Currency=USD","Period=FQ","BEST_FPERIOD_OVERRIDE=FQ","FILING_STATUS=MR","SCALING_FORMAT=MLN","FA_ADJUSTED=GAAP","Sort=A","Dates=H","DateFormat=P","Fill=—","Direction=H","UseDPDF=Y")</f>
        <v>—</v>
      </c>
      <c r="W15" s="25" t="str">
        <f>_xll.BDH("BLUE US Equity","IS_GENERAL_AND_ADMINISTRATIVE","FQ2 2024","FQ2 2024","Currency=USD","Period=FQ","BEST_FPERIOD_OVERRIDE=FQ","FILING_STATUS=MR","SCALING_FORMAT=MLN","FA_ADJUSTED=GAAP","Sort=A","Dates=H","DateFormat=P","Fill=—","Direction=H","UseDPDF=Y")</f>
        <v>—</v>
      </c>
      <c r="X15" s="25" t="str">
        <f>_xll.BDH("BLUE US Equity","IS_GENERAL_AND_ADMINISTRATIVE","FQ3 2024","FQ3 2024","Currency=USD","Period=FQ","BEST_FPERIOD_OVERRIDE=FQ","FILING_STATUS=MR","SCALING_FORMAT=MLN","FA_ADJUSTED=GAAP","Sort=A","Dates=H","DateFormat=P","Fill=—","Direction=H","UseDPDF=Y")</f>
        <v>—</v>
      </c>
      <c r="Y15" s="25" t="str">
        <f>_xll.BDH("BLUE US Equity","IS_GENERAL_AND_ADMINISTRATIVE","FQ4 2024","FQ4 2024","Currency=USD","Period=FQ","BEST_FPERIOD_OVERRIDE=FQ","FILING_STATUS=MR","SCALING_FORMAT=MLN","FA_ADJUSTED=GAAP","Sort=A","Dates=H","DateFormat=P","Fill=—","Direction=H","UseDPDF=Y")</f>
        <v>—</v>
      </c>
      <c r="Z15" s="25"/>
      <c r="AA15" s="25"/>
    </row>
    <row r="16" spans="1:27" x14ac:dyDescent="0.25">
      <c r="A16" s="10" t="s">
        <v>292</v>
      </c>
      <c r="B16" s="10" t="s">
        <v>375</v>
      </c>
      <c r="C16" s="13">
        <f>_xll.BDH("BLUE US Equity","IS_OPER_EXPENSES_RD_GAAP","FQ2 2019","FQ2 2019","Currency=USD","Period=FQ","BEST_FPERIOD_OVERRIDE=FQ","FILING_STATUS=MR","SCALING_FORMAT=MLN","FA_ADJUSTED=GAAP","Sort=A","Dates=H","DateFormat=P","Fill=—","Direction=H","UseDPDF=Y")</f>
        <v>146.54</v>
      </c>
      <c r="D16" s="13">
        <f>_xll.BDH("BLUE US Equity","IS_OPER_EXPENSES_RD_GAAP","FQ3 2019","FQ3 2019","Currency=USD","Period=FQ","BEST_FPERIOD_OVERRIDE=FQ","FILING_STATUS=MR","SCALING_FORMAT=MLN","FA_ADJUSTED=GAAP","Sort=A","Dates=H","DateFormat=P","Fill=—","Direction=H","UseDPDF=Y")</f>
        <v>151.41200000000001</v>
      </c>
      <c r="E16" s="13">
        <f>_xll.BDH("BLUE US Equity","IS_OPER_EXPENSES_RD_GAAP","FQ4 2019","FQ4 2019","Currency=USD","Period=FQ","BEST_FPERIOD_OVERRIDE=FQ","FILING_STATUS=MR","SCALING_FORMAT=MLN","FA_ADJUSTED=GAAP","Sort=A","Dates=H","DateFormat=P","Fill=—","Direction=H","UseDPDF=Y")</f>
        <v>161.821</v>
      </c>
      <c r="F16" s="13">
        <f>_xll.BDH("BLUE US Equity","IS_OPER_EXPENSES_RD_GAAP","FQ1 2020","FQ1 2020","Currency=USD","Period=FQ","BEST_FPERIOD_OVERRIDE=FQ","FILING_STATUS=MR","SCALING_FORMAT=MLN","FA_ADJUSTED=GAAP","Sort=A","Dates=H","DateFormat=P","Fill=—","Direction=H","UseDPDF=Y")</f>
        <v>154.12299999999999</v>
      </c>
      <c r="G16" s="13">
        <f>_xll.BDH("BLUE US Equity","IS_OPER_EXPENSES_RD_GAAP","FQ2 2020","FQ2 2020","Currency=USD","Period=FQ","BEST_FPERIOD_OVERRIDE=FQ","FILING_STATUS=MR","SCALING_FORMAT=MLN","FA_ADJUSTED=GAAP","Sort=A","Dates=H","DateFormat=P","Fill=—","Direction=H","UseDPDF=Y")</f>
        <v>156.30799999999999</v>
      </c>
      <c r="H16" s="13">
        <f>_xll.BDH("BLUE US Equity","IS_OPER_EXPENSES_RD_GAAP","FQ3 2020","FQ3 2020","Currency=USD","Period=FQ","BEST_FPERIOD_OVERRIDE=FQ","FILING_STATUS=MR","SCALING_FORMAT=MLN","FA_ADJUSTED=GAAP","Sort=A","Dates=H","DateFormat=P","Fill=—","Direction=H","UseDPDF=Y")</f>
        <v>140.43100000000001</v>
      </c>
      <c r="I16" s="13">
        <f>_xll.BDH("BLUE US Equity","IS_OPER_EXPENSES_RD_GAAP","FQ4 2020","FQ4 2020","Currency=USD","Period=FQ","BEST_FPERIOD_OVERRIDE=FQ","FILING_STATUS=MR","SCALING_FORMAT=MLN","FA_ADJUSTED=GAAP","Sort=A","Dates=H","DateFormat=P","Fill=—","Direction=H","UseDPDF=Y")</f>
        <v>58.814999999999998</v>
      </c>
      <c r="J16" s="13">
        <f>_xll.BDH("BLUE US Equity","IS_OPER_EXPENSES_RD_GAAP","FQ1 2021","FQ1 2021","Currency=USD","Period=FQ","BEST_FPERIOD_OVERRIDE=FQ","FILING_STATUS=MR","SCALING_FORMAT=MLN","FA_ADJUSTED=GAAP","Sort=A","Dates=H","DateFormat=P","Fill=—","Direction=H","UseDPDF=Y")</f>
        <v>82.843000000000004</v>
      </c>
      <c r="K16" s="13">
        <f>_xll.BDH("BLUE US Equity","IS_OPER_EXPENSES_RD_GAAP","FQ2 2021","FQ2 2021","Currency=USD","Period=FQ","BEST_FPERIOD_OVERRIDE=FQ","FILING_STATUS=MR","SCALING_FORMAT=MLN","FA_ADJUSTED=GAAP","Sort=A","Dates=H","DateFormat=P","Fill=—","Direction=H","UseDPDF=Y")</f>
        <v>144.315</v>
      </c>
      <c r="L16" s="13">
        <f>_xll.BDH("BLUE US Equity","IS_OPER_EXPENSES_RD_GAAP","FQ3 2021","FQ3 2021","Currency=USD","Period=FQ","BEST_FPERIOD_OVERRIDE=FQ","FILING_STATUS=MR","SCALING_FORMAT=MLN","FA_ADJUSTED=GAAP","Sort=A","Dates=H","DateFormat=P","Fill=—","Direction=H","UseDPDF=Y")</f>
        <v>73.679000000000002</v>
      </c>
      <c r="M16" s="13">
        <f>_xll.BDH("BLUE US Equity","IS_OPER_EXPENSES_RD_GAAP","FQ4 2021","FQ4 2021","Currency=USD","Period=FQ","BEST_FPERIOD_OVERRIDE=FQ","FILING_STATUS=MR","SCALING_FORMAT=MLN","FA_ADJUSTED=GAAP","Sort=A","Dates=H","DateFormat=P","Fill=—","Direction=H","UseDPDF=Y")</f>
        <v>79.384</v>
      </c>
      <c r="N16" s="13">
        <f>_xll.BDH("BLUE US Equity","IS_OPER_EXPENSES_RD_GAAP","FQ1 2022","FQ1 2022","Currency=USD","Period=FQ","BEST_FPERIOD_OVERRIDE=FQ","FILING_STATUS=MR","SCALING_FORMAT=MLN","FA_ADJUSTED=GAAP","Sort=A","Dates=H","DateFormat=P","Fill=—","Direction=H","UseDPDF=Y")</f>
        <v>77.875</v>
      </c>
      <c r="O16" s="13">
        <f>_xll.BDH("BLUE US Equity","IS_OPER_EXPENSES_RD_GAAP","FQ2 2022","FQ2 2022","Currency=USD","Period=FQ","BEST_FPERIOD_OVERRIDE=FQ","FILING_STATUS=MR","SCALING_FORMAT=MLN","FA_ADJUSTED=GAAP","Sort=A","Dates=H","DateFormat=P","Fill=—","Direction=H","UseDPDF=Y")</f>
        <v>63.841000000000001</v>
      </c>
      <c r="P16" s="13">
        <f>_xll.BDH("BLUE US Equity","IS_OPER_EXPENSES_RD_GAAP","FQ3 2022","FQ3 2022","Currency=USD","Period=FQ","BEST_FPERIOD_OVERRIDE=FQ","FILING_STATUS=MR","SCALING_FORMAT=MLN","FA_ADJUSTED=GAAP","Sort=A","Dates=H","DateFormat=P","Fill=—","Direction=H","UseDPDF=Y")</f>
        <v>53.149000000000001</v>
      </c>
      <c r="Q16" s="13">
        <f>_xll.BDH("BLUE US Equity","IS_OPER_EXPENSES_RD_GAAP","FQ4 2022","FQ4 2022","Currency=USD","Period=FQ","BEST_FPERIOD_OVERRIDE=FQ","FILING_STATUS=MR","SCALING_FORMAT=MLN","FA_ADJUSTED=GAAP","Sort=A","Dates=H","DateFormat=P","Fill=—","Direction=H","UseDPDF=Y")</f>
        <v>5.5739999999999998</v>
      </c>
      <c r="R16" s="13">
        <f>_xll.BDH("BLUE US Equity","IS_OPER_EXPENSES_RD_GAAP","FQ1 2023","FQ1 2023","Currency=USD","Period=FQ","BEST_FPERIOD_OVERRIDE=FQ","FILING_STATUS=MR","SCALING_FORMAT=MLN","FA_ADJUSTED=GAAP","Sort=A","Dates=H","DateFormat=P","Fill=—","Direction=H","UseDPDF=Y")</f>
        <v>41.587000000000003</v>
      </c>
      <c r="S16" s="13">
        <f>_xll.BDH("BLUE US Equity","IS_OPER_EXPENSES_RD_GAAP","FQ2 2023","FQ2 2023","Currency=USD","Period=FQ","BEST_FPERIOD_OVERRIDE=FQ","FILING_STATUS=MR","SCALING_FORMAT=MLN","FA_ADJUSTED=GAAP","Sort=A","Dates=H","DateFormat=P","Fill=—","Direction=H","UseDPDF=Y")</f>
        <v>31.448</v>
      </c>
      <c r="T16" s="13">
        <f>_xll.BDH("BLUE US Equity","IS_OPER_EXPENSES_RD_GAAP","FQ3 2023","FQ3 2023","Currency=USD","Period=FQ","BEST_FPERIOD_OVERRIDE=FQ","FILING_STATUS=MR","SCALING_FORMAT=MLN","FA_ADJUSTED=GAAP","Sort=A","Dates=H","DateFormat=P","Fill=—","Direction=H","UseDPDF=Y")</f>
        <v>58.500999999999998</v>
      </c>
      <c r="U16" s="13">
        <f>_xll.BDH("BLUE US Equity","IS_OPER_EXPENSES_RD_GAAP","FQ4 2023","FQ4 2023","Currency=USD","Period=FQ","BEST_FPERIOD_OVERRIDE=FQ","FILING_STATUS=MR","SCALING_FORMAT=MLN","FA_ADJUSTED=GAAP","Sort=A","Dates=H","DateFormat=P","Fill=—","Direction=H","UseDPDF=Y")</f>
        <v>33.771000000000001</v>
      </c>
      <c r="V16" s="13">
        <f>_xll.BDH("BLUE US Equity","IS_OPER_EXPENSES_RD_GAAP","FQ1 2024","FQ1 2024","Currency=USD","Period=FQ","BEST_FPERIOD_OVERRIDE=FQ","FILING_STATUS=MR","SCALING_FORMAT=MLN","FA_ADJUSTED=GAAP","Sort=A","Dates=H","DateFormat=P","Fill=—","Direction=H","UseDPDF=Y")</f>
        <v>25.071999999999999</v>
      </c>
      <c r="W16" s="13">
        <f>_xll.BDH("BLUE US Equity","IS_OPER_EXPENSES_RD_GAAP","FQ2 2024","FQ2 2024","Currency=USD","Period=FQ","BEST_FPERIOD_OVERRIDE=FQ","FILING_STATUS=MR","SCALING_FORMAT=MLN","FA_ADJUSTED=GAAP","Sort=A","Dates=H","DateFormat=P","Fill=—","Direction=H","UseDPDF=Y")</f>
        <v>25.161999999999999</v>
      </c>
      <c r="X16" s="13">
        <f>_xll.BDH("BLUE US Equity","IS_OPER_EXPENSES_RD_GAAP","FQ3 2024","FQ3 2024","Currency=USD","Period=FQ","BEST_FPERIOD_OVERRIDE=FQ","FILING_STATUS=MR","SCALING_FORMAT=MLN","FA_ADJUSTED=GAAP","Sort=A","Dates=H","DateFormat=P","Fill=—","Direction=H","UseDPDF=Y")</f>
        <v>23.173999999999999</v>
      </c>
      <c r="Y16" s="13">
        <f>_xll.BDH("BLUE US Equity","IS_OPER_EXPENSES_RD_GAAP","FQ4 2024","FQ4 2024","Currency=USD","Period=FQ","BEST_FPERIOD_OVERRIDE=FQ","FILING_STATUS=MR","SCALING_FORMAT=MLN","FA_ADJUSTED=GAAP","Sort=A","Dates=H","DateFormat=P","Fill=—","Direction=H","UseDPDF=Y")</f>
        <v>20.844000000000001</v>
      </c>
      <c r="Z16" s="13"/>
      <c r="AA16" s="13"/>
    </row>
    <row r="17" spans="1:27" x14ac:dyDescent="0.25">
      <c r="A17" s="10" t="s">
        <v>294</v>
      </c>
      <c r="B17" s="10" t="s">
        <v>376</v>
      </c>
      <c r="C17" s="13">
        <f>_xll.BDH("BLUE US Equity","OTHER_OPERATING_EXPENSES_RATIO","FQ2 2019","FQ2 2019","Currency=USD","Period=FQ","BEST_FPERIOD_OVERRIDE=FQ","FILING_STATUS=MR","SCALING_FORMAT=MLN","FA_ADJUSTED=GAAP","Sort=A","Dates=H","DateFormat=P","Fill=—","Direction=H","UseDPDF=Y")</f>
        <v>0.82699999999999996</v>
      </c>
      <c r="D17" s="13">
        <f>_xll.BDH("BLUE US Equity","OTHER_OPERATING_EXPENSES_RATIO","FQ3 2019","FQ3 2019","Currency=USD","Period=FQ","BEST_FPERIOD_OVERRIDE=FQ","FILING_STATUS=MR","SCALING_FORMAT=MLN","FA_ADJUSTED=GAAP","Sort=A","Dates=H","DateFormat=P","Fill=—","Direction=H","UseDPDF=Y")</f>
        <v>1.6639999999999999</v>
      </c>
      <c r="E17" s="13">
        <f>_xll.BDH("BLUE US Equity","OTHER_OPERATING_EXPENSES_RATIO","FQ4 2019","FQ4 2019","Currency=USD","Period=FQ","BEST_FPERIOD_OVERRIDE=FQ","FILING_STATUS=MR","SCALING_FORMAT=MLN","FA_ADJUSTED=GAAP","Sort=A","Dates=H","DateFormat=P","Fill=—","Direction=H","UseDPDF=Y")</f>
        <v>2.508</v>
      </c>
      <c r="F17" s="13">
        <f>_xll.BDH("BLUE US Equity","OTHER_OPERATING_EXPENSES_RATIO","FQ1 2020","FQ1 2020","Currency=USD","Period=FQ","BEST_FPERIOD_OVERRIDE=FQ","FILING_STATUS=MR","SCALING_FORMAT=MLN","FA_ADJUSTED=GAAP","Sort=A","Dates=H","DateFormat=P","Fill=—","Direction=H","UseDPDF=Y")</f>
        <v>-2.0830000000000002</v>
      </c>
      <c r="G17" s="13">
        <f>_xll.BDH("BLUE US Equity","OTHER_OPERATING_EXPENSES_RATIO","FQ2 2020","FQ2 2020","Currency=USD","Period=FQ","BEST_FPERIOD_OVERRIDE=FQ","FILING_STATUS=MR","SCALING_FORMAT=MLN","FA_ADJUSTED=GAAP","Sort=A","Dates=H","DateFormat=P","Fill=—","Direction=H","UseDPDF=Y")</f>
        <v>-0.10100000000000001</v>
      </c>
      <c r="H17" s="13">
        <f>_xll.BDH("BLUE US Equity","OTHER_OPERATING_EXPENSES_RATIO","FQ3 2020","FQ3 2020","Currency=USD","Period=FQ","BEST_FPERIOD_OVERRIDE=FQ","FILING_STATUS=MR","SCALING_FORMAT=MLN","FA_ADJUSTED=GAAP","Sort=A","Dates=H","DateFormat=P","Fill=—","Direction=H","UseDPDF=Y")</f>
        <v>0.49</v>
      </c>
      <c r="I17" s="13">
        <f>_xll.BDH("BLUE US Equity","OTHER_OPERATING_EXPENSES_RATIO","FQ4 2020","FQ4 2020","Currency=USD","Period=FQ","BEST_FPERIOD_OVERRIDE=FQ","FILING_STATUS=MR","SCALING_FORMAT=MLN","FA_ADJUSTED=GAAP","Sort=A","Dates=H","DateFormat=P","Fill=—","Direction=H","UseDPDF=Y")</f>
        <v>0</v>
      </c>
      <c r="J17" s="13">
        <f>_xll.BDH("BLUE US Equity","OTHER_OPERATING_EXPENSES_RATIO","FQ1 2021","FQ1 2021","Currency=USD","Period=FQ","BEST_FPERIOD_OVERRIDE=FQ","FILING_STATUS=MR","SCALING_FORMAT=MLN","FA_ADJUSTED=GAAP","Sort=A","Dates=H","DateFormat=P","Fill=—","Direction=H","UseDPDF=Y")</f>
        <v>0</v>
      </c>
      <c r="K17" s="13">
        <f>_xll.BDH("BLUE US Equity","OTHER_OPERATING_EXPENSES_RATIO","FQ2 2021","FQ2 2021","Currency=USD","Period=FQ","BEST_FPERIOD_OVERRIDE=FQ","FILING_STATUS=MR","SCALING_FORMAT=MLN","FA_ADJUSTED=GAAP","Sort=A","Dates=H","DateFormat=P","Fill=—","Direction=H","UseDPDF=Y")</f>
        <v>25.419</v>
      </c>
      <c r="L17" s="13">
        <f>_xll.BDH("BLUE US Equity","OTHER_OPERATING_EXPENSES_RATIO","FQ3 2021","FQ3 2021","Currency=USD","Period=FQ","BEST_FPERIOD_OVERRIDE=FQ","FILING_STATUS=MR","SCALING_FORMAT=MLN","FA_ADJUSTED=GAAP","Sort=A","Dates=H","DateFormat=P","Fill=—","Direction=H","UseDPDF=Y")</f>
        <v>20.175000000000001</v>
      </c>
      <c r="M17" s="13">
        <f>_xll.BDH("BLUE US Equity","OTHER_OPERATING_EXPENSES_RATIO","FQ4 2021","FQ4 2021","Currency=USD","Period=FQ","BEST_FPERIOD_OVERRIDE=FQ","FILING_STATUS=MR","SCALING_FORMAT=MLN","FA_ADJUSTED=GAAP","Sort=A","Dates=H","DateFormat=P","Fill=—","Direction=H","UseDPDF=Y")</f>
        <v>1.0009999999999999</v>
      </c>
      <c r="N17" s="13">
        <f>_xll.BDH("BLUE US Equity","OTHER_OPERATING_EXPENSES_RATIO","FQ1 2022","FQ1 2022","Currency=USD","Period=FQ","BEST_FPERIOD_OVERRIDE=FQ","FILING_STATUS=MR","SCALING_FORMAT=MLN","FA_ADJUSTED=GAAP","Sort=A","Dates=H","DateFormat=P","Fill=—","Direction=H","UseDPDF=Y")</f>
        <v>0</v>
      </c>
      <c r="O17" s="13">
        <f>_xll.BDH("BLUE US Equity","OTHER_OPERATING_EXPENSES_RATIO","FQ2 2022","FQ2 2022","Currency=USD","Period=FQ","BEST_FPERIOD_OVERRIDE=FQ","FILING_STATUS=MR","SCALING_FORMAT=MLN","FA_ADJUSTED=GAAP","Sort=A","Dates=H","DateFormat=P","Fill=—","Direction=H","UseDPDF=Y")</f>
        <v>6.6390000000000002</v>
      </c>
      <c r="P17" s="13">
        <f>_xll.BDH("BLUE US Equity","OTHER_OPERATING_EXPENSES_RATIO","FQ3 2022","FQ3 2022","Currency=USD","Period=FQ","BEST_FPERIOD_OVERRIDE=FQ","FILING_STATUS=MR","SCALING_FORMAT=MLN","FA_ADJUSTED=GAAP","Sort=A","Dates=H","DateFormat=P","Fill=—","Direction=H","UseDPDF=Y")</f>
        <v>-1.6990000000000001</v>
      </c>
      <c r="Q17" s="13">
        <f>_xll.BDH("BLUE US Equity","OTHER_OPERATING_EXPENSES_RATIO","FQ4 2022","FQ4 2022","Currency=USD","Period=FQ","BEST_FPERIOD_OVERRIDE=FQ","FILING_STATUS=MR","SCALING_FORMAT=MLN","FA_ADJUSTED=GAAP","Sort=A","Dates=H","DateFormat=P","Fill=—","Direction=H","UseDPDF=Y")</f>
        <v>-102</v>
      </c>
      <c r="R17" s="13">
        <f>_xll.BDH("BLUE US Equity","OTHER_OPERATING_EXPENSES_RATIO","FQ1 2023","FQ1 2023","Currency=USD","Period=FQ","BEST_FPERIOD_OVERRIDE=FQ","FILING_STATUS=MR","SCALING_FORMAT=MLN","FA_ADJUSTED=GAAP","Sort=A","Dates=H","DateFormat=P","Fill=—","Direction=H","UseDPDF=Y")</f>
        <v>-92.93</v>
      </c>
      <c r="S17" s="13">
        <f>_xll.BDH("BLUE US Equity","OTHER_OPERATING_EXPENSES_RATIO","FQ2 2023","FQ2 2023","Currency=USD","Period=FQ","BEST_FPERIOD_OVERRIDE=FQ","FILING_STATUS=MR","SCALING_FORMAT=MLN","FA_ADJUSTED=GAAP","Sort=A","Dates=H","DateFormat=P","Fill=—","Direction=H","UseDPDF=Y")</f>
        <v>0</v>
      </c>
      <c r="T17" s="13">
        <f>_xll.BDH("BLUE US Equity","OTHER_OPERATING_EXPENSES_RATIO","FQ3 2023","FQ3 2023","Currency=USD","Period=FQ","BEST_FPERIOD_OVERRIDE=FQ","FILING_STATUS=MR","SCALING_FORMAT=MLN","FA_ADJUSTED=GAAP","Sort=A","Dates=H","DateFormat=P","Fill=—","Direction=H","UseDPDF=Y")</f>
        <v>0</v>
      </c>
      <c r="U17" s="13">
        <f>_xll.BDH("BLUE US Equity","OTHER_OPERATING_EXPENSES_RATIO","FQ4 2023","FQ4 2023","Currency=USD","Period=FQ","BEST_FPERIOD_OVERRIDE=FQ","FILING_STATUS=MR","SCALING_FORMAT=MLN","FA_ADJUSTED=GAAP","Sort=A","Dates=H","DateFormat=P","Fill=—","Direction=H","UseDPDF=Y")</f>
        <v>0</v>
      </c>
      <c r="V17" s="13">
        <f>_xll.BDH("BLUE US Equity","OTHER_OPERATING_EXPENSES_RATIO","FQ1 2024","FQ1 2024","Currency=USD","Period=FQ","BEST_FPERIOD_OVERRIDE=FQ","FILING_STATUS=MR","SCALING_FORMAT=MLN","FA_ADJUSTED=GAAP","Sort=A","Dates=H","DateFormat=P","Fill=—","Direction=H","UseDPDF=Y")</f>
        <v>0</v>
      </c>
      <c r="W17" s="13">
        <f>_xll.BDH("BLUE US Equity","OTHER_OPERATING_EXPENSES_RATIO","FQ2 2024","FQ2 2024","Currency=USD","Period=FQ","BEST_FPERIOD_OVERRIDE=FQ","FILING_STATUS=MR","SCALING_FORMAT=MLN","FA_ADJUSTED=GAAP","Sort=A","Dates=H","DateFormat=P","Fill=—","Direction=H","UseDPDF=Y")</f>
        <v>0</v>
      </c>
      <c r="X17" s="13">
        <f>_xll.BDH("BLUE US Equity","OTHER_OPERATING_EXPENSES_RATIO","FQ3 2024","FQ3 2024","Currency=USD","Period=FQ","BEST_FPERIOD_OVERRIDE=FQ","FILING_STATUS=MR","SCALING_FORMAT=MLN","FA_ADJUSTED=GAAP","Sort=A","Dates=H","DateFormat=P","Fill=—","Direction=H","UseDPDF=Y")</f>
        <v>2.8109999999999999</v>
      </c>
      <c r="Y17" s="13">
        <f>_xll.BDH("BLUE US Equity","OTHER_OPERATING_EXPENSES_RATIO","FQ4 2024","FQ4 2024","Currency=USD","Period=FQ","BEST_FPERIOD_OVERRIDE=FQ","FILING_STATUS=MR","SCALING_FORMAT=MLN","FA_ADJUSTED=GAAP","Sort=A","Dates=H","DateFormat=P","Fill=—","Direction=H","UseDPDF=Y")</f>
        <v>-4.9000000000000002E-2</v>
      </c>
      <c r="Z17" s="13"/>
      <c r="AA17" s="13"/>
    </row>
    <row r="18" spans="1:27" x14ac:dyDescent="0.25">
      <c r="A18" s="6" t="s">
        <v>296</v>
      </c>
      <c r="B18" s="6" t="s">
        <v>99</v>
      </c>
      <c r="C18" s="19">
        <f>_xll.BDH("BLUE US Equity","IS_OPER_INC","FQ2 2019","FQ2 2019","Currency=USD","Period=FQ","BEST_FPERIOD_OVERRIDE=FQ","FILING_STATUS=MR","SCALING_FORMAT=MLN","FA_ADJUSTED=GAAP","Sort=A","Dates=H","DateFormat=P","Fill=—","Direction=H","UseDPDF=Y")</f>
        <v>-202.702</v>
      </c>
      <c r="D18" s="19">
        <f>_xll.BDH("BLUE US Equity","IS_OPER_INC","FQ3 2019","FQ3 2019","Currency=USD","Period=FQ","BEST_FPERIOD_OVERRIDE=FQ","FILING_STATUS=MR","SCALING_FORMAT=MLN","FA_ADJUSTED=GAAP","Sort=A","Dates=H","DateFormat=P","Fill=—","Direction=H","UseDPDF=Y")</f>
        <v>-210.416</v>
      </c>
      <c r="E18" s="19">
        <f>_xll.BDH("BLUE US Equity","IS_OPER_INC","FQ4 2019","FQ4 2019","Currency=USD","Period=FQ","BEST_FPERIOD_OVERRIDE=FQ","FILING_STATUS=MR","SCALING_FORMAT=MLN","FA_ADJUSTED=GAAP","Sort=A","Dates=H","DateFormat=P","Fill=—","Direction=H","UseDPDF=Y")</f>
        <v>-230.53399999999999</v>
      </c>
      <c r="F18" s="19">
        <f>_xll.BDH("BLUE US Equity","IS_OPER_INC","FQ1 2020","FQ1 2020","Currency=USD","Period=FQ","BEST_FPERIOD_OVERRIDE=FQ","FILING_STATUS=MR","SCALING_FORMAT=MLN","FA_ADJUSTED=GAAP","Sort=A","Dates=H","DateFormat=P","Fill=—","Direction=H","UseDPDF=Y")</f>
        <v>-203.42500000000001</v>
      </c>
      <c r="G18" s="19">
        <f>_xll.BDH("BLUE US Equity","IS_OPER_INC","FQ2 2020","FQ2 2020","Currency=USD","Period=FQ","BEST_FPERIOD_OVERRIDE=FQ","FILING_STATUS=MR","SCALING_FORMAT=MLN","FA_ADJUSTED=GAAP","Sort=A","Dates=H","DateFormat=P","Fill=—","Direction=H","UseDPDF=Y")</f>
        <v>-25.945</v>
      </c>
      <c r="H18" s="19">
        <f>_xll.BDH("BLUE US Equity","IS_OPER_INC","FQ3 2020","FQ3 2020","Currency=USD","Period=FQ","BEST_FPERIOD_OVERRIDE=FQ","FILING_STATUS=MR","SCALING_FORMAT=MLN","FA_ADJUSTED=GAAP","Sort=A","Dates=H","DateFormat=P","Fill=—","Direction=H","UseDPDF=Y")</f>
        <v>-189.69399999999999</v>
      </c>
      <c r="I18" s="19">
        <f>_xll.BDH("BLUE US Equity","IS_OPER_INC","FQ4 2020","FQ4 2020","Currency=USD","Period=FQ","BEST_FPERIOD_OVERRIDE=FQ","FILING_STATUS=MR","SCALING_FORMAT=MLN","FA_ADJUSTED=GAAP","Sort=A","Dates=H","DateFormat=P","Fill=—","Direction=H","UseDPDF=Y")</f>
        <v>-139.387</v>
      </c>
      <c r="J18" s="19">
        <f>_xll.BDH("BLUE US Equity","IS_OPER_INC","FQ1 2021","FQ1 2021","Currency=USD","Period=FQ","BEST_FPERIOD_OVERRIDE=FQ","FILING_STATUS=MR","SCALING_FORMAT=MLN","FA_ADJUSTED=GAAP","Sort=A","Dates=H","DateFormat=P","Fill=—","Direction=H","UseDPDF=Y")</f>
        <v>-146.09399999999999</v>
      </c>
      <c r="K18" s="19">
        <f>_xll.BDH("BLUE US Equity","IS_OPER_INC","FQ2 2021","FQ2 2021","Currency=USD","Period=FQ","BEST_FPERIOD_OVERRIDE=FQ","FILING_STATUS=MR","SCALING_FORMAT=MLN","FA_ADJUSTED=GAAP","Sort=A","Dates=H","DateFormat=P","Fill=—","Direction=H","UseDPDF=Y")</f>
        <v>-240.83799999999999</v>
      </c>
      <c r="L18" s="19">
        <f>_xll.BDH("BLUE US Equity","IS_OPER_INC","FQ3 2021","FQ3 2021","Currency=USD","Period=FQ","BEST_FPERIOD_OVERRIDE=FQ","FILING_STATUS=MR","SCALING_FORMAT=MLN","FA_ADJUSTED=GAAP","Sort=A","Dates=H","DateFormat=P","Fill=—","Direction=H","UseDPDF=Y")</f>
        <v>-154.44900000000001</v>
      </c>
      <c r="M18" s="19">
        <f>_xll.BDH("BLUE US Equity","IS_OPER_INC","FQ4 2021","FQ4 2021","Currency=USD","Period=FQ","BEST_FPERIOD_OVERRIDE=FQ","FILING_STATUS=MR","SCALING_FORMAT=MLN","FA_ADJUSTED=GAAP","Sort=A","Dates=H","DateFormat=P","Fill=—","Direction=H","UseDPDF=Y")</f>
        <v>-135.667</v>
      </c>
      <c r="N18" s="19">
        <f>_xll.BDH("BLUE US Equity","IS_OPER_INC","FQ1 2022","FQ1 2022","Currency=USD","Period=FQ","BEST_FPERIOD_OVERRIDE=FQ","FILING_STATUS=MR","SCALING_FORMAT=MLN","FA_ADJUSTED=GAAP","Sort=A","Dates=H","DateFormat=P","Fill=—","Direction=H","UseDPDF=Y")</f>
        <v>-120.346</v>
      </c>
      <c r="O18" s="19">
        <f>_xll.BDH("BLUE US Equity","IS_OPER_INC","FQ2 2022","FQ2 2022","Currency=USD","Period=FQ","BEST_FPERIOD_OVERRIDE=FQ","FILING_STATUS=MR","SCALING_FORMAT=MLN","FA_ADJUSTED=GAAP","Sort=A","Dates=H","DateFormat=P","Fill=—","Direction=H","UseDPDF=Y")</f>
        <v>-107.4</v>
      </c>
      <c r="P18" s="19">
        <f>_xll.BDH("BLUE US Equity","IS_OPER_INC","FQ3 2022","FQ3 2022","Currency=USD","Period=FQ","BEST_FPERIOD_OVERRIDE=FQ","FILING_STATUS=MR","SCALING_FORMAT=MLN","FA_ADJUSTED=GAAP","Sort=A","Dates=H","DateFormat=P","Fill=—","Direction=H","UseDPDF=Y")</f>
        <v>-84.781000000000006</v>
      </c>
      <c r="Q18" s="19">
        <f>_xll.BDH("BLUE US Equity","IS_OPER_INC","FQ4 2022","FQ4 2022","Currency=USD","Period=FQ","BEST_FPERIOD_OVERRIDE=FQ","FILING_STATUS=MR","SCALING_FORMAT=MLN","FA_ADJUSTED=GAAP","Sort=A","Dates=H","DateFormat=P","Fill=—","Direction=H","UseDPDF=Y")</f>
        <v>62.341999999999999</v>
      </c>
      <c r="R18" s="19">
        <f>_xll.BDH("BLUE US Equity","IS_OPER_INC","FQ1 2023","FQ1 2023","Currency=USD","Period=FQ","BEST_FPERIOD_OVERRIDE=FQ","FILING_STATUS=MR","SCALING_FORMAT=MLN","FA_ADJUSTED=GAAP","Sort=A","Dates=H","DateFormat=P","Fill=—","Direction=H","UseDPDF=Y")</f>
        <v>10.744999999999999</v>
      </c>
      <c r="S18" s="19">
        <f>_xll.BDH("BLUE US Equity","IS_OPER_INC","FQ2 2023","FQ2 2023","Currency=USD","Period=FQ","BEST_FPERIOD_OVERRIDE=FQ","FILING_STATUS=MR","SCALING_FORMAT=MLN","FA_ADJUSTED=GAAP","Sort=A","Dates=H","DateFormat=P","Fill=—","Direction=H","UseDPDF=Y")</f>
        <v>-71.716999999999999</v>
      </c>
      <c r="T18" s="19">
        <f>_xll.BDH("BLUE US Equity","IS_OPER_INC","FQ3 2023","FQ3 2023","Currency=USD","Period=FQ","BEST_FPERIOD_OVERRIDE=FQ","FILING_STATUS=MR","SCALING_FORMAT=MLN","FA_ADJUSTED=GAAP","Sort=A","Dates=H","DateFormat=P","Fill=—","Direction=H","UseDPDF=Y")</f>
        <v>-96.006</v>
      </c>
      <c r="U18" s="19">
        <f>_xll.BDH("BLUE US Equity","IS_OPER_INC","FQ4 2023","FQ4 2023","Currency=USD","Period=FQ","BEST_FPERIOD_OVERRIDE=FQ","FILING_STATUS=MR","SCALING_FORMAT=MLN","FA_ADJUSTED=GAAP","Sort=A","Dates=H","DateFormat=P","Fill=—","Direction=H","UseDPDF=Y")</f>
        <v>-82.673000000000002</v>
      </c>
      <c r="V18" s="19">
        <f>_xll.BDH("BLUE US Equity","IS_OPER_INC","FQ1 2024","FQ1 2024","Currency=USD","Period=FQ","BEST_FPERIOD_OVERRIDE=FQ","FILING_STATUS=MR","SCALING_FORMAT=MLN","FA_ADJUSTED=GAAP","Sort=A","Dates=H","DateFormat=P","Fill=—","Direction=H","UseDPDF=Y")</f>
        <v>-78.691999999999993</v>
      </c>
      <c r="W18" s="19">
        <f>_xll.BDH("BLUE US Equity","IS_OPER_INC","FQ2 2024","FQ2 2024","Currency=USD","Period=FQ","BEST_FPERIOD_OVERRIDE=FQ","FILING_STATUS=MR","SCALING_FORMAT=MLN","FA_ADJUSTED=GAAP","Sort=A","Dates=H","DateFormat=P","Fill=—","Direction=H","UseDPDF=Y")</f>
        <v>-88.391999999999996</v>
      </c>
      <c r="X18" s="19">
        <f>_xll.BDH("BLUE US Equity","IS_OPER_INC","FQ3 2024","FQ3 2024","Currency=USD","Period=FQ","BEST_FPERIOD_OVERRIDE=FQ","FILING_STATUS=MR","SCALING_FORMAT=MLN","FA_ADJUSTED=GAAP","Sort=A","Dates=H","DateFormat=P","Fill=—","Direction=H","UseDPDF=Y")</f>
        <v>-66.918999999999997</v>
      </c>
      <c r="Y18" s="19">
        <f>_xll.BDH("BLUE US Equity","IS_OPER_INC","FQ4 2024","FQ4 2024","Currency=USD","Period=FQ","BEST_FPERIOD_OVERRIDE=FQ","FILING_STATUS=MR","SCALING_FORMAT=MLN","FA_ADJUSTED=GAAP","Sort=A","Dates=H","DateFormat=P","Fill=—","Direction=H","UseDPDF=Y")</f>
        <v>-36.457999999999998</v>
      </c>
      <c r="Z18" s="19">
        <v>-44.716999999999999</v>
      </c>
      <c r="AA18" s="19">
        <v>-24.567</v>
      </c>
    </row>
    <row r="19" spans="1:27" x14ac:dyDescent="0.25">
      <c r="A19" s="10" t="s">
        <v>297</v>
      </c>
      <c r="B19" s="10" t="s">
        <v>377</v>
      </c>
      <c r="C19" s="13">
        <f>_xll.BDH("BLUE US Equity","NONOP_INCOME_LOSS","FQ2 2019","FQ2 2019","Currency=USD","Period=FQ","BEST_FPERIOD_OVERRIDE=FQ","FILING_STATUS=MR","SCALING_FORMAT=MLN","FA_ADJUSTED=GAAP","Sort=A","Dates=H","DateFormat=P","Fill=—","Direction=H","UseDPDF=Y")</f>
        <v>-6.4509999999999996</v>
      </c>
      <c r="D19" s="13">
        <f>_xll.BDH("BLUE US Equity","NONOP_INCOME_LOSS","FQ3 2019","FQ3 2019","Currency=USD","Period=FQ","BEST_FPERIOD_OVERRIDE=FQ","FILING_STATUS=MR","SCALING_FORMAT=MLN","FA_ADJUSTED=GAAP","Sort=A","Dates=H","DateFormat=P","Fill=—","Direction=H","UseDPDF=Y")</f>
        <v>-4.1189999999999998</v>
      </c>
      <c r="E19" s="13">
        <f>_xll.BDH("BLUE US Equity","NONOP_INCOME_LOSS","FQ4 2019","FQ4 2019","Currency=USD","Period=FQ","BEST_FPERIOD_OVERRIDE=FQ","FILING_STATUS=MR","SCALING_FORMAT=MLN","FA_ADJUSTED=GAAP","Sort=A","Dates=H","DateFormat=P","Fill=—","Direction=H","UseDPDF=Y")</f>
        <v>-7.39</v>
      </c>
      <c r="F19" s="13">
        <f>_xll.BDH("BLUE US Equity","NONOP_INCOME_LOSS","FQ1 2020","FQ1 2020","Currency=USD","Period=FQ","BEST_FPERIOD_OVERRIDE=FQ","FILING_STATUS=MR","SCALING_FORMAT=MLN","FA_ADJUSTED=GAAP","Sort=A","Dates=H","DateFormat=P","Fill=—","Direction=H","UseDPDF=Y")</f>
        <v>-0.90800000000000003</v>
      </c>
      <c r="G19" s="13">
        <f>_xll.BDH("BLUE US Equity","NONOP_INCOME_LOSS","FQ2 2020","FQ2 2020","Currency=USD","Period=FQ","BEST_FPERIOD_OVERRIDE=FQ","FILING_STATUS=MR","SCALING_FORMAT=MLN","FA_ADJUSTED=GAAP","Sort=A","Dates=H","DateFormat=P","Fill=—","Direction=H","UseDPDF=Y")</f>
        <v>-4.49</v>
      </c>
      <c r="H19" s="13">
        <f>_xll.BDH("BLUE US Equity","NONOP_INCOME_LOSS","FQ3 2020","FQ3 2020","Currency=USD","Period=FQ","BEST_FPERIOD_OVERRIDE=FQ","FILING_STATUS=MR","SCALING_FORMAT=MLN","FA_ADJUSTED=GAAP","Sort=A","Dates=H","DateFormat=P","Fill=—","Direction=H","UseDPDF=Y")</f>
        <v>4.7220000000000004</v>
      </c>
      <c r="I19" s="13">
        <f>_xll.BDH("BLUE US Equity","NONOP_INCOME_LOSS","FQ4 2020","FQ4 2020","Currency=USD","Period=FQ","BEST_FPERIOD_OVERRIDE=FQ","FILING_STATUS=MR","SCALING_FORMAT=MLN","FA_ADJUSTED=GAAP","Sort=A","Dates=H","DateFormat=P","Fill=—","Direction=H","UseDPDF=Y")</f>
        <v>-3.319</v>
      </c>
      <c r="J19" s="13">
        <f>_xll.BDH("BLUE US Equity","NONOP_INCOME_LOSS","FQ1 2021","FQ1 2021","Currency=USD","Period=FQ","BEST_FPERIOD_OVERRIDE=FQ","FILING_STATUS=MR","SCALING_FORMAT=MLN","FA_ADJUSTED=GAAP","Sort=A","Dates=H","DateFormat=P","Fill=—","Direction=H","UseDPDF=Y")</f>
        <v>-24.655999999999999</v>
      </c>
      <c r="K19" s="13">
        <f>_xll.BDH("BLUE US Equity","NONOP_INCOME_LOSS","FQ2 2021","FQ2 2021","Currency=USD","Period=FQ","BEST_FPERIOD_OVERRIDE=FQ","FILING_STATUS=MR","SCALING_FORMAT=MLN","FA_ADJUSTED=GAAP","Sort=A","Dates=H","DateFormat=P","Fill=—","Direction=H","UseDPDF=Y")</f>
        <v>0.64800000000000002</v>
      </c>
      <c r="L19" s="13">
        <f>_xll.BDH("BLUE US Equity","NONOP_INCOME_LOSS","FQ3 2021","FQ3 2021","Currency=USD","Period=FQ","BEST_FPERIOD_OVERRIDE=FQ","FILING_STATUS=MR","SCALING_FORMAT=MLN","FA_ADJUSTED=GAAP","Sort=A","Dates=H","DateFormat=P","Fill=—","Direction=H","UseDPDF=Y")</f>
        <v>-1.502</v>
      </c>
      <c r="M19" s="13">
        <f>_xll.BDH("BLUE US Equity","NONOP_INCOME_LOSS","FQ4 2021","FQ4 2021","Currency=USD","Period=FQ","BEST_FPERIOD_OVERRIDE=FQ","FILING_STATUS=MR","SCALING_FORMAT=MLN","FA_ADJUSTED=GAAP","Sort=A","Dates=H","DateFormat=P","Fill=—","Direction=H","UseDPDF=Y")</f>
        <v>-3.4289999999999998</v>
      </c>
      <c r="N19" s="13">
        <f>_xll.BDH("BLUE US Equity","NONOP_INCOME_LOSS","FQ1 2022","FQ1 2022","Currency=USD","Period=FQ","BEST_FPERIOD_OVERRIDE=FQ","FILING_STATUS=MR","SCALING_FORMAT=MLN","FA_ADJUSTED=GAAP","Sort=A","Dates=H","DateFormat=P","Fill=—","Direction=H","UseDPDF=Y")</f>
        <v>1.806</v>
      </c>
      <c r="O19" s="13">
        <f>_xll.BDH("BLUE US Equity","NONOP_INCOME_LOSS","FQ2 2022","FQ2 2022","Currency=USD","Period=FQ","BEST_FPERIOD_OVERRIDE=FQ","FILING_STATUS=MR","SCALING_FORMAT=MLN","FA_ADJUSTED=GAAP","Sort=A","Dates=H","DateFormat=P","Fill=—","Direction=H","UseDPDF=Y")</f>
        <v>-7.2619999999999996</v>
      </c>
      <c r="P19" s="13">
        <f>_xll.BDH("BLUE US Equity","NONOP_INCOME_LOSS","FQ3 2022","FQ3 2022","Currency=USD","Period=FQ","BEST_FPERIOD_OVERRIDE=FQ","FILING_STATUS=MR","SCALING_FORMAT=MLN","FA_ADJUSTED=GAAP","Sort=A","Dates=H","DateFormat=P","Fill=—","Direction=H","UseDPDF=Y")</f>
        <v>-8.2680000000000007</v>
      </c>
      <c r="Q19" s="13">
        <f>_xll.BDH("BLUE US Equity","NONOP_INCOME_LOSS","FQ4 2022","FQ4 2022","Currency=USD","Period=FQ","BEST_FPERIOD_OVERRIDE=FQ","FILING_STATUS=MR","SCALING_FORMAT=MLN","FA_ADJUSTED=GAAP","Sort=A","Dates=H","DateFormat=P","Fill=—","Direction=H","UseDPDF=Y")</f>
        <v>-6.2359999999999998</v>
      </c>
      <c r="R19" s="13">
        <f>_xll.BDH("BLUE US Equity","NONOP_INCOME_LOSS","FQ1 2023","FQ1 2023","Currency=USD","Period=FQ","BEST_FPERIOD_OVERRIDE=FQ","FILING_STATUS=MR","SCALING_FORMAT=MLN","FA_ADJUSTED=GAAP","Sort=A","Dates=H","DateFormat=P","Fill=—","Direction=H","UseDPDF=Y")</f>
        <v>-8.1850000000000005</v>
      </c>
      <c r="S19" s="13">
        <f>_xll.BDH("BLUE US Equity","NONOP_INCOME_LOSS","FQ2 2023","FQ2 2023","Currency=USD","Period=FQ","BEST_FPERIOD_OVERRIDE=FQ","FILING_STATUS=MR","SCALING_FORMAT=MLN","FA_ADJUSTED=GAAP","Sort=A","Dates=H","DateFormat=P","Fill=—","Direction=H","UseDPDF=Y")</f>
        <v>-8.8480000000000008</v>
      </c>
      <c r="T19" s="13">
        <f>_xll.BDH("BLUE US Equity","NONOP_INCOME_LOSS","FQ3 2023","FQ3 2023","Currency=USD","Period=FQ","BEST_FPERIOD_OVERRIDE=FQ","FILING_STATUS=MR","SCALING_FORMAT=MLN","FA_ADJUSTED=GAAP","Sort=A","Dates=H","DateFormat=P","Fill=—","Direction=H","UseDPDF=Y")</f>
        <v>-8.7739999999999991</v>
      </c>
      <c r="U19" s="13">
        <f>_xll.BDH("BLUE US Equity","NONOP_INCOME_LOSS","FQ4 2023","FQ4 2023","Currency=USD","Period=FQ","BEST_FPERIOD_OVERRIDE=FQ","FILING_STATUS=MR","SCALING_FORMAT=MLN","FA_ADJUSTED=GAAP","Sort=A","Dates=H","DateFormat=P","Fill=—","Direction=H","UseDPDF=Y")</f>
        <v>5.8869999999999996</v>
      </c>
      <c r="V19" s="13">
        <f>_xll.BDH("BLUE US Equity","NONOP_INCOME_LOSS","FQ1 2024","FQ1 2024","Currency=USD","Period=FQ","BEST_FPERIOD_OVERRIDE=FQ","FILING_STATUS=MR","SCALING_FORMAT=MLN","FA_ADJUSTED=GAAP","Sort=A","Dates=H","DateFormat=P","Fill=—","Direction=H","UseDPDF=Y")</f>
        <v>-8.8879999999999999</v>
      </c>
      <c r="W19" s="13">
        <f>_xll.BDH("BLUE US Equity","NONOP_INCOME_LOSS","FQ2 2024","FQ2 2024","Currency=USD","Period=FQ","BEST_FPERIOD_OVERRIDE=FQ","FILING_STATUS=MR","SCALING_FORMAT=MLN","FA_ADJUSTED=GAAP","Sort=A","Dates=H","DateFormat=P","Fill=—","Direction=H","UseDPDF=Y")</f>
        <v>-7.02</v>
      </c>
      <c r="X19" s="13">
        <f>_xll.BDH("BLUE US Equity","NONOP_INCOME_LOSS","FQ3 2024","FQ3 2024","Currency=USD","Period=FQ","BEST_FPERIOD_OVERRIDE=FQ","FILING_STATUS=MR","SCALING_FORMAT=MLN","FA_ADJUSTED=GAAP","Sort=A","Dates=H","DateFormat=P","Fill=—","Direction=H","UseDPDF=Y")</f>
        <v>-6.0529999999999999</v>
      </c>
      <c r="Y19" s="13">
        <f>_xll.BDH("BLUE US Equity","NONOP_INCOME_LOSS","FQ4 2024","FQ4 2024","Currency=USD","Period=FQ","BEST_FPERIOD_OVERRIDE=FQ","FILING_STATUS=MR","SCALING_FORMAT=MLN","FA_ADJUSTED=GAAP","Sort=A","Dates=H","DateFormat=P","Fill=—","Direction=H","UseDPDF=Y")</f>
        <v>-7.8550000000000004</v>
      </c>
      <c r="Z19" s="13"/>
      <c r="AA19" s="13"/>
    </row>
    <row r="20" spans="1:27" x14ac:dyDescent="0.25">
      <c r="A20" s="10" t="s">
        <v>299</v>
      </c>
      <c r="B20" s="10" t="s">
        <v>300</v>
      </c>
      <c r="C20" s="13">
        <f>_xll.BDH("BLUE US Equity","IS_NET_INTEREST_EXPENSE","FQ2 2019","FQ2 2019","Currency=USD","Period=FQ","BEST_FPERIOD_OVERRIDE=FQ","FILING_STATUS=MR","SCALING_FORMAT=MLN","FA_ADJUSTED=GAAP","Sort=A","Dates=H","DateFormat=P","Fill=—","Direction=H","UseDPDF=Y")</f>
        <v>-9.3870000000000005</v>
      </c>
      <c r="D20" s="13">
        <f>_xll.BDH("BLUE US Equity","IS_NET_INTEREST_EXPENSE","FQ3 2019","FQ3 2019","Currency=USD","Period=FQ","BEST_FPERIOD_OVERRIDE=FQ","FILING_STATUS=MR","SCALING_FORMAT=MLN","FA_ADJUSTED=GAAP","Sort=A","Dates=H","DateFormat=P","Fill=—","Direction=H","UseDPDF=Y")</f>
        <v>-8.4169999999999998</v>
      </c>
      <c r="E20" s="13">
        <f>_xll.BDH("BLUE US Equity","IS_NET_INTEREST_EXPENSE","FQ4 2019","FQ4 2019","Currency=USD","Period=FQ","BEST_FPERIOD_OVERRIDE=FQ","FILING_STATUS=MR","SCALING_FORMAT=MLN","FA_ADJUSTED=GAAP","Sort=A","Dates=H","DateFormat=P","Fill=—","Direction=H","UseDPDF=Y")</f>
        <v>-6.8550000000000004</v>
      </c>
      <c r="F20" s="13">
        <f>_xll.BDH("BLUE US Equity","IS_NET_INTEREST_EXPENSE","FQ1 2020","FQ1 2020","Currency=USD","Period=FQ","BEST_FPERIOD_OVERRIDE=FQ","FILING_STATUS=MR","SCALING_FORMAT=MLN","FA_ADJUSTED=GAAP","Sort=A","Dates=H","DateFormat=P","Fill=—","Direction=H","UseDPDF=Y")</f>
        <v>-5.3550000000000004</v>
      </c>
      <c r="G20" s="13">
        <f>_xll.BDH("BLUE US Equity","IS_NET_INTEREST_EXPENSE","FQ2 2020","FQ2 2020","Currency=USD","Period=FQ","BEST_FPERIOD_OVERRIDE=FQ","FILING_STATUS=MR","SCALING_FORMAT=MLN","FA_ADJUSTED=GAAP","Sort=A","Dates=H","DateFormat=P","Fill=—","Direction=H","UseDPDF=Y")</f>
        <v>-2.9390000000000001</v>
      </c>
      <c r="H20" s="13">
        <f>_xll.BDH("BLUE US Equity","IS_NET_INTEREST_EXPENSE","FQ3 2020","FQ3 2020","Currency=USD","Period=FQ","BEST_FPERIOD_OVERRIDE=FQ","FILING_STATUS=MR","SCALING_FORMAT=MLN","FA_ADJUSTED=GAAP","Sort=A","Dates=H","DateFormat=P","Fill=—","Direction=H","UseDPDF=Y")</f>
        <v>-1.964</v>
      </c>
      <c r="I20" s="13">
        <f>_xll.BDH("BLUE US Equity","IS_NET_INTEREST_EXPENSE","FQ4 2020","FQ4 2020","Currency=USD","Period=FQ","BEST_FPERIOD_OVERRIDE=FQ","FILING_STATUS=MR","SCALING_FORMAT=MLN","FA_ADJUSTED=GAAP","Sort=A","Dates=H","DateFormat=P","Fill=—","Direction=H","UseDPDF=Y")</f>
        <v>-0.64100000000000001</v>
      </c>
      <c r="J20" s="13">
        <f>_xll.BDH("BLUE US Equity","IS_NET_INTEREST_EXPENSE","FQ1 2021","FQ1 2021","Currency=USD","Period=FQ","BEST_FPERIOD_OVERRIDE=FQ","FILING_STATUS=MR","SCALING_FORMAT=MLN","FA_ADJUSTED=GAAP","Sort=A","Dates=H","DateFormat=P","Fill=—","Direction=H","UseDPDF=Y")</f>
        <v>-0.35499999999999998</v>
      </c>
      <c r="K20" s="13">
        <f>_xll.BDH("BLUE US Equity","IS_NET_INTEREST_EXPENSE","FQ2 2021","FQ2 2021","Currency=USD","Period=FQ","BEST_FPERIOD_OVERRIDE=FQ","FILING_STATUS=MR","SCALING_FORMAT=MLN","FA_ADJUSTED=GAAP","Sort=A","Dates=H","DateFormat=P","Fill=—","Direction=H","UseDPDF=Y")</f>
        <v>-0.439</v>
      </c>
      <c r="L20" s="13">
        <f>_xll.BDH("BLUE US Equity","IS_NET_INTEREST_EXPENSE","FQ3 2021","FQ3 2021","Currency=USD","Period=FQ","BEST_FPERIOD_OVERRIDE=FQ","FILING_STATUS=MR","SCALING_FORMAT=MLN","FA_ADJUSTED=GAAP","Sort=A","Dates=H","DateFormat=P","Fill=—","Direction=H","UseDPDF=Y")</f>
        <v>-0.16</v>
      </c>
      <c r="M20" s="13">
        <f>_xll.BDH("BLUE US Equity","IS_NET_INTEREST_EXPENSE","FQ4 2021","FQ4 2021","Currency=USD","Period=FQ","BEST_FPERIOD_OVERRIDE=FQ","FILING_STATUS=MR","SCALING_FORMAT=MLN","FA_ADJUSTED=GAAP","Sort=A","Dates=H","DateFormat=P","Fill=—","Direction=H","UseDPDF=Y")</f>
        <v>-0.14599999999999999</v>
      </c>
      <c r="N20" s="13">
        <f>_xll.BDH("BLUE US Equity","IS_NET_INTEREST_EXPENSE","FQ1 2022","FQ1 2022","Currency=USD","Period=FQ","BEST_FPERIOD_OVERRIDE=FQ","FILING_STATUS=MR","SCALING_FORMAT=MLN","FA_ADJUSTED=GAAP","Sort=A","Dates=H","DateFormat=P","Fill=—","Direction=H","UseDPDF=Y")</f>
        <v>-0.106</v>
      </c>
      <c r="O20" s="13">
        <f>_xll.BDH("BLUE US Equity","IS_NET_INTEREST_EXPENSE","FQ2 2022","FQ2 2022","Currency=USD","Period=FQ","BEST_FPERIOD_OVERRIDE=FQ","FILING_STATUS=MR","SCALING_FORMAT=MLN","FA_ADJUSTED=GAAP","Sort=A","Dates=H","DateFormat=P","Fill=—","Direction=H","UseDPDF=Y")</f>
        <v>-0.17399999999999999</v>
      </c>
      <c r="P20" s="13">
        <f>_xll.BDH("BLUE US Equity","IS_NET_INTEREST_EXPENSE","FQ3 2022","FQ3 2022","Currency=USD","Period=FQ","BEST_FPERIOD_OVERRIDE=FQ","FILING_STATUS=MR","SCALING_FORMAT=MLN","FA_ADJUSTED=GAAP","Sort=A","Dates=H","DateFormat=P","Fill=—","Direction=H","UseDPDF=Y")</f>
        <v>-0.38300000000000001</v>
      </c>
      <c r="Q20" s="13">
        <f>_xll.BDH("BLUE US Equity","IS_NET_INTEREST_EXPENSE","FQ4 2022","FQ4 2022","Currency=USD","Period=FQ","BEST_FPERIOD_OVERRIDE=FQ","FILING_STATUS=MR","SCALING_FORMAT=MLN","FA_ADJUSTED=GAAP","Sort=A","Dates=H","DateFormat=P","Fill=—","Direction=H","UseDPDF=Y")</f>
        <v>5.9530000000000003</v>
      </c>
      <c r="R20" s="13">
        <f>_xll.BDH("BLUE US Equity","IS_NET_INTEREST_EXPENSE","FQ1 2023","FQ1 2023","Currency=USD","Period=FQ","BEST_FPERIOD_OVERRIDE=FQ","FILING_STATUS=MR","SCALING_FORMAT=MLN","FA_ADJUSTED=GAAP","Sort=A","Dates=H","DateFormat=P","Fill=—","Direction=H","UseDPDF=Y")</f>
        <v>1.4419999999999999</v>
      </c>
      <c r="S20" s="13">
        <f>_xll.BDH("BLUE US Equity","IS_NET_INTEREST_EXPENSE","FQ2 2023","FQ2 2023","Currency=USD","Period=FQ","BEST_FPERIOD_OVERRIDE=FQ","FILING_STATUS=MR","SCALING_FORMAT=MLN","FA_ADJUSTED=GAAP","Sort=A","Dates=H","DateFormat=P","Fill=—","Direction=H","UseDPDF=Y")</f>
        <v>1.071</v>
      </c>
      <c r="T20" s="13">
        <f>_xll.BDH("BLUE US Equity","IS_NET_INTEREST_EXPENSE","FQ3 2023","FQ3 2023","Currency=USD","Period=FQ","BEST_FPERIOD_OVERRIDE=FQ","FILING_STATUS=MR","SCALING_FORMAT=MLN","FA_ADJUSTED=GAAP","Sort=A","Dates=H","DateFormat=P","Fill=—","Direction=H","UseDPDF=Y")</f>
        <v>1.857</v>
      </c>
      <c r="U20" s="13">
        <f>_xll.BDH("BLUE US Equity","IS_NET_INTEREST_EXPENSE","FQ4 2023","FQ4 2023","Currency=USD","Period=FQ","BEST_FPERIOD_OVERRIDE=FQ","FILING_STATUS=MR","SCALING_FORMAT=MLN","FA_ADJUSTED=GAAP","Sort=A","Dates=H","DateFormat=P","Fill=—","Direction=H","UseDPDF=Y")</f>
        <v>14.442</v>
      </c>
      <c r="V20" s="13">
        <f>_xll.BDH("BLUE US Equity","IS_NET_INTEREST_EXPENSE","FQ1 2024","FQ1 2024","Currency=USD","Period=FQ","BEST_FPERIOD_OVERRIDE=FQ","FILING_STATUS=MR","SCALING_FORMAT=MLN","FA_ADJUSTED=GAAP","Sort=A","Dates=H","DateFormat=P","Fill=—","Direction=H","UseDPDF=Y")</f>
        <v>2.2770000000000001</v>
      </c>
      <c r="W20" s="13">
        <f>_xll.BDH("BLUE US Equity","IS_NET_INTEREST_EXPENSE","FQ2 2024","FQ2 2024","Currency=USD","Period=FQ","BEST_FPERIOD_OVERRIDE=FQ","FILING_STATUS=MR","SCALING_FORMAT=MLN","FA_ADJUSTED=GAAP","Sort=A","Dates=H","DateFormat=P","Fill=—","Direction=H","UseDPDF=Y")</f>
        <v>2.6160000000000001</v>
      </c>
      <c r="X20" s="13">
        <f>_xll.BDH("BLUE US Equity","IS_NET_INTEREST_EXPENSE","FQ3 2024","FQ3 2024","Currency=USD","Period=FQ","BEST_FPERIOD_OVERRIDE=FQ","FILING_STATUS=MR","SCALING_FORMAT=MLN","FA_ADJUSTED=GAAP","Sort=A","Dates=H","DateFormat=P","Fill=—","Direction=H","UseDPDF=Y")</f>
        <v>4.1379999999999999</v>
      </c>
      <c r="Y20" s="13">
        <f>_xll.BDH("BLUE US Equity","IS_NET_INTEREST_EXPENSE","FQ4 2024","FQ4 2024","Currency=USD","Period=FQ","BEST_FPERIOD_OVERRIDE=FQ","FILING_STATUS=MR","SCALING_FORMAT=MLN","FA_ADJUSTED=GAAP","Sort=A","Dates=H","DateFormat=P","Fill=—","Direction=H","UseDPDF=Y")</f>
        <v>5.33</v>
      </c>
      <c r="Z20" s="13"/>
      <c r="AA20" s="13"/>
    </row>
    <row r="21" spans="1:27" x14ac:dyDescent="0.25">
      <c r="A21" s="11" t="s">
        <v>301</v>
      </c>
      <c r="B21" s="11" t="s">
        <v>302</v>
      </c>
      <c r="C21" s="25">
        <f>_xll.BDH("BLUE US Equity","IS_INT_EXPENSE","FQ2 2019","FQ2 2019","Currency=USD","Period=FQ","BEST_FPERIOD_OVERRIDE=FQ","FILING_STATUS=MR","SCALING_FORMAT=MLN","FA_ADJUSTED=GAAP","Sort=A","Dates=H","DateFormat=P","Fill=—","Direction=H","UseDPDF=Y")</f>
        <v>0</v>
      </c>
      <c r="D21" s="25">
        <f>_xll.BDH("BLUE US Equity","IS_INT_EXPENSE","FQ3 2019","FQ3 2019","Currency=USD","Period=FQ","BEST_FPERIOD_OVERRIDE=FQ","FILING_STATUS=MR","SCALING_FORMAT=MLN","FA_ADJUSTED=GAAP","Sort=A","Dates=H","DateFormat=P","Fill=—","Direction=H","UseDPDF=Y")</f>
        <v>0</v>
      </c>
      <c r="E21" s="25">
        <f>_xll.BDH("BLUE US Equity","IS_INT_EXPENSE","FQ4 2019","FQ4 2019","Currency=USD","Period=FQ","BEST_FPERIOD_OVERRIDE=FQ","FILING_STATUS=MR","SCALING_FORMAT=MLN","FA_ADJUSTED=GAAP","Sort=A","Dates=H","DateFormat=P","Fill=—","Direction=H","UseDPDF=Y")</f>
        <v>0</v>
      </c>
      <c r="F21" s="25">
        <f>_xll.BDH("BLUE US Equity","IS_INT_EXPENSE","FQ1 2020","FQ1 2020","Currency=USD","Period=FQ","BEST_FPERIOD_OVERRIDE=FQ","FILING_STATUS=MR","SCALING_FORMAT=MLN","FA_ADJUSTED=GAAP","Sort=A","Dates=H","DateFormat=P","Fill=—","Direction=H","UseDPDF=Y")</f>
        <v>0</v>
      </c>
      <c r="G21" s="25">
        <f>_xll.BDH("BLUE US Equity","IS_INT_EXPENSE","FQ2 2020","FQ2 2020","Currency=USD","Period=FQ","BEST_FPERIOD_OVERRIDE=FQ","FILING_STATUS=MR","SCALING_FORMAT=MLN","FA_ADJUSTED=GAAP","Sort=A","Dates=H","DateFormat=P","Fill=—","Direction=H","UseDPDF=Y")</f>
        <v>0</v>
      </c>
      <c r="H21" s="25">
        <f>_xll.BDH("BLUE US Equity","IS_INT_EXPENSE","FQ3 2020","FQ3 2020","Currency=USD","Period=FQ","BEST_FPERIOD_OVERRIDE=FQ","FILING_STATUS=MR","SCALING_FORMAT=MLN","FA_ADJUSTED=GAAP","Sort=A","Dates=H","DateFormat=P","Fill=—","Direction=H","UseDPDF=Y")</f>
        <v>0</v>
      </c>
      <c r="I21" s="25">
        <f>_xll.BDH("BLUE US Equity","IS_INT_EXPENSE","FQ4 2020","FQ4 2020","Currency=USD","Period=FQ","BEST_FPERIOD_OVERRIDE=FQ","FILING_STATUS=MR","SCALING_FORMAT=MLN","FA_ADJUSTED=GAAP","Sort=A","Dates=H","DateFormat=P","Fill=—","Direction=H","UseDPDF=Y")</f>
        <v>0</v>
      </c>
      <c r="J21" s="25">
        <f>_xll.BDH("BLUE US Equity","IS_INT_EXPENSE","FQ1 2021","FQ1 2021","Currency=USD","Period=FQ","BEST_FPERIOD_OVERRIDE=FQ","FILING_STATUS=MR","SCALING_FORMAT=MLN","FA_ADJUSTED=GAAP","Sort=A","Dates=H","DateFormat=P","Fill=—","Direction=H","UseDPDF=Y")</f>
        <v>0</v>
      </c>
      <c r="K21" s="25">
        <f>_xll.BDH("BLUE US Equity","IS_INT_EXPENSE","FQ2 2021","FQ2 2021","Currency=USD","Period=FQ","BEST_FPERIOD_OVERRIDE=FQ","FILING_STATUS=MR","SCALING_FORMAT=MLN","FA_ADJUSTED=GAAP","Sort=A","Dates=H","DateFormat=P","Fill=—","Direction=H","UseDPDF=Y")</f>
        <v>0</v>
      </c>
      <c r="L21" s="25">
        <f>_xll.BDH("BLUE US Equity","IS_INT_EXPENSE","FQ3 2021","FQ3 2021","Currency=USD","Period=FQ","BEST_FPERIOD_OVERRIDE=FQ","FILING_STATUS=MR","SCALING_FORMAT=MLN","FA_ADJUSTED=GAAP","Sort=A","Dates=H","DateFormat=P","Fill=—","Direction=H","UseDPDF=Y")</f>
        <v>0</v>
      </c>
      <c r="M21" s="25">
        <f>_xll.BDH("BLUE US Equity","IS_INT_EXPENSE","FQ4 2021","FQ4 2021","Currency=USD","Period=FQ","BEST_FPERIOD_OVERRIDE=FQ","FILING_STATUS=MR","SCALING_FORMAT=MLN","FA_ADJUSTED=GAAP","Sort=A","Dates=H","DateFormat=P","Fill=—","Direction=H","UseDPDF=Y")</f>
        <v>0</v>
      </c>
      <c r="N21" s="25">
        <f>_xll.BDH("BLUE US Equity","IS_INT_EXPENSE","FQ1 2022","FQ1 2022","Currency=USD","Period=FQ","BEST_FPERIOD_OVERRIDE=FQ","FILING_STATUS=MR","SCALING_FORMAT=MLN","FA_ADJUSTED=GAAP","Sort=A","Dates=H","DateFormat=P","Fill=—","Direction=H","UseDPDF=Y")</f>
        <v>0</v>
      </c>
      <c r="O21" s="25">
        <f>_xll.BDH("BLUE US Equity","IS_INT_EXPENSE","FQ2 2022","FQ2 2022","Currency=USD","Period=FQ","BEST_FPERIOD_OVERRIDE=FQ","FILING_STATUS=MR","SCALING_FORMAT=MLN","FA_ADJUSTED=GAAP","Sort=A","Dates=H","DateFormat=P","Fill=—","Direction=H","UseDPDF=Y")</f>
        <v>0</v>
      </c>
      <c r="P21" s="25">
        <f>_xll.BDH("BLUE US Equity","IS_INT_EXPENSE","FQ3 2022","FQ3 2022","Currency=USD","Period=FQ","BEST_FPERIOD_OVERRIDE=FQ","FILING_STATUS=MR","SCALING_FORMAT=MLN","FA_ADJUSTED=GAAP","Sort=A","Dates=H","DateFormat=P","Fill=—","Direction=H","UseDPDF=Y")</f>
        <v>0</v>
      </c>
      <c r="Q21" s="25">
        <f>_xll.BDH("BLUE US Equity","IS_INT_EXPENSE","FQ4 2022","FQ4 2022","Currency=USD","Period=FQ","BEST_FPERIOD_OVERRIDE=FQ","FILING_STATUS=MR","SCALING_FORMAT=MLN","FA_ADJUSTED=GAAP","Sort=A","Dates=H","DateFormat=P","Fill=—","Direction=H","UseDPDF=Y")</f>
        <v>6.3220000000000001</v>
      </c>
      <c r="R21" s="25">
        <f>_xll.BDH("BLUE US Equity","IS_INT_EXPENSE","FQ1 2023","FQ1 2023","Currency=USD","Period=FQ","BEST_FPERIOD_OVERRIDE=FQ","FILING_STATUS=MR","SCALING_FORMAT=MLN","FA_ADJUSTED=GAAP","Sort=A","Dates=H","DateFormat=P","Fill=—","Direction=H","UseDPDF=Y")</f>
        <v>4.2699999999999996</v>
      </c>
      <c r="S21" s="25">
        <f>_xll.BDH("BLUE US Equity","IS_INT_EXPENSE","FQ2 2023","FQ2 2023","Currency=USD","Period=FQ","BEST_FPERIOD_OVERRIDE=FQ","FILING_STATUS=MR","SCALING_FORMAT=MLN","FA_ADJUSTED=GAAP","Sort=A","Dates=H","DateFormat=P","Fill=—","Direction=H","UseDPDF=Y")</f>
        <v>3.75</v>
      </c>
      <c r="T21" s="25">
        <f>_xll.BDH("BLUE US Equity","IS_INT_EXPENSE","FQ3 2023","FQ3 2023","Currency=USD","Period=FQ","BEST_FPERIOD_OVERRIDE=FQ","FILING_STATUS=MR","SCALING_FORMAT=MLN","FA_ADJUSTED=GAAP","Sort=A","Dates=H","DateFormat=P","Fill=—","Direction=H","UseDPDF=Y")</f>
        <v>4.3109999999999999</v>
      </c>
      <c r="U21" s="25">
        <f>_xll.BDH("BLUE US Equity","IS_INT_EXPENSE","FQ4 2023","FQ4 2023","Currency=USD","Period=FQ","BEST_FPERIOD_OVERRIDE=FQ","FILING_STATUS=MR","SCALING_FORMAT=MLN","FA_ADJUSTED=GAAP","Sort=A","Dates=H","DateFormat=P","Fill=—","Direction=H","UseDPDF=Y")</f>
        <v>16.353000000000002</v>
      </c>
      <c r="V21" s="25">
        <f>_xll.BDH("BLUE US Equity","IS_INT_EXPENSE","FQ1 2024","FQ1 2024","Currency=USD","Period=FQ","BEST_FPERIOD_OVERRIDE=FQ","FILING_STATUS=MR","SCALING_FORMAT=MLN","FA_ADJUSTED=GAAP","Sort=A","Dates=H","DateFormat=P","Fill=—","Direction=H","UseDPDF=Y")</f>
        <v>4.8559999999999999</v>
      </c>
      <c r="W21" s="25">
        <f>_xll.BDH("BLUE US Equity","IS_INT_EXPENSE","FQ2 2024","FQ2 2024","Currency=USD","Period=FQ","BEST_FPERIOD_OVERRIDE=FQ","FILING_STATUS=MR","SCALING_FORMAT=MLN","FA_ADJUSTED=GAAP","Sort=A","Dates=H","DateFormat=P","Fill=—","Direction=H","UseDPDF=Y")</f>
        <v>5.4530000000000003</v>
      </c>
      <c r="X21" s="25">
        <f>_xll.BDH("BLUE US Equity","IS_INT_EXPENSE","FQ3 2024","FQ3 2024","Currency=USD","Period=FQ","BEST_FPERIOD_OVERRIDE=FQ","FILING_STATUS=MR","SCALING_FORMAT=MLN","FA_ADJUSTED=GAAP","Sort=A","Dates=H","DateFormat=P","Fill=—","Direction=H","UseDPDF=Y")</f>
        <v>5.7779999999999996</v>
      </c>
      <c r="Y21" s="25">
        <f>_xll.BDH("BLUE US Equity","IS_INT_EXPENSE","FQ4 2024","FQ4 2024","Currency=USD","Period=FQ","BEST_FPERIOD_OVERRIDE=FQ","FILING_STATUS=MR","SCALING_FORMAT=MLN","FA_ADJUSTED=GAAP","Sort=A","Dates=H","DateFormat=P","Fill=—","Direction=H","UseDPDF=Y")</f>
        <v>6.492</v>
      </c>
      <c r="Z21" s="25"/>
      <c r="AA21" s="25"/>
    </row>
    <row r="22" spans="1:27" x14ac:dyDescent="0.25">
      <c r="A22" s="11" t="s">
        <v>303</v>
      </c>
      <c r="B22" s="11" t="s">
        <v>304</v>
      </c>
      <c r="C22" s="25">
        <f>_xll.BDH("BLUE US Equity","IS_INT_INC","FQ2 2019","FQ2 2019","Currency=USD","Period=FQ","BEST_FPERIOD_OVERRIDE=FQ","FILING_STATUS=MR","SCALING_FORMAT=MLN","FA_ADJUSTED=GAAP","Sort=A","Dates=H","DateFormat=P","Fill=—","Direction=H","UseDPDF=Y")</f>
        <v>9.3870000000000005</v>
      </c>
      <c r="D22" s="25">
        <f>_xll.BDH("BLUE US Equity","IS_INT_INC","FQ3 2019","FQ3 2019","Currency=USD","Period=FQ","BEST_FPERIOD_OVERRIDE=FQ","FILING_STATUS=MR","SCALING_FORMAT=MLN","FA_ADJUSTED=GAAP","Sort=A","Dates=H","DateFormat=P","Fill=—","Direction=H","UseDPDF=Y")</f>
        <v>8.4169999999999998</v>
      </c>
      <c r="E22" s="25">
        <f>_xll.BDH("BLUE US Equity","IS_INT_INC","FQ4 2019","FQ4 2019","Currency=USD","Period=FQ","BEST_FPERIOD_OVERRIDE=FQ","FILING_STATUS=MR","SCALING_FORMAT=MLN","FA_ADJUSTED=GAAP","Sort=A","Dates=H","DateFormat=P","Fill=—","Direction=H","UseDPDF=Y")</f>
        <v>6.8550000000000004</v>
      </c>
      <c r="F22" s="25">
        <f>_xll.BDH("BLUE US Equity","IS_INT_INC","FQ1 2020","FQ1 2020","Currency=USD","Period=FQ","BEST_FPERIOD_OVERRIDE=FQ","FILING_STATUS=MR","SCALING_FORMAT=MLN","FA_ADJUSTED=GAAP","Sort=A","Dates=H","DateFormat=P","Fill=—","Direction=H","UseDPDF=Y")</f>
        <v>5.3550000000000004</v>
      </c>
      <c r="G22" s="25">
        <f>_xll.BDH("BLUE US Equity","IS_INT_INC","FQ2 2020","FQ2 2020","Currency=USD","Period=FQ","BEST_FPERIOD_OVERRIDE=FQ","FILING_STATUS=MR","SCALING_FORMAT=MLN","FA_ADJUSTED=GAAP","Sort=A","Dates=H","DateFormat=P","Fill=—","Direction=H","UseDPDF=Y")</f>
        <v>2.9390000000000001</v>
      </c>
      <c r="H22" s="25">
        <f>_xll.BDH("BLUE US Equity","IS_INT_INC","FQ3 2020","FQ3 2020","Currency=USD","Period=FQ","BEST_FPERIOD_OVERRIDE=FQ","FILING_STATUS=MR","SCALING_FORMAT=MLN","FA_ADJUSTED=GAAP","Sort=A","Dates=H","DateFormat=P","Fill=—","Direction=H","UseDPDF=Y")</f>
        <v>1.964</v>
      </c>
      <c r="I22" s="25">
        <f>_xll.BDH("BLUE US Equity","IS_INT_INC","FQ4 2020","FQ4 2020","Currency=USD","Period=FQ","BEST_FPERIOD_OVERRIDE=FQ","FILING_STATUS=MR","SCALING_FORMAT=MLN","FA_ADJUSTED=GAAP","Sort=A","Dates=H","DateFormat=P","Fill=—","Direction=H","UseDPDF=Y")</f>
        <v>0.64100000000000001</v>
      </c>
      <c r="J22" s="25">
        <f>_xll.BDH("BLUE US Equity","IS_INT_INC","FQ1 2021","FQ1 2021","Currency=USD","Period=FQ","BEST_FPERIOD_OVERRIDE=FQ","FILING_STATUS=MR","SCALING_FORMAT=MLN","FA_ADJUSTED=GAAP","Sort=A","Dates=H","DateFormat=P","Fill=—","Direction=H","UseDPDF=Y")</f>
        <v>0.35499999999999998</v>
      </c>
      <c r="K22" s="25">
        <f>_xll.BDH("BLUE US Equity","IS_INT_INC","FQ2 2021","FQ2 2021","Currency=USD","Period=FQ","BEST_FPERIOD_OVERRIDE=FQ","FILING_STATUS=MR","SCALING_FORMAT=MLN","FA_ADJUSTED=GAAP","Sort=A","Dates=H","DateFormat=P","Fill=—","Direction=H","UseDPDF=Y")</f>
        <v>0.439</v>
      </c>
      <c r="L22" s="25">
        <f>_xll.BDH("BLUE US Equity","IS_INT_INC","FQ3 2021","FQ3 2021","Currency=USD","Period=FQ","BEST_FPERIOD_OVERRIDE=FQ","FILING_STATUS=MR","SCALING_FORMAT=MLN","FA_ADJUSTED=GAAP","Sort=A","Dates=H","DateFormat=P","Fill=—","Direction=H","UseDPDF=Y")</f>
        <v>0.16</v>
      </c>
      <c r="M22" s="25">
        <f>_xll.BDH("BLUE US Equity","IS_INT_INC","FQ4 2021","FQ4 2021","Currency=USD","Period=FQ","BEST_FPERIOD_OVERRIDE=FQ","FILING_STATUS=MR","SCALING_FORMAT=MLN","FA_ADJUSTED=GAAP","Sort=A","Dates=H","DateFormat=P","Fill=—","Direction=H","UseDPDF=Y")</f>
        <v>0.14599999999999999</v>
      </c>
      <c r="N22" s="25">
        <f>_xll.BDH("BLUE US Equity","IS_INT_INC","FQ1 2022","FQ1 2022","Currency=USD","Period=FQ","BEST_FPERIOD_OVERRIDE=FQ","FILING_STATUS=MR","SCALING_FORMAT=MLN","FA_ADJUSTED=GAAP","Sort=A","Dates=H","DateFormat=P","Fill=—","Direction=H","UseDPDF=Y")</f>
        <v>0.106</v>
      </c>
      <c r="O22" s="25">
        <f>_xll.BDH("BLUE US Equity","IS_INT_INC","FQ2 2022","FQ2 2022","Currency=USD","Period=FQ","BEST_FPERIOD_OVERRIDE=FQ","FILING_STATUS=MR","SCALING_FORMAT=MLN","FA_ADJUSTED=GAAP","Sort=A","Dates=H","DateFormat=P","Fill=—","Direction=H","UseDPDF=Y")</f>
        <v>0.17399999999999999</v>
      </c>
      <c r="P22" s="25">
        <f>_xll.BDH("BLUE US Equity","IS_INT_INC","FQ3 2022","FQ3 2022","Currency=USD","Period=FQ","BEST_FPERIOD_OVERRIDE=FQ","FILING_STATUS=MR","SCALING_FORMAT=MLN","FA_ADJUSTED=GAAP","Sort=A","Dates=H","DateFormat=P","Fill=—","Direction=H","UseDPDF=Y")</f>
        <v>0.38300000000000001</v>
      </c>
      <c r="Q22" s="25">
        <f>_xll.BDH("BLUE US Equity","IS_INT_INC","FQ4 2022","FQ4 2022","Currency=USD","Period=FQ","BEST_FPERIOD_OVERRIDE=FQ","FILING_STATUS=MR","SCALING_FORMAT=MLN","FA_ADJUSTED=GAAP","Sort=A","Dates=H","DateFormat=P","Fill=—","Direction=H","UseDPDF=Y")</f>
        <v>0.36899999999999999</v>
      </c>
      <c r="R22" s="25">
        <f>_xll.BDH("BLUE US Equity","IS_INT_INC","FQ1 2023","FQ1 2023","Currency=USD","Period=FQ","BEST_FPERIOD_OVERRIDE=FQ","FILING_STATUS=MR","SCALING_FORMAT=MLN","FA_ADJUSTED=GAAP","Sort=A","Dates=H","DateFormat=P","Fill=—","Direction=H","UseDPDF=Y")</f>
        <v>2.8279999999999998</v>
      </c>
      <c r="S22" s="25">
        <f>_xll.BDH("BLUE US Equity","IS_INT_INC","FQ2 2023","FQ2 2023","Currency=USD","Period=FQ","BEST_FPERIOD_OVERRIDE=FQ","FILING_STATUS=MR","SCALING_FORMAT=MLN","FA_ADJUSTED=GAAP","Sort=A","Dates=H","DateFormat=P","Fill=—","Direction=H","UseDPDF=Y")</f>
        <v>2.6789999999999998</v>
      </c>
      <c r="T22" s="25">
        <f>_xll.BDH("BLUE US Equity","IS_INT_INC","FQ3 2023","FQ3 2023","Currency=USD","Period=FQ","BEST_FPERIOD_OVERRIDE=FQ","FILING_STATUS=MR","SCALING_FORMAT=MLN","FA_ADJUSTED=GAAP","Sort=A","Dates=H","DateFormat=P","Fill=—","Direction=H","UseDPDF=Y")</f>
        <v>2.4540000000000002</v>
      </c>
      <c r="U22" s="25">
        <f>_xll.BDH("BLUE US Equity","IS_INT_INC","FQ4 2023","FQ4 2023","Currency=USD","Period=FQ","BEST_FPERIOD_OVERRIDE=FQ","FILING_STATUS=MR","SCALING_FORMAT=MLN","FA_ADJUSTED=GAAP","Sort=A","Dates=H","DateFormat=P","Fill=—","Direction=H","UseDPDF=Y")</f>
        <v>1.911</v>
      </c>
      <c r="V22" s="25">
        <f>_xll.BDH("BLUE US Equity","IS_INT_INC","FQ1 2024","FQ1 2024","Currency=USD","Period=FQ","BEST_FPERIOD_OVERRIDE=FQ","FILING_STATUS=MR","SCALING_FORMAT=MLN","FA_ADJUSTED=GAAP","Sort=A","Dates=H","DateFormat=P","Fill=—","Direction=H","UseDPDF=Y")</f>
        <v>2.5790000000000002</v>
      </c>
      <c r="W22" s="25">
        <f>_xll.BDH("BLUE US Equity","IS_INT_INC","FQ2 2024","FQ2 2024","Currency=USD","Period=FQ","BEST_FPERIOD_OVERRIDE=FQ","FILING_STATUS=MR","SCALING_FORMAT=MLN","FA_ADJUSTED=GAAP","Sort=A","Dates=H","DateFormat=P","Fill=—","Direction=H","UseDPDF=Y")</f>
        <v>2.8370000000000002</v>
      </c>
      <c r="X22" s="25">
        <f>_xll.BDH("BLUE US Equity","IS_INT_INC","FQ3 2024","FQ3 2024","Currency=USD","Period=FQ","BEST_FPERIOD_OVERRIDE=FQ","FILING_STATUS=MR","SCALING_FORMAT=MLN","FA_ADJUSTED=GAAP","Sort=A","Dates=H","DateFormat=P","Fill=—","Direction=H","UseDPDF=Y")</f>
        <v>1.64</v>
      </c>
      <c r="Y22" s="25">
        <f>_xll.BDH("BLUE US Equity","IS_INT_INC","FQ4 2024","FQ4 2024","Currency=USD","Period=FQ","BEST_FPERIOD_OVERRIDE=FQ","FILING_STATUS=MR","SCALING_FORMAT=MLN","FA_ADJUSTED=GAAP","Sort=A","Dates=H","DateFormat=P","Fill=—","Direction=H","UseDPDF=Y")</f>
        <v>1.1619999999999999</v>
      </c>
      <c r="Z22" s="25"/>
      <c r="AA22" s="25"/>
    </row>
    <row r="23" spans="1:27" x14ac:dyDescent="0.25">
      <c r="A23" s="10" t="s">
        <v>305</v>
      </c>
      <c r="B23" s="10" t="s">
        <v>378</v>
      </c>
      <c r="C23" s="13">
        <f>_xll.BDH("BLUE US Equity","OTHER_NONOP_INCOME_LOSS","FQ2 2019","FQ2 2019","Currency=USD","Period=FQ","BEST_FPERIOD_OVERRIDE=FQ","FILING_STATUS=MR","SCALING_FORMAT=MLN","FA_ADJUSTED=GAAP","Sort=A","Dates=H","DateFormat=P","Fill=—","Direction=H","UseDPDF=Y")</f>
        <v>2.9359999999999999</v>
      </c>
      <c r="D23" s="13">
        <f>_xll.BDH("BLUE US Equity","OTHER_NONOP_INCOME_LOSS","FQ3 2019","FQ3 2019","Currency=USD","Period=FQ","BEST_FPERIOD_OVERRIDE=FQ","FILING_STATUS=MR","SCALING_FORMAT=MLN","FA_ADJUSTED=GAAP","Sort=A","Dates=H","DateFormat=P","Fill=—","Direction=H","UseDPDF=Y")</f>
        <v>4.298</v>
      </c>
      <c r="E23" s="13">
        <f>_xll.BDH("BLUE US Equity","OTHER_NONOP_INCOME_LOSS","FQ4 2019","FQ4 2019","Currency=USD","Period=FQ","BEST_FPERIOD_OVERRIDE=FQ","FILING_STATUS=MR","SCALING_FORMAT=MLN","FA_ADJUSTED=GAAP","Sort=A","Dates=H","DateFormat=P","Fill=—","Direction=H","UseDPDF=Y")</f>
        <v>-0.53500000000000003</v>
      </c>
      <c r="F23" s="13">
        <f>_xll.BDH("BLUE US Equity","OTHER_NONOP_INCOME_LOSS","FQ1 2020","FQ1 2020","Currency=USD","Period=FQ","BEST_FPERIOD_OVERRIDE=FQ","FILING_STATUS=MR","SCALING_FORMAT=MLN","FA_ADJUSTED=GAAP","Sort=A","Dates=H","DateFormat=P","Fill=—","Direction=H","UseDPDF=Y")</f>
        <v>4.4470000000000001</v>
      </c>
      <c r="G23" s="13">
        <f>_xll.BDH("BLUE US Equity","OTHER_NONOP_INCOME_LOSS","FQ2 2020","FQ2 2020","Currency=USD","Period=FQ","BEST_FPERIOD_OVERRIDE=FQ","FILING_STATUS=MR","SCALING_FORMAT=MLN","FA_ADJUSTED=GAAP","Sort=A","Dates=H","DateFormat=P","Fill=—","Direction=H","UseDPDF=Y")</f>
        <v>-1.5509999999999999</v>
      </c>
      <c r="H23" s="13">
        <f>_xll.BDH("BLUE US Equity","OTHER_NONOP_INCOME_LOSS","FQ3 2020","FQ3 2020","Currency=USD","Period=FQ","BEST_FPERIOD_OVERRIDE=FQ","FILING_STATUS=MR","SCALING_FORMAT=MLN","FA_ADJUSTED=GAAP","Sort=A","Dates=H","DateFormat=P","Fill=—","Direction=H","UseDPDF=Y")</f>
        <v>6.6859999999999999</v>
      </c>
      <c r="I23" s="13">
        <f>_xll.BDH("BLUE US Equity","OTHER_NONOP_INCOME_LOSS","FQ4 2020","FQ4 2020","Currency=USD","Period=FQ","BEST_FPERIOD_OVERRIDE=FQ","FILING_STATUS=MR","SCALING_FORMAT=MLN","FA_ADJUSTED=GAAP","Sort=A","Dates=H","DateFormat=P","Fill=—","Direction=H","UseDPDF=Y")</f>
        <v>-2.6779999999999999</v>
      </c>
      <c r="J23" s="13">
        <f>_xll.BDH("BLUE US Equity","OTHER_NONOP_INCOME_LOSS","FQ1 2021","FQ1 2021","Currency=USD","Period=FQ","BEST_FPERIOD_OVERRIDE=FQ","FILING_STATUS=MR","SCALING_FORMAT=MLN","FA_ADJUSTED=GAAP","Sort=A","Dates=H","DateFormat=P","Fill=—","Direction=H","UseDPDF=Y")</f>
        <v>-24.300999999999998</v>
      </c>
      <c r="K23" s="13">
        <f>_xll.BDH("BLUE US Equity","OTHER_NONOP_INCOME_LOSS","FQ2 2021","FQ2 2021","Currency=USD","Period=FQ","BEST_FPERIOD_OVERRIDE=FQ","FILING_STATUS=MR","SCALING_FORMAT=MLN","FA_ADJUSTED=GAAP","Sort=A","Dates=H","DateFormat=P","Fill=—","Direction=H","UseDPDF=Y")</f>
        <v>1.087</v>
      </c>
      <c r="L23" s="13">
        <f>_xll.BDH("BLUE US Equity","OTHER_NONOP_INCOME_LOSS","FQ3 2021","FQ3 2021","Currency=USD","Period=FQ","BEST_FPERIOD_OVERRIDE=FQ","FILING_STATUS=MR","SCALING_FORMAT=MLN","FA_ADJUSTED=GAAP","Sort=A","Dates=H","DateFormat=P","Fill=—","Direction=H","UseDPDF=Y")</f>
        <v>-1.3420000000000001</v>
      </c>
      <c r="M23" s="13">
        <f>_xll.BDH("BLUE US Equity","OTHER_NONOP_INCOME_LOSS","FQ4 2021","FQ4 2021","Currency=USD","Period=FQ","BEST_FPERIOD_OVERRIDE=FQ","FILING_STATUS=MR","SCALING_FORMAT=MLN","FA_ADJUSTED=GAAP","Sort=A","Dates=H","DateFormat=P","Fill=—","Direction=H","UseDPDF=Y")</f>
        <v>-3.2829999999999999</v>
      </c>
      <c r="N23" s="13">
        <f>_xll.BDH("BLUE US Equity","OTHER_NONOP_INCOME_LOSS","FQ1 2022","FQ1 2022","Currency=USD","Period=FQ","BEST_FPERIOD_OVERRIDE=FQ","FILING_STATUS=MR","SCALING_FORMAT=MLN","FA_ADJUSTED=GAAP","Sort=A","Dates=H","DateFormat=P","Fill=—","Direction=H","UseDPDF=Y")</f>
        <v>1.9119999999999999</v>
      </c>
      <c r="O23" s="13">
        <f>_xll.BDH("BLUE US Equity","OTHER_NONOP_INCOME_LOSS","FQ2 2022","FQ2 2022","Currency=USD","Period=FQ","BEST_FPERIOD_OVERRIDE=FQ","FILING_STATUS=MR","SCALING_FORMAT=MLN","FA_ADJUSTED=GAAP","Sort=A","Dates=H","DateFormat=P","Fill=—","Direction=H","UseDPDF=Y")</f>
        <v>-7.0880000000000001</v>
      </c>
      <c r="P23" s="13">
        <f>_xll.BDH("BLUE US Equity","OTHER_NONOP_INCOME_LOSS","FQ3 2022","FQ3 2022","Currency=USD","Period=FQ","BEST_FPERIOD_OVERRIDE=FQ","FILING_STATUS=MR","SCALING_FORMAT=MLN","FA_ADJUSTED=GAAP","Sort=A","Dates=H","DateFormat=P","Fill=—","Direction=H","UseDPDF=Y")</f>
        <v>-7.8849999999999998</v>
      </c>
      <c r="Q23" s="13">
        <f>_xll.BDH("BLUE US Equity","OTHER_NONOP_INCOME_LOSS","FQ4 2022","FQ4 2022","Currency=USD","Period=FQ","BEST_FPERIOD_OVERRIDE=FQ","FILING_STATUS=MR","SCALING_FORMAT=MLN","FA_ADJUSTED=GAAP","Sort=A","Dates=H","DateFormat=P","Fill=—","Direction=H","UseDPDF=Y")</f>
        <v>-12.189</v>
      </c>
      <c r="R23" s="13">
        <f>_xll.BDH("BLUE US Equity","OTHER_NONOP_INCOME_LOSS","FQ1 2023","FQ1 2023","Currency=USD","Period=FQ","BEST_FPERIOD_OVERRIDE=FQ","FILING_STATUS=MR","SCALING_FORMAT=MLN","FA_ADJUSTED=GAAP","Sort=A","Dates=H","DateFormat=P","Fill=—","Direction=H","UseDPDF=Y")</f>
        <v>-9.6270000000000007</v>
      </c>
      <c r="S23" s="13">
        <f>_xll.BDH("BLUE US Equity","OTHER_NONOP_INCOME_LOSS","FQ2 2023","FQ2 2023","Currency=USD","Period=FQ","BEST_FPERIOD_OVERRIDE=FQ","FILING_STATUS=MR","SCALING_FORMAT=MLN","FA_ADJUSTED=GAAP","Sort=A","Dates=H","DateFormat=P","Fill=—","Direction=H","UseDPDF=Y")</f>
        <v>-9.9190000000000005</v>
      </c>
      <c r="T23" s="13">
        <f>_xll.BDH("BLUE US Equity","OTHER_NONOP_INCOME_LOSS","FQ3 2023","FQ3 2023","Currency=USD","Period=FQ","BEST_FPERIOD_OVERRIDE=FQ","FILING_STATUS=MR","SCALING_FORMAT=MLN","FA_ADJUSTED=GAAP","Sort=A","Dates=H","DateFormat=P","Fill=—","Direction=H","UseDPDF=Y")</f>
        <v>-10.631</v>
      </c>
      <c r="U23" s="13">
        <f>_xll.BDH("BLUE US Equity","OTHER_NONOP_INCOME_LOSS","FQ4 2023","FQ4 2023","Currency=USD","Period=FQ","BEST_FPERIOD_OVERRIDE=FQ","FILING_STATUS=MR","SCALING_FORMAT=MLN","FA_ADJUSTED=GAAP","Sort=A","Dates=H","DateFormat=P","Fill=—","Direction=H","UseDPDF=Y")</f>
        <v>-8.5549999999999997</v>
      </c>
      <c r="V23" s="13">
        <f>_xll.BDH("BLUE US Equity","OTHER_NONOP_INCOME_LOSS","FQ1 2024","FQ1 2024","Currency=USD","Period=FQ","BEST_FPERIOD_OVERRIDE=FQ","FILING_STATUS=MR","SCALING_FORMAT=MLN","FA_ADJUSTED=GAAP","Sort=A","Dates=H","DateFormat=P","Fill=—","Direction=H","UseDPDF=Y")</f>
        <v>-11.164999999999999</v>
      </c>
      <c r="W23" s="13">
        <f>_xll.BDH("BLUE US Equity","OTHER_NONOP_INCOME_LOSS","FQ2 2024","FQ2 2024","Currency=USD","Period=FQ","BEST_FPERIOD_OVERRIDE=FQ","FILING_STATUS=MR","SCALING_FORMAT=MLN","FA_ADJUSTED=GAAP","Sort=A","Dates=H","DateFormat=P","Fill=—","Direction=H","UseDPDF=Y")</f>
        <v>-9.6359999999999992</v>
      </c>
      <c r="X23" s="13">
        <f>_xll.BDH("BLUE US Equity","OTHER_NONOP_INCOME_LOSS","FQ3 2024","FQ3 2024","Currency=USD","Period=FQ","BEST_FPERIOD_OVERRIDE=FQ","FILING_STATUS=MR","SCALING_FORMAT=MLN","FA_ADJUSTED=GAAP","Sort=A","Dates=H","DateFormat=P","Fill=—","Direction=H","UseDPDF=Y")</f>
        <v>-10.191000000000001</v>
      </c>
      <c r="Y23" s="13">
        <f>_xll.BDH("BLUE US Equity","OTHER_NONOP_INCOME_LOSS","FQ4 2024","FQ4 2024","Currency=USD","Period=FQ","BEST_FPERIOD_OVERRIDE=FQ","FILING_STATUS=MR","SCALING_FORMAT=MLN","FA_ADJUSTED=GAAP","Sort=A","Dates=H","DateFormat=P","Fill=—","Direction=H","UseDPDF=Y")</f>
        <v>-13.185</v>
      </c>
      <c r="Z23" s="13"/>
      <c r="AA23" s="13"/>
    </row>
    <row r="24" spans="1:27" x14ac:dyDescent="0.25">
      <c r="A24" s="6" t="s">
        <v>379</v>
      </c>
      <c r="B24" s="6" t="s">
        <v>157</v>
      </c>
      <c r="C24" s="19">
        <f>_xll.BDH("BLUE US Equity","PRETAX_INC","FQ2 2019","FQ2 2019","Currency=USD","Period=FQ","BEST_FPERIOD_OVERRIDE=FQ","FILING_STATUS=MR","SCALING_FORMAT=MLN","FA_ADJUSTED=GAAP","Sort=A","Dates=H","DateFormat=P","Fill=—","Direction=H","UseDPDF=Y")</f>
        <v>-196.251</v>
      </c>
      <c r="D24" s="19">
        <f>_xll.BDH("BLUE US Equity","PRETAX_INC","FQ3 2019","FQ3 2019","Currency=USD","Period=FQ","BEST_FPERIOD_OVERRIDE=FQ","FILING_STATUS=MR","SCALING_FORMAT=MLN","FA_ADJUSTED=GAAP","Sort=A","Dates=H","DateFormat=P","Fill=—","Direction=H","UseDPDF=Y")</f>
        <v>-206.297</v>
      </c>
      <c r="E24" s="19">
        <f>_xll.BDH("BLUE US Equity","PRETAX_INC","FQ4 2019","FQ4 2019","Currency=USD","Period=FQ","BEST_FPERIOD_OVERRIDE=FQ","FILING_STATUS=MR","SCALING_FORMAT=MLN","FA_ADJUSTED=GAAP","Sort=A","Dates=H","DateFormat=P","Fill=—","Direction=H","UseDPDF=Y")</f>
        <v>-223.14400000000001</v>
      </c>
      <c r="F24" s="19">
        <f>_xll.BDH("BLUE US Equity","PRETAX_INC","FQ1 2020","FQ1 2020","Currency=USD","Period=FQ","BEST_FPERIOD_OVERRIDE=FQ","FILING_STATUS=MR","SCALING_FORMAT=MLN","FA_ADJUSTED=GAAP","Sort=A","Dates=H","DateFormat=P","Fill=—","Direction=H","UseDPDF=Y")</f>
        <v>-202.517</v>
      </c>
      <c r="G24" s="19">
        <f>_xll.BDH("BLUE US Equity","PRETAX_INC","FQ2 2020","FQ2 2020","Currency=USD","Period=FQ","BEST_FPERIOD_OVERRIDE=FQ","FILING_STATUS=MR","SCALING_FORMAT=MLN","FA_ADJUSTED=GAAP","Sort=A","Dates=H","DateFormat=P","Fill=—","Direction=H","UseDPDF=Y")</f>
        <v>-21.454999999999998</v>
      </c>
      <c r="H24" s="19">
        <f>_xll.BDH("BLUE US Equity","PRETAX_INC","FQ3 2020","FQ3 2020","Currency=USD","Period=FQ","BEST_FPERIOD_OVERRIDE=FQ","FILING_STATUS=MR","SCALING_FORMAT=MLN","FA_ADJUSTED=GAAP","Sort=A","Dates=H","DateFormat=P","Fill=—","Direction=H","UseDPDF=Y")</f>
        <v>-194.416</v>
      </c>
      <c r="I24" s="19">
        <f>_xll.BDH("BLUE US Equity","PRETAX_INC","FQ4 2020","FQ4 2020","Currency=USD","Period=FQ","BEST_FPERIOD_OVERRIDE=FQ","FILING_STATUS=MR","SCALING_FORMAT=MLN","FA_ADJUSTED=GAAP","Sort=A","Dates=H","DateFormat=P","Fill=—","Direction=H","UseDPDF=Y")</f>
        <v>-136.06800000000001</v>
      </c>
      <c r="J24" s="19">
        <f>_xll.BDH("BLUE US Equity","PRETAX_INC","FQ1 2021","FQ1 2021","Currency=USD","Period=FQ","BEST_FPERIOD_OVERRIDE=FQ","FILING_STATUS=MR","SCALING_FORMAT=MLN","FA_ADJUSTED=GAAP","Sort=A","Dates=H","DateFormat=P","Fill=—","Direction=H","UseDPDF=Y")</f>
        <v>-121.438</v>
      </c>
      <c r="K24" s="19">
        <f>_xll.BDH("BLUE US Equity","PRETAX_INC","FQ2 2021","FQ2 2021","Currency=USD","Period=FQ","BEST_FPERIOD_OVERRIDE=FQ","FILING_STATUS=MR","SCALING_FORMAT=MLN","FA_ADJUSTED=GAAP","Sort=A","Dates=H","DateFormat=P","Fill=—","Direction=H","UseDPDF=Y")</f>
        <v>-241.48599999999999</v>
      </c>
      <c r="L24" s="19">
        <f>_xll.BDH("BLUE US Equity","PRETAX_INC","FQ3 2021","FQ3 2021","Currency=USD","Period=FQ","BEST_FPERIOD_OVERRIDE=FQ","FILING_STATUS=MR","SCALING_FORMAT=MLN","FA_ADJUSTED=GAAP","Sort=A","Dates=H","DateFormat=P","Fill=—","Direction=H","UseDPDF=Y")</f>
        <v>-152.947</v>
      </c>
      <c r="M24" s="19">
        <f>_xll.BDH("BLUE US Equity","PRETAX_INC","FQ4 2021","FQ4 2021","Currency=USD","Period=FQ","BEST_FPERIOD_OVERRIDE=FQ","FILING_STATUS=MR","SCALING_FORMAT=MLN","FA_ADJUSTED=GAAP","Sort=A","Dates=H","DateFormat=P","Fill=—","Direction=H","UseDPDF=Y")</f>
        <v>-132.238</v>
      </c>
      <c r="N24" s="19">
        <f>_xll.BDH("BLUE US Equity","PRETAX_INC","FQ1 2022","FQ1 2022","Currency=USD","Period=FQ","BEST_FPERIOD_OVERRIDE=FQ","FILING_STATUS=MR","SCALING_FORMAT=MLN","FA_ADJUSTED=GAAP","Sort=A","Dates=H","DateFormat=P","Fill=—","Direction=H","UseDPDF=Y")</f>
        <v>-122.152</v>
      </c>
      <c r="O24" s="19">
        <f>_xll.BDH("BLUE US Equity","PRETAX_INC","FQ2 2022","FQ2 2022","Currency=USD","Period=FQ","BEST_FPERIOD_OVERRIDE=FQ","FILING_STATUS=MR","SCALING_FORMAT=MLN","FA_ADJUSTED=GAAP","Sort=A","Dates=H","DateFormat=P","Fill=—","Direction=H","UseDPDF=Y")</f>
        <v>-100.13800000000001</v>
      </c>
      <c r="P24" s="19">
        <f>_xll.BDH("BLUE US Equity","PRETAX_INC","FQ3 2022","FQ3 2022","Currency=USD","Period=FQ","BEST_FPERIOD_OVERRIDE=FQ","FILING_STATUS=MR","SCALING_FORMAT=MLN","FA_ADJUSTED=GAAP","Sort=A","Dates=H","DateFormat=P","Fill=—","Direction=H","UseDPDF=Y")</f>
        <v>-76.513000000000005</v>
      </c>
      <c r="Q24" s="19">
        <f>_xll.BDH("BLUE US Equity","PRETAX_INC","FQ4 2022","FQ4 2022","Currency=USD","Period=FQ","BEST_FPERIOD_OVERRIDE=FQ","FILING_STATUS=MR","SCALING_FORMAT=MLN","FA_ADJUSTED=GAAP","Sort=A","Dates=H","DateFormat=P","Fill=—","Direction=H","UseDPDF=Y")</f>
        <v>68.578000000000003</v>
      </c>
      <c r="R24" s="19">
        <f>_xll.BDH("BLUE US Equity","PRETAX_INC","FQ1 2023","FQ1 2023","Currency=USD","Period=FQ","BEST_FPERIOD_OVERRIDE=FQ","FILING_STATUS=MR","SCALING_FORMAT=MLN","FA_ADJUSTED=GAAP","Sort=A","Dates=H","DateFormat=P","Fill=—","Direction=H","UseDPDF=Y")</f>
        <v>18.93</v>
      </c>
      <c r="S24" s="19">
        <f>_xll.BDH("BLUE US Equity","PRETAX_INC","FQ2 2023","FQ2 2023","Currency=USD","Period=FQ","BEST_FPERIOD_OVERRIDE=FQ","FILING_STATUS=MR","SCALING_FORMAT=MLN","FA_ADJUSTED=GAAP","Sort=A","Dates=H","DateFormat=P","Fill=—","Direction=H","UseDPDF=Y")</f>
        <v>-62.869</v>
      </c>
      <c r="T24" s="19">
        <f>_xll.BDH("BLUE US Equity","PRETAX_INC","FQ3 2023","FQ3 2023","Currency=USD","Period=FQ","BEST_FPERIOD_OVERRIDE=FQ","FILING_STATUS=MR","SCALING_FORMAT=MLN","FA_ADJUSTED=GAAP","Sort=A","Dates=H","DateFormat=P","Fill=—","Direction=H","UseDPDF=Y")</f>
        <v>-87.231999999999999</v>
      </c>
      <c r="U24" s="19">
        <f>_xll.BDH("BLUE US Equity","PRETAX_INC","FQ4 2023","FQ4 2023","Currency=USD","Period=FQ","BEST_FPERIOD_OVERRIDE=FQ","FILING_STATUS=MR","SCALING_FORMAT=MLN","FA_ADJUSTED=GAAP","Sort=A","Dates=H","DateFormat=P","Fill=—","Direction=H","UseDPDF=Y")</f>
        <v>-88.56</v>
      </c>
      <c r="V24" s="19">
        <f>_xll.BDH("BLUE US Equity","PRETAX_INC","FQ1 2024","FQ1 2024","Currency=USD","Period=FQ","BEST_FPERIOD_OVERRIDE=FQ","FILING_STATUS=MR","SCALING_FORMAT=MLN","FA_ADJUSTED=GAAP","Sort=A","Dates=H","DateFormat=P","Fill=—","Direction=H","UseDPDF=Y")</f>
        <v>-69.804000000000002</v>
      </c>
      <c r="W24" s="19">
        <f>_xll.BDH("BLUE US Equity","PRETAX_INC","FQ2 2024","FQ2 2024","Currency=USD","Period=FQ","BEST_FPERIOD_OVERRIDE=FQ","FILING_STATUS=MR","SCALING_FORMAT=MLN","FA_ADJUSTED=GAAP","Sort=A","Dates=H","DateFormat=P","Fill=—","Direction=H","UseDPDF=Y")</f>
        <v>-81.372</v>
      </c>
      <c r="X24" s="19">
        <f>_xll.BDH("BLUE US Equity","PRETAX_INC","FQ3 2024","FQ3 2024","Currency=USD","Period=FQ","BEST_FPERIOD_OVERRIDE=FQ","FILING_STATUS=MR","SCALING_FORMAT=MLN","FA_ADJUSTED=GAAP","Sort=A","Dates=H","DateFormat=P","Fill=—","Direction=H","UseDPDF=Y")</f>
        <v>-60.866</v>
      </c>
      <c r="Y24" s="19">
        <f>_xll.BDH("BLUE US Equity","PRETAX_INC","FQ4 2024","FQ4 2024","Currency=USD","Period=FQ","BEST_FPERIOD_OVERRIDE=FQ","FILING_STATUS=MR","SCALING_FORMAT=MLN","FA_ADJUSTED=GAAP","Sort=A","Dates=H","DateFormat=P","Fill=—","Direction=H","UseDPDF=Y")</f>
        <v>-28.603000000000002</v>
      </c>
      <c r="Z24" s="19">
        <v>-42.18</v>
      </c>
      <c r="AA24" s="19">
        <v>-18.186</v>
      </c>
    </row>
    <row r="25" spans="1:27" x14ac:dyDescent="0.25">
      <c r="A25" s="10" t="s">
        <v>319</v>
      </c>
      <c r="B25" s="10" t="s">
        <v>320</v>
      </c>
      <c r="C25" s="13">
        <f>_xll.BDH("BLUE US Equity","IS_INC_TAX_EXP","FQ2 2019","FQ2 2019","Currency=USD","Period=FQ","BEST_FPERIOD_OVERRIDE=FQ","FILING_STATUS=MR","SCALING_FORMAT=MLN","FA_ADJUSTED=GAAP","Sort=A","Dates=H","DateFormat=P","Fill=—","Direction=H","UseDPDF=Y")</f>
        <v>-0.46899999999999997</v>
      </c>
      <c r="D25" s="13">
        <f>_xll.BDH("BLUE US Equity","IS_INC_TAX_EXP","FQ3 2019","FQ3 2019","Currency=USD","Period=FQ","BEST_FPERIOD_OVERRIDE=FQ","FILING_STATUS=MR","SCALING_FORMAT=MLN","FA_ADJUSTED=GAAP","Sort=A","Dates=H","DateFormat=P","Fill=—","Direction=H","UseDPDF=Y")</f>
        <v>-0.26400000000000001</v>
      </c>
      <c r="E25" s="13">
        <f>_xll.BDH("BLUE US Equity","IS_INC_TAX_EXP","FQ4 2019","FQ4 2019","Currency=USD","Period=FQ","BEST_FPERIOD_OVERRIDE=FQ","FILING_STATUS=MR","SCALING_FORMAT=MLN","FA_ADJUSTED=GAAP","Sort=A","Dates=H","DateFormat=P","Fill=—","Direction=H","UseDPDF=Y")</f>
        <v>0.20300000000000001</v>
      </c>
      <c r="F25" s="13">
        <f>_xll.BDH("BLUE US Equity","IS_INC_TAX_EXP","FQ1 2020","FQ1 2020","Currency=USD","Period=FQ","BEST_FPERIOD_OVERRIDE=FQ","FILING_STATUS=MR","SCALING_FORMAT=MLN","FA_ADJUSTED=GAAP","Sort=A","Dates=H","DateFormat=P","Fill=—","Direction=H","UseDPDF=Y")</f>
        <v>9.4E-2</v>
      </c>
      <c r="G25" s="13">
        <f>_xll.BDH("BLUE US Equity","IS_INC_TAX_EXP","FQ2 2020","FQ2 2020","Currency=USD","Period=FQ","BEST_FPERIOD_OVERRIDE=FQ","FILING_STATUS=MR","SCALING_FORMAT=MLN","FA_ADJUSTED=GAAP","Sort=A","Dates=H","DateFormat=P","Fill=—","Direction=H","UseDPDF=Y")</f>
        <v>0.01</v>
      </c>
      <c r="H25" s="13">
        <f>_xll.BDH("BLUE US Equity","IS_INC_TAX_EXP","FQ3 2020","FQ3 2020","Currency=USD","Period=FQ","BEST_FPERIOD_OVERRIDE=FQ","FILING_STATUS=MR","SCALING_FORMAT=MLN","FA_ADJUSTED=GAAP","Sort=A","Dates=H","DateFormat=P","Fill=—","Direction=H","UseDPDF=Y")</f>
        <v>0.32900000000000001</v>
      </c>
      <c r="I25" s="13">
        <f>_xll.BDH("BLUE US Equity","IS_INC_TAX_EXP","FQ4 2020","FQ4 2020","Currency=USD","Period=FQ","BEST_FPERIOD_OVERRIDE=FQ","FILING_STATUS=MR","SCALING_FORMAT=MLN","FA_ADJUSTED=GAAP","Sort=A","Dates=H","DateFormat=P","Fill=—","Direction=H","UseDPDF=Y")</f>
        <v>0.253</v>
      </c>
      <c r="J25" s="13">
        <f>_xll.BDH("BLUE US Equity","IS_INC_TAX_EXP","FQ1 2021","FQ1 2021","Currency=USD","Period=FQ","BEST_FPERIOD_OVERRIDE=FQ","FILING_STATUS=MR","SCALING_FORMAT=MLN","FA_ADJUSTED=GAAP","Sort=A","Dates=H","DateFormat=P","Fill=—","Direction=H","UseDPDF=Y")</f>
        <v>6.6000000000000003E-2</v>
      </c>
      <c r="K25" s="13">
        <f>_xll.BDH("BLUE US Equity","IS_INC_TAX_EXP","FQ2 2021","FQ2 2021","Currency=USD","Period=FQ","BEST_FPERIOD_OVERRIDE=FQ","FILING_STATUS=MR","SCALING_FORMAT=MLN","FA_ADJUSTED=GAAP","Sort=A","Dates=H","DateFormat=P","Fill=—","Direction=H","UseDPDF=Y")</f>
        <v>0.216</v>
      </c>
      <c r="L25" s="13">
        <f>_xll.BDH("BLUE US Equity","IS_INC_TAX_EXP","FQ3 2021","FQ3 2021","Currency=USD","Period=FQ","BEST_FPERIOD_OVERRIDE=FQ","FILING_STATUS=MR","SCALING_FORMAT=MLN","FA_ADJUSTED=GAAP","Sort=A","Dates=H","DateFormat=P","Fill=—","Direction=H","UseDPDF=Y")</f>
        <v>-0.113</v>
      </c>
      <c r="M25" s="13">
        <f>_xll.BDH("BLUE US Equity","IS_INC_TAX_EXP","FQ4 2021","FQ4 2021","Currency=USD","Period=FQ","BEST_FPERIOD_OVERRIDE=FQ","FILING_STATUS=MR","SCALING_FORMAT=MLN","FA_ADJUSTED=GAAP","Sort=A","Dates=H","DateFormat=P","Fill=—","Direction=H","UseDPDF=Y")</f>
        <v>8.8999999999999996E-2</v>
      </c>
      <c r="N25" s="13">
        <f>_xll.BDH("BLUE US Equity","IS_INC_TAX_EXP","FQ1 2022","FQ1 2022","Currency=USD","Period=FQ","BEST_FPERIOD_OVERRIDE=FQ","FILING_STATUS=MR","SCALING_FORMAT=MLN","FA_ADJUSTED=GAAP","Sort=A","Dates=H","DateFormat=P","Fill=—","Direction=H","UseDPDF=Y")</f>
        <v>0</v>
      </c>
      <c r="O25" s="13">
        <f>_xll.BDH("BLUE US Equity","IS_INC_TAX_EXP","FQ2 2022","FQ2 2022","Currency=USD","Period=FQ","BEST_FPERIOD_OVERRIDE=FQ","FILING_STATUS=MR","SCALING_FORMAT=MLN","FA_ADJUSTED=GAAP","Sort=A","Dates=H","DateFormat=P","Fill=—","Direction=H","UseDPDF=Y")</f>
        <v>0</v>
      </c>
      <c r="P25" s="13">
        <f>_xll.BDH("BLUE US Equity","IS_INC_TAX_EXP","FQ3 2022","FQ3 2022","Currency=USD","Period=FQ","BEST_FPERIOD_OVERRIDE=FQ","FILING_STATUS=MR","SCALING_FORMAT=MLN","FA_ADJUSTED=GAAP","Sort=A","Dates=H","DateFormat=P","Fill=—","Direction=H","UseDPDF=Y")</f>
        <v>7.0000000000000001E-3</v>
      </c>
      <c r="Q25" s="13">
        <f>_xll.BDH("BLUE US Equity","IS_INC_TAX_EXP","FQ4 2022","FQ4 2022","Currency=USD","Period=FQ","BEST_FPERIOD_OVERRIDE=FQ","FILING_STATUS=MR","SCALING_FORMAT=MLN","FA_ADJUSTED=GAAP","Sort=A","Dates=H","DateFormat=P","Fill=—","Direction=H","UseDPDF=Y")</f>
        <v>0.11</v>
      </c>
      <c r="R25" s="13">
        <f>_xll.BDH("BLUE US Equity","IS_INC_TAX_EXP","FQ1 2023","FQ1 2023","Currency=USD","Period=FQ","BEST_FPERIOD_OVERRIDE=FQ","FILING_STATUS=MR","SCALING_FORMAT=MLN","FA_ADJUSTED=GAAP","Sort=A","Dates=H","DateFormat=P","Fill=—","Direction=H","UseDPDF=Y")</f>
        <v>0</v>
      </c>
      <c r="S25" s="13">
        <f>_xll.BDH("BLUE US Equity","IS_INC_TAX_EXP","FQ2 2023","FQ2 2023","Currency=USD","Period=FQ","BEST_FPERIOD_OVERRIDE=FQ","FILING_STATUS=MR","SCALING_FORMAT=MLN","FA_ADJUSTED=GAAP","Sort=A","Dates=H","DateFormat=P","Fill=—","Direction=H","UseDPDF=Y")</f>
        <v>-0.08</v>
      </c>
      <c r="T25" s="13">
        <f>_xll.BDH("BLUE US Equity","IS_INC_TAX_EXP","FQ3 2023","FQ3 2023","Currency=USD","Period=FQ","BEST_FPERIOD_OVERRIDE=FQ","FILING_STATUS=MR","SCALING_FORMAT=MLN","FA_ADJUSTED=GAAP","Sort=A","Dates=H","DateFormat=P","Fill=—","Direction=H","UseDPDF=Y")</f>
        <v>0</v>
      </c>
      <c r="U25" s="13">
        <f>_xll.BDH("BLUE US Equity","IS_INC_TAX_EXP","FQ4 2023","FQ4 2023","Currency=USD","Period=FQ","BEST_FPERIOD_OVERRIDE=FQ","FILING_STATUS=MR","SCALING_FORMAT=MLN","FA_ADJUSTED=GAAP","Sort=A","Dates=H","DateFormat=P","Fill=—","Direction=H","UseDPDF=Y")</f>
        <v>-4.5999999999999999E-2</v>
      </c>
      <c r="V25" s="13">
        <f>_xll.BDH("BLUE US Equity","IS_INC_TAX_EXP","FQ1 2024","FQ1 2024","Currency=USD","Period=FQ","BEST_FPERIOD_OVERRIDE=FQ","FILING_STATUS=MR","SCALING_FORMAT=MLN","FA_ADJUSTED=GAAP","Sort=A","Dates=H","DateFormat=P","Fill=—","Direction=H","UseDPDF=Y")</f>
        <v>0</v>
      </c>
      <c r="W25" s="13">
        <f>_xll.BDH("BLUE US Equity","IS_INC_TAX_EXP","FQ2 2024","FQ2 2024","Currency=USD","Period=FQ","BEST_FPERIOD_OVERRIDE=FQ","FILING_STATUS=MR","SCALING_FORMAT=MLN","FA_ADJUSTED=GAAP","Sort=A","Dates=H","DateFormat=P","Fill=—","Direction=H","UseDPDF=Y")</f>
        <v>2.1000000000000001E-2</v>
      </c>
      <c r="X25" s="13">
        <f>_xll.BDH("BLUE US Equity","IS_INC_TAX_EXP","FQ3 2024","FQ3 2024","Currency=USD","Period=FQ","BEST_FPERIOD_OVERRIDE=FQ","FILING_STATUS=MR","SCALING_FORMAT=MLN","FA_ADJUSTED=GAAP","Sort=A","Dates=H","DateFormat=P","Fill=—","Direction=H","UseDPDF=Y")</f>
        <v>-5.8000000000000003E-2</v>
      </c>
      <c r="Y25" s="13">
        <f>_xll.BDH("BLUE US Equity","IS_INC_TAX_EXP","FQ4 2024","FQ4 2024","Currency=USD","Period=FQ","BEST_FPERIOD_OVERRIDE=FQ","FILING_STATUS=MR","SCALING_FORMAT=MLN","FA_ADJUSTED=GAAP","Sort=A","Dates=H","DateFormat=P","Fill=—","Direction=H","UseDPDF=Y")</f>
        <v>0.107</v>
      </c>
      <c r="Z25" s="13"/>
      <c r="AA25" s="13"/>
    </row>
    <row r="26" spans="1:27" x14ac:dyDescent="0.25">
      <c r="A26" s="10" t="s">
        <v>321</v>
      </c>
      <c r="B26" s="10" t="s">
        <v>322</v>
      </c>
      <c r="C26" s="13" t="str">
        <f>_xll.BDH("BLUE US Equity","IS_CURRENT_INCOME_TAX_BENEFIT","FQ2 2019","FQ2 2019","Currency=USD","Period=FQ","BEST_FPERIOD_OVERRIDE=FQ","FILING_STATUS=MR","SCALING_FORMAT=MLN","Sort=A","Dates=H","DateFormat=P","Fill=—","Direction=H","UseDPDF=Y")</f>
        <v>—</v>
      </c>
      <c r="D26" s="13" t="str">
        <f>_xll.BDH("BLUE US Equity","IS_CURRENT_INCOME_TAX_BENEFIT","FQ3 2019","FQ3 2019","Currency=USD","Period=FQ","BEST_FPERIOD_OVERRIDE=FQ","FILING_STATUS=MR","SCALING_FORMAT=MLN","Sort=A","Dates=H","DateFormat=P","Fill=—","Direction=H","UseDPDF=Y")</f>
        <v>—</v>
      </c>
      <c r="E26" s="13" t="str">
        <f>_xll.BDH("BLUE US Equity","IS_CURRENT_INCOME_TAX_BENEFIT","FQ4 2019","FQ4 2019","Currency=USD","Period=FQ","BEST_FPERIOD_OVERRIDE=FQ","FILING_STATUS=MR","SCALING_FORMAT=MLN","Sort=A","Dates=H","DateFormat=P","Fill=—","Direction=H","UseDPDF=Y")</f>
        <v>—</v>
      </c>
      <c r="F26" s="13" t="str">
        <f>_xll.BDH("BLUE US Equity","IS_CURRENT_INCOME_TAX_BENEFIT","FQ1 2020","FQ1 2020","Currency=USD","Period=FQ","BEST_FPERIOD_OVERRIDE=FQ","FILING_STATUS=MR","SCALING_FORMAT=MLN","Sort=A","Dates=H","DateFormat=P","Fill=—","Direction=H","UseDPDF=Y")</f>
        <v>—</v>
      </c>
      <c r="G26" s="13" t="str">
        <f>_xll.BDH("BLUE US Equity","IS_CURRENT_INCOME_TAX_BENEFIT","FQ2 2020","FQ2 2020","Currency=USD","Period=FQ","BEST_FPERIOD_OVERRIDE=FQ","FILING_STATUS=MR","SCALING_FORMAT=MLN","Sort=A","Dates=H","DateFormat=P","Fill=—","Direction=H","UseDPDF=Y")</f>
        <v>—</v>
      </c>
      <c r="H26" s="13" t="str">
        <f>_xll.BDH("BLUE US Equity","IS_CURRENT_INCOME_TAX_BENEFIT","FQ3 2020","FQ3 2020","Currency=USD","Period=FQ","BEST_FPERIOD_OVERRIDE=FQ","FILING_STATUS=MR","SCALING_FORMAT=MLN","Sort=A","Dates=H","DateFormat=P","Fill=—","Direction=H","UseDPDF=Y")</f>
        <v>—</v>
      </c>
      <c r="I26" s="13" t="str">
        <f>_xll.BDH("BLUE US Equity","IS_CURRENT_INCOME_TAX_BENEFIT","FQ4 2020","FQ4 2020","Currency=USD","Period=FQ","BEST_FPERIOD_OVERRIDE=FQ","FILING_STATUS=MR","SCALING_FORMAT=MLN","Sort=A","Dates=H","DateFormat=P","Fill=—","Direction=H","UseDPDF=Y")</f>
        <v>—</v>
      </c>
      <c r="J26" s="13" t="str">
        <f>_xll.BDH("BLUE US Equity","IS_CURRENT_INCOME_TAX_BENEFIT","FQ1 2021","FQ1 2021","Currency=USD","Period=FQ","BEST_FPERIOD_OVERRIDE=FQ","FILING_STATUS=MR","SCALING_FORMAT=MLN","Sort=A","Dates=H","DateFormat=P","Fill=—","Direction=H","UseDPDF=Y")</f>
        <v>—</v>
      </c>
      <c r="K26" s="13" t="str">
        <f>_xll.BDH("BLUE US Equity","IS_CURRENT_INCOME_TAX_BENEFIT","FQ2 2021","FQ2 2021","Currency=USD","Period=FQ","BEST_FPERIOD_OVERRIDE=FQ","FILING_STATUS=MR","SCALING_FORMAT=MLN","Sort=A","Dates=H","DateFormat=P","Fill=—","Direction=H","UseDPDF=Y")</f>
        <v>—</v>
      </c>
      <c r="L26" s="13" t="str">
        <f>_xll.BDH("BLUE US Equity","IS_CURRENT_INCOME_TAX_BENEFIT","FQ3 2021","FQ3 2021","Currency=USD","Period=FQ","BEST_FPERIOD_OVERRIDE=FQ","FILING_STATUS=MR","SCALING_FORMAT=MLN","Sort=A","Dates=H","DateFormat=P","Fill=—","Direction=H","UseDPDF=Y")</f>
        <v>—</v>
      </c>
      <c r="M26" s="13" t="str">
        <f>_xll.BDH("BLUE US Equity","IS_CURRENT_INCOME_TAX_BENEFIT","FQ4 2021","FQ4 2021","Currency=USD","Period=FQ","BEST_FPERIOD_OVERRIDE=FQ","FILING_STATUS=MR","SCALING_FORMAT=MLN","Sort=A","Dates=H","DateFormat=P","Fill=—","Direction=H","UseDPDF=Y")</f>
        <v>—</v>
      </c>
      <c r="N26" s="13" t="str">
        <f>_xll.BDH("BLUE US Equity","IS_CURRENT_INCOME_TAX_BENEFIT","FQ1 2022","FQ1 2022","Currency=USD","Period=FQ","BEST_FPERIOD_OVERRIDE=FQ","FILING_STATUS=MR","SCALING_FORMAT=MLN","Sort=A","Dates=H","DateFormat=P","Fill=—","Direction=H","UseDPDF=Y")</f>
        <v>—</v>
      </c>
      <c r="O26" s="13">
        <f>_xll.BDH("BLUE US Equity","IS_CURRENT_INCOME_TAX_BENEFIT","FQ2 2022","FQ2 2022","Currency=USD","Period=FQ","BEST_FPERIOD_OVERRIDE=FQ","FILING_STATUS=MR","SCALING_FORMAT=MLN","Sort=A","Dates=H","DateFormat=P","Fill=—","Direction=H","UseDPDF=Y")</f>
        <v>0</v>
      </c>
      <c r="P26" s="13" t="str">
        <f>_xll.BDH("BLUE US Equity","IS_CURRENT_INCOME_TAX_BENEFIT","FQ3 2022","FQ3 2022","Currency=USD","Period=FQ","BEST_FPERIOD_OVERRIDE=FQ","FILING_STATUS=MR","SCALING_FORMAT=MLN","Sort=A","Dates=H","DateFormat=P","Fill=—","Direction=H","UseDPDF=Y")</f>
        <v>—</v>
      </c>
      <c r="Q26" s="13">
        <f>_xll.BDH("BLUE US Equity","IS_CURRENT_INCOME_TAX_BENEFIT","FQ4 2022","FQ4 2022","Currency=USD","Period=FQ","BEST_FPERIOD_OVERRIDE=FQ","FILING_STATUS=MR","SCALING_FORMAT=MLN","Sort=A","Dates=H","DateFormat=P","Fill=—","Direction=H","UseDPDF=Y")</f>
        <v>0.11</v>
      </c>
      <c r="R26" s="13">
        <f>_xll.BDH("BLUE US Equity","IS_CURRENT_INCOME_TAX_BENEFIT","FQ1 2023","FQ1 2023","Currency=USD","Period=FQ","BEST_FPERIOD_OVERRIDE=FQ","FILING_STATUS=MR","SCALING_FORMAT=MLN","Sort=A","Dates=H","DateFormat=P","Fill=—","Direction=H","UseDPDF=Y")</f>
        <v>0</v>
      </c>
      <c r="S26" s="13" t="str">
        <f>_xll.BDH("BLUE US Equity","IS_CURRENT_INCOME_TAX_BENEFIT","FQ2 2023","FQ2 2023","Currency=USD","Period=FQ","BEST_FPERIOD_OVERRIDE=FQ","FILING_STATUS=MR","SCALING_FORMAT=MLN","Sort=A","Dates=H","DateFormat=P","Fill=—","Direction=H","UseDPDF=Y")</f>
        <v>—</v>
      </c>
      <c r="T26" s="13" t="str">
        <f>_xll.BDH("BLUE US Equity","IS_CURRENT_INCOME_TAX_BENEFIT","FQ3 2023","FQ3 2023","Currency=USD","Period=FQ","BEST_FPERIOD_OVERRIDE=FQ","FILING_STATUS=MR","SCALING_FORMAT=MLN","Sort=A","Dates=H","DateFormat=P","Fill=—","Direction=H","UseDPDF=Y")</f>
        <v>—</v>
      </c>
      <c r="U26" s="13" t="str">
        <f>_xll.BDH("BLUE US Equity","IS_CURRENT_INCOME_TAX_BENEFIT","FQ4 2023","FQ4 2023","Currency=USD","Period=FQ","BEST_FPERIOD_OVERRIDE=FQ","FILING_STATUS=MR","SCALING_FORMAT=MLN","Sort=A","Dates=H","DateFormat=P","Fill=—","Direction=H","UseDPDF=Y")</f>
        <v>—</v>
      </c>
      <c r="V26" s="13">
        <f>_xll.BDH("BLUE US Equity","IS_CURRENT_INCOME_TAX_BENEFIT","FQ1 2024","FQ1 2024","Currency=USD","Period=FQ","BEST_FPERIOD_OVERRIDE=FQ","FILING_STATUS=MR","SCALING_FORMAT=MLN","Sort=A","Dates=H","DateFormat=P","Fill=—","Direction=H","UseDPDF=Y")</f>
        <v>0</v>
      </c>
      <c r="W26" s="13" t="str">
        <f>_xll.BDH("BLUE US Equity","IS_CURRENT_INCOME_TAX_BENEFIT","FQ2 2024","FQ2 2024","Currency=USD","Period=FQ","BEST_FPERIOD_OVERRIDE=FQ","FILING_STATUS=MR","SCALING_FORMAT=MLN","Sort=A","Dates=H","DateFormat=P","Fill=—","Direction=H","UseDPDF=Y")</f>
        <v>—</v>
      </c>
      <c r="X26" s="13" t="str">
        <f>_xll.BDH("BLUE US Equity","IS_CURRENT_INCOME_TAX_BENEFIT","FQ3 2024","FQ3 2024","Currency=USD","Period=FQ","BEST_FPERIOD_OVERRIDE=FQ","FILING_STATUS=MR","SCALING_FORMAT=MLN","Sort=A","Dates=H","DateFormat=P","Fill=—","Direction=H","UseDPDF=Y")</f>
        <v>—</v>
      </c>
      <c r="Y26" s="13" t="str">
        <f>_xll.BDH("BLUE US Equity","IS_CURRENT_INCOME_TAX_BENEFIT","FQ4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10" t="s">
        <v>323</v>
      </c>
      <c r="B27" s="10" t="s">
        <v>324</v>
      </c>
      <c r="C27" s="13" t="str">
        <f>_xll.BDH("BLUE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27" s="13" t="str">
        <f>_xll.BDH("BLUE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27" s="13" t="str">
        <f>_xll.BDH("BLUE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27" s="13" t="str">
        <f>_xll.BDH("BLUE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27" s="13" t="str">
        <f>_xll.BDH("BLUE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27" s="13" t="str">
        <f>_xll.BDH("BLUE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27" s="13" t="str">
        <f>_xll.BDH("BLUE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27" s="13" t="str">
        <f>_xll.BDH("BLUE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27" s="13" t="str">
        <f>_xll.BDH("BLUE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27" s="13" t="str">
        <f>_xll.BDH("BLUE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27" s="13" t="str">
        <f>_xll.BDH("BLUE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27" s="13" t="str">
        <f>_xll.BDH("BLUE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27" s="13">
        <f>_xll.BDH("BLUE US Equity","IS_DEFERRED_INCOME_TAX_BENEFIT","FQ2 2022","FQ2 2022","Currency=USD","Period=FQ","BEST_FPERIOD_OVERRIDE=FQ","FILING_STATUS=MR","SCALING_FORMAT=MLN","Sort=A","Dates=H","DateFormat=P","Fill=—","Direction=H","UseDPDF=Y")</f>
        <v>0</v>
      </c>
      <c r="P27" s="13" t="str">
        <f>_xll.BDH("BLUE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27" s="13" t="str">
        <f>_xll.BDH("BLUE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27" s="13">
        <f>_xll.BDH("BLUE US Equity","IS_DEFERRED_INCOME_TAX_BENEFIT","FQ1 2023","FQ1 2023","Currency=USD","Period=FQ","BEST_FPERIOD_OVERRIDE=FQ","FILING_STATUS=MR","SCALING_FORMAT=MLN","Sort=A","Dates=H","DateFormat=P","Fill=—","Direction=H","UseDPDF=Y")</f>
        <v>0</v>
      </c>
      <c r="S27" s="13" t="str">
        <f>_xll.BDH("BLUE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27" s="13" t="str">
        <f>_xll.BDH("BLUE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27" s="13" t="str">
        <f>_xll.BDH("BLUE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27" s="13">
        <f>_xll.BDH("BLUE US Equity","IS_DEFERRED_INCOME_TAX_BENEFIT","FQ1 2024","FQ1 2024","Currency=USD","Period=FQ","BEST_FPERIOD_OVERRIDE=FQ","FILING_STATUS=MR","SCALING_FORMAT=MLN","Sort=A","Dates=H","DateFormat=P","Fill=—","Direction=H","UseDPDF=Y")</f>
        <v>0</v>
      </c>
      <c r="W27" s="13" t="str">
        <f>_xll.BDH("BLUE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27" s="13" t="str">
        <f>_xll.BDH("BLUE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27" s="13" t="str">
        <f>_xll.BDH("BLUE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27" s="13"/>
      <c r="AA27" s="13"/>
    </row>
    <row r="28" spans="1:27" x14ac:dyDescent="0.25">
      <c r="A28" s="6" t="s">
        <v>325</v>
      </c>
      <c r="B28" s="6" t="s">
        <v>326</v>
      </c>
      <c r="C28" s="19">
        <f>_xll.BDH("BLUE US Equity","IS_INC_BEF_XO_ITEM","FQ2 2019","FQ2 2019","Currency=USD","Period=FQ","BEST_FPERIOD_OVERRIDE=FQ","FILING_STATUS=MR","SCALING_FORMAT=MLN","Sort=A","Dates=H","DateFormat=P","Fill=—","Direction=H","UseDPDF=Y")</f>
        <v>-195.78200000000001</v>
      </c>
      <c r="D28" s="19">
        <f>_xll.BDH("BLUE US Equity","IS_INC_BEF_XO_ITEM","FQ3 2019","FQ3 2019","Currency=USD","Period=FQ","BEST_FPERIOD_OVERRIDE=FQ","FILING_STATUS=MR","SCALING_FORMAT=MLN","Sort=A","Dates=H","DateFormat=P","Fill=—","Direction=H","UseDPDF=Y")</f>
        <v>-206.03299999999999</v>
      </c>
      <c r="E28" s="19">
        <f>_xll.BDH("BLUE US Equity","IS_INC_BEF_XO_ITEM","FQ4 2019","FQ4 2019","Currency=USD","Period=FQ","BEST_FPERIOD_OVERRIDE=FQ","FILING_STATUS=MR","SCALING_FORMAT=MLN","Sort=A","Dates=H","DateFormat=P","Fill=—","Direction=H","UseDPDF=Y")</f>
        <v>-223.34700000000001</v>
      </c>
      <c r="F28" s="19">
        <f>_xll.BDH("BLUE US Equity","IS_INC_BEF_XO_ITEM","FQ1 2020","FQ1 2020","Currency=USD","Period=FQ","BEST_FPERIOD_OVERRIDE=FQ","FILING_STATUS=MR","SCALING_FORMAT=MLN","Sort=A","Dates=H","DateFormat=P","Fill=—","Direction=H","UseDPDF=Y")</f>
        <v>-202.61099999999999</v>
      </c>
      <c r="G28" s="19">
        <f>_xll.BDH("BLUE US Equity","IS_INC_BEF_XO_ITEM","FQ2 2020","FQ2 2020","Currency=USD","Period=FQ","BEST_FPERIOD_OVERRIDE=FQ","FILING_STATUS=MR","SCALING_FORMAT=MLN","Sort=A","Dates=H","DateFormat=P","Fill=—","Direction=H","UseDPDF=Y")</f>
        <v>-21.465</v>
      </c>
      <c r="H28" s="19">
        <f>_xll.BDH("BLUE US Equity","IS_INC_BEF_XO_ITEM","FQ3 2020","FQ3 2020","Currency=USD","Period=FQ","BEST_FPERIOD_OVERRIDE=FQ","FILING_STATUS=MR","SCALING_FORMAT=MLN","Sort=A","Dates=H","DateFormat=P","Fill=—","Direction=H","UseDPDF=Y")</f>
        <v>-194.745</v>
      </c>
      <c r="I28" s="19">
        <f>_xll.BDH("BLUE US Equity","IS_INC_BEF_XO_ITEM","FQ4 2020","FQ4 2020","Currency=USD","Period=FQ","BEST_FPERIOD_OVERRIDE=FQ","FILING_STATUS=MR","SCALING_FORMAT=MLN","Sort=A","Dates=H","DateFormat=P","Fill=—","Direction=H","UseDPDF=Y")</f>
        <v>-136.321</v>
      </c>
      <c r="J28" s="19">
        <f>_xll.BDH("BLUE US Equity","IS_INC_BEF_XO_ITEM","FQ1 2021","FQ1 2021","Currency=USD","Period=FQ","BEST_FPERIOD_OVERRIDE=FQ","FILING_STATUS=MR","SCALING_FORMAT=MLN","Sort=A","Dates=H","DateFormat=P","Fill=—","Direction=H","UseDPDF=Y")</f>
        <v>-121.504</v>
      </c>
      <c r="K28" s="19">
        <f>_xll.BDH("BLUE US Equity","IS_INC_BEF_XO_ITEM","FQ2 2021","FQ2 2021","Currency=USD","Period=FQ","BEST_FPERIOD_OVERRIDE=FQ","FILING_STATUS=MR","SCALING_FORMAT=MLN","Sort=A","Dates=H","DateFormat=P","Fill=—","Direction=H","UseDPDF=Y")</f>
        <v>-241.702</v>
      </c>
      <c r="L28" s="19">
        <f>_xll.BDH("BLUE US Equity","IS_INC_BEF_XO_ITEM","FQ3 2021","FQ3 2021","Currency=USD","Period=FQ","BEST_FPERIOD_OVERRIDE=FQ","FILING_STATUS=MR","SCALING_FORMAT=MLN","Sort=A","Dates=H","DateFormat=P","Fill=—","Direction=H","UseDPDF=Y")</f>
        <v>-152.834</v>
      </c>
      <c r="M28" s="19">
        <f>_xll.BDH("BLUE US Equity","IS_INC_BEF_XO_ITEM","FQ4 2021","FQ4 2021","Currency=USD","Period=FQ","BEST_FPERIOD_OVERRIDE=FQ","FILING_STATUS=MR","SCALING_FORMAT=MLN","Sort=A","Dates=H","DateFormat=P","Fill=—","Direction=H","UseDPDF=Y")</f>
        <v>-132.327</v>
      </c>
      <c r="N28" s="19">
        <f>_xll.BDH("BLUE US Equity","IS_INC_BEF_XO_ITEM","FQ1 2022","FQ1 2022","Currency=USD","Period=FQ","BEST_FPERIOD_OVERRIDE=FQ","FILING_STATUS=MR","SCALING_FORMAT=MLN","Sort=A","Dates=H","DateFormat=P","Fill=—","Direction=H","UseDPDF=Y")</f>
        <v>-122.152</v>
      </c>
      <c r="O28" s="19">
        <f>_xll.BDH("BLUE US Equity","IS_INC_BEF_XO_ITEM","FQ2 2022","FQ2 2022","Currency=USD","Period=FQ","BEST_FPERIOD_OVERRIDE=FQ","FILING_STATUS=MR","SCALING_FORMAT=MLN","Sort=A","Dates=H","DateFormat=P","Fill=—","Direction=H","UseDPDF=Y")</f>
        <v>-100.13800000000001</v>
      </c>
      <c r="P28" s="19">
        <f>_xll.BDH("BLUE US Equity","IS_INC_BEF_XO_ITEM","FQ3 2022","FQ3 2022","Currency=USD","Period=FQ","BEST_FPERIOD_OVERRIDE=FQ","FILING_STATUS=MR","SCALING_FORMAT=MLN","Sort=A","Dates=H","DateFormat=P","Fill=—","Direction=H","UseDPDF=Y")</f>
        <v>-76.52</v>
      </c>
      <c r="Q28" s="19">
        <f>_xll.BDH("BLUE US Equity","IS_INC_BEF_XO_ITEM","FQ4 2022","FQ4 2022","Currency=USD","Period=FQ","BEST_FPERIOD_OVERRIDE=FQ","FILING_STATUS=MR","SCALING_FORMAT=MLN","Sort=A","Dates=H","DateFormat=P","Fill=—","Direction=H","UseDPDF=Y")</f>
        <v>68.468000000000004</v>
      </c>
      <c r="R28" s="19">
        <f>_xll.BDH("BLUE US Equity","IS_INC_BEF_XO_ITEM","FQ1 2023","FQ1 2023","Currency=USD","Period=FQ","BEST_FPERIOD_OVERRIDE=FQ","FILING_STATUS=MR","SCALING_FORMAT=MLN","Sort=A","Dates=H","DateFormat=P","Fill=—","Direction=H","UseDPDF=Y")</f>
        <v>18.93</v>
      </c>
      <c r="S28" s="19">
        <f>_xll.BDH("BLUE US Equity","IS_INC_BEF_XO_ITEM","FQ2 2023","FQ2 2023","Currency=USD","Period=FQ","BEST_FPERIOD_OVERRIDE=FQ","FILING_STATUS=MR","SCALING_FORMAT=MLN","Sort=A","Dates=H","DateFormat=P","Fill=—","Direction=H","UseDPDF=Y")</f>
        <v>-62.789000000000001</v>
      </c>
      <c r="T28" s="19">
        <f>_xll.BDH("BLUE US Equity","IS_INC_BEF_XO_ITEM","FQ3 2023","FQ3 2023","Currency=USD","Period=FQ","BEST_FPERIOD_OVERRIDE=FQ","FILING_STATUS=MR","SCALING_FORMAT=MLN","Sort=A","Dates=H","DateFormat=P","Fill=—","Direction=H","UseDPDF=Y")</f>
        <v>-87.231999999999999</v>
      </c>
      <c r="U28" s="19">
        <f>_xll.BDH("BLUE US Equity","IS_INC_BEF_XO_ITEM","FQ4 2023","FQ4 2023","Currency=USD","Period=FQ","BEST_FPERIOD_OVERRIDE=FQ","FILING_STATUS=MR","SCALING_FORMAT=MLN","Sort=A","Dates=H","DateFormat=P","Fill=—","Direction=H","UseDPDF=Y")</f>
        <v>-88.513999999999996</v>
      </c>
      <c r="V28" s="19">
        <f>_xll.BDH("BLUE US Equity","IS_INC_BEF_XO_ITEM","FQ1 2024","FQ1 2024","Currency=USD","Period=FQ","BEST_FPERIOD_OVERRIDE=FQ","FILING_STATUS=MR","SCALING_FORMAT=MLN","Sort=A","Dates=H","DateFormat=P","Fill=—","Direction=H","UseDPDF=Y")</f>
        <v>-69.804000000000002</v>
      </c>
      <c r="W28" s="19">
        <f>_xll.BDH("BLUE US Equity","IS_INC_BEF_XO_ITEM","FQ2 2024","FQ2 2024","Currency=USD","Period=FQ","BEST_FPERIOD_OVERRIDE=FQ","FILING_STATUS=MR","SCALING_FORMAT=MLN","Sort=A","Dates=H","DateFormat=P","Fill=—","Direction=H","UseDPDF=Y")</f>
        <v>-81.393000000000001</v>
      </c>
      <c r="X28" s="19">
        <f>_xll.BDH("BLUE US Equity","IS_INC_BEF_XO_ITEM","FQ3 2024","FQ3 2024","Currency=USD","Period=FQ","BEST_FPERIOD_OVERRIDE=FQ","FILING_STATUS=MR","SCALING_FORMAT=MLN","Sort=A","Dates=H","DateFormat=P","Fill=—","Direction=H","UseDPDF=Y")</f>
        <v>-60.808</v>
      </c>
      <c r="Y28" s="19">
        <f>_xll.BDH("BLUE US Equity","IS_INC_BEF_XO_ITEM","FQ4 2024","FQ4 2024","Currency=USD","Period=FQ","BEST_FPERIOD_OVERRIDE=FQ","FILING_STATUS=MR","SCALING_FORMAT=MLN","Sort=A","Dates=H","DateFormat=P","Fill=—","Direction=H","UseDPDF=Y")</f>
        <v>-28.71</v>
      </c>
      <c r="Z28" s="19">
        <v>-39.979999999999997</v>
      </c>
      <c r="AA28" s="19">
        <v>-16.265999999999998</v>
      </c>
    </row>
    <row r="29" spans="1:27" x14ac:dyDescent="0.25">
      <c r="A29" s="10" t="s">
        <v>327</v>
      </c>
      <c r="B29" s="10" t="s">
        <v>328</v>
      </c>
      <c r="C29" s="13">
        <f>_xll.BDH("BLUE US Equity","XO_GL_NET_OF_TAX","FQ2 2019","FQ2 2019","Currency=USD","Period=FQ","BEST_FPERIOD_OVERRIDE=FQ","FILING_STATUS=MR","SCALING_FORMAT=MLN","Sort=A","Dates=H","DateFormat=P","Fill=—","Direction=H","UseDPDF=Y")</f>
        <v>0</v>
      </c>
      <c r="D29" s="13">
        <f>_xll.BDH("BLUE US Equity","XO_GL_NET_OF_TAX","FQ3 2019","FQ3 2019","Currency=USD","Period=FQ","BEST_FPERIOD_OVERRIDE=FQ","FILING_STATUS=MR","SCALING_FORMAT=MLN","Sort=A","Dates=H","DateFormat=P","Fill=—","Direction=H","UseDPDF=Y")</f>
        <v>0</v>
      </c>
      <c r="E29" s="13">
        <f>_xll.BDH("BLUE US Equity","XO_GL_NET_OF_TAX","FQ4 2019","FQ4 2019","Currency=USD","Period=FQ","BEST_FPERIOD_OVERRIDE=FQ","FILING_STATUS=MR","SCALING_FORMAT=MLN","Sort=A","Dates=H","DateFormat=P","Fill=—","Direction=H","UseDPDF=Y")</f>
        <v>0</v>
      </c>
      <c r="F29" s="13">
        <f>_xll.BDH("BLUE US Equity","XO_GL_NET_OF_TAX","FQ1 2020","FQ1 2020","Currency=USD","Period=FQ","BEST_FPERIOD_OVERRIDE=FQ","FILING_STATUS=MR","SCALING_FORMAT=MLN","Sort=A","Dates=H","DateFormat=P","Fill=—","Direction=H","UseDPDF=Y")</f>
        <v>0</v>
      </c>
      <c r="G29" s="13">
        <f>_xll.BDH("BLUE US Equity","XO_GL_NET_OF_TAX","FQ2 2020","FQ2 2020","Currency=USD","Period=FQ","BEST_FPERIOD_OVERRIDE=FQ","FILING_STATUS=MR","SCALING_FORMAT=MLN","Sort=A","Dates=H","DateFormat=P","Fill=—","Direction=H","UseDPDF=Y")</f>
        <v>0</v>
      </c>
      <c r="H29" s="13">
        <f>_xll.BDH("BLUE US Equity","XO_GL_NET_OF_TAX","FQ3 2020","FQ3 2020","Currency=USD","Period=FQ","BEST_FPERIOD_OVERRIDE=FQ","FILING_STATUS=MR","SCALING_FORMAT=MLN","Sort=A","Dates=H","DateFormat=P","Fill=—","Direction=H","UseDPDF=Y")</f>
        <v>0</v>
      </c>
      <c r="I29" s="13">
        <f>_xll.BDH("BLUE US Equity","XO_GL_NET_OF_TAX","FQ4 2020","FQ4 2020","Currency=USD","Period=FQ","BEST_FPERIOD_OVERRIDE=FQ","FILING_STATUS=MR","SCALING_FORMAT=MLN","Sort=A","Dates=H","DateFormat=P","Fill=—","Direction=H","UseDPDF=Y")</f>
        <v>63.552999999999997</v>
      </c>
      <c r="J29" s="13">
        <f>_xll.BDH("BLUE US Equity","XO_GL_NET_OF_TAX","FQ1 2021","FQ1 2021","Currency=USD","Period=FQ","BEST_FPERIOD_OVERRIDE=FQ","FILING_STATUS=MR","SCALING_FORMAT=MLN","Sort=A","Dates=H","DateFormat=P","Fill=—","Direction=H","UseDPDF=Y")</f>
        <v>84.304000000000002</v>
      </c>
      <c r="K29" s="13">
        <f>_xll.BDH("BLUE US Equity","XO_GL_NET_OF_TAX","FQ2 2021","FQ2 2021","Currency=USD","Period=FQ","BEST_FPERIOD_OVERRIDE=FQ","FILING_STATUS=MR","SCALING_FORMAT=MLN","Sort=A","Dates=H","DateFormat=P","Fill=—","Direction=H","UseDPDF=Y")</f>
        <v>0</v>
      </c>
      <c r="L29" s="13">
        <f>_xll.BDH("BLUE US Equity","XO_GL_NET_OF_TAX","FQ3 2021","FQ3 2021","Currency=USD","Period=FQ","BEST_FPERIOD_OVERRIDE=FQ","FILING_STATUS=MR","SCALING_FORMAT=MLN","Sort=A","Dates=H","DateFormat=P","Fill=—","Direction=H","UseDPDF=Y")</f>
        <v>63.981999999999999</v>
      </c>
      <c r="M29" s="13">
        <f>_xll.BDH("BLUE US Equity","XO_GL_NET_OF_TAX","FQ4 2021","FQ4 2021","Currency=USD","Period=FQ","BEST_FPERIOD_OVERRIDE=FQ","FILING_STATUS=MR","SCALING_FORMAT=MLN","Sort=A","Dates=H","DateFormat=P","Fill=—","Direction=H","UseDPDF=Y")</f>
        <v>22.725000000000001</v>
      </c>
      <c r="N29" s="13">
        <f>_xll.BDH("BLUE US Equity","XO_GL_NET_OF_TAX","FQ1 2022","FQ1 2022","Currency=USD","Period=FQ","BEST_FPERIOD_OVERRIDE=FQ","FILING_STATUS=MR","SCALING_FORMAT=MLN","Sort=A","Dates=H","DateFormat=P","Fill=—","Direction=H","UseDPDF=Y")</f>
        <v>0</v>
      </c>
      <c r="O29" s="13">
        <f>_xll.BDH("BLUE US Equity","XO_GL_NET_OF_TAX","FQ2 2022","FQ2 2022","Currency=USD","Period=FQ","BEST_FPERIOD_OVERRIDE=FQ","FILING_STATUS=MR","SCALING_FORMAT=MLN","Sort=A","Dates=H","DateFormat=P","Fill=—","Direction=H","UseDPDF=Y")</f>
        <v>0</v>
      </c>
      <c r="P29" s="13">
        <f>_xll.BDH("BLUE US Equity","XO_GL_NET_OF_TAX","FQ3 2022","FQ3 2022","Currency=USD","Period=FQ","BEST_FPERIOD_OVERRIDE=FQ","FILING_STATUS=MR","SCALING_FORMAT=MLN","Sort=A","Dates=H","DateFormat=P","Fill=—","Direction=H","UseDPDF=Y")</f>
        <v>0</v>
      </c>
      <c r="Q29" s="13">
        <f>_xll.BDH("BLUE US Equity","XO_GL_NET_OF_TAX","FQ4 2022","FQ4 2022","Currency=USD","Period=FQ","BEST_FPERIOD_OVERRIDE=FQ","FILING_STATUS=MR","SCALING_FORMAT=MLN","Sort=A","Dates=H","DateFormat=P","Fill=—","Direction=H","UseDPDF=Y")</f>
        <v>0</v>
      </c>
      <c r="R29" s="13">
        <f>_xll.BDH("BLUE US Equity","XO_GL_NET_OF_TAX","FQ1 2023","FQ1 2023","Currency=USD","Period=FQ","BEST_FPERIOD_OVERRIDE=FQ","FILING_STATUS=MR","SCALING_FORMAT=MLN","Sort=A","Dates=H","DateFormat=P","Fill=—","Direction=H","UseDPDF=Y")</f>
        <v>0</v>
      </c>
      <c r="S29" s="13">
        <f>_xll.BDH("BLUE US Equity","XO_GL_NET_OF_TAX","FQ2 2023","FQ2 2023","Currency=USD","Period=FQ","BEST_FPERIOD_OVERRIDE=FQ","FILING_STATUS=MR","SCALING_FORMAT=MLN","Sort=A","Dates=H","DateFormat=P","Fill=—","Direction=H","UseDPDF=Y")</f>
        <v>0</v>
      </c>
      <c r="T29" s="13">
        <f>_xll.BDH("BLUE US Equity","XO_GL_NET_OF_TAX","FQ3 2023","FQ3 2023","Currency=USD","Period=FQ","BEST_FPERIOD_OVERRIDE=FQ","FILING_STATUS=MR","SCALING_FORMAT=MLN","Sort=A","Dates=H","DateFormat=P","Fill=—","Direction=H","UseDPDF=Y")</f>
        <v>0</v>
      </c>
      <c r="U29" s="13">
        <f>_xll.BDH("BLUE US Equity","XO_GL_NET_OF_TAX","FQ4 2023","FQ4 2023","Currency=USD","Period=FQ","BEST_FPERIOD_OVERRIDE=FQ","FILING_STATUS=MR","SCALING_FORMAT=MLN","Sort=A","Dates=H","DateFormat=P","Fill=—","Direction=H","UseDPDF=Y")</f>
        <v>0</v>
      </c>
      <c r="V29" s="13">
        <f>_xll.BDH("BLUE US Equity","XO_GL_NET_OF_TAX","FQ1 2024","FQ1 2024","Currency=USD","Period=FQ","BEST_FPERIOD_OVERRIDE=FQ","FILING_STATUS=MR","SCALING_FORMAT=MLN","Sort=A","Dates=H","DateFormat=P","Fill=—","Direction=H","UseDPDF=Y")</f>
        <v>0</v>
      </c>
      <c r="W29" s="13">
        <f>_xll.BDH("BLUE US Equity","XO_GL_NET_OF_TAX","FQ2 2024","FQ2 2024","Currency=USD","Period=FQ","BEST_FPERIOD_OVERRIDE=FQ","FILING_STATUS=MR","SCALING_FORMAT=MLN","Sort=A","Dates=H","DateFormat=P","Fill=—","Direction=H","UseDPDF=Y")</f>
        <v>0</v>
      </c>
      <c r="X29" s="13">
        <f>_xll.BDH("BLUE US Equity","XO_GL_NET_OF_TAX","FQ3 2024","FQ3 2024","Currency=USD","Period=FQ","BEST_FPERIOD_OVERRIDE=FQ","FILING_STATUS=MR","SCALING_FORMAT=MLN","Sort=A","Dates=H","DateFormat=P","Fill=—","Direction=H","UseDPDF=Y")</f>
        <v>0</v>
      </c>
      <c r="Y29" s="13">
        <f>_xll.BDH("BLUE US Equity","XO_GL_NET_OF_TAX","FQ4 2024","FQ4 2024","Currency=USD","Period=FQ","BEST_FPERIOD_OVERRIDE=FQ","FILING_STATUS=MR","SCALING_FORMAT=MLN","Sort=A","Dates=H","DateFormat=P","Fill=—","Direction=H","UseDPDF=Y")</f>
        <v>0</v>
      </c>
      <c r="Z29" s="13"/>
      <c r="AA29" s="13"/>
    </row>
    <row r="30" spans="1:27" x14ac:dyDescent="0.25">
      <c r="A30" s="10" t="s">
        <v>329</v>
      </c>
      <c r="B30" s="10" t="s">
        <v>330</v>
      </c>
      <c r="C30" s="13">
        <f>_xll.BDH("BLUE US Equity","IS_DISCONTINUED_OPERATIONS","FQ2 2019","FQ2 2019","Currency=USD","Period=FQ","BEST_FPERIOD_OVERRIDE=FQ","FILING_STATUS=MR","SCALING_FORMAT=MLN","Sort=A","Dates=H","DateFormat=P","Fill=—","Direction=H","UseDPDF=Y")</f>
        <v>0</v>
      </c>
      <c r="D30" s="13">
        <f>_xll.BDH("BLUE US Equity","IS_DISCONTINUED_OPERATIONS","FQ3 2019","FQ3 2019","Currency=USD","Period=FQ","BEST_FPERIOD_OVERRIDE=FQ","FILING_STATUS=MR","SCALING_FORMAT=MLN","Sort=A","Dates=H","DateFormat=P","Fill=—","Direction=H","UseDPDF=Y")</f>
        <v>0</v>
      </c>
      <c r="E30" s="13">
        <f>_xll.BDH("BLUE US Equity","IS_DISCONTINUED_OPERATIONS","FQ4 2019","FQ4 2019","Currency=USD","Period=FQ","BEST_FPERIOD_OVERRIDE=FQ","FILING_STATUS=MR","SCALING_FORMAT=MLN","Sort=A","Dates=H","DateFormat=P","Fill=—","Direction=H","UseDPDF=Y")</f>
        <v>0</v>
      </c>
      <c r="F30" s="13">
        <f>_xll.BDH("BLUE US Equity","IS_DISCONTINUED_OPERATIONS","FQ1 2020","FQ1 2020","Currency=USD","Period=FQ","BEST_FPERIOD_OVERRIDE=FQ","FILING_STATUS=MR","SCALING_FORMAT=MLN","Sort=A","Dates=H","DateFormat=P","Fill=—","Direction=H","UseDPDF=Y")</f>
        <v>0</v>
      </c>
      <c r="G30" s="13">
        <f>_xll.BDH("BLUE US Equity","IS_DISCONTINUED_OPERATIONS","FQ2 2020","FQ2 2020","Currency=USD","Period=FQ","BEST_FPERIOD_OVERRIDE=FQ","FILING_STATUS=MR","SCALING_FORMAT=MLN","Sort=A","Dates=H","DateFormat=P","Fill=—","Direction=H","UseDPDF=Y")</f>
        <v>0</v>
      </c>
      <c r="H30" s="13">
        <f>_xll.BDH("BLUE US Equity","IS_DISCONTINUED_OPERATIONS","FQ3 2020","FQ3 2020","Currency=USD","Period=FQ","BEST_FPERIOD_OVERRIDE=FQ","FILING_STATUS=MR","SCALING_FORMAT=MLN","Sort=A","Dates=H","DateFormat=P","Fill=—","Direction=H","UseDPDF=Y")</f>
        <v>0</v>
      </c>
      <c r="I30" s="13">
        <f>_xll.BDH("BLUE US Equity","IS_DISCONTINUED_OPERATIONS","FQ4 2020","FQ4 2020","Currency=USD","Period=FQ","BEST_FPERIOD_OVERRIDE=FQ","FILING_STATUS=MR","SCALING_FORMAT=MLN","Sort=A","Dates=H","DateFormat=P","Fill=—","Direction=H","UseDPDF=Y")</f>
        <v>63.552999999999997</v>
      </c>
      <c r="J30" s="13">
        <f>_xll.BDH("BLUE US Equity","IS_DISCONTINUED_OPERATIONS","FQ1 2021","FQ1 2021","Currency=USD","Period=FQ","BEST_FPERIOD_OVERRIDE=FQ","FILING_STATUS=MR","SCALING_FORMAT=MLN","Sort=A","Dates=H","DateFormat=P","Fill=—","Direction=H","UseDPDF=Y")</f>
        <v>84.304000000000002</v>
      </c>
      <c r="K30" s="13">
        <f>_xll.BDH("BLUE US Equity","IS_DISCONTINUED_OPERATIONS","FQ2 2021","FQ2 2021","Currency=USD","Period=FQ","BEST_FPERIOD_OVERRIDE=FQ","FILING_STATUS=MR","SCALING_FORMAT=MLN","Sort=A","Dates=H","DateFormat=P","Fill=—","Direction=H","UseDPDF=Y")</f>
        <v>0</v>
      </c>
      <c r="L30" s="13">
        <f>_xll.BDH("BLUE US Equity","IS_DISCONTINUED_OPERATIONS","FQ3 2021","FQ3 2021","Currency=USD","Period=FQ","BEST_FPERIOD_OVERRIDE=FQ","FILING_STATUS=MR","SCALING_FORMAT=MLN","Sort=A","Dates=H","DateFormat=P","Fill=—","Direction=H","UseDPDF=Y")</f>
        <v>63.981999999999999</v>
      </c>
      <c r="M30" s="13">
        <f>_xll.BDH("BLUE US Equity","IS_DISCONTINUED_OPERATIONS","FQ4 2021","FQ4 2021","Currency=USD","Period=FQ","BEST_FPERIOD_OVERRIDE=FQ","FILING_STATUS=MR","SCALING_FORMAT=MLN","Sort=A","Dates=H","DateFormat=P","Fill=—","Direction=H","UseDPDF=Y")</f>
        <v>22.725000000000001</v>
      </c>
      <c r="N30" s="13">
        <f>_xll.BDH("BLUE US Equity","IS_DISCONTINUED_OPERATIONS","FQ1 2022","FQ1 2022","Currency=USD","Period=FQ","BEST_FPERIOD_OVERRIDE=FQ","FILING_STATUS=MR","SCALING_FORMAT=MLN","Sort=A","Dates=H","DateFormat=P","Fill=—","Direction=H","UseDPDF=Y")</f>
        <v>0</v>
      </c>
      <c r="O30" s="13">
        <f>_xll.BDH("BLUE US Equity","IS_DISCONTINUED_OPERATIONS","FQ2 2022","FQ2 2022","Currency=USD","Period=FQ","BEST_FPERIOD_OVERRIDE=FQ","FILING_STATUS=MR","SCALING_FORMAT=MLN","Sort=A","Dates=H","DateFormat=P","Fill=—","Direction=H","UseDPDF=Y")</f>
        <v>0</v>
      </c>
      <c r="P30" s="13">
        <f>_xll.BDH("BLUE US Equity","IS_DISCONTINUED_OPERATIONS","FQ3 2022","FQ3 2022","Currency=USD","Period=FQ","BEST_FPERIOD_OVERRIDE=FQ","FILING_STATUS=MR","SCALING_FORMAT=MLN","Sort=A","Dates=H","DateFormat=P","Fill=—","Direction=H","UseDPDF=Y")</f>
        <v>0</v>
      </c>
      <c r="Q30" s="13">
        <f>_xll.BDH("BLUE US Equity","IS_DISCONTINUED_OPERATIONS","FQ4 2022","FQ4 2022","Currency=USD","Period=FQ","BEST_FPERIOD_OVERRIDE=FQ","FILING_STATUS=MR","SCALING_FORMAT=MLN","Sort=A","Dates=H","DateFormat=P","Fill=—","Direction=H","UseDPDF=Y")</f>
        <v>0</v>
      </c>
      <c r="R30" s="13">
        <f>_xll.BDH("BLUE US Equity","IS_DISCONTINUED_OPERATIONS","FQ1 2023","FQ1 2023","Currency=USD","Period=FQ","BEST_FPERIOD_OVERRIDE=FQ","FILING_STATUS=MR","SCALING_FORMAT=MLN","Sort=A","Dates=H","DateFormat=P","Fill=—","Direction=H","UseDPDF=Y")</f>
        <v>0</v>
      </c>
      <c r="S30" s="13">
        <f>_xll.BDH("BLUE US Equity","IS_DISCONTINUED_OPERATIONS","FQ2 2023","FQ2 2023","Currency=USD","Period=FQ","BEST_FPERIOD_OVERRIDE=FQ","FILING_STATUS=MR","SCALING_FORMAT=MLN","Sort=A","Dates=H","DateFormat=P","Fill=—","Direction=H","UseDPDF=Y")</f>
        <v>0</v>
      </c>
      <c r="T30" s="13">
        <f>_xll.BDH("BLUE US Equity","IS_DISCONTINUED_OPERATIONS","FQ3 2023","FQ3 2023","Currency=USD","Period=FQ","BEST_FPERIOD_OVERRIDE=FQ","FILING_STATUS=MR","SCALING_FORMAT=MLN","Sort=A","Dates=H","DateFormat=P","Fill=—","Direction=H","UseDPDF=Y")</f>
        <v>0</v>
      </c>
      <c r="U30" s="13">
        <f>_xll.BDH("BLUE US Equity","IS_DISCONTINUED_OPERATIONS","FQ4 2023","FQ4 2023","Currency=USD","Period=FQ","BEST_FPERIOD_OVERRIDE=FQ","FILING_STATUS=MR","SCALING_FORMAT=MLN","Sort=A","Dates=H","DateFormat=P","Fill=—","Direction=H","UseDPDF=Y")</f>
        <v>0</v>
      </c>
      <c r="V30" s="13">
        <f>_xll.BDH("BLUE US Equity","IS_DISCONTINUED_OPERATIONS","FQ1 2024","FQ1 2024","Currency=USD","Period=FQ","BEST_FPERIOD_OVERRIDE=FQ","FILING_STATUS=MR","SCALING_FORMAT=MLN","Sort=A","Dates=H","DateFormat=P","Fill=—","Direction=H","UseDPDF=Y")</f>
        <v>0</v>
      </c>
      <c r="W30" s="13">
        <f>_xll.BDH("BLUE US Equity","IS_DISCONTINUED_OPERATIONS","FQ2 2024","FQ2 2024","Currency=USD","Period=FQ","BEST_FPERIOD_OVERRIDE=FQ","FILING_STATUS=MR","SCALING_FORMAT=MLN","Sort=A","Dates=H","DateFormat=P","Fill=—","Direction=H","UseDPDF=Y")</f>
        <v>0</v>
      </c>
      <c r="X30" s="13">
        <f>_xll.BDH("BLUE US Equity","IS_DISCONTINUED_OPERATIONS","FQ3 2024","FQ3 2024","Currency=USD","Period=FQ","BEST_FPERIOD_OVERRIDE=FQ","FILING_STATUS=MR","SCALING_FORMAT=MLN","Sort=A","Dates=H","DateFormat=P","Fill=—","Direction=H","UseDPDF=Y")</f>
        <v>0</v>
      </c>
      <c r="Y30" s="13">
        <f>_xll.BDH("BLUE US Equity","IS_DISCONTINUED_OPERATIONS","FQ4 2024","FQ4 2024","Currency=USD","Period=FQ","BEST_FPERIOD_OVERRIDE=FQ","FILING_STATUS=MR","SCALING_FORMAT=MLN","Sort=A","Dates=H","DateFormat=P","Fill=—","Direction=H","UseDPDF=Y")</f>
        <v>0</v>
      </c>
      <c r="Z30" s="13"/>
      <c r="AA30" s="13"/>
    </row>
    <row r="31" spans="1:27" x14ac:dyDescent="0.25">
      <c r="A31" s="10" t="s">
        <v>331</v>
      </c>
      <c r="B31" s="10" t="s">
        <v>332</v>
      </c>
      <c r="C31" s="13">
        <f>_xll.BDH("BLUE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1" s="13">
        <f>_xll.BDH("BLUE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1" s="13">
        <f>_xll.BDH("BLUE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1" s="13">
        <f>_xll.BDH("BLUE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1" s="13">
        <f>_xll.BDH("BLUE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1" s="13">
        <f>_xll.BDH("BLUE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1" s="13">
        <f>_xll.BDH("BLUE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1" s="13">
        <f>_xll.BDH("BLUE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1" s="13">
        <f>_xll.BDH("BLUE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1" s="13">
        <f>_xll.BDH("BLUE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1" s="13">
        <f>_xll.BDH("BLUE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1" s="13">
        <f>_xll.BDH("BLUE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1" s="13">
        <f>_xll.BDH("BLUE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1" s="13">
        <f>_xll.BDH("BLUE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1" s="13">
        <f>_xll.BDH("BLUE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1" s="13">
        <f>_xll.BDH("BLUE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1" s="13">
        <f>_xll.BDH("BLUE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1" s="13">
        <f>_xll.BDH("BLUE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1" s="13">
        <f>_xll.BDH("BLUE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1" s="13">
        <f>_xll.BDH("BLUE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1" s="13">
        <f>_xll.BDH("BLUE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1" s="13">
        <f>_xll.BDH("BLUE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1" s="13">
        <f>_xll.BDH("BLUE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1" s="13"/>
      <c r="AA31" s="13"/>
    </row>
    <row r="32" spans="1:27" x14ac:dyDescent="0.25">
      <c r="A32" s="6" t="s">
        <v>333</v>
      </c>
      <c r="B32" s="6" t="s">
        <v>334</v>
      </c>
      <c r="C32" s="19">
        <f>_xll.BDH("BLUE US Equity","NI_INCLUDING_MINORITY_INT_RATIO","FQ2 2019","FQ2 2019","Currency=USD","Period=FQ","BEST_FPERIOD_OVERRIDE=FQ","FILING_STATUS=MR","SCALING_FORMAT=MLN","FA_ADJUSTED=GAAP","Sort=A","Dates=H","DateFormat=P","Fill=—","Direction=H","UseDPDF=Y")</f>
        <v>-195.78200000000001</v>
      </c>
      <c r="D32" s="19">
        <f>_xll.BDH("BLUE US Equity","NI_INCLUDING_MINORITY_INT_RATIO","FQ3 2019","FQ3 2019","Currency=USD","Period=FQ","BEST_FPERIOD_OVERRIDE=FQ","FILING_STATUS=MR","SCALING_FORMAT=MLN","FA_ADJUSTED=GAAP","Sort=A","Dates=H","DateFormat=P","Fill=—","Direction=H","UseDPDF=Y")</f>
        <v>-206.03299999999999</v>
      </c>
      <c r="E32" s="19">
        <f>_xll.BDH("BLUE US Equity","NI_INCLUDING_MINORITY_INT_RATIO","FQ4 2019","FQ4 2019","Currency=USD","Period=FQ","BEST_FPERIOD_OVERRIDE=FQ","FILING_STATUS=MR","SCALING_FORMAT=MLN","FA_ADJUSTED=GAAP","Sort=A","Dates=H","DateFormat=P","Fill=—","Direction=H","UseDPDF=Y")</f>
        <v>-223.34700000000001</v>
      </c>
      <c r="F32" s="19">
        <f>_xll.BDH("BLUE US Equity","NI_INCLUDING_MINORITY_INT_RATIO","FQ1 2020","FQ1 2020","Currency=USD","Period=FQ","BEST_FPERIOD_OVERRIDE=FQ","FILING_STATUS=MR","SCALING_FORMAT=MLN","FA_ADJUSTED=GAAP","Sort=A","Dates=H","DateFormat=P","Fill=—","Direction=H","UseDPDF=Y")</f>
        <v>-202.61099999999999</v>
      </c>
      <c r="G32" s="19">
        <f>_xll.BDH("BLUE US Equity","NI_INCLUDING_MINORITY_INT_RATIO","FQ2 2020","FQ2 2020","Currency=USD","Period=FQ","BEST_FPERIOD_OVERRIDE=FQ","FILING_STATUS=MR","SCALING_FORMAT=MLN","FA_ADJUSTED=GAAP","Sort=A","Dates=H","DateFormat=P","Fill=—","Direction=H","UseDPDF=Y")</f>
        <v>-21.465</v>
      </c>
      <c r="H32" s="19">
        <f>_xll.BDH("BLUE US Equity","NI_INCLUDING_MINORITY_INT_RATIO","FQ3 2020","FQ3 2020","Currency=USD","Period=FQ","BEST_FPERIOD_OVERRIDE=FQ","FILING_STATUS=MR","SCALING_FORMAT=MLN","FA_ADJUSTED=GAAP","Sort=A","Dates=H","DateFormat=P","Fill=—","Direction=H","UseDPDF=Y")</f>
        <v>-194.745</v>
      </c>
      <c r="I32" s="19">
        <f>_xll.BDH("BLUE US Equity","NI_INCLUDING_MINORITY_INT_RATIO","FQ4 2020","FQ4 2020","Currency=USD","Period=FQ","BEST_FPERIOD_OVERRIDE=FQ","FILING_STATUS=MR","SCALING_FORMAT=MLN","FA_ADJUSTED=GAAP","Sort=A","Dates=H","DateFormat=P","Fill=—","Direction=H","UseDPDF=Y")</f>
        <v>-199.874</v>
      </c>
      <c r="J32" s="19">
        <f>_xll.BDH("BLUE US Equity","NI_INCLUDING_MINORITY_INT_RATIO","FQ1 2021","FQ1 2021","Currency=USD","Period=FQ","BEST_FPERIOD_OVERRIDE=FQ","FILING_STATUS=MR","SCALING_FORMAT=MLN","FA_ADJUSTED=GAAP","Sort=A","Dates=H","DateFormat=P","Fill=—","Direction=H","UseDPDF=Y")</f>
        <v>-205.80799999999999</v>
      </c>
      <c r="K32" s="19">
        <f>_xll.BDH("BLUE US Equity","NI_INCLUDING_MINORITY_INT_RATIO","FQ2 2021","FQ2 2021","Currency=USD","Period=FQ","BEST_FPERIOD_OVERRIDE=FQ","FILING_STATUS=MR","SCALING_FORMAT=MLN","FA_ADJUSTED=GAAP","Sort=A","Dates=H","DateFormat=P","Fill=—","Direction=H","UseDPDF=Y")</f>
        <v>-241.702</v>
      </c>
      <c r="L32" s="19">
        <f>_xll.BDH("BLUE US Equity","NI_INCLUDING_MINORITY_INT_RATIO","FQ3 2021","FQ3 2021","Currency=USD","Period=FQ","BEST_FPERIOD_OVERRIDE=FQ","FILING_STATUS=MR","SCALING_FORMAT=MLN","FA_ADJUSTED=GAAP","Sort=A","Dates=H","DateFormat=P","Fill=—","Direction=H","UseDPDF=Y")</f>
        <v>-216.816</v>
      </c>
      <c r="M32" s="19">
        <f>_xll.BDH("BLUE US Equity","NI_INCLUDING_MINORITY_INT_RATIO","FQ4 2021","FQ4 2021","Currency=USD","Period=FQ","BEST_FPERIOD_OVERRIDE=FQ","FILING_STATUS=MR","SCALING_FORMAT=MLN","FA_ADJUSTED=GAAP","Sort=A","Dates=H","DateFormat=P","Fill=—","Direction=H","UseDPDF=Y")</f>
        <v>-155.05199999999999</v>
      </c>
      <c r="N32" s="19">
        <f>_xll.BDH("BLUE US Equity","NI_INCLUDING_MINORITY_INT_RATIO","FQ1 2022","FQ1 2022","Currency=USD","Period=FQ","BEST_FPERIOD_OVERRIDE=FQ","FILING_STATUS=MR","SCALING_FORMAT=MLN","FA_ADJUSTED=GAAP","Sort=A","Dates=H","DateFormat=P","Fill=—","Direction=H","UseDPDF=Y")</f>
        <v>-122.152</v>
      </c>
      <c r="O32" s="19">
        <f>_xll.BDH("BLUE US Equity","NI_INCLUDING_MINORITY_INT_RATIO","FQ2 2022","FQ2 2022","Currency=USD","Period=FQ","BEST_FPERIOD_OVERRIDE=FQ","FILING_STATUS=MR","SCALING_FORMAT=MLN","FA_ADJUSTED=GAAP","Sort=A","Dates=H","DateFormat=P","Fill=—","Direction=H","UseDPDF=Y")</f>
        <v>-100.13800000000001</v>
      </c>
      <c r="P32" s="19">
        <f>_xll.BDH("BLUE US Equity","NI_INCLUDING_MINORITY_INT_RATIO","FQ3 2022","FQ3 2022","Currency=USD","Period=FQ","BEST_FPERIOD_OVERRIDE=FQ","FILING_STATUS=MR","SCALING_FORMAT=MLN","FA_ADJUSTED=GAAP","Sort=A","Dates=H","DateFormat=P","Fill=—","Direction=H","UseDPDF=Y")</f>
        <v>-76.52</v>
      </c>
      <c r="Q32" s="19">
        <f>_xll.BDH("BLUE US Equity","NI_INCLUDING_MINORITY_INT_RATIO","FQ4 2022","FQ4 2022","Currency=USD","Period=FQ","BEST_FPERIOD_OVERRIDE=FQ","FILING_STATUS=MR","SCALING_FORMAT=MLN","FA_ADJUSTED=GAAP","Sort=A","Dates=H","DateFormat=P","Fill=—","Direction=H","UseDPDF=Y")</f>
        <v>68.468000000000004</v>
      </c>
      <c r="R32" s="19">
        <f>_xll.BDH("BLUE US Equity","NI_INCLUDING_MINORITY_INT_RATIO","FQ1 2023","FQ1 2023","Currency=USD","Period=FQ","BEST_FPERIOD_OVERRIDE=FQ","FILING_STATUS=MR","SCALING_FORMAT=MLN","FA_ADJUSTED=GAAP","Sort=A","Dates=H","DateFormat=P","Fill=—","Direction=H","UseDPDF=Y")</f>
        <v>18.93</v>
      </c>
      <c r="S32" s="19">
        <f>_xll.BDH("BLUE US Equity","NI_INCLUDING_MINORITY_INT_RATIO","FQ2 2023","FQ2 2023","Currency=USD","Period=FQ","BEST_FPERIOD_OVERRIDE=FQ","FILING_STATUS=MR","SCALING_FORMAT=MLN","FA_ADJUSTED=GAAP","Sort=A","Dates=H","DateFormat=P","Fill=—","Direction=H","UseDPDF=Y")</f>
        <v>-62.789000000000001</v>
      </c>
      <c r="T32" s="19">
        <f>_xll.BDH("BLUE US Equity","NI_INCLUDING_MINORITY_INT_RATIO","FQ3 2023","FQ3 2023","Currency=USD","Period=FQ","BEST_FPERIOD_OVERRIDE=FQ","FILING_STATUS=MR","SCALING_FORMAT=MLN","FA_ADJUSTED=GAAP","Sort=A","Dates=H","DateFormat=P","Fill=—","Direction=H","UseDPDF=Y")</f>
        <v>-87.231999999999999</v>
      </c>
      <c r="U32" s="19">
        <f>_xll.BDH("BLUE US Equity","NI_INCLUDING_MINORITY_INT_RATIO","FQ4 2023","FQ4 2023","Currency=USD","Period=FQ","BEST_FPERIOD_OVERRIDE=FQ","FILING_STATUS=MR","SCALING_FORMAT=MLN","FA_ADJUSTED=GAAP","Sort=A","Dates=H","DateFormat=P","Fill=—","Direction=H","UseDPDF=Y")</f>
        <v>-88.513999999999996</v>
      </c>
      <c r="V32" s="19">
        <f>_xll.BDH("BLUE US Equity","NI_INCLUDING_MINORITY_INT_RATIO","FQ1 2024","FQ1 2024","Currency=USD","Period=FQ","BEST_FPERIOD_OVERRIDE=FQ","FILING_STATUS=MR","SCALING_FORMAT=MLN","FA_ADJUSTED=GAAP","Sort=A","Dates=H","DateFormat=P","Fill=—","Direction=H","UseDPDF=Y")</f>
        <v>-69.804000000000002</v>
      </c>
      <c r="W32" s="19">
        <f>_xll.BDH("BLUE US Equity","NI_INCLUDING_MINORITY_INT_RATIO","FQ2 2024","FQ2 2024","Currency=USD","Period=FQ","BEST_FPERIOD_OVERRIDE=FQ","FILING_STATUS=MR","SCALING_FORMAT=MLN","FA_ADJUSTED=GAAP","Sort=A","Dates=H","DateFormat=P","Fill=—","Direction=H","UseDPDF=Y")</f>
        <v>-81.393000000000001</v>
      </c>
      <c r="X32" s="19">
        <f>_xll.BDH("BLUE US Equity","NI_INCLUDING_MINORITY_INT_RATIO","FQ3 2024","FQ3 2024","Currency=USD","Period=FQ","BEST_FPERIOD_OVERRIDE=FQ","FILING_STATUS=MR","SCALING_FORMAT=MLN","FA_ADJUSTED=GAAP","Sort=A","Dates=H","DateFormat=P","Fill=—","Direction=H","UseDPDF=Y")</f>
        <v>-60.808</v>
      </c>
      <c r="Y32" s="19">
        <f>_xll.BDH("BLUE US Equity","NI_INCLUDING_MINORITY_INT_RATIO","FQ4 2024","FQ4 2024","Currency=USD","Period=FQ","BEST_FPERIOD_OVERRIDE=FQ","FILING_STATUS=MR","SCALING_FORMAT=MLN","FA_ADJUSTED=GAAP","Sort=A","Dates=H","DateFormat=P","Fill=—","Direction=H","UseDPDF=Y")</f>
        <v>-28.71</v>
      </c>
      <c r="Z32" s="19"/>
      <c r="AA32" s="19"/>
    </row>
    <row r="33" spans="1:27" x14ac:dyDescent="0.25">
      <c r="A33" s="10" t="s">
        <v>335</v>
      </c>
      <c r="B33" s="10" t="s">
        <v>336</v>
      </c>
      <c r="C33" s="13">
        <f>_xll.BDH("BLUE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3" s="13">
        <f>_xll.BDH("BLUE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3" s="13">
        <f>_xll.BDH("BLUE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3" s="13">
        <f>_xll.BDH("BLUE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3" s="13">
        <f>_xll.BDH("BLUE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3" s="13">
        <f>_xll.BDH("BLUE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3" s="13">
        <f>_xll.BDH("BLUE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3" s="13">
        <f>_xll.BDH("BLUE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3" s="13">
        <f>_xll.BDH("BLUE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3" s="13">
        <f>_xll.BDH("BLUE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3" s="13">
        <f>_xll.BDH("BLUE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3" s="13">
        <f>_xll.BDH("BLUE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3" s="13">
        <f>_xll.BDH("BLUE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3" s="13">
        <f>_xll.BDH("BLUE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3" s="13">
        <f>_xll.BDH("BLUE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3" s="13">
        <f>_xll.BDH("BLUE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3" s="13">
        <f>_xll.BDH("BLUE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3" s="13">
        <f>_xll.BDH("BLUE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3" s="13">
        <f>_xll.BDH("BLUE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3" s="13">
        <f>_xll.BDH("BLUE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3" s="13">
        <f>_xll.BDH("BLUE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3" s="13">
        <f>_xll.BDH("BLUE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3" s="13">
        <f>_xll.BDH("BLUE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3" s="13"/>
      <c r="AA33" s="13"/>
    </row>
    <row r="34" spans="1:27" x14ac:dyDescent="0.25">
      <c r="A34" s="6" t="s">
        <v>337</v>
      </c>
      <c r="B34" s="6" t="s">
        <v>338</v>
      </c>
      <c r="C34" s="19">
        <f>_xll.BDH("BLUE US Equity","NET_INCOME","FQ2 2019","FQ2 2019","Currency=USD","Period=FQ","BEST_FPERIOD_OVERRIDE=FQ","FILING_STATUS=MR","SCALING_FORMAT=MLN","FA_ADJUSTED=GAAP","Sort=A","Dates=H","DateFormat=P","Fill=—","Direction=H","UseDPDF=Y")</f>
        <v>-195.78200000000001</v>
      </c>
      <c r="D34" s="19">
        <f>_xll.BDH("BLUE US Equity","NET_INCOME","FQ3 2019","FQ3 2019","Currency=USD","Period=FQ","BEST_FPERIOD_OVERRIDE=FQ","FILING_STATUS=MR","SCALING_FORMAT=MLN","FA_ADJUSTED=GAAP","Sort=A","Dates=H","DateFormat=P","Fill=—","Direction=H","UseDPDF=Y")</f>
        <v>-206.03299999999999</v>
      </c>
      <c r="E34" s="19">
        <f>_xll.BDH("BLUE US Equity","NET_INCOME","FQ4 2019","FQ4 2019","Currency=USD","Period=FQ","BEST_FPERIOD_OVERRIDE=FQ","FILING_STATUS=MR","SCALING_FORMAT=MLN","FA_ADJUSTED=GAAP","Sort=A","Dates=H","DateFormat=P","Fill=—","Direction=H","UseDPDF=Y")</f>
        <v>-223.34700000000001</v>
      </c>
      <c r="F34" s="19">
        <f>_xll.BDH("BLUE US Equity","NET_INCOME","FQ1 2020","FQ1 2020","Currency=USD","Period=FQ","BEST_FPERIOD_OVERRIDE=FQ","FILING_STATUS=MR","SCALING_FORMAT=MLN","FA_ADJUSTED=GAAP","Sort=A","Dates=H","DateFormat=P","Fill=—","Direction=H","UseDPDF=Y")</f>
        <v>-202.61099999999999</v>
      </c>
      <c r="G34" s="19">
        <f>_xll.BDH("BLUE US Equity","NET_INCOME","FQ2 2020","FQ2 2020","Currency=USD","Period=FQ","BEST_FPERIOD_OVERRIDE=FQ","FILING_STATUS=MR","SCALING_FORMAT=MLN","FA_ADJUSTED=GAAP","Sort=A","Dates=H","DateFormat=P","Fill=—","Direction=H","UseDPDF=Y")</f>
        <v>-21.465</v>
      </c>
      <c r="H34" s="19">
        <f>_xll.BDH("BLUE US Equity","NET_INCOME","FQ3 2020","FQ3 2020","Currency=USD","Period=FQ","BEST_FPERIOD_OVERRIDE=FQ","FILING_STATUS=MR","SCALING_FORMAT=MLN","FA_ADJUSTED=GAAP","Sort=A","Dates=H","DateFormat=P","Fill=—","Direction=H","UseDPDF=Y")</f>
        <v>-194.745</v>
      </c>
      <c r="I34" s="19">
        <f>_xll.BDH("BLUE US Equity","NET_INCOME","FQ4 2020","FQ4 2020","Currency=USD","Period=FQ","BEST_FPERIOD_OVERRIDE=FQ","FILING_STATUS=MR","SCALING_FORMAT=MLN","FA_ADJUSTED=GAAP","Sort=A","Dates=H","DateFormat=P","Fill=—","Direction=H","UseDPDF=Y")</f>
        <v>-199.874</v>
      </c>
      <c r="J34" s="19">
        <f>_xll.BDH("BLUE US Equity","NET_INCOME","FQ1 2021","FQ1 2021","Currency=USD","Period=FQ","BEST_FPERIOD_OVERRIDE=FQ","FILING_STATUS=MR","SCALING_FORMAT=MLN","FA_ADJUSTED=GAAP","Sort=A","Dates=H","DateFormat=P","Fill=—","Direction=H","UseDPDF=Y")</f>
        <v>-205.80799999999999</v>
      </c>
      <c r="K34" s="19">
        <f>_xll.BDH("BLUE US Equity","NET_INCOME","FQ2 2021","FQ2 2021","Currency=USD","Period=FQ","BEST_FPERIOD_OVERRIDE=FQ","FILING_STATUS=MR","SCALING_FORMAT=MLN","FA_ADJUSTED=GAAP","Sort=A","Dates=H","DateFormat=P","Fill=—","Direction=H","UseDPDF=Y")</f>
        <v>-241.702</v>
      </c>
      <c r="L34" s="19">
        <f>_xll.BDH("BLUE US Equity","NET_INCOME","FQ3 2021","FQ3 2021","Currency=USD","Period=FQ","BEST_FPERIOD_OVERRIDE=FQ","FILING_STATUS=MR","SCALING_FORMAT=MLN","FA_ADJUSTED=GAAP","Sort=A","Dates=H","DateFormat=P","Fill=—","Direction=H","UseDPDF=Y")</f>
        <v>-216.816</v>
      </c>
      <c r="M34" s="19">
        <f>_xll.BDH("BLUE US Equity","NET_INCOME","FQ4 2021","FQ4 2021","Currency=USD","Period=FQ","BEST_FPERIOD_OVERRIDE=FQ","FILING_STATUS=MR","SCALING_FORMAT=MLN","FA_ADJUSTED=GAAP","Sort=A","Dates=H","DateFormat=P","Fill=—","Direction=H","UseDPDF=Y")</f>
        <v>-155.05199999999999</v>
      </c>
      <c r="N34" s="19">
        <f>_xll.BDH("BLUE US Equity","NET_INCOME","FQ1 2022","FQ1 2022","Currency=USD","Period=FQ","BEST_FPERIOD_OVERRIDE=FQ","FILING_STATUS=MR","SCALING_FORMAT=MLN","FA_ADJUSTED=GAAP","Sort=A","Dates=H","DateFormat=P","Fill=—","Direction=H","UseDPDF=Y")</f>
        <v>-122.152</v>
      </c>
      <c r="O34" s="19">
        <f>_xll.BDH("BLUE US Equity","NET_INCOME","FQ2 2022","FQ2 2022","Currency=USD","Period=FQ","BEST_FPERIOD_OVERRIDE=FQ","FILING_STATUS=MR","SCALING_FORMAT=MLN","FA_ADJUSTED=GAAP","Sort=A","Dates=H","DateFormat=P","Fill=—","Direction=H","UseDPDF=Y")</f>
        <v>-100.13800000000001</v>
      </c>
      <c r="P34" s="19">
        <f>_xll.BDH("BLUE US Equity","NET_INCOME","FQ3 2022","FQ3 2022","Currency=USD","Period=FQ","BEST_FPERIOD_OVERRIDE=FQ","FILING_STATUS=MR","SCALING_FORMAT=MLN","FA_ADJUSTED=GAAP","Sort=A","Dates=H","DateFormat=P","Fill=—","Direction=H","UseDPDF=Y")</f>
        <v>-76.52</v>
      </c>
      <c r="Q34" s="19">
        <f>_xll.BDH("BLUE US Equity","NET_INCOME","FQ4 2022","FQ4 2022","Currency=USD","Period=FQ","BEST_FPERIOD_OVERRIDE=FQ","FILING_STATUS=MR","SCALING_FORMAT=MLN","FA_ADJUSTED=GAAP","Sort=A","Dates=H","DateFormat=P","Fill=—","Direction=H","UseDPDF=Y")</f>
        <v>68.468000000000004</v>
      </c>
      <c r="R34" s="19">
        <f>_xll.BDH("BLUE US Equity","NET_INCOME","FQ1 2023","FQ1 2023","Currency=USD","Period=FQ","BEST_FPERIOD_OVERRIDE=FQ","FILING_STATUS=MR","SCALING_FORMAT=MLN","FA_ADJUSTED=GAAP","Sort=A","Dates=H","DateFormat=P","Fill=—","Direction=H","UseDPDF=Y")</f>
        <v>18.93</v>
      </c>
      <c r="S34" s="19">
        <f>_xll.BDH("BLUE US Equity","NET_INCOME","FQ2 2023","FQ2 2023","Currency=USD","Period=FQ","BEST_FPERIOD_OVERRIDE=FQ","FILING_STATUS=MR","SCALING_FORMAT=MLN","FA_ADJUSTED=GAAP","Sort=A","Dates=H","DateFormat=P","Fill=—","Direction=H","UseDPDF=Y")</f>
        <v>-62.789000000000001</v>
      </c>
      <c r="T34" s="19">
        <f>_xll.BDH("BLUE US Equity","NET_INCOME","FQ3 2023","FQ3 2023","Currency=USD","Period=FQ","BEST_FPERIOD_OVERRIDE=FQ","FILING_STATUS=MR","SCALING_FORMAT=MLN","FA_ADJUSTED=GAAP","Sort=A","Dates=H","DateFormat=P","Fill=—","Direction=H","UseDPDF=Y")</f>
        <v>-87.231999999999999</v>
      </c>
      <c r="U34" s="19">
        <f>_xll.BDH("BLUE US Equity","NET_INCOME","FQ4 2023","FQ4 2023","Currency=USD","Period=FQ","BEST_FPERIOD_OVERRIDE=FQ","FILING_STATUS=MR","SCALING_FORMAT=MLN","FA_ADJUSTED=GAAP","Sort=A","Dates=H","DateFormat=P","Fill=—","Direction=H","UseDPDF=Y")</f>
        <v>-88.513999999999996</v>
      </c>
      <c r="V34" s="19">
        <f>_xll.BDH("BLUE US Equity","NET_INCOME","FQ1 2024","FQ1 2024","Currency=USD","Period=FQ","BEST_FPERIOD_OVERRIDE=FQ","FILING_STATUS=MR","SCALING_FORMAT=MLN","FA_ADJUSTED=GAAP","Sort=A","Dates=H","DateFormat=P","Fill=—","Direction=H","UseDPDF=Y")</f>
        <v>-69.804000000000002</v>
      </c>
      <c r="W34" s="19">
        <f>_xll.BDH("BLUE US Equity","NET_INCOME","FQ2 2024","FQ2 2024","Currency=USD","Period=FQ","BEST_FPERIOD_OVERRIDE=FQ","FILING_STATUS=MR","SCALING_FORMAT=MLN","FA_ADJUSTED=GAAP","Sort=A","Dates=H","DateFormat=P","Fill=—","Direction=H","UseDPDF=Y")</f>
        <v>-81.393000000000001</v>
      </c>
      <c r="X34" s="19">
        <f>_xll.BDH("BLUE US Equity","NET_INCOME","FQ3 2024","FQ3 2024","Currency=USD","Period=FQ","BEST_FPERIOD_OVERRIDE=FQ","FILING_STATUS=MR","SCALING_FORMAT=MLN","FA_ADJUSTED=GAAP","Sort=A","Dates=H","DateFormat=P","Fill=—","Direction=H","UseDPDF=Y")</f>
        <v>-60.808</v>
      </c>
      <c r="Y34" s="19">
        <f>_xll.BDH("BLUE US Equity","NET_INCOME","FQ4 2024","FQ4 2024","Currency=USD","Period=FQ","BEST_FPERIOD_OVERRIDE=FQ","FILING_STATUS=MR","SCALING_FORMAT=MLN","FA_ADJUSTED=GAAP","Sort=A","Dates=H","DateFormat=P","Fill=—","Direction=H","UseDPDF=Y")</f>
        <v>-28.71</v>
      </c>
      <c r="Z34" s="19">
        <v>-39.979999999999997</v>
      </c>
      <c r="AA34" s="19">
        <v>-16.265999999999998</v>
      </c>
    </row>
    <row r="35" spans="1:27" x14ac:dyDescent="0.25">
      <c r="A35" s="10" t="s">
        <v>339</v>
      </c>
      <c r="B35" s="10" t="s">
        <v>340</v>
      </c>
      <c r="C35" s="13">
        <f>_xll.BDH("BLUE US Equity","IS_TOT_CASH_PFD_DVD","FQ2 2019","FQ2 2019","Currency=USD","Period=FQ","BEST_FPERIOD_OVERRIDE=FQ","FILING_STATUS=MR","SCALING_FORMAT=MLN","Sort=A","Dates=H","DateFormat=P","Fill=—","Direction=H","UseDPDF=Y")</f>
        <v>0</v>
      </c>
      <c r="D35" s="13">
        <f>_xll.BDH("BLUE US Equity","IS_TOT_CASH_PFD_DVD","FQ3 2019","FQ3 2019","Currency=USD","Period=FQ","BEST_FPERIOD_OVERRIDE=FQ","FILING_STATUS=MR","SCALING_FORMAT=MLN","Sort=A","Dates=H","DateFormat=P","Fill=—","Direction=H","UseDPDF=Y")</f>
        <v>0</v>
      </c>
      <c r="E35" s="13">
        <f>_xll.BDH("BLUE US Equity","IS_TOT_CASH_PFD_DVD","FQ4 2019","FQ4 2019","Currency=USD","Period=FQ","BEST_FPERIOD_OVERRIDE=FQ","FILING_STATUS=MR","SCALING_FORMAT=MLN","Sort=A","Dates=H","DateFormat=P","Fill=—","Direction=H","UseDPDF=Y")</f>
        <v>0</v>
      </c>
      <c r="F35" s="13">
        <f>_xll.BDH("BLUE US Equity","IS_TOT_CASH_PFD_DVD","FQ1 2020","FQ1 2020","Currency=USD","Period=FQ","BEST_FPERIOD_OVERRIDE=FQ","FILING_STATUS=MR","SCALING_FORMAT=MLN","Sort=A","Dates=H","DateFormat=P","Fill=—","Direction=H","UseDPDF=Y")</f>
        <v>0</v>
      </c>
      <c r="G35" s="13">
        <f>_xll.BDH("BLUE US Equity","IS_TOT_CASH_PFD_DVD","FQ2 2020","FQ2 2020","Currency=USD","Period=FQ","BEST_FPERIOD_OVERRIDE=FQ","FILING_STATUS=MR","SCALING_FORMAT=MLN","Sort=A","Dates=H","DateFormat=P","Fill=—","Direction=H","UseDPDF=Y")</f>
        <v>0</v>
      </c>
      <c r="H35" s="13">
        <f>_xll.BDH("BLUE US Equity","IS_TOT_CASH_PFD_DVD","FQ3 2020","FQ3 2020","Currency=USD","Period=FQ","BEST_FPERIOD_OVERRIDE=FQ","FILING_STATUS=MR","SCALING_FORMAT=MLN","Sort=A","Dates=H","DateFormat=P","Fill=—","Direction=H","UseDPDF=Y")</f>
        <v>0</v>
      </c>
      <c r="I35" s="13">
        <f>_xll.BDH("BLUE US Equity","IS_TOT_CASH_PFD_DVD","FQ4 2020","FQ4 2020","Currency=USD","Period=FQ","BEST_FPERIOD_OVERRIDE=FQ","FILING_STATUS=MR","SCALING_FORMAT=MLN","Sort=A","Dates=H","DateFormat=P","Fill=—","Direction=H","UseDPDF=Y")</f>
        <v>0</v>
      </c>
      <c r="J35" s="13">
        <f>_xll.BDH("BLUE US Equity","IS_TOT_CASH_PFD_DVD","FQ1 2021","FQ1 2021","Currency=USD","Period=FQ","BEST_FPERIOD_OVERRIDE=FQ","FILING_STATUS=MR","SCALING_FORMAT=MLN","Sort=A","Dates=H","DateFormat=P","Fill=—","Direction=H","UseDPDF=Y")</f>
        <v>0</v>
      </c>
      <c r="K35" s="13">
        <f>_xll.BDH("BLUE US Equity","IS_TOT_CASH_PFD_DVD","FQ2 2021","FQ2 2021","Currency=USD","Period=FQ","BEST_FPERIOD_OVERRIDE=FQ","FILING_STATUS=MR","SCALING_FORMAT=MLN","Sort=A","Dates=H","DateFormat=P","Fill=—","Direction=H","UseDPDF=Y")</f>
        <v>0</v>
      </c>
      <c r="L35" s="13">
        <f>_xll.BDH("BLUE US Equity","IS_TOT_CASH_PFD_DVD","FQ3 2021","FQ3 2021","Currency=USD","Period=FQ","BEST_FPERIOD_OVERRIDE=FQ","FILING_STATUS=MR","SCALING_FORMAT=MLN","Sort=A","Dates=H","DateFormat=P","Fill=—","Direction=H","UseDPDF=Y")</f>
        <v>0</v>
      </c>
      <c r="M35" s="13">
        <f>_xll.BDH("BLUE US Equity","IS_TOT_CASH_PFD_DVD","FQ4 2021","FQ4 2021","Currency=USD","Period=FQ","BEST_FPERIOD_OVERRIDE=FQ","FILING_STATUS=MR","SCALING_FORMAT=MLN","Sort=A","Dates=H","DateFormat=P","Fill=—","Direction=H","UseDPDF=Y")</f>
        <v>0</v>
      </c>
      <c r="N35" s="13">
        <f>_xll.BDH("BLUE US Equity","IS_TOT_CASH_PFD_DVD","FQ1 2022","FQ1 2022","Currency=USD","Period=FQ","BEST_FPERIOD_OVERRIDE=FQ","FILING_STATUS=MR","SCALING_FORMAT=MLN","Sort=A","Dates=H","DateFormat=P","Fill=—","Direction=H","UseDPDF=Y")</f>
        <v>0</v>
      </c>
      <c r="O35" s="13">
        <f>_xll.BDH("BLUE US Equity","IS_TOT_CASH_PFD_DVD","FQ2 2022","FQ2 2022","Currency=USD","Period=FQ","BEST_FPERIOD_OVERRIDE=FQ","FILING_STATUS=MR","SCALING_FORMAT=MLN","Sort=A","Dates=H","DateFormat=P","Fill=—","Direction=H","UseDPDF=Y")</f>
        <v>0</v>
      </c>
      <c r="P35" s="13">
        <f>_xll.BDH("BLUE US Equity","IS_TOT_CASH_PFD_DVD","FQ3 2022","FQ3 2022","Currency=USD","Period=FQ","BEST_FPERIOD_OVERRIDE=FQ","FILING_STATUS=MR","SCALING_FORMAT=MLN","Sort=A","Dates=H","DateFormat=P","Fill=—","Direction=H","UseDPDF=Y")</f>
        <v>0</v>
      </c>
      <c r="Q35" s="13">
        <f>_xll.BDH("BLUE US Equity","IS_TOT_CASH_PFD_DVD","FQ4 2022","FQ4 2022","Currency=USD","Period=FQ","BEST_FPERIOD_OVERRIDE=FQ","FILING_STATUS=MR","SCALING_FORMAT=MLN","Sort=A","Dates=H","DateFormat=P","Fill=—","Direction=H","UseDPDF=Y")</f>
        <v>0</v>
      </c>
      <c r="R35" s="13">
        <f>_xll.BDH("BLUE US Equity","IS_TOT_CASH_PFD_DVD","FQ1 2023","FQ1 2023","Currency=USD","Period=FQ","BEST_FPERIOD_OVERRIDE=FQ","FILING_STATUS=MR","SCALING_FORMAT=MLN","Sort=A","Dates=H","DateFormat=P","Fill=—","Direction=H","UseDPDF=Y")</f>
        <v>0</v>
      </c>
      <c r="S35" s="13">
        <f>_xll.BDH("BLUE US Equity","IS_TOT_CASH_PFD_DVD","FQ2 2023","FQ2 2023","Currency=USD","Period=FQ","BEST_FPERIOD_OVERRIDE=FQ","FILING_STATUS=MR","SCALING_FORMAT=MLN","Sort=A","Dates=H","DateFormat=P","Fill=—","Direction=H","UseDPDF=Y")</f>
        <v>0</v>
      </c>
      <c r="T35" s="13">
        <f>_xll.BDH("BLUE US Equity","IS_TOT_CASH_PFD_DVD","FQ3 2023","FQ3 2023","Currency=USD","Period=FQ","BEST_FPERIOD_OVERRIDE=FQ","FILING_STATUS=MR","SCALING_FORMAT=MLN","Sort=A","Dates=H","DateFormat=P","Fill=—","Direction=H","UseDPDF=Y")</f>
        <v>0</v>
      </c>
      <c r="U35" s="13">
        <f>_xll.BDH("BLUE US Equity","IS_TOT_CASH_PFD_DVD","FQ4 2023","FQ4 2023","Currency=USD","Period=FQ","BEST_FPERIOD_OVERRIDE=FQ","FILING_STATUS=MR","SCALING_FORMAT=MLN","Sort=A","Dates=H","DateFormat=P","Fill=—","Direction=H","UseDPDF=Y")</f>
        <v>0</v>
      </c>
      <c r="V35" s="13">
        <f>_xll.BDH("BLUE US Equity","IS_TOT_CASH_PFD_DVD","FQ1 2024","FQ1 2024","Currency=USD","Period=FQ","BEST_FPERIOD_OVERRIDE=FQ","FILING_STATUS=MR","SCALING_FORMAT=MLN","Sort=A","Dates=H","DateFormat=P","Fill=—","Direction=H","UseDPDF=Y")</f>
        <v>0</v>
      </c>
      <c r="W35" s="13">
        <f>_xll.BDH("BLUE US Equity","IS_TOT_CASH_PFD_DVD","FQ2 2024","FQ2 2024","Currency=USD","Period=FQ","BEST_FPERIOD_OVERRIDE=FQ","FILING_STATUS=MR","SCALING_FORMAT=MLN","Sort=A","Dates=H","DateFormat=P","Fill=—","Direction=H","UseDPDF=Y")</f>
        <v>0</v>
      </c>
      <c r="X35" s="13">
        <f>_xll.BDH("BLUE US Equity","IS_TOT_CASH_PFD_DVD","FQ3 2024","FQ3 2024","Currency=USD","Period=FQ","BEST_FPERIOD_OVERRIDE=FQ","FILING_STATUS=MR","SCALING_FORMAT=MLN","Sort=A","Dates=H","DateFormat=P","Fill=—","Direction=H","UseDPDF=Y")</f>
        <v>0</v>
      </c>
      <c r="Y35" s="13">
        <f>_xll.BDH("BLUE US Equity","IS_TOT_CASH_PFD_DVD","FQ4 2024","FQ4 2024","Currency=USD","Period=FQ","BEST_FPERIOD_OVERRIDE=FQ","FILING_STATUS=MR","SCALING_FORMAT=MLN","Sort=A","Dates=H","DateFormat=P","Fill=—","Direction=H","UseDPDF=Y")</f>
        <v>0</v>
      </c>
      <c r="Z35" s="13"/>
      <c r="AA35" s="13"/>
    </row>
    <row r="36" spans="1:27" x14ac:dyDescent="0.25">
      <c r="A36" s="10" t="s">
        <v>341</v>
      </c>
      <c r="B36" s="10" t="s">
        <v>342</v>
      </c>
      <c r="C36" s="13">
        <f>_xll.BDH("BLUE US Equity","OTHER_ADJUSTMENTS","FQ2 2019","FQ2 2019","Currency=USD","Period=FQ","BEST_FPERIOD_OVERRIDE=FQ","FILING_STATUS=MR","SCALING_FORMAT=MLN","Sort=A","Dates=H","DateFormat=P","Fill=—","Direction=H","UseDPDF=Y")</f>
        <v>0</v>
      </c>
      <c r="D36" s="13">
        <f>_xll.BDH("BLUE US Equity","OTHER_ADJUSTMENTS","FQ3 2019","FQ3 2019","Currency=USD","Period=FQ","BEST_FPERIOD_OVERRIDE=FQ","FILING_STATUS=MR","SCALING_FORMAT=MLN","Sort=A","Dates=H","DateFormat=P","Fill=—","Direction=H","UseDPDF=Y")</f>
        <v>0</v>
      </c>
      <c r="E36" s="13">
        <f>_xll.BDH("BLUE US Equity","OTHER_ADJUSTMENTS","FQ4 2019","FQ4 2019","Currency=USD","Period=FQ","BEST_FPERIOD_OVERRIDE=FQ","FILING_STATUS=MR","SCALING_FORMAT=MLN","Sort=A","Dates=H","DateFormat=P","Fill=—","Direction=H","UseDPDF=Y")</f>
        <v>0</v>
      </c>
      <c r="F36" s="13">
        <f>_xll.BDH("BLUE US Equity","OTHER_ADJUSTMENTS","FQ1 2020","FQ1 2020","Currency=USD","Period=FQ","BEST_FPERIOD_OVERRIDE=FQ","FILING_STATUS=MR","SCALING_FORMAT=MLN","Sort=A","Dates=H","DateFormat=P","Fill=—","Direction=H","UseDPDF=Y")</f>
        <v>0</v>
      </c>
      <c r="G36" s="13">
        <f>_xll.BDH("BLUE US Equity","OTHER_ADJUSTMENTS","FQ2 2020","FQ2 2020","Currency=USD","Period=FQ","BEST_FPERIOD_OVERRIDE=FQ","FILING_STATUS=MR","SCALING_FORMAT=MLN","Sort=A","Dates=H","DateFormat=P","Fill=—","Direction=H","UseDPDF=Y")</f>
        <v>0</v>
      </c>
      <c r="H36" s="13">
        <f>_xll.BDH("BLUE US Equity","OTHER_ADJUSTMENTS","FQ3 2020","FQ3 2020","Currency=USD","Period=FQ","BEST_FPERIOD_OVERRIDE=FQ","FILING_STATUS=MR","SCALING_FORMAT=MLN","Sort=A","Dates=H","DateFormat=P","Fill=—","Direction=H","UseDPDF=Y")</f>
        <v>0</v>
      </c>
      <c r="I36" s="13">
        <f>_xll.BDH("BLUE US Equity","OTHER_ADJUSTMENTS","FQ4 2020","FQ4 2020","Currency=USD","Period=FQ","BEST_FPERIOD_OVERRIDE=FQ","FILING_STATUS=MR","SCALING_FORMAT=MLN","Sort=A","Dates=H","DateFormat=P","Fill=—","Direction=H","UseDPDF=Y")</f>
        <v>0</v>
      </c>
      <c r="J36" s="13">
        <f>_xll.BDH("BLUE US Equity","OTHER_ADJUSTMENTS","FQ1 2021","FQ1 2021","Currency=USD","Period=FQ","BEST_FPERIOD_OVERRIDE=FQ","FILING_STATUS=MR","SCALING_FORMAT=MLN","Sort=A","Dates=H","DateFormat=P","Fill=—","Direction=H","UseDPDF=Y")</f>
        <v>0</v>
      </c>
      <c r="K36" s="13">
        <f>_xll.BDH("BLUE US Equity","OTHER_ADJUSTMENTS","FQ2 2021","FQ2 2021","Currency=USD","Period=FQ","BEST_FPERIOD_OVERRIDE=FQ","FILING_STATUS=MR","SCALING_FORMAT=MLN","Sort=A","Dates=H","DateFormat=P","Fill=—","Direction=H","UseDPDF=Y")</f>
        <v>0</v>
      </c>
      <c r="L36" s="13">
        <f>_xll.BDH("BLUE US Equity","OTHER_ADJUSTMENTS","FQ3 2021","FQ3 2021","Currency=USD","Period=FQ","BEST_FPERIOD_OVERRIDE=FQ","FILING_STATUS=MR","SCALING_FORMAT=MLN","Sort=A","Dates=H","DateFormat=P","Fill=—","Direction=H","UseDPDF=Y")</f>
        <v>0</v>
      </c>
      <c r="M36" s="13">
        <f>_xll.BDH("BLUE US Equity","OTHER_ADJUSTMENTS","FQ4 2021","FQ4 2021","Currency=USD","Period=FQ","BEST_FPERIOD_OVERRIDE=FQ","FILING_STATUS=MR","SCALING_FORMAT=MLN","Sort=A","Dates=H","DateFormat=P","Fill=—","Direction=H","UseDPDF=Y")</f>
        <v>0</v>
      </c>
      <c r="N36" s="13">
        <f>_xll.BDH("BLUE US Equity","OTHER_ADJUSTMENTS","FQ1 2022","FQ1 2022","Currency=USD","Period=FQ","BEST_FPERIOD_OVERRIDE=FQ","FILING_STATUS=MR","SCALING_FORMAT=MLN","Sort=A","Dates=H","DateFormat=P","Fill=—","Direction=H","UseDPDF=Y")</f>
        <v>0</v>
      </c>
      <c r="O36" s="13">
        <f>_xll.BDH("BLUE US Equity","OTHER_ADJUSTMENTS","FQ2 2022","FQ2 2022","Currency=USD","Period=FQ","BEST_FPERIOD_OVERRIDE=FQ","FILING_STATUS=MR","SCALING_FORMAT=MLN","Sort=A","Dates=H","DateFormat=P","Fill=—","Direction=H","UseDPDF=Y")</f>
        <v>0</v>
      </c>
      <c r="P36" s="13">
        <f>_xll.BDH("BLUE US Equity","OTHER_ADJUSTMENTS","FQ3 2022","FQ3 2022","Currency=USD","Period=FQ","BEST_FPERIOD_OVERRIDE=FQ","FILING_STATUS=MR","SCALING_FORMAT=MLN","Sort=A","Dates=H","DateFormat=P","Fill=—","Direction=H","UseDPDF=Y")</f>
        <v>0</v>
      </c>
      <c r="Q36" s="13">
        <f>_xll.BDH("BLUE US Equity","OTHER_ADJUSTMENTS","FQ4 2022","FQ4 2022","Currency=USD","Period=FQ","BEST_FPERIOD_OVERRIDE=FQ","FILING_STATUS=MR","SCALING_FORMAT=MLN","Sort=A","Dates=H","DateFormat=P","Fill=—","Direction=H","UseDPDF=Y")</f>
        <v>0</v>
      </c>
      <c r="R36" s="13">
        <f>_xll.BDH("BLUE US Equity","OTHER_ADJUSTMENTS","FQ1 2023","FQ1 2023","Currency=USD","Period=FQ","BEST_FPERIOD_OVERRIDE=FQ","FILING_STATUS=MR","SCALING_FORMAT=MLN","Sort=A","Dates=H","DateFormat=P","Fill=—","Direction=H","UseDPDF=Y")</f>
        <v>0</v>
      </c>
      <c r="S36" s="13">
        <f>_xll.BDH("BLUE US Equity","OTHER_ADJUSTMENTS","FQ2 2023","FQ2 2023","Currency=USD","Period=FQ","BEST_FPERIOD_OVERRIDE=FQ","FILING_STATUS=MR","SCALING_FORMAT=MLN","Sort=A","Dates=H","DateFormat=P","Fill=—","Direction=H","UseDPDF=Y")</f>
        <v>0</v>
      </c>
      <c r="T36" s="13">
        <f>_xll.BDH("BLUE US Equity","OTHER_ADJUSTMENTS","FQ3 2023","FQ3 2023","Currency=USD","Period=FQ","BEST_FPERIOD_OVERRIDE=FQ","FILING_STATUS=MR","SCALING_FORMAT=MLN","Sort=A","Dates=H","DateFormat=P","Fill=—","Direction=H","UseDPDF=Y")</f>
        <v>0</v>
      </c>
      <c r="U36" s="13">
        <f>_xll.BDH("BLUE US Equity","OTHER_ADJUSTMENTS","FQ4 2023","FQ4 2023","Currency=USD","Period=FQ","BEST_FPERIOD_OVERRIDE=FQ","FILING_STATUS=MR","SCALING_FORMAT=MLN","Sort=A","Dates=H","DateFormat=P","Fill=—","Direction=H","UseDPDF=Y")</f>
        <v>0</v>
      </c>
      <c r="V36" s="13">
        <f>_xll.BDH("BLUE US Equity","OTHER_ADJUSTMENTS","FQ1 2024","FQ1 2024","Currency=USD","Period=FQ","BEST_FPERIOD_OVERRIDE=FQ","FILING_STATUS=MR","SCALING_FORMAT=MLN","Sort=A","Dates=H","DateFormat=P","Fill=—","Direction=H","UseDPDF=Y")</f>
        <v>0</v>
      </c>
      <c r="W36" s="13">
        <f>_xll.BDH("BLUE US Equity","OTHER_ADJUSTMENTS","FQ2 2024","FQ2 2024","Currency=USD","Period=FQ","BEST_FPERIOD_OVERRIDE=FQ","FILING_STATUS=MR","SCALING_FORMAT=MLN","Sort=A","Dates=H","DateFormat=P","Fill=—","Direction=H","UseDPDF=Y")</f>
        <v>0</v>
      </c>
      <c r="X36" s="13">
        <f>_xll.BDH("BLUE US Equity","OTHER_ADJUSTMENTS","FQ3 2024","FQ3 2024","Currency=USD","Period=FQ","BEST_FPERIOD_OVERRIDE=FQ","FILING_STATUS=MR","SCALING_FORMAT=MLN","Sort=A","Dates=H","DateFormat=P","Fill=—","Direction=H","UseDPDF=Y")</f>
        <v>0</v>
      </c>
      <c r="Y36" s="13">
        <f>_xll.BDH("BLUE US Equity","OTHER_ADJUSTMENTS","FQ4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6" t="s">
        <v>343</v>
      </c>
      <c r="B37" s="6" t="s">
        <v>80</v>
      </c>
      <c r="C37" s="19">
        <f>_xll.BDH("BLUE US Equity","EARN_FOR_COMMON","FQ2 2019","FQ2 2019","Currency=USD","Period=FQ","BEST_FPERIOD_OVERRIDE=FQ","FILING_STATUS=MR","SCALING_FORMAT=MLN","FA_ADJUSTED=GAAP","Sort=A","Dates=H","DateFormat=P","Fill=—","Direction=H","UseDPDF=Y")</f>
        <v>-195.78200000000001</v>
      </c>
      <c r="D37" s="19">
        <f>_xll.BDH("BLUE US Equity","EARN_FOR_COMMON","FQ3 2019","FQ3 2019","Currency=USD","Period=FQ","BEST_FPERIOD_OVERRIDE=FQ","FILING_STATUS=MR","SCALING_FORMAT=MLN","FA_ADJUSTED=GAAP","Sort=A","Dates=H","DateFormat=P","Fill=—","Direction=H","UseDPDF=Y")</f>
        <v>-206.03299999999999</v>
      </c>
      <c r="E37" s="19">
        <f>_xll.BDH("BLUE US Equity","EARN_FOR_COMMON","FQ4 2019","FQ4 2019","Currency=USD","Period=FQ","BEST_FPERIOD_OVERRIDE=FQ","FILING_STATUS=MR","SCALING_FORMAT=MLN","FA_ADJUSTED=GAAP","Sort=A","Dates=H","DateFormat=P","Fill=—","Direction=H","UseDPDF=Y")</f>
        <v>-223.34700000000001</v>
      </c>
      <c r="F37" s="19">
        <f>_xll.BDH("BLUE US Equity","EARN_FOR_COMMON","FQ1 2020","FQ1 2020","Currency=USD","Period=FQ","BEST_FPERIOD_OVERRIDE=FQ","FILING_STATUS=MR","SCALING_FORMAT=MLN","FA_ADJUSTED=GAAP","Sort=A","Dates=H","DateFormat=P","Fill=—","Direction=H","UseDPDF=Y")</f>
        <v>-202.61099999999999</v>
      </c>
      <c r="G37" s="19">
        <f>_xll.BDH("BLUE US Equity","EARN_FOR_COMMON","FQ2 2020","FQ2 2020","Currency=USD","Period=FQ","BEST_FPERIOD_OVERRIDE=FQ","FILING_STATUS=MR","SCALING_FORMAT=MLN","FA_ADJUSTED=GAAP","Sort=A","Dates=H","DateFormat=P","Fill=—","Direction=H","UseDPDF=Y")</f>
        <v>-21.465</v>
      </c>
      <c r="H37" s="19">
        <f>_xll.BDH("BLUE US Equity","EARN_FOR_COMMON","FQ3 2020","FQ3 2020","Currency=USD","Period=FQ","BEST_FPERIOD_OVERRIDE=FQ","FILING_STATUS=MR","SCALING_FORMAT=MLN","FA_ADJUSTED=GAAP","Sort=A","Dates=H","DateFormat=P","Fill=—","Direction=H","UseDPDF=Y")</f>
        <v>-194.745</v>
      </c>
      <c r="I37" s="19">
        <f>_xll.BDH("BLUE US Equity","EARN_FOR_COMMON","FQ4 2020","FQ4 2020","Currency=USD","Period=FQ","BEST_FPERIOD_OVERRIDE=FQ","FILING_STATUS=MR","SCALING_FORMAT=MLN","FA_ADJUSTED=GAAP","Sort=A","Dates=H","DateFormat=P","Fill=—","Direction=H","UseDPDF=Y")</f>
        <v>-199.874</v>
      </c>
      <c r="J37" s="19">
        <f>_xll.BDH("BLUE US Equity","EARN_FOR_COMMON","FQ1 2021","FQ1 2021","Currency=USD","Period=FQ","BEST_FPERIOD_OVERRIDE=FQ","FILING_STATUS=MR","SCALING_FORMAT=MLN","FA_ADJUSTED=GAAP","Sort=A","Dates=H","DateFormat=P","Fill=—","Direction=H","UseDPDF=Y")</f>
        <v>-205.80799999999999</v>
      </c>
      <c r="K37" s="19">
        <f>_xll.BDH("BLUE US Equity","EARN_FOR_COMMON","FQ2 2021","FQ2 2021","Currency=USD","Period=FQ","BEST_FPERIOD_OVERRIDE=FQ","FILING_STATUS=MR","SCALING_FORMAT=MLN","FA_ADJUSTED=GAAP","Sort=A","Dates=H","DateFormat=P","Fill=—","Direction=H","UseDPDF=Y")</f>
        <v>-241.702</v>
      </c>
      <c r="L37" s="19">
        <f>_xll.BDH("BLUE US Equity","EARN_FOR_COMMON","FQ3 2021","FQ3 2021","Currency=USD","Period=FQ","BEST_FPERIOD_OVERRIDE=FQ","FILING_STATUS=MR","SCALING_FORMAT=MLN","FA_ADJUSTED=GAAP","Sort=A","Dates=H","DateFormat=P","Fill=—","Direction=H","UseDPDF=Y")</f>
        <v>-216.816</v>
      </c>
      <c r="M37" s="19">
        <f>_xll.BDH("BLUE US Equity","EARN_FOR_COMMON","FQ4 2021","FQ4 2021","Currency=USD","Period=FQ","BEST_FPERIOD_OVERRIDE=FQ","FILING_STATUS=MR","SCALING_FORMAT=MLN","FA_ADJUSTED=GAAP","Sort=A","Dates=H","DateFormat=P","Fill=—","Direction=H","UseDPDF=Y")</f>
        <v>-155.05199999999999</v>
      </c>
      <c r="N37" s="19">
        <f>_xll.BDH("BLUE US Equity","EARN_FOR_COMMON","FQ1 2022","FQ1 2022","Currency=USD","Period=FQ","BEST_FPERIOD_OVERRIDE=FQ","FILING_STATUS=MR","SCALING_FORMAT=MLN","FA_ADJUSTED=GAAP","Sort=A","Dates=H","DateFormat=P","Fill=—","Direction=H","UseDPDF=Y")</f>
        <v>-122.152</v>
      </c>
      <c r="O37" s="19">
        <f>_xll.BDH("BLUE US Equity","EARN_FOR_COMMON","FQ2 2022","FQ2 2022","Currency=USD","Period=FQ","BEST_FPERIOD_OVERRIDE=FQ","FILING_STATUS=MR","SCALING_FORMAT=MLN","FA_ADJUSTED=GAAP","Sort=A","Dates=H","DateFormat=P","Fill=—","Direction=H","UseDPDF=Y")</f>
        <v>-100.13800000000001</v>
      </c>
      <c r="P37" s="19">
        <f>_xll.BDH("BLUE US Equity","EARN_FOR_COMMON","FQ3 2022","FQ3 2022","Currency=USD","Period=FQ","BEST_FPERIOD_OVERRIDE=FQ","FILING_STATUS=MR","SCALING_FORMAT=MLN","FA_ADJUSTED=GAAP","Sort=A","Dates=H","DateFormat=P","Fill=—","Direction=H","UseDPDF=Y")</f>
        <v>-76.52</v>
      </c>
      <c r="Q37" s="19">
        <f>_xll.BDH("BLUE US Equity","EARN_FOR_COMMON","FQ4 2022","FQ4 2022","Currency=USD","Period=FQ","BEST_FPERIOD_OVERRIDE=FQ","FILING_STATUS=MR","SCALING_FORMAT=MLN","FA_ADJUSTED=GAAP","Sort=A","Dates=H","DateFormat=P","Fill=—","Direction=H","UseDPDF=Y")</f>
        <v>68.468000000000004</v>
      </c>
      <c r="R37" s="19">
        <f>_xll.BDH("BLUE US Equity","EARN_FOR_COMMON","FQ1 2023","FQ1 2023","Currency=USD","Period=FQ","BEST_FPERIOD_OVERRIDE=FQ","FILING_STATUS=MR","SCALING_FORMAT=MLN","FA_ADJUSTED=GAAP","Sort=A","Dates=H","DateFormat=P","Fill=—","Direction=H","UseDPDF=Y")</f>
        <v>18.93</v>
      </c>
      <c r="S37" s="19">
        <f>_xll.BDH("BLUE US Equity","EARN_FOR_COMMON","FQ2 2023","FQ2 2023","Currency=USD","Period=FQ","BEST_FPERIOD_OVERRIDE=FQ","FILING_STATUS=MR","SCALING_FORMAT=MLN","FA_ADJUSTED=GAAP","Sort=A","Dates=H","DateFormat=P","Fill=—","Direction=H","UseDPDF=Y")</f>
        <v>-62.789000000000001</v>
      </c>
      <c r="T37" s="19">
        <f>_xll.BDH("BLUE US Equity","EARN_FOR_COMMON","FQ3 2023","FQ3 2023","Currency=USD","Period=FQ","BEST_FPERIOD_OVERRIDE=FQ","FILING_STATUS=MR","SCALING_FORMAT=MLN","FA_ADJUSTED=GAAP","Sort=A","Dates=H","DateFormat=P","Fill=—","Direction=H","UseDPDF=Y")</f>
        <v>-87.231999999999999</v>
      </c>
      <c r="U37" s="19">
        <f>_xll.BDH("BLUE US Equity","EARN_FOR_COMMON","FQ4 2023","FQ4 2023","Currency=USD","Period=FQ","BEST_FPERIOD_OVERRIDE=FQ","FILING_STATUS=MR","SCALING_FORMAT=MLN","FA_ADJUSTED=GAAP","Sort=A","Dates=H","DateFormat=P","Fill=—","Direction=H","UseDPDF=Y")</f>
        <v>-88.513999999999996</v>
      </c>
      <c r="V37" s="19">
        <f>_xll.BDH("BLUE US Equity","EARN_FOR_COMMON","FQ1 2024","FQ1 2024","Currency=USD","Period=FQ","BEST_FPERIOD_OVERRIDE=FQ","FILING_STATUS=MR","SCALING_FORMAT=MLN","FA_ADJUSTED=GAAP","Sort=A","Dates=H","DateFormat=P","Fill=—","Direction=H","UseDPDF=Y")</f>
        <v>-69.804000000000002</v>
      </c>
      <c r="W37" s="19">
        <f>_xll.BDH("BLUE US Equity","EARN_FOR_COMMON","FQ2 2024","FQ2 2024","Currency=USD","Period=FQ","BEST_FPERIOD_OVERRIDE=FQ","FILING_STATUS=MR","SCALING_FORMAT=MLN","FA_ADJUSTED=GAAP","Sort=A","Dates=H","DateFormat=P","Fill=—","Direction=H","UseDPDF=Y")</f>
        <v>-81.393000000000001</v>
      </c>
      <c r="X37" s="19">
        <f>_xll.BDH("BLUE US Equity","EARN_FOR_COMMON","FQ3 2024","FQ3 2024","Currency=USD","Period=FQ","BEST_FPERIOD_OVERRIDE=FQ","FILING_STATUS=MR","SCALING_FORMAT=MLN","FA_ADJUSTED=GAAP","Sort=A","Dates=H","DateFormat=P","Fill=—","Direction=H","UseDPDF=Y")</f>
        <v>-60.808</v>
      </c>
      <c r="Y37" s="19">
        <f>_xll.BDH("BLUE US Equity","EARN_FOR_COMMON","FQ4 2024","FQ4 2024","Currency=USD","Period=FQ","BEST_FPERIOD_OVERRIDE=FQ","FILING_STATUS=MR","SCALING_FORMAT=MLN","FA_ADJUSTED=GAAP","Sort=A","Dates=H","DateFormat=P","Fill=—","Direction=H","UseDPDF=Y")</f>
        <v>-28.71</v>
      </c>
      <c r="Z37" s="19">
        <v>-39.979999999999997</v>
      </c>
      <c r="AA37" s="19">
        <v>-16.265999999999998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344</v>
      </c>
      <c r="B39" s="6" t="s">
        <v>80</v>
      </c>
      <c r="C39" s="19">
        <f>_xll.BDH("BLUE US Equity","EARN_FOR_COMMON","FQ2 2019","FQ2 2019","Currency=USD","Period=FQ","BEST_FPERIOD_OVERRIDE=FQ","FILING_STATUS=MR","SCALING_FORMAT=MLN","FA_ADJUSTED=Adjusted","Sort=A","Dates=H","DateFormat=P","Fill=—","Direction=H","UseDPDF=Y")</f>
        <v>-195.6129</v>
      </c>
      <c r="D39" s="19">
        <f>_xll.BDH("BLUE US Equity","EARN_FOR_COMMON","FQ3 2019","FQ3 2019","Currency=USD","Period=FQ","BEST_FPERIOD_OVERRIDE=FQ","FILING_STATUS=MR","SCALING_FORMAT=MLN","FA_ADJUSTED=Adjusted","Sort=A","Dates=H","DateFormat=P","Fill=—","Direction=H","UseDPDF=Y")</f>
        <v>-205.39940000000001</v>
      </c>
      <c r="E39" s="19">
        <f>_xll.BDH("BLUE US Equity","EARN_FOR_COMMON","FQ4 2019","FQ4 2019","Currency=USD","Period=FQ","BEST_FPERIOD_OVERRIDE=FQ","FILING_STATUS=MR","SCALING_FORMAT=MLN","FA_ADJUSTED=Adjusted","Sort=A","Dates=H","DateFormat=P","Fill=—","Direction=H","UseDPDF=Y")</f>
        <v>-222.21340000000001</v>
      </c>
      <c r="F39" s="19">
        <f>_xll.BDH("BLUE US Equity","EARN_FOR_COMMON","FQ1 2020","FQ1 2020","Currency=USD","Period=FQ","BEST_FPERIOD_OVERRIDE=FQ","FILING_STATUS=MR","SCALING_FORMAT=MLN","FA_ADJUSTED=Adjusted","Sort=A","Dates=H","DateFormat=P","Fill=—","Direction=H","UseDPDF=Y")</f>
        <v>-205.06630000000001</v>
      </c>
      <c r="G39" s="19">
        <f>_xll.BDH("BLUE US Equity","EARN_FOR_COMMON","FQ2 2020","FQ2 2020","Currency=USD","Period=FQ","BEST_FPERIOD_OVERRIDE=FQ","FILING_STATUS=MR","SCALING_FORMAT=MLN","FA_ADJUSTED=Adjusted","Sort=A","Dates=H","DateFormat=P","Fill=—","Direction=H","UseDPDF=Y")</f>
        <v>-22.772500000000001</v>
      </c>
      <c r="H39" s="19">
        <f>_xll.BDH("BLUE US Equity","EARN_FOR_COMMON","FQ3 2020","FQ3 2020","Currency=USD","Period=FQ","BEST_FPERIOD_OVERRIDE=FQ","FILING_STATUS=MR","SCALING_FORMAT=MLN","FA_ADJUSTED=Adjusted","Sort=A","Dates=H","DateFormat=P","Fill=—","Direction=H","UseDPDF=Y")</f>
        <v>-195.3991</v>
      </c>
      <c r="I39" s="19">
        <f>_xll.BDH("BLUE US Equity","EARN_FOR_COMMON","FQ4 2020","FQ4 2020","Currency=USD","Period=FQ","BEST_FPERIOD_OVERRIDE=FQ","FILING_STATUS=MR","SCALING_FORMAT=MLN","FA_ADJUSTED=Adjusted","Sort=A","Dates=H","DateFormat=P","Fill=—","Direction=H","UseDPDF=Y")</f>
        <v>-136.321</v>
      </c>
      <c r="J39" s="19">
        <f>_xll.BDH("BLUE US Equity","EARN_FOR_COMMON","FQ1 2021","FQ1 2021","Currency=USD","Period=FQ","BEST_FPERIOD_OVERRIDE=FQ","FILING_STATUS=MR","SCALING_FORMAT=MLN","FA_ADJUSTED=Adjusted","Sort=A","Dates=H","DateFormat=P","Fill=—","Direction=H","UseDPDF=Y")</f>
        <v>-143.62639999999999</v>
      </c>
      <c r="K39" s="19">
        <f>_xll.BDH("BLUE US Equity","EARN_FOR_COMMON","FQ2 2021","FQ2 2021","Currency=USD","Period=FQ","BEST_FPERIOD_OVERRIDE=FQ","FILING_STATUS=MR","SCALING_FORMAT=MLN","FA_ADJUSTED=Adjusted","Sort=A","Dates=H","DateFormat=P","Fill=—","Direction=H","UseDPDF=Y")</f>
        <v>-241.66489999999999</v>
      </c>
      <c r="L39" s="19">
        <f>_xll.BDH("BLUE US Equity","EARN_FOR_COMMON","FQ3 2021","FQ3 2021","Currency=USD","Period=FQ","BEST_FPERIOD_OVERRIDE=FQ","FILING_STATUS=MR","SCALING_FORMAT=MLN","FA_ADJUSTED=Adjusted","Sort=A","Dates=H","DateFormat=P","Fill=—","Direction=H","UseDPDF=Y")</f>
        <v>-159.62010000000001</v>
      </c>
      <c r="M39" s="19">
        <f>_xll.BDH("BLUE US Equity","EARN_FOR_COMMON","FQ4 2021","FQ4 2021","Currency=USD","Period=FQ","BEST_FPERIOD_OVERRIDE=FQ","FILING_STATUS=MR","SCALING_FORMAT=MLN","FA_ADJUSTED=Adjusted","Sort=A","Dates=H","DateFormat=P","Fill=—","Direction=H","UseDPDF=Y")</f>
        <v>-131.59700000000001</v>
      </c>
      <c r="N39" s="19">
        <f>_xll.BDH("BLUE US Equity","EARN_FOR_COMMON","FQ1 2022","FQ1 2022","Currency=USD","Period=FQ","BEST_FPERIOD_OVERRIDE=FQ","FILING_STATUS=MR","SCALING_FORMAT=MLN","FA_ADJUSTED=Adjusted","Sort=A","Dates=H","DateFormat=P","Fill=—","Direction=H","UseDPDF=Y")</f>
        <v>-120.1707</v>
      </c>
      <c r="O39" s="19">
        <f>_xll.BDH("BLUE US Equity","EARN_FOR_COMMON","FQ2 2022","FQ2 2022","Currency=USD","Period=FQ","BEST_FPERIOD_OVERRIDE=FQ","FILING_STATUS=MR","SCALING_FORMAT=MLN","FA_ADJUSTED=Adjusted","Sort=A","Dates=H","DateFormat=P","Fill=—","Direction=H","UseDPDF=Y")</f>
        <v>-94.397900000000007</v>
      </c>
      <c r="P39" s="19">
        <f>_xll.BDH("BLUE US Equity","EARN_FOR_COMMON","FQ3 2022","FQ3 2022","Currency=USD","Period=FQ","BEST_FPERIOD_OVERRIDE=FQ","FILING_STATUS=MR","SCALING_FORMAT=MLN","FA_ADJUSTED=Adjusted","Sort=A","Dates=H","DateFormat=P","Fill=—","Direction=H","UseDPDF=Y")</f>
        <v>-75.385599999999997</v>
      </c>
      <c r="Q39" s="19">
        <f>_xll.BDH("BLUE US Equity","EARN_FOR_COMMON","FQ4 2022","FQ4 2022","Currency=USD","Period=FQ","BEST_FPERIOD_OVERRIDE=FQ","FILING_STATUS=MR","SCALING_FORMAT=MLN","FA_ADJUSTED=Adjusted","Sort=A","Dates=H","DateFormat=P","Fill=—","Direction=H","UseDPDF=Y")</f>
        <v>-17.065300000000001</v>
      </c>
      <c r="R39" s="19">
        <f>_xll.BDH("BLUE US Equity","EARN_FOR_COMMON","FQ1 2023","FQ1 2023","Currency=USD","Period=FQ","BEST_FPERIOD_OVERRIDE=FQ","FILING_STATUS=MR","SCALING_FORMAT=MLN","FA_ADJUSTED=Adjusted","Sort=A","Dates=H","DateFormat=P","Fill=—","Direction=H","UseDPDF=Y")</f>
        <v>-54.484699999999997</v>
      </c>
      <c r="S39" s="19">
        <f>_xll.BDH("BLUE US Equity","EARN_FOR_COMMON","FQ2 2023","FQ2 2023","Currency=USD","Period=FQ","BEST_FPERIOD_OVERRIDE=FQ","FILING_STATUS=MR","SCALING_FORMAT=MLN","FA_ADJUSTED=Adjusted","Sort=A","Dates=H","DateFormat=P","Fill=—","Direction=H","UseDPDF=Y")</f>
        <v>-62.789000000000001</v>
      </c>
      <c r="T39" s="19">
        <f>_xll.BDH("BLUE US Equity","EARN_FOR_COMMON","FQ3 2023","FQ3 2023","Currency=USD","Period=FQ","BEST_FPERIOD_OVERRIDE=FQ","FILING_STATUS=MR","SCALING_FORMAT=MLN","FA_ADJUSTED=Adjusted","Sort=A","Dates=H","DateFormat=P","Fill=—","Direction=H","UseDPDF=Y")</f>
        <v>-87.231999999999999</v>
      </c>
      <c r="U39" s="19">
        <f>_xll.BDH("BLUE US Equity","EARN_FOR_COMMON","FQ4 2023","FQ4 2023","Currency=USD","Period=FQ","BEST_FPERIOD_OVERRIDE=FQ","FILING_STATUS=MR","SCALING_FORMAT=MLN","FA_ADJUSTED=Adjusted","Sort=A","Dates=H","DateFormat=P","Fill=—","Direction=H","UseDPDF=Y")</f>
        <v>-88.513999999999996</v>
      </c>
      <c r="V39" s="19">
        <f>_xll.BDH("BLUE US Equity","EARN_FOR_COMMON","FQ1 2024","FQ1 2024","Currency=USD","Period=FQ","BEST_FPERIOD_OVERRIDE=FQ","FILING_STATUS=MR","SCALING_FORMAT=MLN","FA_ADJUSTED=Adjusted","Sort=A","Dates=H","DateFormat=P","Fill=—","Direction=H","UseDPDF=Y")</f>
        <v>-69.804000000000002</v>
      </c>
      <c r="W39" s="19">
        <f>_xll.BDH("BLUE US Equity","EARN_FOR_COMMON","FQ2 2024","FQ2 2024","Currency=USD","Period=FQ","BEST_FPERIOD_OVERRIDE=FQ","FILING_STATUS=MR","SCALING_FORMAT=MLN","FA_ADJUSTED=Adjusted","Sort=A","Dates=H","DateFormat=P","Fill=—","Direction=H","UseDPDF=Y")</f>
        <v>-81.393000000000001</v>
      </c>
      <c r="X39" s="19">
        <f>_xll.BDH("BLUE US Equity","EARN_FOR_COMMON","FQ3 2024","FQ3 2024","Currency=USD","Period=FQ","BEST_FPERIOD_OVERRIDE=FQ","FILING_STATUS=MR","SCALING_FORMAT=MLN","FA_ADJUSTED=Adjusted","Sort=A","Dates=H","DateFormat=P","Fill=—","Direction=H","UseDPDF=Y")</f>
        <v>-58.587299999999999</v>
      </c>
      <c r="Y39" s="19">
        <f>_xll.BDH("BLUE US Equity","EARN_FOR_COMMON","FQ4 2024","FQ4 2024","Currency=USD","Period=FQ","BEST_FPERIOD_OVERRIDE=FQ","FILING_STATUS=MR","SCALING_FORMAT=MLN","FA_ADJUSTED=Adjusted","Sort=A","Dates=H","DateFormat=P","Fill=—","Direction=H","UseDPDF=Y")</f>
        <v>-28.748699999999999</v>
      </c>
      <c r="Z39" s="19">
        <v>-42.482999999999997</v>
      </c>
      <c r="AA39" s="19">
        <v>-28.617000000000001</v>
      </c>
    </row>
    <row r="40" spans="1:27" x14ac:dyDescent="0.25">
      <c r="A40" s="10" t="s">
        <v>345</v>
      </c>
      <c r="B40" s="10" t="s">
        <v>346</v>
      </c>
      <c r="C40" s="13">
        <f>_xll.BDH("BLUE US Equity","IS_NET_ABNORMAL_ITEMS","FQ2 2019","FQ2 2019","Currency=USD","Period=FQ","BEST_FPERIOD_OVERRIDE=FQ","FILING_STATUS=MR","SCALING_FORMAT=MLN","Sort=A","Dates=H","DateFormat=P","Fill=—","Direction=H","UseDPDF=Y")</f>
        <v>0.1691</v>
      </c>
      <c r="D40" s="13">
        <f>_xll.BDH("BLUE US Equity","IS_NET_ABNORMAL_ITEMS","FQ3 2019","FQ3 2019","Currency=USD","Period=FQ","BEST_FPERIOD_OVERRIDE=FQ","FILING_STATUS=MR","SCALING_FORMAT=MLN","Sort=A","Dates=H","DateFormat=P","Fill=—","Direction=H","UseDPDF=Y")</f>
        <v>0.63360000000000005</v>
      </c>
      <c r="E40" s="13">
        <f>_xll.BDH("BLUE US Equity","IS_NET_ABNORMAL_ITEMS","FQ4 2019","FQ4 2019","Currency=USD","Period=FQ","BEST_FPERIOD_OVERRIDE=FQ","FILING_STATUS=MR","SCALING_FORMAT=MLN","Sort=A","Dates=H","DateFormat=P","Fill=—","Direction=H","UseDPDF=Y")</f>
        <v>1.1336999999999999</v>
      </c>
      <c r="F40" s="13">
        <f>_xll.BDH("BLUE US Equity","IS_NET_ABNORMAL_ITEMS","FQ1 2020","FQ1 2020","Currency=USD","Period=FQ","BEST_FPERIOD_OVERRIDE=FQ","FILING_STATUS=MR","SCALING_FORMAT=MLN","Sort=A","Dates=H","DateFormat=P","Fill=—","Direction=H","UseDPDF=Y")</f>
        <v>-2.4552999999999998</v>
      </c>
      <c r="G40" s="13">
        <f>_xll.BDH("BLUE US Equity","IS_NET_ABNORMAL_ITEMS","FQ2 2020","FQ2 2020","Currency=USD","Period=FQ","BEST_FPERIOD_OVERRIDE=FQ","FILING_STATUS=MR","SCALING_FORMAT=MLN","Sort=A","Dates=H","DateFormat=P","Fill=—","Direction=H","UseDPDF=Y")</f>
        <v>-1.3075000000000001</v>
      </c>
      <c r="H40" s="13">
        <f>_xll.BDH("BLUE US Equity","IS_NET_ABNORMAL_ITEMS","FQ3 2020","FQ3 2020","Currency=USD","Period=FQ","BEST_FPERIOD_OVERRIDE=FQ","FILING_STATUS=MR","SCALING_FORMAT=MLN","Sort=A","Dates=H","DateFormat=P","Fill=—","Direction=H","UseDPDF=Y")</f>
        <v>-0.65410000000000001</v>
      </c>
      <c r="I40" s="13">
        <f>_xll.BDH("BLUE US Equity","IS_NET_ABNORMAL_ITEMS","FQ4 2020","FQ4 2020","Currency=USD","Period=FQ","BEST_FPERIOD_OVERRIDE=FQ","FILING_STATUS=MR","SCALING_FORMAT=MLN","Sort=A","Dates=H","DateFormat=P","Fill=—","Direction=H","UseDPDF=Y")</f>
        <v>0</v>
      </c>
      <c r="J40" s="13">
        <f>_xll.BDH("BLUE US Equity","IS_NET_ABNORMAL_ITEMS","FQ1 2021","FQ1 2021","Currency=USD","Period=FQ","BEST_FPERIOD_OVERRIDE=FQ","FILING_STATUS=MR","SCALING_FORMAT=MLN","Sort=A","Dates=H","DateFormat=P","Fill=—","Direction=H","UseDPDF=Y")</f>
        <v>-22.122399999999999</v>
      </c>
      <c r="K40" s="13">
        <f>_xll.BDH("BLUE US Equity","IS_NET_ABNORMAL_ITEMS","FQ2 2021","FQ2 2021","Currency=USD","Period=FQ","BEST_FPERIOD_OVERRIDE=FQ","FILING_STATUS=MR","SCALING_FORMAT=MLN","Sort=A","Dates=H","DateFormat=P","Fill=—","Direction=H","UseDPDF=Y")</f>
        <v>3.7100000000000001E-2</v>
      </c>
      <c r="L40" s="13">
        <f>_xll.BDH("BLUE US Equity","IS_NET_ABNORMAL_ITEMS","FQ3 2021","FQ3 2021","Currency=USD","Period=FQ","BEST_FPERIOD_OVERRIDE=FQ","FILING_STATUS=MR","SCALING_FORMAT=MLN","Sort=A","Dates=H","DateFormat=P","Fill=—","Direction=H","UseDPDF=Y")</f>
        <v>-6.7861000000000002</v>
      </c>
      <c r="M40" s="13">
        <f>_xll.BDH("BLUE US Equity","IS_NET_ABNORMAL_ITEMS","FQ4 2021","FQ4 2021","Currency=USD","Period=FQ","BEST_FPERIOD_OVERRIDE=FQ","FILING_STATUS=MR","SCALING_FORMAT=MLN","Sort=A","Dates=H","DateFormat=P","Fill=—","Direction=H","UseDPDF=Y")</f>
        <v>0.73</v>
      </c>
      <c r="N40" s="13">
        <f>_xll.BDH("BLUE US Equity","IS_NET_ABNORMAL_ITEMS","FQ1 2022","FQ1 2022","Currency=USD","Period=FQ","BEST_FPERIOD_OVERRIDE=FQ","FILING_STATUS=MR","SCALING_FORMAT=MLN","Sort=A","Dates=H","DateFormat=P","Fill=—","Direction=H","UseDPDF=Y")</f>
        <v>1.9813000000000001</v>
      </c>
      <c r="O40" s="13">
        <f>_xll.BDH("BLUE US Equity","IS_NET_ABNORMAL_ITEMS","FQ2 2022","FQ2 2022","Currency=USD","Period=FQ","BEST_FPERIOD_OVERRIDE=FQ","FILING_STATUS=MR","SCALING_FORMAT=MLN","Sort=A","Dates=H","DateFormat=P","Fill=—","Direction=H","UseDPDF=Y")</f>
        <v>5.7401</v>
      </c>
      <c r="P40" s="13">
        <f>_xll.BDH("BLUE US Equity","IS_NET_ABNORMAL_ITEMS","FQ3 2022","FQ3 2022","Currency=USD","Period=FQ","BEST_FPERIOD_OVERRIDE=FQ","FILING_STATUS=MR","SCALING_FORMAT=MLN","Sort=A","Dates=H","DateFormat=P","Fill=—","Direction=H","UseDPDF=Y")</f>
        <v>1.1344000000000001</v>
      </c>
      <c r="Q40" s="13">
        <f>_xll.BDH("BLUE US Equity","IS_NET_ABNORMAL_ITEMS","FQ4 2022","FQ4 2022","Currency=USD","Period=FQ","BEST_FPERIOD_OVERRIDE=FQ","FILING_STATUS=MR","SCALING_FORMAT=MLN","Sort=A","Dates=H","DateFormat=P","Fill=—","Direction=H","UseDPDF=Y")</f>
        <v>-85.533299999999997</v>
      </c>
      <c r="R40" s="13">
        <f>_xll.BDH("BLUE US Equity","IS_NET_ABNORMAL_ITEMS","FQ1 2023","FQ1 2023","Currency=USD","Period=FQ","BEST_FPERIOD_OVERRIDE=FQ","FILING_STATUS=MR","SCALING_FORMAT=MLN","Sort=A","Dates=H","DateFormat=P","Fill=—","Direction=H","UseDPDF=Y")</f>
        <v>-73.414699999999996</v>
      </c>
      <c r="S40" s="13">
        <f>_xll.BDH("BLUE US Equity","IS_NET_ABNORMAL_ITEMS","FQ2 2023","FQ2 2023","Currency=USD","Period=FQ","BEST_FPERIOD_OVERRIDE=FQ","FILING_STATUS=MR","SCALING_FORMAT=MLN","Sort=A","Dates=H","DateFormat=P","Fill=—","Direction=H","UseDPDF=Y")</f>
        <v>0</v>
      </c>
      <c r="T40" s="13">
        <f>_xll.BDH("BLUE US Equity","IS_NET_ABNORMAL_ITEMS","FQ3 2023","FQ3 2023","Currency=USD","Period=FQ","BEST_FPERIOD_OVERRIDE=FQ","FILING_STATUS=MR","SCALING_FORMAT=MLN","Sort=A","Dates=H","DateFormat=P","Fill=—","Direction=H","UseDPDF=Y")</f>
        <v>0</v>
      </c>
      <c r="U40" s="13">
        <f>_xll.BDH("BLUE US Equity","IS_NET_ABNORMAL_ITEMS","FQ4 2023","FQ4 2023","Currency=USD","Period=FQ","BEST_FPERIOD_OVERRIDE=FQ","FILING_STATUS=MR","SCALING_FORMAT=MLN","Sort=A","Dates=H","DateFormat=P","Fill=—","Direction=H","UseDPDF=Y")</f>
        <v>0</v>
      </c>
      <c r="V40" s="13">
        <f>_xll.BDH("BLUE US Equity","IS_NET_ABNORMAL_ITEMS","FQ1 2024","FQ1 2024","Currency=USD","Period=FQ","BEST_FPERIOD_OVERRIDE=FQ","FILING_STATUS=MR","SCALING_FORMAT=MLN","Sort=A","Dates=H","DateFormat=P","Fill=—","Direction=H","UseDPDF=Y")</f>
        <v>0</v>
      </c>
      <c r="W40" s="13">
        <f>_xll.BDH("BLUE US Equity","IS_NET_ABNORMAL_ITEMS","FQ2 2024","FQ2 2024","Currency=USD","Period=FQ","BEST_FPERIOD_OVERRIDE=FQ","FILING_STATUS=MR","SCALING_FORMAT=MLN","Sort=A","Dates=H","DateFormat=P","Fill=—","Direction=H","UseDPDF=Y")</f>
        <v>0</v>
      </c>
      <c r="X40" s="13">
        <f>_xll.BDH("BLUE US Equity","IS_NET_ABNORMAL_ITEMS","FQ3 2024","FQ3 2024","Currency=USD","Period=FQ","BEST_FPERIOD_OVERRIDE=FQ","FILING_STATUS=MR","SCALING_FORMAT=MLN","Sort=A","Dates=H","DateFormat=P","Fill=—","Direction=H","UseDPDF=Y")</f>
        <v>2.2206999999999999</v>
      </c>
      <c r="Y40" s="13">
        <f>_xll.BDH("BLUE US Equity","IS_NET_ABNORMAL_ITEMS","FQ4 2024","FQ4 2024","Currency=USD","Period=FQ","BEST_FPERIOD_OVERRIDE=FQ","FILING_STATUS=MR","SCALING_FORMAT=MLN","Sort=A","Dates=H","DateFormat=P","Fill=—","Direction=H","UseDPDF=Y")</f>
        <v>-3.8699999999999998E-2</v>
      </c>
      <c r="Z40" s="13"/>
      <c r="AA40" s="13"/>
    </row>
    <row r="41" spans="1:27" x14ac:dyDescent="0.25">
      <c r="A41" s="10" t="s">
        <v>347</v>
      </c>
      <c r="B41" s="10" t="s">
        <v>328</v>
      </c>
      <c r="C41" s="13">
        <f>_xll.BDH("BLUE US Equity","XO_GL_NET_OF_TAX","FQ2 2019","FQ2 2019","Currency=USD","Period=FQ","BEST_FPERIOD_OVERRIDE=FQ","FILING_STATUS=MR","SCALING_FORMAT=MLN","Sort=A","Dates=H","DateFormat=P","Fill=—","Direction=H","UseDPDF=Y")</f>
        <v>0</v>
      </c>
      <c r="D41" s="13">
        <f>_xll.BDH("BLUE US Equity","XO_GL_NET_OF_TAX","FQ3 2019","FQ3 2019","Currency=USD","Period=FQ","BEST_FPERIOD_OVERRIDE=FQ","FILING_STATUS=MR","SCALING_FORMAT=MLN","Sort=A","Dates=H","DateFormat=P","Fill=—","Direction=H","UseDPDF=Y")</f>
        <v>0</v>
      </c>
      <c r="E41" s="13">
        <f>_xll.BDH("BLUE US Equity","XO_GL_NET_OF_TAX","FQ4 2019","FQ4 2019","Currency=USD","Period=FQ","BEST_FPERIOD_OVERRIDE=FQ","FILING_STATUS=MR","SCALING_FORMAT=MLN","Sort=A","Dates=H","DateFormat=P","Fill=—","Direction=H","UseDPDF=Y")</f>
        <v>0</v>
      </c>
      <c r="F41" s="13">
        <f>_xll.BDH("BLUE US Equity","XO_GL_NET_OF_TAX","FQ1 2020","FQ1 2020","Currency=USD","Period=FQ","BEST_FPERIOD_OVERRIDE=FQ","FILING_STATUS=MR","SCALING_FORMAT=MLN","Sort=A","Dates=H","DateFormat=P","Fill=—","Direction=H","UseDPDF=Y")</f>
        <v>0</v>
      </c>
      <c r="G41" s="13">
        <f>_xll.BDH("BLUE US Equity","XO_GL_NET_OF_TAX","FQ2 2020","FQ2 2020","Currency=USD","Period=FQ","BEST_FPERIOD_OVERRIDE=FQ","FILING_STATUS=MR","SCALING_FORMAT=MLN","Sort=A","Dates=H","DateFormat=P","Fill=—","Direction=H","UseDPDF=Y")</f>
        <v>0</v>
      </c>
      <c r="H41" s="13">
        <f>_xll.BDH("BLUE US Equity","XO_GL_NET_OF_TAX","FQ3 2020","FQ3 2020","Currency=USD","Period=FQ","BEST_FPERIOD_OVERRIDE=FQ","FILING_STATUS=MR","SCALING_FORMAT=MLN","Sort=A","Dates=H","DateFormat=P","Fill=—","Direction=H","UseDPDF=Y")</f>
        <v>0</v>
      </c>
      <c r="I41" s="13">
        <f>_xll.BDH("BLUE US Equity","XO_GL_NET_OF_TAX","FQ4 2020","FQ4 2020","Currency=USD","Period=FQ","BEST_FPERIOD_OVERRIDE=FQ","FILING_STATUS=MR","SCALING_FORMAT=MLN","Sort=A","Dates=H","DateFormat=P","Fill=—","Direction=H","UseDPDF=Y")</f>
        <v>63.552999999999997</v>
      </c>
      <c r="J41" s="13">
        <f>_xll.BDH("BLUE US Equity","XO_GL_NET_OF_TAX","FQ1 2021","FQ1 2021","Currency=USD","Period=FQ","BEST_FPERIOD_OVERRIDE=FQ","FILING_STATUS=MR","SCALING_FORMAT=MLN","Sort=A","Dates=H","DateFormat=P","Fill=—","Direction=H","UseDPDF=Y")</f>
        <v>84.304000000000002</v>
      </c>
      <c r="K41" s="13">
        <f>_xll.BDH("BLUE US Equity","XO_GL_NET_OF_TAX","FQ2 2021","FQ2 2021","Currency=USD","Period=FQ","BEST_FPERIOD_OVERRIDE=FQ","FILING_STATUS=MR","SCALING_FORMAT=MLN","Sort=A","Dates=H","DateFormat=P","Fill=—","Direction=H","UseDPDF=Y")</f>
        <v>0</v>
      </c>
      <c r="L41" s="13">
        <f>_xll.BDH("BLUE US Equity","XO_GL_NET_OF_TAX","FQ3 2021","FQ3 2021","Currency=USD","Period=FQ","BEST_FPERIOD_OVERRIDE=FQ","FILING_STATUS=MR","SCALING_FORMAT=MLN","Sort=A","Dates=H","DateFormat=P","Fill=—","Direction=H","UseDPDF=Y")</f>
        <v>63.981999999999999</v>
      </c>
      <c r="M41" s="13">
        <f>_xll.BDH("BLUE US Equity","XO_GL_NET_OF_TAX","FQ4 2021","FQ4 2021","Currency=USD","Period=FQ","BEST_FPERIOD_OVERRIDE=FQ","FILING_STATUS=MR","SCALING_FORMAT=MLN","Sort=A","Dates=H","DateFormat=P","Fill=—","Direction=H","UseDPDF=Y")</f>
        <v>22.725000000000001</v>
      </c>
      <c r="N41" s="13">
        <f>_xll.BDH("BLUE US Equity","XO_GL_NET_OF_TAX","FQ1 2022","FQ1 2022","Currency=USD","Period=FQ","BEST_FPERIOD_OVERRIDE=FQ","FILING_STATUS=MR","SCALING_FORMAT=MLN","Sort=A","Dates=H","DateFormat=P","Fill=—","Direction=H","UseDPDF=Y")</f>
        <v>0</v>
      </c>
      <c r="O41" s="13">
        <f>_xll.BDH("BLUE US Equity","XO_GL_NET_OF_TAX","FQ2 2022","FQ2 2022","Currency=USD","Period=FQ","BEST_FPERIOD_OVERRIDE=FQ","FILING_STATUS=MR","SCALING_FORMAT=MLN","Sort=A","Dates=H","DateFormat=P","Fill=—","Direction=H","UseDPDF=Y")</f>
        <v>0</v>
      </c>
      <c r="P41" s="13">
        <f>_xll.BDH("BLUE US Equity","XO_GL_NET_OF_TAX","FQ3 2022","FQ3 2022","Currency=USD","Period=FQ","BEST_FPERIOD_OVERRIDE=FQ","FILING_STATUS=MR","SCALING_FORMAT=MLN","Sort=A","Dates=H","DateFormat=P","Fill=—","Direction=H","UseDPDF=Y")</f>
        <v>0</v>
      </c>
      <c r="Q41" s="13">
        <f>_xll.BDH("BLUE US Equity","XO_GL_NET_OF_TAX","FQ4 2022","FQ4 2022","Currency=USD","Period=FQ","BEST_FPERIOD_OVERRIDE=FQ","FILING_STATUS=MR","SCALING_FORMAT=MLN","Sort=A","Dates=H","DateFormat=P","Fill=—","Direction=H","UseDPDF=Y")</f>
        <v>0</v>
      </c>
      <c r="R41" s="13">
        <f>_xll.BDH("BLUE US Equity","XO_GL_NET_OF_TAX","FQ1 2023","FQ1 2023","Currency=USD","Period=FQ","BEST_FPERIOD_OVERRIDE=FQ","FILING_STATUS=MR","SCALING_FORMAT=MLN","Sort=A","Dates=H","DateFormat=P","Fill=—","Direction=H","UseDPDF=Y")</f>
        <v>0</v>
      </c>
      <c r="S41" s="13">
        <f>_xll.BDH("BLUE US Equity","XO_GL_NET_OF_TAX","FQ2 2023","FQ2 2023","Currency=USD","Period=FQ","BEST_FPERIOD_OVERRIDE=FQ","FILING_STATUS=MR","SCALING_FORMAT=MLN","Sort=A","Dates=H","DateFormat=P","Fill=—","Direction=H","UseDPDF=Y")</f>
        <v>0</v>
      </c>
      <c r="T41" s="13">
        <f>_xll.BDH("BLUE US Equity","XO_GL_NET_OF_TAX","FQ3 2023","FQ3 2023","Currency=USD","Period=FQ","BEST_FPERIOD_OVERRIDE=FQ","FILING_STATUS=MR","SCALING_FORMAT=MLN","Sort=A","Dates=H","DateFormat=P","Fill=—","Direction=H","UseDPDF=Y")</f>
        <v>0</v>
      </c>
      <c r="U41" s="13">
        <f>_xll.BDH("BLUE US Equity","XO_GL_NET_OF_TAX","FQ4 2023","FQ4 2023","Currency=USD","Period=FQ","BEST_FPERIOD_OVERRIDE=FQ","FILING_STATUS=MR","SCALING_FORMAT=MLN","Sort=A","Dates=H","DateFormat=P","Fill=—","Direction=H","UseDPDF=Y")</f>
        <v>0</v>
      </c>
      <c r="V41" s="13">
        <f>_xll.BDH("BLUE US Equity","XO_GL_NET_OF_TAX","FQ1 2024","FQ1 2024","Currency=USD","Period=FQ","BEST_FPERIOD_OVERRIDE=FQ","FILING_STATUS=MR","SCALING_FORMAT=MLN","Sort=A","Dates=H","DateFormat=P","Fill=—","Direction=H","UseDPDF=Y")</f>
        <v>0</v>
      </c>
      <c r="W41" s="13">
        <f>_xll.BDH("BLUE US Equity","XO_GL_NET_OF_TAX","FQ2 2024","FQ2 2024","Currency=USD","Period=FQ","BEST_FPERIOD_OVERRIDE=FQ","FILING_STATUS=MR","SCALING_FORMAT=MLN","Sort=A","Dates=H","DateFormat=P","Fill=—","Direction=H","UseDPDF=Y")</f>
        <v>0</v>
      </c>
      <c r="X41" s="13">
        <f>_xll.BDH("BLUE US Equity","XO_GL_NET_OF_TAX","FQ3 2024","FQ3 2024","Currency=USD","Period=FQ","BEST_FPERIOD_OVERRIDE=FQ","FILING_STATUS=MR","SCALING_FORMAT=MLN","Sort=A","Dates=H","DateFormat=P","Fill=—","Direction=H","UseDPDF=Y")</f>
        <v>0</v>
      </c>
      <c r="Y41" s="13">
        <f>_xll.BDH("BLUE US Equity","XO_GL_NET_OF_TAX","FQ4 2024","FQ4 2024","Currency=USD","Period=FQ","BEST_FPERIOD_OVERRIDE=FQ","FILING_STATUS=MR","SCALING_FORMAT=MLN","Sort=A","Dates=H","DateFormat=P","Fill=—","Direction=H","UseDPDF=Y")</f>
        <v>0</v>
      </c>
      <c r="Z41" s="13"/>
      <c r="AA41" s="13"/>
    </row>
    <row r="42" spans="1:27" x14ac:dyDescent="0.25">
      <c r="A42" s="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10" t="s">
        <v>227</v>
      </c>
      <c r="B43" s="10" t="s">
        <v>106</v>
      </c>
      <c r="C43" s="13">
        <f>_xll.BDH("BLUE US Equity","IS_AVG_NUM_SH_FOR_EPS","FQ2 2019","FQ2 2019","Currency=USD","Period=FQ","BEST_FPERIOD_OVERRIDE=FQ","FILING_STATUS=MR","Sort=A","Dates=H","DateFormat=P","Fill=—","Direction=H","UseDPDF=Y")</f>
        <v>2.7583000000000002</v>
      </c>
      <c r="D43" s="13">
        <f>_xll.BDH("BLUE US Equity","IS_AVG_NUM_SH_FOR_EPS","FQ3 2019","FQ3 2019","Currency=USD","Period=FQ","BEST_FPERIOD_OVERRIDE=FQ","FILING_STATUS=MR","Sort=A","Dates=H","DateFormat=P","Fill=—","Direction=H","UseDPDF=Y")</f>
        <v>2.7646000000000002</v>
      </c>
      <c r="E43" s="13">
        <f>_xll.BDH("BLUE US Equity","IS_AVG_NUM_SH_FOR_EPS","FQ4 2019","FQ4 2019","Currency=USD","Period=FQ","BEST_FPERIOD_OVERRIDE=FQ","FILING_STATUS=MR","Sort=A","Dates=H","DateFormat=P","Fill=—","Direction=H","UseDPDF=Y")</f>
        <v>2.7671999999999999</v>
      </c>
      <c r="F43" s="13">
        <f>_xll.BDH("BLUE US Equity","IS_AVG_NUM_SH_FOR_EPS","FQ1 2020","FQ1 2020","Currency=USD","Period=FQ","BEST_FPERIOD_OVERRIDE=FQ","FILING_STATUS=MR","Sort=A","Dates=H","DateFormat=P","Fill=—","Direction=H","UseDPDF=Y")</f>
        <v>2.7795000000000001</v>
      </c>
      <c r="G43" s="13">
        <f>_xll.BDH("BLUE US Equity","IS_AVG_NUM_SH_FOR_EPS","FQ2 2020","FQ2 2020","Currency=USD","Period=FQ","BEST_FPERIOD_OVERRIDE=FQ","FILING_STATUS=MR","Sort=A","Dates=H","DateFormat=P","Fill=—","Direction=H","UseDPDF=Y")</f>
        <v>3.0192000000000001</v>
      </c>
      <c r="H43" s="13">
        <f>_xll.BDH("BLUE US Equity","IS_AVG_NUM_SH_FOR_EPS","FQ3 2020","FQ3 2020","Currency=USD","Period=FQ","BEST_FPERIOD_OVERRIDE=FQ","FILING_STATUS=MR","Sort=A","Dates=H","DateFormat=P","Fill=—","Direction=H","UseDPDF=Y")</f>
        <v>3.3126000000000002</v>
      </c>
      <c r="I43" s="13">
        <f>_xll.BDH("BLUE US Equity","IS_AVG_NUM_SH_FOR_EPS","FQ4 2020","FQ4 2020","Currency=USD","Period=FQ","BEST_FPERIOD_OVERRIDE=FQ","FILING_STATUS=MR","Sort=A","Dates=H","DateFormat=P","Fill=—","Direction=H","UseDPDF=Y")</f>
        <v>3.3197999999999999</v>
      </c>
      <c r="J43" s="13">
        <f>_xll.BDH("BLUE US Equity","IS_AVG_NUM_SH_FOR_EPS","FQ1 2021","FQ1 2021","Currency=USD","Period=FQ","BEST_FPERIOD_OVERRIDE=FQ","FILING_STATUS=MR","Sort=A","Dates=H","DateFormat=P","Fill=—","Direction=H","UseDPDF=Y")</f>
        <v>3.3488000000000002</v>
      </c>
      <c r="K43" s="13">
        <f>_xll.BDH("BLUE US Equity","IS_AVG_NUM_SH_FOR_EPS","FQ2 2021","FQ2 2021","Currency=USD","Period=FQ","BEST_FPERIOD_OVERRIDE=FQ","FILING_STATUS=MR","Sort=A","Dates=H","DateFormat=P","Fill=—","Direction=H","UseDPDF=Y")</f>
        <v>3.3744000000000001</v>
      </c>
      <c r="L43" s="13">
        <f>_xll.BDH("BLUE US Equity","IS_AVG_NUM_SH_FOR_EPS","FQ3 2021","FQ3 2021","Currency=USD","Period=FQ","BEST_FPERIOD_OVERRIDE=FQ","FILING_STATUS=MR","Sort=A","Dates=H","DateFormat=P","Fill=—","Direction=H","UseDPDF=Y")</f>
        <v>3.4310999999999998</v>
      </c>
      <c r="M43" s="13">
        <f>_xll.BDH("BLUE US Equity","IS_AVG_NUM_SH_FOR_EPS","FQ4 2021","FQ4 2021","Currency=USD","Period=FQ","BEST_FPERIOD_OVERRIDE=FQ","FILING_STATUS=MR","Sort=A","Dates=H","DateFormat=P","Fill=—","Direction=H","UseDPDF=Y")</f>
        <v>3.6248999999999998</v>
      </c>
      <c r="N43" s="13">
        <f>_xll.BDH("BLUE US Equity","IS_AVG_NUM_SH_FOR_EPS","FQ1 2022","FQ1 2022","Currency=USD","Period=FQ","BEST_FPERIOD_OVERRIDE=FQ","FILING_STATUS=MR","Sort=A","Dates=H","DateFormat=P","Fill=—","Direction=H","UseDPDF=Y")</f>
        <v>3.6844000000000001</v>
      </c>
      <c r="O43" s="13">
        <f>_xll.BDH("BLUE US Equity","IS_AVG_NUM_SH_FOR_EPS","FQ2 2022","FQ2 2022","Currency=USD","Period=FQ","BEST_FPERIOD_OVERRIDE=FQ","FILING_STATUS=MR","Sort=A","Dates=H","DateFormat=P","Fill=—","Direction=H","UseDPDF=Y")</f>
        <v>3.6884000000000001</v>
      </c>
      <c r="P43" s="13">
        <f>_xll.BDH("BLUE US Equity","IS_AVG_NUM_SH_FOR_EPS","FQ3 2022","FQ3 2022","Currency=USD","Period=FQ","BEST_FPERIOD_OVERRIDE=FQ","FILING_STATUS=MR","Sort=A","Dates=H","DateFormat=P","Fill=—","Direction=H","UseDPDF=Y")</f>
        <v>4.0772000000000004</v>
      </c>
      <c r="Q43" s="13">
        <f>_xll.BDH("BLUE US Equity","IS_AVG_NUM_SH_FOR_EPS","FQ4 2022","FQ4 2022","Currency=USD","Period=FQ","BEST_FPERIOD_OVERRIDE=FQ","FILING_STATUS=MR","Sort=A","Dates=H","DateFormat=P","Fill=—","Direction=H","UseDPDF=Y")</f>
        <v>4.2671000000000001</v>
      </c>
      <c r="R43" s="13">
        <f>_xll.BDH("BLUE US Equity","IS_AVG_NUM_SH_FOR_EPS","FQ1 2023","FQ1 2023","Currency=USD","Period=FQ","BEST_FPERIOD_OVERRIDE=FQ","FILING_STATUS=MR","Sort=A","Dates=H","DateFormat=P","Fill=—","Direction=H","UseDPDF=Y")</f>
        <v>5.1459999999999999</v>
      </c>
      <c r="S43" s="13">
        <f>_xll.BDH("BLUE US Equity","IS_AVG_NUM_SH_FOR_EPS","FQ2 2023","FQ2 2023","Currency=USD","Period=FQ","BEST_FPERIOD_OVERRIDE=FQ","FILING_STATUS=MR","Sort=A","Dates=H","DateFormat=P","Fill=—","Direction=H","UseDPDF=Y")</f>
        <v>5.4343000000000004</v>
      </c>
      <c r="T43" s="13">
        <f>_xll.BDH("BLUE US Equity","IS_AVG_NUM_SH_FOR_EPS","FQ3 2023","FQ3 2023","Currency=USD","Period=FQ","BEST_FPERIOD_OVERRIDE=FQ","FILING_STATUS=MR","Sort=A","Dates=H","DateFormat=P","Fill=—","Direction=H","UseDPDF=Y")</f>
        <v>5.4549000000000003</v>
      </c>
      <c r="U43" s="13">
        <f>_xll.BDH("BLUE US Equity","IS_AVG_NUM_SH_FOR_EPS","FQ4 2023","FQ4 2023","Currency=USD","Period=FQ","BEST_FPERIOD_OVERRIDE=FQ","FILING_STATUS=MR","Sort=A","Dates=H","DateFormat=P","Fill=—","Direction=H","UseDPDF=Y")</f>
        <v>5.9298999999999999</v>
      </c>
      <c r="V43" s="13">
        <f>_xll.BDH("BLUE US Equity","IS_AVG_NUM_SH_FOR_EPS","FQ1 2024","FQ1 2024","Currency=USD","Period=FQ","BEST_FPERIOD_OVERRIDE=FQ","FILING_STATUS=MR","Sort=A","Dates=H","DateFormat=P","Fill=—","Direction=H","UseDPDF=Y")</f>
        <v>9.6576000000000004</v>
      </c>
      <c r="W43" s="13">
        <f>_xll.BDH("BLUE US Equity","IS_AVG_NUM_SH_FOR_EPS","FQ2 2024","FQ2 2024","Currency=USD","Period=FQ","BEST_FPERIOD_OVERRIDE=FQ","FILING_STATUS=MR","Sort=A","Dates=H","DateFormat=P","Fill=—","Direction=H","UseDPDF=Y")</f>
        <v>9.6858000000000004</v>
      </c>
      <c r="X43" s="13">
        <f>_xll.BDH("BLUE US Equity","IS_AVG_NUM_SH_FOR_EPS","FQ3 2024","FQ3 2024","Currency=USD","Period=FQ","BEST_FPERIOD_OVERRIDE=FQ","FILING_STATUS=MR","Sort=A","Dates=H","DateFormat=P","Fill=—","Direction=H","UseDPDF=Y")</f>
        <v>9.6946999999999992</v>
      </c>
      <c r="Y43" s="13">
        <f>_xll.BDH("BLUE US Equity","IS_AVG_NUM_SH_FOR_EPS","FQ4 2024","FQ4 2024","Currency=USD","Period=FQ","BEST_FPERIOD_OVERRIDE=FQ","FILING_STATUS=MR","Sort=A","Dates=H","DateFormat=P","Fill=—","Direction=H","UseDPDF=Y")</f>
        <v>9.7089999999999996</v>
      </c>
      <c r="Z43" s="13"/>
      <c r="AA43" s="13"/>
    </row>
    <row r="44" spans="1:27" x14ac:dyDescent="0.25">
      <c r="A44" s="6" t="s">
        <v>101</v>
      </c>
      <c r="B44" s="6" t="s">
        <v>102</v>
      </c>
      <c r="C44" s="20">
        <f>_xll.BDH("BLUE US Equity","IS_EPS","FQ2 2019","FQ2 2019","Currency=USD","Period=FQ","BEST_FPERIOD_OVERRIDE=FQ","FILING_STATUS=MR","FA_ADJUSTED=GAAP","Sort=A","Dates=H","DateFormat=P","Fill=—","Direction=H","UseDPDF=Y")</f>
        <v>-71</v>
      </c>
      <c r="D44" s="20">
        <f>_xll.BDH("BLUE US Equity","IS_EPS","FQ3 2019","FQ3 2019","Currency=USD","Period=FQ","BEST_FPERIOD_OVERRIDE=FQ","FILING_STATUS=MR","FA_ADJUSTED=GAAP","Sort=A","Dates=H","DateFormat=P","Fill=—","Direction=H","UseDPDF=Y")</f>
        <v>-74.599999999999994</v>
      </c>
      <c r="E44" s="20">
        <f>_xll.BDH("BLUE US Equity","IS_EPS","FQ4 2019","FQ4 2019","Currency=USD","Period=FQ","BEST_FPERIOD_OVERRIDE=FQ","FILING_STATUS=MR","FA_ADJUSTED=GAAP","Sort=A","Dates=H","DateFormat=P","Fill=—","Direction=H","UseDPDF=Y")</f>
        <v>-80.8</v>
      </c>
      <c r="F44" s="20">
        <f>_xll.BDH("BLUE US Equity","IS_EPS","FQ1 2020","FQ1 2020","Currency=USD","Period=FQ","BEST_FPERIOD_OVERRIDE=FQ","FILING_STATUS=MR","FA_ADJUSTED=GAAP","Sort=A","Dates=H","DateFormat=P","Fill=—","Direction=H","UseDPDF=Y")</f>
        <v>-72.8</v>
      </c>
      <c r="G44" s="20">
        <f>_xll.BDH("BLUE US Equity","IS_EPS","FQ2 2020","FQ2 2020","Currency=USD","Period=FQ","BEST_FPERIOD_OVERRIDE=FQ","FILING_STATUS=MR","FA_ADJUSTED=GAAP","Sort=A","Dates=H","DateFormat=P","Fill=—","Direction=H","UseDPDF=Y")</f>
        <v>-7.2</v>
      </c>
      <c r="H44" s="20">
        <f>_xll.BDH("BLUE US Equity","IS_EPS","FQ3 2020","FQ3 2020","Currency=USD","Period=FQ","BEST_FPERIOD_OVERRIDE=FQ","FILING_STATUS=MR","FA_ADJUSTED=GAAP","Sort=A","Dates=H","DateFormat=P","Fill=—","Direction=H","UseDPDF=Y")</f>
        <v>-58.8</v>
      </c>
      <c r="I44" s="20">
        <f>_xll.BDH("BLUE US Equity","IS_EPS","FQ4 2020","FQ4 2020","Currency=USD","Period=FQ","BEST_FPERIOD_OVERRIDE=FQ","FILING_STATUS=MR","FA_ADJUSTED=GAAP","Sort=A","Dates=H","DateFormat=P","Fill=—","Direction=H","UseDPDF=Y")</f>
        <v>-60.2</v>
      </c>
      <c r="J44" s="20">
        <f>_xll.BDH("BLUE US Equity","IS_EPS","FQ1 2021","FQ1 2021","Currency=USD","Period=FQ","BEST_FPERIOD_OVERRIDE=FQ","FILING_STATUS=MR","FA_ADJUSTED=GAAP","Sort=A","Dates=H","DateFormat=P","Fill=—","Direction=H","UseDPDF=Y")</f>
        <v>-61.4</v>
      </c>
      <c r="K44" s="20">
        <f>_xll.BDH("BLUE US Equity","IS_EPS","FQ2 2021","FQ2 2021","Currency=USD","Period=FQ","BEST_FPERIOD_OVERRIDE=FQ","FILING_STATUS=MR","FA_ADJUSTED=GAAP","Sort=A","Dates=H","DateFormat=P","Fill=—","Direction=H","UseDPDF=Y")</f>
        <v>-71.599999999999994</v>
      </c>
      <c r="L44" s="20">
        <f>_xll.BDH("BLUE US Equity","IS_EPS","FQ3 2021","FQ3 2021","Currency=USD","Period=FQ","BEST_FPERIOD_OVERRIDE=FQ","FILING_STATUS=MR","FA_ADJUSTED=GAAP","Sort=A","Dates=H","DateFormat=P","Fill=—","Direction=H","UseDPDF=Y")</f>
        <v>-63.2</v>
      </c>
      <c r="M44" s="20">
        <f>_xll.BDH("BLUE US Equity","IS_EPS","FQ4 2021","FQ4 2021","Currency=USD","Period=FQ","BEST_FPERIOD_OVERRIDE=FQ","FILING_STATUS=MR","FA_ADJUSTED=GAAP","Sort=A","Dates=H","DateFormat=P","Fill=—","Direction=H","UseDPDF=Y")</f>
        <v>-42.8</v>
      </c>
      <c r="N44" s="20">
        <f>_xll.BDH("BLUE US Equity","IS_EPS","FQ1 2022","FQ1 2022","Currency=USD","Period=FQ","BEST_FPERIOD_OVERRIDE=FQ","FILING_STATUS=MR","FA_ADJUSTED=GAAP","Sort=A","Dates=H","DateFormat=P","Fill=—","Direction=H","UseDPDF=Y")</f>
        <v>-33.200000000000003</v>
      </c>
      <c r="O44" s="20">
        <f>_xll.BDH("BLUE US Equity","IS_EPS","FQ2 2022","FQ2 2022","Currency=USD","Period=FQ","BEST_FPERIOD_OVERRIDE=FQ","FILING_STATUS=MR","FA_ADJUSTED=GAAP","Sort=A","Dates=H","DateFormat=P","Fill=—","Direction=H","UseDPDF=Y")</f>
        <v>-27.2</v>
      </c>
      <c r="P44" s="20">
        <f>_xll.BDH("BLUE US Equity","IS_EPS","FQ3 2022","FQ3 2022","Currency=USD","Period=FQ","BEST_FPERIOD_OVERRIDE=FQ","FILING_STATUS=MR","FA_ADJUSTED=GAAP","Sort=A","Dates=H","DateFormat=P","Fill=—","Direction=H","UseDPDF=Y")</f>
        <v>-18.8</v>
      </c>
      <c r="Q44" s="20">
        <f>_xll.BDH("BLUE US Equity","IS_EPS","FQ4 2022","FQ4 2022","Currency=USD","Period=FQ","BEST_FPERIOD_OVERRIDE=FQ","FILING_STATUS=MR","FA_ADJUSTED=GAAP","Sort=A","Dates=H","DateFormat=P","Fill=—","Direction=H","UseDPDF=Y")</f>
        <v>16.0456</v>
      </c>
      <c r="R44" s="20">
        <f>_xll.BDH("BLUE US Equity","IS_EPS","FQ1 2023","FQ1 2023","Currency=USD","Period=FQ","BEST_FPERIOD_OVERRIDE=FQ","FILING_STATUS=MR","FA_ADJUSTED=GAAP","Sort=A","Dates=H","DateFormat=P","Fill=—","Direction=H","UseDPDF=Y")</f>
        <v>3.6</v>
      </c>
      <c r="S44" s="20">
        <f>_xll.BDH("BLUE US Equity","IS_EPS","FQ2 2023","FQ2 2023","Currency=USD","Period=FQ","BEST_FPERIOD_OVERRIDE=FQ","FILING_STATUS=MR","FA_ADJUSTED=GAAP","Sort=A","Dates=H","DateFormat=P","Fill=—","Direction=H","UseDPDF=Y")</f>
        <v>-11.6</v>
      </c>
      <c r="T44" s="20">
        <f>_xll.BDH("BLUE US Equity","IS_EPS","FQ3 2023","FQ3 2023","Currency=USD","Period=FQ","BEST_FPERIOD_OVERRIDE=FQ","FILING_STATUS=MR","FA_ADJUSTED=GAAP","Sort=A","Dates=H","DateFormat=P","Fill=—","Direction=H","UseDPDF=Y")</f>
        <v>-16</v>
      </c>
      <c r="U44" s="20">
        <f>_xll.BDH("BLUE US Equity","IS_EPS","FQ4 2023","FQ4 2023","Currency=USD","Period=FQ","BEST_FPERIOD_OVERRIDE=FQ","FILING_STATUS=MR","FA_ADJUSTED=GAAP","Sort=A","Dates=H","DateFormat=P","Fill=—","Direction=H","UseDPDF=Y")</f>
        <v>-14.9269</v>
      </c>
      <c r="V44" s="20">
        <f>_xll.BDH("BLUE US Equity","IS_EPS","FQ1 2024","FQ1 2024","Currency=USD","Period=FQ","BEST_FPERIOD_OVERRIDE=FQ","FILING_STATUS=MR","FA_ADJUSTED=GAAP","Sort=A","Dates=H","DateFormat=P","Fill=—","Direction=H","UseDPDF=Y")</f>
        <v>-7.2</v>
      </c>
      <c r="W44" s="20">
        <f>_xll.BDH("BLUE US Equity","IS_EPS","FQ2 2024","FQ2 2024","Currency=USD","Period=FQ","BEST_FPERIOD_OVERRIDE=FQ","FILING_STATUS=MR","FA_ADJUSTED=GAAP","Sort=A","Dates=H","DateFormat=P","Fill=—","Direction=H","UseDPDF=Y")</f>
        <v>-8.4</v>
      </c>
      <c r="X44" s="20">
        <f>_xll.BDH("BLUE US Equity","IS_EPS","FQ3 2024","FQ3 2024","Currency=USD","Period=FQ","BEST_FPERIOD_OVERRIDE=FQ","FILING_STATUS=MR","FA_ADJUSTED=GAAP","Sort=A","Dates=H","DateFormat=P","Fill=—","Direction=H","UseDPDF=Y")</f>
        <v>-6.2</v>
      </c>
      <c r="Y44" s="20">
        <f>_xll.BDH("BLUE US Equity","IS_EPS","FQ4 2024","FQ4 2024","Currency=USD","Period=FQ","BEST_FPERIOD_OVERRIDE=FQ","FILING_STATUS=MR","FA_ADJUSTED=GAAP","Sort=A","Dates=H","DateFormat=P","Fill=—","Direction=H","UseDPDF=Y")</f>
        <v>-2.9571000000000001</v>
      </c>
      <c r="Z44" s="20">
        <v>-2.36</v>
      </c>
      <c r="AA44" s="20">
        <v>-0.81899999999999995</v>
      </c>
    </row>
    <row r="45" spans="1:27" x14ac:dyDescent="0.25">
      <c r="A45" s="6" t="s">
        <v>348</v>
      </c>
      <c r="B45" s="6" t="s">
        <v>234</v>
      </c>
      <c r="C45" s="20">
        <f>_xll.BDH("BLUE US Equity","IS_EARN_BEF_XO_ITEMS_PER_SH","FQ2 2019","FQ2 2019","Currency=USD","Period=FQ","BEST_FPERIOD_OVERRIDE=FQ","FILING_STATUS=MR","Sort=A","Dates=H","DateFormat=P","Fill=—","Direction=H","UseDPDF=Y")</f>
        <v>-71</v>
      </c>
      <c r="D45" s="20">
        <f>_xll.BDH("BLUE US Equity","IS_EARN_BEF_XO_ITEMS_PER_SH","FQ3 2019","FQ3 2019","Currency=USD","Period=FQ","BEST_FPERIOD_OVERRIDE=FQ","FILING_STATUS=MR","Sort=A","Dates=H","DateFormat=P","Fill=—","Direction=H","UseDPDF=Y")</f>
        <v>-74.599999999999994</v>
      </c>
      <c r="E45" s="20">
        <f>_xll.BDH("BLUE US Equity","IS_EARN_BEF_XO_ITEMS_PER_SH","FQ4 2019","FQ4 2019","Currency=USD","Period=FQ","BEST_FPERIOD_OVERRIDE=FQ","FILING_STATUS=MR","Sort=A","Dates=H","DateFormat=P","Fill=—","Direction=H","UseDPDF=Y")</f>
        <v>-80.8</v>
      </c>
      <c r="F45" s="20">
        <f>_xll.BDH("BLUE US Equity","IS_EARN_BEF_XO_ITEMS_PER_SH","FQ1 2020","FQ1 2020","Currency=USD","Period=FQ","BEST_FPERIOD_OVERRIDE=FQ","FILING_STATUS=MR","Sort=A","Dates=H","DateFormat=P","Fill=—","Direction=H","UseDPDF=Y")</f>
        <v>-72.8</v>
      </c>
      <c r="G45" s="20">
        <f>_xll.BDH("BLUE US Equity","IS_EARN_BEF_XO_ITEMS_PER_SH","FQ2 2020","FQ2 2020","Currency=USD","Period=FQ","BEST_FPERIOD_OVERRIDE=FQ","FILING_STATUS=MR","Sort=A","Dates=H","DateFormat=P","Fill=—","Direction=H","UseDPDF=Y")</f>
        <v>-7.2</v>
      </c>
      <c r="H45" s="20">
        <f>_xll.BDH("BLUE US Equity","IS_EARN_BEF_XO_ITEMS_PER_SH","FQ3 2020","FQ3 2020","Currency=USD","Period=FQ","BEST_FPERIOD_OVERRIDE=FQ","FILING_STATUS=MR","Sort=A","Dates=H","DateFormat=P","Fill=—","Direction=H","UseDPDF=Y")</f>
        <v>-58.8</v>
      </c>
      <c r="I45" s="20">
        <f>_xll.BDH("BLUE US Equity","IS_EARN_BEF_XO_ITEMS_PER_SH","FQ4 2020","FQ4 2020","Currency=USD","Period=FQ","BEST_FPERIOD_OVERRIDE=FQ","FILING_STATUS=MR","Sort=A","Dates=H","DateFormat=P","Fill=—","Direction=H","UseDPDF=Y")</f>
        <v>-41</v>
      </c>
      <c r="J45" s="20">
        <f>_xll.BDH("BLUE US Equity","IS_EARN_BEF_XO_ITEMS_PER_SH","FQ1 2021","FQ1 2021","Currency=USD","Period=FQ","BEST_FPERIOD_OVERRIDE=FQ","FILING_STATUS=MR","Sort=A","Dates=H","DateFormat=P","Fill=—","Direction=H","UseDPDF=Y")</f>
        <v>-36.200000000000003</v>
      </c>
      <c r="K45" s="20">
        <f>_xll.BDH("BLUE US Equity","IS_EARN_BEF_XO_ITEMS_PER_SH","FQ2 2021","FQ2 2021","Currency=USD","Period=FQ","BEST_FPERIOD_OVERRIDE=FQ","FILING_STATUS=MR","Sort=A","Dates=H","DateFormat=P","Fill=—","Direction=H","UseDPDF=Y")</f>
        <v>-71.599999999999994</v>
      </c>
      <c r="L45" s="20">
        <f>_xll.BDH("BLUE US Equity","IS_EARN_BEF_XO_ITEMS_PER_SH","FQ3 2021","FQ3 2021","Currency=USD","Period=FQ","BEST_FPERIOD_OVERRIDE=FQ","FILING_STATUS=MR","Sort=A","Dates=H","DateFormat=P","Fill=—","Direction=H","UseDPDF=Y")</f>
        <v>-44.6</v>
      </c>
      <c r="M45" s="20">
        <f>_xll.BDH("BLUE US Equity","IS_EARN_BEF_XO_ITEMS_PER_SH","FQ4 2021","FQ4 2021","Currency=USD","Period=FQ","BEST_FPERIOD_OVERRIDE=FQ","FILING_STATUS=MR","Sort=A","Dates=H","DateFormat=P","Fill=—","Direction=H","UseDPDF=Y")</f>
        <v>-36.6</v>
      </c>
      <c r="N45" s="20">
        <f>_xll.BDH("BLUE US Equity","IS_EARN_BEF_XO_ITEMS_PER_SH","FQ1 2022","FQ1 2022","Currency=USD","Period=FQ","BEST_FPERIOD_OVERRIDE=FQ","FILING_STATUS=MR","Sort=A","Dates=H","DateFormat=P","Fill=—","Direction=H","UseDPDF=Y")</f>
        <v>-33.200000000000003</v>
      </c>
      <c r="O45" s="20">
        <f>_xll.BDH("BLUE US Equity","IS_EARN_BEF_XO_ITEMS_PER_SH","FQ2 2022","FQ2 2022","Currency=USD","Period=FQ","BEST_FPERIOD_OVERRIDE=FQ","FILING_STATUS=MR","Sort=A","Dates=H","DateFormat=P","Fill=—","Direction=H","UseDPDF=Y")</f>
        <v>-27.2</v>
      </c>
      <c r="P45" s="20">
        <f>_xll.BDH("BLUE US Equity","IS_EARN_BEF_XO_ITEMS_PER_SH","FQ3 2022","FQ3 2022","Currency=USD","Period=FQ","BEST_FPERIOD_OVERRIDE=FQ","FILING_STATUS=MR","Sort=A","Dates=H","DateFormat=P","Fill=—","Direction=H","UseDPDF=Y")</f>
        <v>-18.8</v>
      </c>
      <c r="Q45" s="20">
        <f>_xll.BDH("BLUE US Equity","IS_EARN_BEF_XO_ITEMS_PER_SH","FQ4 2022","FQ4 2022","Currency=USD","Period=FQ","BEST_FPERIOD_OVERRIDE=FQ","FILING_STATUS=MR","Sort=A","Dates=H","DateFormat=P","Fill=—","Direction=H","UseDPDF=Y")</f>
        <v>16.0456</v>
      </c>
      <c r="R45" s="20">
        <f>_xll.BDH("BLUE US Equity","IS_EARN_BEF_XO_ITEMS_PER_SH","FQ1 2023","FQ1 2023","Currency=USD","Period=FQ","BEST_FPERIOD_OVERRIDE=FQ","FILING_STATUS=MR","Sort=A","Dates=H","DateFormat=P","Fill=—","Direction=H","UseDPDF=Y")</f>
        <v>3.6</v>
      </c>
      <c r="S45" s="20">
        <f>_xll.BDH("BLUE US Equity","IS_EARN_BEF_XO_ITEMS_PER_SH","FQ2 2023","FQ2 2023","Currency=USD","Period=FQ","BEST_FPERIOD_OVERRIDE=FQ","FILING_STATUS=MR","Sort=A","Dates=H","DateFormat=P","Fill=—","Direction=H","UseDPDF=Y")</f>
        <v>-11.6</v>
      </c>
      <c r="T45" s="20">
        <f>_xll.BDH("BLUE US Equity","IS_EARN_BEF_XO_ITEMS_PER_SH","FQ3 2023","FQ3 2023","Currency=USD","Period=FQ","BEST_FPERIOD_OVERRIDE=FQ","FILING_STATUS=MR","Sort=A","Dates=H","DateFormat=P","Fill=—","Direction=H","UseDPDF=Y")</f>
        <v>-16</v>
      </c>
      <c r="U45" s="20">
        <f>_xll.BDH("BLUE US Equity","IS_EARN_BEF_XO_ITEMS_PER_SH","FQ4 2023","FQ4 2023","Currency=USD","Period=FQ","BEST_FPERIOD_OVERRIDE=FQ","FILING_STATUS=MR","Sort=A","Dates=H","DateFormat=P","Fill=—","Direction=H","UseDPDF=Y")</f>
        <v>-14.9269</v>
      </c>
      <c r="V45" s="20">
        <f>_xll.BDH("BLUE US Equity","IS_EARN_BEF_XO_ITEMS_PER_SH","FQ1 2024","FQ1 2024","Currency=USD","Period=FQ","BEST_FPERIOD_OVERRIDE=FQ","FILING_STATUS=MR","Sort=A","Dates=H","DateFormat=P","Fill=—","Direction=H","UseDPDF=Y")</f>
        <v>-7.2</v>
      </c>
      <c r="W45" s="20">
        <f>_xll.BDH("BLUE US Equity","IS_EARN_BEF_XO_ITEMS_PER_SH","FQ2 2024","FQ2 2024","Currency=USD","Period=FQ","BEST_FPERIOD_OVERRIDE=FQ","FILING_STATUS=MR","Sort=A","Dates=H","DateFormat=P","Fill=—","Direction=H","UseDPDF=Y")</f>
        <v>-8.4</v>
      </c>
      <c r="X45" s="20">
        <f>_xll.BDH("BLUE US Equity","IS_EARN_BEF_XO_ITEMS_PER_SH","FQ3 2024","FQ3 2024","Currency=USD","Period=FQ","BEST_FPERIOD_OVERRIDE=FQ","FILING_STATUS=MR","Sort=A","Dates=H","DateFormat=P","Fill=—","Direction=H","UseDPDF=Y")</f>
        <v>-6.2</v>
      </c>
      <c r="Y45" s="20">
        <f>_xll.BDH("BLUE US Equity","IS_EARN_BEF_XO_ITEMS_PER_SH","FQ4 2024","FQ4 2024","Currency=USD","Period=FQ","BEST_FPERIOD_OVERRIDE=FQ","FILING_STATUS=MR","Sort=A","Dates=H","DateFormat=P","Fill=—","Direction=H","UseDPDF=Y")</f>
        <v>-2.9571000000000001</v>
      </c>
      <c r="Z45" s="20">
        <v>-2.36</v>
      </c>
      <c r="AA45" s="20">
        <v>-0.81899999999999995</v>
      </c>
    </row>
    <row r="46" spans="1:27" x14ac:dyDescent="0.25">
      <c r="A46" s="6" t="s">
        <v>349</v>
      </c>
      <c r="B46" s="6" t="s">
        <v>236</v>
      </c>
      <c r="C46" s="20">
        <f>_xll.BDH("BLUE US Equity","IS_BASIC_EPS_CONT_OPS","FQ2 2019","FQ2 2019","Currency=USD","Period=FQ","BEST_FPERIOD_OVERRIDE=FQ","FILING_STATUS=MR","Sort=A","Dates=H","DateFormat=P","Fill=—","Direction=H","UseDPDF=Y")</f>
        <v>-70.919200000000004</v>
      </c>
      <c r="D46" s="20">
        <f>_xll.BDH("BLUE US Equity","IS_BASIC_EPS_CONT_OPS","FQ3 2019","FQ3 2019","Currency=USD","Period=FQ","BEST_FPERIOD_OVERRIDE=FQ","FILING_STATUS=MR","Sort=A","Dates=H","DateFormat=P","Fill=—","Direction=H","UseDPDF=Y")</f>
        <v>-74.296300000000002</v>
      </c>
      <c r="E46" s="20">
        <f>_xll.BDH("BLUE US Equity","IS_BASIC_EPS_CONT_OPS","FQ4 2019","FQ4 2019","Currency=USD","Period=FQ","BEST_FPERIOD_OVERRIDE=FQ","FILING_STATUS=MR","Sort=A","Dates=H","DateFormat=P","Fill=—","Direction=H","UseDPDF=Y")</f>
        <v>-80.302599999999998</v>
      </c>
      <c r="F46" s="20">
        <f>_xll.BDH("BLUE US Equity","IS_BASIC_EPS_CONT_OPS","FQ1 2020","FQ1 2020","Currency=USD","Period=FQ","BEST_FPERIOD_OVERRIDE=FQ","FILING_STATUS=MR","Sort=A","Dates=H","DateFormat=P","Fill=—","Direction=H","UseDPDF=Y")</f>
        <v>-73.778099999999995</v>
      </c>
      <c r="G46" s="20">
        <f>_xll.BDH("BLUE US Equity","IS_BASIC_EPS_CONT_OPS","FQ2 2020","FQ2 2020","Currency=USD","Period=FQ","BEST_FPERIOD_OVERRIDE=FQ","FILING_STATUS=MR","Sort=A","Dates=H","DateFormat=P","Fill=—","Direction=H","UseDPDF=Y")</f>
        <v>-7.5425000000000004</v>
      </c>
      <c r="H46" s="20">
        <f>_xll.BDH("BLUE US Equity","IS_BASIC_EPS_CONT_OPS","FQ3 2020","FQ3 2020","Currency=USD","Period=FQ","BEST_FPERIOD_OVERRIDE=FQ","FILING_STATUS=MR","Sort=A","Dates=H","DateFormat=P","Fill=—","Direction=H","UseDPDF=Y")</f>
        <v>-58.987499999999997</v>
      </c>
      <c r="I46" s="20">
        <f>_xll.BDH("BLUE US Equity","IS_BASIC_EPS_CONT_OPS","FQ4 2020","FQ4 2020","Currency=USD","Period=FQ","BEST_FPERIOD_OVERRIDE=FQ","FILING_STATUS=MR","Sort=A","Dates=H","DateFormat=P","Fill=—","Direction=H","UseDPDF=Y")</f>
        <v>-41</v>
      </c>
      <c r="J46" s="20">
        <f>_xll.BDH("BLUE US Equity","IS_BASIC_EPS_CONT_OPS","FQ1 2021","FQ1 2021","Currency=USD","Period=FQ","BEST_FPERIOD_OVERRIDE=FQ","FILING_STATUS=MR","Sort=A","Dates=H","DateFormat=P","Fill=—","Direction=H","UseDPDF=Y")</f>
        <v>-42.8889</v>
      </c>
      <c r="K46" s="20">
        <f>_xll.BDH("BLUE US Equity","IS_BASIC_EPS_CONT_OPS","FQ2 2021","FQ2 2021","Currency=USD","Period=FQ","BEST_FPERIOD_OVERRIDE=FQ","FILING_STATUS=MR","Sort=A","Dates=H","DateFormat=P","Fill=—","Direction=H","UseDPDF=Y")</f>
        <v>-71.618200000000002</v>
      </c>
      <c r="L46" s="20">
        <f>_xll.BDH("BLUE US Equity","IS_BASIC_EPS_CONT_OPS","FQ3 2021","FQ3 2021","Currency=USD","Period=FQ","BEST_FPERIOD_OVERRIDE=FQ","FILING_STATUS=MR","Sort=A","Dates=H","DateFormat=P","Fill=—","Direction=H","UseDPDF=Y")</f>
        <v>-46.522199999999998</v>
      </c>
      <c r="M46" s="20">
        <f>_xll.BDH("BLUE US Equity","IS_BASIC_EPS_CONT_OPS","FQ4 2021","FQ4 2021","Currency=USD","Period=FQ","BEST_FPERIOD_OVERRIDE=FQ","FILING_STATUS=MR","Sort=A","Dates=H","DateFormat=P","Fill=—","Direction=H","UseDPDF=Y")</f>
        <v>-36.303600000000003</v>
      </c>
      <c r="N46" s="20">
        <f>_xll.BDH("BLUE US Equity","IS_BASIC_EPS_CONT_OPS","FQ1 2022","FQ1 2022","Currency=USD","Period=FQ","BEST_FPERIOD_OVERRIDE=FQ","FILING_STATUS=MR","Sort=A","Dates=H","DateFormat=P","Fill=—","Direction=H","UseDPDF=Y")</f>
        <v>-32.616100000000003</v>
      </c>
      <c r="O46" s="20">
        <f>_xll.BDH("BLUE US Equity","IS_BASIC_EPS_CONT_OPS","FQ2 2022","FQ2 2022","Currency=USD","Period=FQ","BEST_FPERIOD_OVERRIDE=FQ","FILING_STATUS=MR","Sort=A","Dates=H","DateFormat=P","Fill=—","Direction=H","UseDPDF=Y")</f>
        <v>-25.593499999999999</v>
      </c>
      <c r="P46" s="20">
        <f>_xll.BDH("BLUE US Equity","IS_BASIC_EPS_CONT_OPS","FQ3 2022","FQ3 2022","Currency=USD","Period=FQ","BEST_FPERIOD_OVERRIDE=FQ","FILING_STATUS=MR","Sort=A","Dates=H","DateFormat=P","Fill=—","Direction=H","UseDPDF=Y")</f>
        <v>-18.489799999999999</v>
      </c>
      <c r="Q46" s="20">
        <f>_xll.BDH("BLUE US Equity","IS_BASIC_EPS_CONT_OPS","FQ4 2022","FQ4 2022","Currency=USD","Period=FQ","BEST_FPERIOD_OVERRIDE=FQ","FILING_STATUS=MR","Sort=A","Dates=H","DateFormat=P","Fill=—","Direction=H","UseDPDF=Y")</f>
        <v>-3.9992999999999999</v>
      </c>
      <c r="R46" s="20">
        <f>_xll.BDH("BLUE US Equity","IS_BASIC_EPS_CONT_OPS","FQ1 2023","FQ1 2023","Currency=USD","Period=FQ","BEST_FPERIOD_OVERRIDE=FQ","FILING_STATUS=MR","Sort=A","Dates=H","DateFormat=P","Fill=—","Direction=H","UseDPDF=Y")</f>
        <v>-10.5878</v>
      </c>
      <c r="S46" s="20">
        <f>_xll.BDH("BLUE US Equity","IS_BASIC_EPS_CONT_OPS","FQ2 2023","FQ2 2023","Currency=USD","Period=FQ","BEST_FPERIOD_OVERRIDE=FQ","FILING_STATUS=MR","Sort=A","Dates=H","DateFormat=P","Fill=—","Direction=H","UseDPDF=Y")</f>
        <v>-11.6</v>
      </c>
      <c r="T46" s="20">
        <f>_xll.BDH("BLUE US Equity","IS_BASIC_EPS_CONT_OPS","FQ3 2023","FQ3 2023","Currency=USD","Period=FQ","BEST_FPERIOD_OVERRIDE=FQ","FILING_STATUS=MR","Sort=A","Dates=H","DateFormat=P","Fill=—","Direction=H","UseDPDF=Y")</f>
        <v>-16</v>
      </c>
      <c r="U46" s="20">
        <f>_xll.BDH("BLUE US Equity","IS_BASIC_EPS_CONT_OPS","FQ4 2023","FQ4 2023","Currency=USD","Period=FQ","BEST_FPERIOD_OVERRIDE=FQ","FILING_STATUS=MR","Sort=A","Dates=H","DateFormat=P","Fill=—","Direction=H","UseDPDF=Y")</f>
        <v>-14.9269</v>
      </c>
      <c r="V46" s="20">
        <f>_xll.BDH("BLUE US Equity","IS_BASIC_EPS_CONT_OPS","FQ1 2024","FQ1 2024","Currency=USD","Period=FQ","BEST_FPERIOD_OVERRIDE=FQ","FILING_STATUS=MR","Sort=A","Dates=H","DateFormat=P","Fill=—","Direction=H","UseDPDF=Y")</f>
        <v>-7.2</v>
      </c>
      <c r="W46" s="20">
        <f>_xll.BDH("BLUE US Equity","IS_BASIC_EPS_CONT_OPS","FQ2 2024","FQ2 2024","Currency=USD","Period=FQ","BEST_FPERIOD_OVERRIDE=FQ","FILING_STATUS=MR","Sort=A","Dates=H","DateFormat=P","Fill=—","Direction=H","UseDPDF=Y")</f>
        <v>-8.4</v>
      </c>
      <c r="X46" s="20">
        <f>_xll.BDH("BLUE US Equity","IS_BASIC_EPS_CONT_OPS","FQ3 2024","FQ3 2024","Currency=USD","Period=FQ","BEST_FPERIOD_OVERRIDE=FQ","FILING_STATUS=MR","Sort=A","Dates=H","DateFormat=P","Fill=—","Direction=H","UseDPDF=Y")</f>
        <v>-6.0433000000000003</v>
      </c>
      <c r="Y46" s="20">
        <f>_xll.BDH("BLUE US Equity","IS_BASIC_EPS_CONT_OPS","FQ4 2024","FQ4 2024","Currency=USD","Period=FQ","BEST_FPERIOD_OVERRIDE=FQ","FILING_STATUS=MR","Sort=A","Dates=H","DateFormat=P","Fill=—","Direction=H","UseDPDF=Y")</f>
        <v>-2.9609999999999999</v>
      </c>
      <c r="Z46" s="20">
        <v>-2.931</v>
      </c>
      <c r="AA46" s="20">
        <v>-1.5149999999999999</v>
      </c>
    </row>
    <row r="47" spans="1:27" x14ac:dyDescent="0.25">
      <c r="A47" s="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0" t="s">
        <v>226</v>
      </c>
      <c r="B48" s="10" t="s">
        <v>108</v>
      </c>
      <c r="C48" s="13">
        <f>_xll.BDH("BLUE US Equity","IS_SH_FOR_DILUTED_EPS","FQ2 2019","FQ2 2019","Currency=USD","Period=FQ","BEST_FPERIOD_OVERRIDE=FQ","FILING_STATUS=MR","Sort=A","Dates=H","DateFormat=P","Fill=—","Direction=H","UseDPDF=Y")</f>
        <v>2.7583000000000002</v>
      </c>
      <c r="D48" s="13">
        <f>_xll.BDH("BLUE US Equity","IS_SH_FOR_DILUTED_EPS","FQ3 2019","FQ3 2019","Currency=USD","Period=FQ","BEST_FPERIOD_OVERRIDE=FQ","FILING_STATUS=MR","Sort=A","Dates=H","DateFormat=P","Fill=—","Direction=H","UseDPDF=Y")</f>
        <v>2.7646000000000002</v>
      </c>
      <c r="E48" s="13">
        <f>_xll.BDH("BLUE US Equity","IS_SH_FOR_DILUTED_EPS","FQ4 2019","FQ4 2019","Currency=USD","Period=FQ","BEST_FPERIOD_OVERRIDE=FQ","FILING_STATUS=MR","Sort=A","Dates=H","DateFormat=P","Fill=—","Direction=H","UseDPDF=Y")</f>
        <v>2.7671999999999999</v>
      </c>
      <c r="F48" s="13">
        <f>_xll.BDH("BLUE US Equity","IS_SH_FOR_DILUTED_EPS","FQ1 2020","FQ1 2020","Currency=USD","Period=FQ","BEST_FPERIOD_OVERRIDE=FQ","FILING_STATUS=MR","Sort=A","Dates=H","DateFormat=P","Fill=—","Direction=H","UseDPDF=Y")</f>
        <v>2.7795000000000001</v>
      </c>
      <c r="G48" s="13">
        <f>_xll.BDH("BLUE US Equity","IS_SH_FOR_DILUTED_EPS","FQ2 2020","FQ2 2020","Currency=USD","Period=FQ","BEST_FPERIOD_OVERRIDE=FQ","FILING_STATUS=MR","Sort=A","Dates=H","DateFormat=P","Fill=—","Direction=H","UseDPDF=Y")</f>
        <v>3.0192000000000001</v>
      </c>
      <c r="H48" s="13">
        <f>_xll.BDH("BLUE US Equity","IS_SH_FOR_DILUTED_EPS","FQ3 2020","FQ3 2020","Currency=USD","Period=FQ","BEST_FPERIOD_OVERRIDE=FQ","FILING_STATUS=MR","Sort=A","Dates=H","DateFormat=P","Fill=—","Direction=H","UseDPDF=Y")</f>
        <v>3.3126000000000002</v>
      </c>
      <c r="I48" s="13">
        <f>_xll.BDH("BLUE US Equity","IS_SH_FOR_DILUTED_EPS","FQ4 2020","FQ4 2020","Currency=USD","Period=FQ","BEST_FPERIOD_OVERRIDE=FQ","FILING_STATUS=MR","Sort=A","Dates=H","DateFormat=P","Fill=—","Direction=H","UseDPDF=Y")</f>
        <v>3.3197999999999999</v>
      </c>
      <c r="J48" s="13">
        <f>_xll.BDH("BLUE US Equity","IS_SH_FOR_DILUTED_EPS","FQ1 2021","FQ1 2021","Currency=USD","Period=FQ","BEST_FPERIOD_OVERRIDE=FQ","FILING_STATUS=MR","Sort=A","Dates=H","DateFormat=P","Fill=—","Direction=H","UseDPDF=Y")</f>
        <v>3.3488000000000002</v>
      </c>
      <c r="K48" s="13">
        <f>_xll.BDH("BLUE US Equity","IS_SH_FOR_DILUTED_EPS","FQ2 2021","FQ2 2021","Currency=USD","Period=FQ","BEST_FPERIOD_OVERRIDE=FQ","FILING_STATUS=MR","Sort=A","Dates=H","DateFormat=P","Fill=—","Direction=H","UseDPDF=Y")</f>
        <v>3.3744000000000001</v>
      </c>
      <c r="L48" s="13">
        <f>_xll.BDH("BLUE US Equity","IS_SH_FOR_DILUTED_EPS","FQ3 2021","FQ3 2021","Currency=USD","Period=FQ","BEST_FPERIOD_OVERRIDE=FQ","FILING_STATUS=MR","Sort=A","Dates=H","DateFormat=P","Fill=—","Direction=H","UseDPDF=Y")</f>
        <v>3.4310999999999998</v>
      </c>
      <c r="M48" s="13">
        <f>_xll.BDH("BLUE US Equity","IS_SH_FOR_DILUTED_EPS","FQ4 2021","FQ4 2021","Currency=USD","Period=FQ","BEST_FPERIOD_OVERRIDE=FQ","FILING_STATUS=MR","Sort=A","Dates=H","DateFormat=P","Fill=—","Direction=H","UseDPDF=Y")</f>
        <v>3.6248999999999998</v>
      </c>
      <c r="N48" s="13">
        <f>_xll.BDH("BLUE US Equity","IS_SH_FOR_DILUTED_EPS","FQ1 2022","FQ1 2022","Currency=USD","Period=FQ","BEST_FPERIOD_OVERRIDE=FQ","FILING_STATUS=MR","Sort=A","Dates=H","DateFormat=P","Fill=—","Direction=H","UseDPDF=Y")</f>
        <v>3.6844000000000001</v>
      </c>
      <c r="O48" s="13">
        <f>_xll.BDH("BLUE US Equity","IS_SH_FOR_DILUTED_EPS","FQ2 2022","FQ2 2022","Currency=USD","Period=FQ","BEST_FPERIOD_OVERRIDE=FQ","FILING_STATUS=MR","Sort=A","Dates=H","DateFormat=P","Fill=—","Direction=H","UseDPDF=Y")</f>
        <v>3.6884000000000001</v>
      </c>
      <c r="P48" s="13">
        <f>_xll.BDH("BLUE US Equity","IS_SH_FOR_DILUTED_EPS","FQ3 2022","FQ3 2022","Currency=USD","Period=FQ","BEST_FPERIOD_OVERRIDE=FQ","FILING_STATUS=MR","Sort=A","Dates=H","DateFormat=P","Fill=—","Direction=H","UseDPDF=Y")</f>
        <v>4.0772000000000004</v>
      </c>
      <c r="Q48" s="13">
        <f>_xll.BDH("BLUE US Equity","IS_SH_FOR_DILUTED_EPS","FQ4 2022","FQ4 2022","Currency=USD","Period=FQ","BEST_FPERIOD_OVERRIDE=FQ","FILING_STATUS=MR","Sort=A","Dates=H","DateFormat=P","Fill=—","Direction=H","UseDPDF=Y")</f>
        <v>4.2671000000000001</v>
      </c>
      <c r="R48" s="13">
        <f>_xll.BDH("BLUE US Equity","IS_SH_FOR_DILUTED_EPS","FQ1 2023","FQ1 2023","Currency=USD","Period=FQ","BEST_FPERIOD_OVERRIDE=FQ","FILING_STATUS=MR","Sort=A","Dates=H","DateFormat=P","Fill=—","Direction=H","UseDPDF=Y")</f>
        <v>5.1651999999999996</v>
      </c>
      <c r="S48" s="13">
        <f>_xll.BDH("BLUE US Equity","IS_SH_FOR_DILUTED_EPS","FQ2 2023","FQ2 2023","Currency=USD","Period=FQ","BEST_FPERIOD_OVERRIDE=FQ","FILING_STATUS=MR","Sort=A","Dates=H","DateFormat=P","Fill=—","Direction=H","UseDPDF=Y")</f>
        <v>5.4343000000000004</v>
      </c>
      <c r="T48" s="13">
        <f>_xll.BDH("BLUE US Equity","IS_SH_FOR_DILUTED_EPS","FQ3 2023","FQ3 2023","Currency=USD","Period=FQ","BEST_FPERIOD_OVERRIDE=FQ","FILING_STATUS=MR","Sort=A","Dates=H","DateFormat=P","Fill=—","Direction=H","UseDPDF=Y")</f>
        <v>5.4549000000000003</v>
      </c>
      <c r="U48" s="13">
        <f>_xll.BDH("BLUE US Equity","IS_SH_FOR_DILUTED_EPS","FQ4 2023","FQ4 2023","Currency=USD","Period=FQ","BEST_FPERIOD_OVERRIDE=FQ","FILING_STATUS=MR","Sort=A","Dates=H","DateFormat=P","Fill=—","Direction=H","UseDPDF=Y")</f>
        <v>5.9298999999999999</v>
      </c>
      <c r="V48" s="13">
        <f>_xll.BDH("BLUE US Equity","IS_SH_FOR_DILUTED_EPS","FQ1 2024","FQ1 2024","Currency=USD","Period=FQ","BEST_FPERIOD_OVERRIDE=FQ","FILING_STATUS=MR","Sort=A","Dates=H","DateFormat=P","Fill=—","Direction=H","UseDPDF=Y")</f>
        <v>9.6576000000000004</v>
      </c>
      <c r="W48" s="13">
        <f>_xll.BDH("BLUE US Equity","IS_SH_FOR_DILUTED_EPS","FQ2 2024","FQ2 2024","Currency=USD","Period=FQ","BEST_FPERIOD_OVERRIDE=FQ","FILING_STATUS=MR","Sort=A","Dates=H","DateFormat=P","Fill=—","Direction=H","UseDPDF=Y")</f>
        <v>9.6858000000000004</v>
      </c>
      <c r="X48" s="13">
        <f>_xll.BDH("BLUE US Equity","IS_SH_FOR_DILUTED_EPS","FQ3 2024","FQ3 2024","Currency=USD","Period=FQ","BEST_FPERIOD_OVERRIDE=FQ","FILING_STATUS=MR","Sort=A","Dates=H","DateFormat=P","Fill=—","Direction=H","UseDPDF=Y")</f>
        <v>9.6946999999999992</v>
      </c>
      <c r="Y48" s="13">
        <f>_xll.BDH("BLUE US Equity","IS_SH_FOR_DILUTED_EPS","FQ4 2024","FQ4 2024","Currency=USD","Period=FQ","BEST_FPERIOD_OVERRIDE=FQ","FILING_STATUS=MR","Sort=A","Dates=H","DateFormat=P","Fill=—","Direction=H","UseDPDF=Y")</f>
        <v>9.7089999999999996</v>
      </c>
      <c r="Z48" s="13"/>
      <c r="AA48" s="13"/>
    </row>
    <row r="49" spans="1:27" x14ac:dyDescent="0.25">
      <c r="A49" s="6" t="s">
        <v>103</v>
      </c>
      <c r="B49" s="6" t="s">
        <v>104</v>
      </c>
      <c r="C49" s="20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D49" s="20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E49" s="20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F49" s="20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G49" s="20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H49" s="20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I49" s="20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J49" s="20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K49" s="20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L49" s="20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M49" s="20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N49" s="20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O49" s="20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P49" s="20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Q49" s="20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R49" s="20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S49" s="20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T49" s="20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U49" s="20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V49" s="20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W49" s="20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X49" s="20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Y49" s="20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  <c r="Z49" s="20">
        <v>-2.36</v>
      </c>
      <c r="AA49" s="20">
        <v>-0.81899999999999995</v>
      </c>
    </row>
    <row r="50" spans="1:27" x14ac:dyDescent="0.25">
      <c r="A50" s="6" t="s">
        <v>350</v>
      </c>
      <c r="B50" s="6" t="s">
        <v>239</v>
      </c>
      <c r="C50" s="20">
        <f>_xll.BDH("BLUE US Equity","IS_DIL_EPS_BEF_XO","FQ2 2019","FQ2 2019","Currency=USD","Period=FQ","BEST_FPERIOD_OVERRIDE=FQ","FILING_STATUS=MR","Sort=A","Dates=H","DateFormat=P","Fill=—","Direction=H","UseDPDF=Y")</f>
        <v>-71</v>
      </c>
      <c r="D50" s="20">
        <f>_xll.BDH("BLUE US Equity","IS_DIL_EPS_BEF_XO","FQ3 2019","FQ3 2019","Currency=USD","Period=FQ","BEST_FPERIOD_OVERRIDE=FQ","FILING_STATUS=MR","Sort=A","Dates=H","DateFormat=P","Fill=—","Direction=H","UseDPDF=Y")</f>
        <v>-74.599999999999994</v>
      </c>
      <c r="E50" s="20">
        <f>_xll.BDH("BLUE US Equity","IS_DIL_EPS_BEF_XO","FQ4 2019","FQ4 2019","Currency=USD","Period=FQ","BEST_FPERIOD_OVERRIDE=FQ","FILING_STATUS=MR","Sort=A","Dates=H","DateFormat=P","Fill=—","Direction=H","UseDPDF=Y")</f>
        <v>-80.8</v>
      </c>
      <c r="F50" s="20">
        <f>_xll.BDH("BLUE US Equity","IS_DIL_EPS_BEF_XO","FQ1 2020","FQ1 2020","Currency=USD","Period=FQ","BEST_FPERIOD_OVERRIDE=FQ","FILING_STATUS=MR","Sort=A","Dates=H","DateFormat=P","Fill=—","Direction=H","UseDPDF=Y")</f>
        <v>-72.8</v>
      </c>
      <c r="G50" s="20">
        <f>_xll.BDH("BLUE US Equity","IS_DIL_EPS_BEF_XO","FQ2 2020","FQ2 2020","Currency=USD","Period=FQ","BEST_FPERIOD_OVERRIDE=FQ","FILING_STATUS=MR","Sort=A","Dates=H","DateFormat=P","Fill=—","Direction=H","UseDPDF=Y")</f>
        <v>-7.2</v>
      </c>
      <c r="H50" s="20">
        <f>_xll.BDH("BLUE US Equity","IS_DIL_EPS_BEF_XO","FQ3 2020","FQ3 2020","Currency=USD","Period=FQ","BEST_FPERIOD_OVERRIDE=FQ","FILING_STATUS=MR","Sort=A","Dates=H","DateFormat=P","Fill=—","Direction=H","UseDPDF=Y")</f>
        <v>-58.8</v>
      </c>
      <c r="I50" s="20">
        <f>_xll.BDH("BLUE US Equity","IS_DIL_EPS_BEF_XO","FQ4 2020","FQ4 2020","Currency=USD","Period=FQ","BEST_FPERIOD_OVERRIDE=FQ","FILING_STATUS=MR","Sort=A","Dates=H","DateFormat=P","Fill=—","Direction=H","UseDPDF=Y")</f>
        <v>-41</v>
      </c>
      <c r="J50" s="20">
        <f>_xll.BDH("BLUE US Equity","IS_DIL_EPS_BEF_XO","FQ1 2021","FQ1 2021","Currency=USD","Period=FQ","BEST_FPERIOD_OVERRIDE=FQ","FILING_STATUS=MR","Sort=A","Dates=H","DateFormat=P","Fill=—","Direction=H","UseDPDF=Y")</f>
        <v>-36.200000000000003</v>
      </c>
      <c r="K50" s="20">
        <f>_xll.BDH("BLUE US Equity","IS_DIL_EPS_BEF_XO","FQ2 2021","FQ2 2021","Currency=USD","Period=FQ","BEST_FPERIOD_OVERRIDE=FQ","FILING_STATUS=MR","Sort=A","Dates=H","DateFormat=P","Fill=—","Direction=H","UseDPDF=Y")</f>
        <v>-71.599999999999994</v>
      </c>
      <c r="L50" s="20">
        <f>_xll.BDH("BLUE US Equity","IS_DIL_EPS_BEF_XO","FQ3 2021","FQ3 2021","Currency=USD","Period=FQ","BEST_FPERIOD_OVERRIDE=FQ","FILING_STATUS=MR","Sort=A","Dates=H","DateFormat=P","Fill=—","Direction=H","UseDPDF=Y")</f>
        <v>-44.6</v>
      </c>
      <c r="M50" s="20">
        <f>_xll.BDH("BLUE US Equity","IS_DIL_EPS_BEF_XO","FQ4 2021","FQ4 2021","Currency=USD","Period=FQ","BEST_FPERIOD_OVERRIDE=FQ","FILING_STATUS=MR","Sort=A","Dates=H","DateFormat=P","Fill=—","Direction=H","UseDPDF=Y")</f>
        <v>-36.6</v>
      </c>
      <c r="N50" s="20">
        <f>_xll.BDH("BLUE US Equity","IS_DIL_EPS_BEF_XO","FQ1 2022","FQ1 2022","Currency=USD","Period=FQ","BEST_FPERIOD_OVERRIDE=FQ","FILING_STATUS=MR","Sort=A","Dates=H","DateFormat=P","Fill=—","Direction=H","UseDPDF=Y")</f>
        <v>-33.200000000000003</v>
      </c>
      <c r="O50" s="20">
        <f>_xll.BDH("BLUE US Equity","IS_DIL_EPS_BEF_XO","FQ2 2022","FQ2 2022","Currency=USD","Period=FQ","BEST_FPERIOD_OVERRIDE=FQ","FILING_STATUS=MR","Sort=A","Dates=H","DateFormat=P","Fill=—","Direction=H","UseDPDF=Y")</f>
        <v>-27.2</v>
      </c>
      <c r="P50" s="20">
        <f>_xll.BDH("BLUE US Equity","IS_DIL_EPS_BEF_XO","FQ3 2022","FQ3 2022","Currency=USD","Period=FQ","BEST_FPERIOD_OVERRIDE=FQ","FILING_STATUS=MR","Sort=A","Dates=H","DateFormat=P","Fill=—","Direction=H","UseDPDF=Y")</f>
        <v>-18.8</v>
      </c>
      <c r="Q50" s="20">
        <f>_xll.BDH("BLUE US Equity","IS_DIL_EPS_BEF_XO","FQ4 2022","FQ4 2022","Currency=USD","Period=FQ","BEST_FPERIOD_OVERRIDE=FQ","FILING_STATUS=MR","Sort=A","Dates=H","DateFormat=P","Fill=—","Direction=H","UseDPDF=Y")</f>
        <v>16.0456</v>
      </c>
      <c r="R50" s="20">
        <f>_xll.BDH("BLUE US Equity","IS_DIL_EPS_BEF_XO","FQ1 2023","FQ1 2023","Currency=USD","Period=FQ","BEST_FPERIOD_OVERRIDE=FQ","FILING_STATUS=MR","Sort=A","Dates=H","DateFormat=P","Fill=—","Direction=H","UseDPDF=Y")</f>
        <v>3.6</v>
      </c>
      <c r="S50" s="20">
        <f>_xll.BDH("BLUE US Equity","IS_DIL_EPS_BEF_XO","FQ2 2023","FQ2 2023","Currency=USD","Period=FQ","BEST_FPERIOD_OVERRIDE=FQ","FILING_STATUS=MR","Sort=A","Dates=H","DateFormat=P","Fill=—","Direction=H","UseDPDF=Y")</f>
        <v>-11.6</v>
      </c>
      <c r="T50" s="20">
        <f>_xll.BDH("BLUE US Equity","IS_DIL_EPS_BEF_XO","FQ3 2023","FQ3 2023","Currency=USD","Period=FQ","BEST_FPERIOD_OVERRIDE=FQ","FILING_STATUS=MR","Sort=A","Dates=H","DateFormat=P","Fill=—","Direction=H","UseDPDF=Y")</f>
        <v>-16</v>
      </c>
      <c r="U50" s="20">
        <f>_xll.BDH("BLUE US Equity","IS_DIL_EPS_BEF_XO","FQ4 2023","FQ4 2023","Currency=USD","Period=FQ","BEST_FPERIOD_OVERRIDE=FQ","FILING_STATUS=MR","Sort=A","Dates=H","DateFormat=P","Fill=—","Direction=H","UseDPDF=Y")</f>
        <v>-14.9269</v>
      </c>
      <c r="V50" s="20">
        <f>_xll.BDH("BLUE US Equity","IS_DIL_EPS_BEF_XO","FQ1 2024","FQ1 2024","Currency=USD","Period=FQ","BEST_FPERIOD_OVERRIDE=FQ","FILING_STATUS=MR","Sort=A","Dates=H","DateFormat=P","Fill=—","Direction=H","UseDPDF=Y")</f>
        <v>-7.2</v>
      </c>
      <c r="W50" s="20">
        <f>_xll.BDH("BLUE US Equity","IS_DIL_EPS_BEF_XO","FQ2 2024","FQ2 2024","Currency=USD","Period=FQ","BEST_FPERIOD_OVERRIDE=FQ","FILING_STATUS=MR","Sort=A","Dates=H","DateFormat=P","Fill=—","Direction=H","UseDPDF=Y")</f>
        <v>-8.4</v>
      </c>
      <c r="X50" s="20">
        <f>_xll.BDH("BLUE US Equity","IS_DIL_EPS_BEF_XO","FQ3 2024","FQ3 2024","Currency=USD","Period=FQ","BEST_FPERIOD_OVERRIDE=FQ","FILING_STATUS=MR","Sort=A","Dates=H","DateFormat=P","Fill=—","Direction=H","UseDPDF=Y")</f>
        <v>-6.2</v>
      </c>
      <c r="Y50" s="20">
        <f>_xll.BDH("BLUE US Equity","IS_DIL_EPS_BEF_XO","FQ4 2024","FQ4 2024","Currency=USD","Period=FQ","BEST_FPERIOD_OVERRIDE=FQ","FILING_STATUS=MR","Sort=A","Dates=H","DateFormat=P","Fill=—","Direction=H","UseDPDF=Y")</f>
        <v>-2.9571000000000001</v>
      </c>
      <c r="Z50" s="20">
        <v>-2.36</v>
      </c>
      <c r="AA50" s="20">
        <v>-0.81899999999999995</v>
      </c>
    </row>
    <row r="51" spans="1:27" x14ac:dyDescent="0.25">
      <c r="A51" s="6" t="s">
        <v>351</v>
      </c>
      <c r="B51" s="6" t="s">
        <v>82</v>
      </c>
      <c r="C51" s="20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D51" s="20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E51" s="20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F51" s="20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G51" s="20">
        <f>_xll.BDH("BLUE US Equity","IS_DIL_EPS_CONT_OPS","FQ2 2020","FQ2 2020","Currency=USD","Period=FQ","BEST_FPERIOD_OVERRIDE=FQ","FILING_STATUS=MR","Sort=A","Dates=H","DateFormat=P","Fill=—","Direction=H","UseDPDF=Y")</f>
        <v>-7.633</v>
      </c>
      <c r="H51" s="20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I51" s="20">
        <f>_xll.BDH("BLUE US Equity","IS_DIL_EPS_CONT_OPS","FQ4 2020","FQ4 2020","Currency=USD","Period=FQ","BEST_FPERIOD_OVERRIDE=FQ","FILING_STATUS=MR","Sort=A","Dates=H","DateFormat=P","Fill=—","Direction=H","UseDPDF=Y")</f>
        <v>-41</v>
      </c>
      <c r="J51" s="20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K51" s="20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L51" s="20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M51" s="20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N51" s="20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O51" s="20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P51" s="20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Q51" s="20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R51" s="20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S51" s="20">
        <f>_xll.BDH("BLUE US Equity","IS_DIL_EPS_CONT_OPS","FQ2 2023","FQ2 2023","Currency=USD","Period=FQ","BEST_FPERIOD_OVERRIDE=FQ","FILING_STATUS=MR","Sort=A","Dates=H","DateFormat=P","Fill=—","Direction=H","UseDPDF=Y")</f>
        <v>-11.6</v>
      </c>
      <c r="T51" s="20">
        <f>_xll.BDH("BLUE US Equity","IS_DIL_EPS_CONT_OPS","FQ3 2023","FQ3 2023","Currency=USD","Period=FQ","BEST_FPERIOD_OVERRIDE=FQ","FILING_STATUS=MR","Sort=A","Dates=H","DateFormat=P","Fill=—","Direction=H","UseDPDF=Y")</f>
        <v>-16</v>
      </c>
      <c r="U51" s="20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V51" s="20">
        <f>_xll.BDH("BLUE US Equity","IS_DIL_EPS_CONT_OPS","FQ1 2024","FQ1 2024","Currency=USD","Period=FQ","BEST_FPERIOD_OVERRIDE=FQ","FILING_STATUS=MR","Sort=A","Dates=H","DateFormat=P","Fill=—","Direction=H","UseDPDF=Y")</f>
        <v>-7.2</v>
      </c>
      <c r="W51" s="20">
        <f>_xll.BDH("BLUE US Equity","IS_DIL_EPS_CONT_OPS","FQ2 2024","FQ2 2024","Currency=USD","Period=FQ","BEST_FPERIOD_OVERRIDE=FQ","FILING_STATUS=MR","Sort=A","Dates=H","DateFormat=P","Fill=—","Direction=H","UseDPDF=Y")</f>
        <v>-8.4</v>
      </c>
      <c r="X51" s="20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Y51" s="20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  <c r="Z51" s="20">
        <v>-2.931</v>
      </c>
      <c r="AA51" s="20">
        <v>-1.5149999999999999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6" t="s">
        <v>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0" t="s">
        <v>352</v>
      </c>
      <c r="B54" s="10" t="s">
        <v>353</v>
      </c>
      <c r="C54" s="12" t="s">
        <v>354</v>
      </c>
      <c r="D54" s="12" t="s">
        <v>354</v>
      </c>
      <c r="E54" s="12" t="s">
        <v>354</v>
      </c>
      <c r="F54" s="12" t="s">
        <v>354</v>
      </c>
      <c r="G54" s="12" t="s">
        <v>354</v>
      </c>
      <c r="H54" s="12" t="s">
        <v>354</v>
      </c>
      <c r="I54" s="12" t="s">
        <v>354</v>
      </c>
      <c r="J54" s="12" t="s">
        <v>354</v>
      </c>
      <c r="K54" s="12" t="s">
        <v>354</v>
      </c>
      <c r="L54" s="12" t="s">
        <v>354</v>
      </c>
      <c r="M54" s="12" t="s">
        <v>354</v>
      </c>
      <c r="N54" s="12" t="s">
        <v>354</v>
      </c>
      <c r="O54" s="12" t="s">
        <v>354</v>
      </c>
      <c r="P54" s="12" t="s">
        <v>354</v>
      </c>
      <c r="Q54" s="12" t="s">
        <v>354</v>
      </c>
      <c r="R54" s="12" t="s">
        <v>354</v>
      </c>
      <c r="S54" s="12" t="s">
        <v>354</v>
      </c>
      <c r="T54" s="12" t="s">
        <v>354</v>
      </c>
      <c r="U54" s="12" t="s">
        <v>354</v>
      </c>
      <c r="V54" s="12" t="s">
        <v>354</v>
      </c>
      <c r="W54" s="12" t="s">
        <v>354</v>
      </c>
      <c r="X54" s="12" t="s">
        <v>354</v>
      </c>
      <c r="Y54" s="12" t="s">
        <v>354</v>
      </c>
      <c r="Z54" s="12"/>
      <c r="AA54" s="12"/>
    </row>
    <row r="55" spans="1:27" x14ac:dyDescent="0.25">
      <c r="A55" s="10" t="s">
        <v>78</v>
      </c>
      <c r="B55" s="10" t="s">
        <v>78</v>
      </c>
      <c r="C55" s="13">
        <f>_xll.BDH("BLUE US Equity","EBITDA","FQ2 2019","FQ2 2019","Currency=USD","Period=FQ","BEST_FPERIOD_OVERRIDE=FQ","FILING_STATUS=MR","SCALING_FORMAT=MLN","FA_ADJUSTED=GAAP","Sort=A","Dates=H","DateFormat=P","Fill=—","Direction=H","UseDPDF=Y")</f>
        <v>-189.73699999999999</v>
      </c>
      <c r="D55" s="13">
        <f>_xll.BDH("BLUE US Equity","EBITDA","FQ3 2019","FQ3 2019","Currency=USD","Period=FQ","BEST_FPERIOD_OVERRIDE=FQ","FILING_STATUS=MR","SCALING_FORMAT=MLN","FA_ADJUSTED=GAAP","Sort=A","Dates=H","DateFormat=P","Fill=—","Direction=H","UseDPDF=Y")</f>
        <v>-197.02600000000001</v>
      </c>
      <c r="E55" s="13">
        <f>_xll.BDH("BLUE US Equity","EBITDA","FQ4 2019","FQ4 2019","Currency=USD","Period=FQ","BEST_FPERIOD_OVERRIDE=FQ","FILING_STATUS=MR","SCALING_FORMAT=MLN","FA_ADJUSTED=GAAP","Sort=A","Dates=H","DateFormat=P","Fill=—","Direction=H","UseDPDF=Y")</f>
        <v>-216.376</v>
      </c>
      <c r="F55" s="13">
        <f>_xll.BDH("BLUE US Equity","EBITDA","FQ1 2020","FQ1 2020","Currency=USD","Period=FQ","BEST_FPERIOD_OVERRIDE=FQ","FILING_STATUS=MR","SCALING_FORMAT=MLN","FA_ADJUSTED=GAAP","Sort=A","Dates=H","DateFormat=P","Fill=—","Direction=H","UseDPDF=Y")</f>
        <v>-198.54499999999999</v>
      </c>
      <c r="G55" s="13">
        <f>_xll.BDH("BLUE US Equity","EBITDA","FQ2 2020","FQ2 2020","Currency=USD","Period=FQ","BEST_FPERIOD_OVERRIDE=FQ","FILING_STATUS=MR","SCALING_FORMAT=MLN","FA_ADJUSTED=GAAP","Sort=A","Dates=H","DateFormat=P","Fill=—","Direction=H","UseDPDF=Y")</f>
        <v>-21.395</v>
      </c>
      <c r="H55" s="13">
        <f>_xll.BDH("BLUE US Equity","EBITDA","FQ3 2020","FQ3 2020","Currency=USD","Period=FQ","BEST_FPERIOD_OVERRIDE=FQ","FILING_STATUS=MR","SCALING_FORMAT=MLN","FA_ADJUSTED=GAAP","Sort=A","Dates=H","DateFormat=P","Fill=—","Direction=H","UseDPDF=Y")</f>
        <v>-184.74600000000001</v>
      </c>
      <c r="I55" s="13">
        <f>_xll.BDH("BLUE US Equity","EBITDA","FQ4 2020","FQ4 2020","Currency=USD","Period=FQ","BEST_FPERIOD_OVERRIDE=FQ","FILING_STATUS=MR","SCALING_FORMAT=MLN","FA_ADJUSTED=GAAP","Sort=A","Dates=H","DateFormat=P","Fill=—","Direction=H","UseDPDF=Y")</f>
        <v>-134.40899999999999</v>
      </c>
      <c r="J55" s="13">
        <f>_xll.BDH("BLUE US Equity","EBITDA","FQ1 2021","FQ1 2021","Currency=USD","Period=FQ","BEST_FPERIOD_OVERRIDE=FQ","FILING_STATUS=MR","SCALING_FORMAT=MLN","FA_ADJUSTED=GAAP","Sort=A","Dates=H","DateFormat=P","Fill=—","Direction=H","UseDPDF=Y")</f>
        <v>-140.73400000000001</v>
      </c>
      <c r="K55" s="13">
        <f>_xll.BDH("BLUE US Equity","EBITDA","FQ2 2021","FQ2 2021","Currency=USD","Period=FQ","BEST_FPERIOD_OVERRIDE=FQ","FILING_STATUS=MR","SCALING_FORMAT=MLN","FA_ADJUSTED=GAAP","Sort=A","Dates=H","DateFormat=P","Fill=—","Direction=H","UseDPDF=Y")</f>
        <v>-234.845</v>
      </c>
      <c r="L55" s="13">
        <f>_xll.BDH("BLUE US Equity","EBITDA","FQ3 2021","FQ3 2021","Currency=USD","Period=FQ","BEST_FPERIOD_OVERRIDE=FQ","FILING_STATUS=MR","SCALING_FORMAT=MLN","FA_ADJUSTED=GAAP","Sort=A","Dates=H","DateFormat=P","Fill=—","Direction=H","UseDPDF=Y")</f>
        <v>-148.46700000000001</v>
      </c>
      <c r="M55" s="13">
        <f>_xll.BDH("BLUE US Equity","EBITDA","FQ4 2021","FQ4 2021","Currency=USD","Period=FQ","BEST_FPERIOD_OVERRIDE=FQ","FILING_STATUS=MR","SCALING_FORMAT=MLN","FA_ADJUSTED=GAAP","Sort=A","Dates=H","DateFormat=P","Fill=—","Direction=H","UseDPDF=Y")</f>
        <v>-133.35300000000001</v>
      </c>
      <c r="N55" s="13">
        <f>_xll.BDH("BLUE US Equity","EBITDA","FQ1 2022","FQ1 2022","Currency=USD","Period=FQ","BEST_FPERIOD_OVERRIDE=FQ","FILING_STATUS=MR","SCALING_FORMAT=MLN","FA_ADJUSTED=GAAP","Sort=A","Dates=H","DateFormat=P","Fill=—","Direction=H","UseDPDF=Y")</f>
        <v>-119.33199999999999</v>
      </c>
      <c r="O55" s="13">
        <f>_xll.BDH("BLUE US Equity","EBITDA","FQ2 2022","FQ2 2022","Currency=USD","Period=FQ","BEST_FPERIOD_OVERRIDE=FQ","FILING_STATUS=MR","SCALING_FORMAT=MLN","FA_ADJUSTED=GAAP","Sort=A","Dates=H","DateFormat=P","Fill=—","Direction=H","UseDPDF=Y")</f>
        <v>-106.056</v>
      </c>
      <c r="P55" s="13">
        <f>_xll.BDH("BLUE US Equity","EBITDA","FQ3 2022","FQ3 2022","Currency=USD","Period=FQ","BEST_FPERIOD_OVERRIDE=FQ","FILING_STATUS=MR","SCALING_FORMAT=MLN","FA_ADJUSTED=GAAP","Sort=A","Dates=H","DateFormat=P","Fill=—","Direction=H","UseDPDF=Y")</f>
        <v>-83.394000000000005</v>
      </c>
      <c r="Q55" s="13">
        <f>_xll.BDH("BLUE US Equity","EBITDA","FQ4 2022","FQ4 2022","Currency=USD","Period=FQ","BEST_FPERIOD_OVERRIDE=FQ","FILING_STATUS=MR","SCALING_FORMAT=MLN","FA_ADJUSTED=GAAP","Sort=A","Dates=H","DateFormat=P","Fill=—","Direction=H","UseDPDF=Y")</f>
        <v>66.941000000000003</v>
      </c>
      <c r="R55" s="13">
        <f>_xll.BDH("BLUE US Equity","EBITDA","FQ1 2023","FQ1 2023","Currency=USD","Period=FQ","BEST_FPERIOD_OVERRIDE=FQ","FILING_STATUS=MR","SCALING_FORMAT=MLN","FA_ADJUSTED=GAAP","Sort=A","Dates=H","DateFormat=P","Fill=—","Direction=H","UseDPDF=Y")</f>
        <v>18.279</v>
      </c>
      <c r="S55" s="13">
        <f>_xll.BDH("BLUE US Equity","EBITDA","FQ2 2023","FQ2 2023","Currency=USD","Period=FQ","BEST_FPERIOD_OVERRIDE=FQ","FILING_STATUS=MR","SCALING_FORMAT=MLN","FA_ADJUSTED=GAAP","Sort=A","Dates=H","DateFormat=P","Fill=—","Direction=H","UseDPDF=Y")</f>
        <v>-64.542000000000002</v>
      </c>
      <c r="T55" s="13">
        <f>_xll.BDH("BLUE US Equity","EBITDA","FQ3 2023","FQ3 2023","Currency=USD","Period=FQ","BEST_FPERIOD_OVERRIDE=FQ","FILING_STATUS=MR","SCALING_FORMAT=MLN","FA_ADJUSTED=GAAP","Sort=A","Dates=H","DateFormat=P","Fill=—","Direction=H","UseDPDF=Y")</f>
        <v>-86.867999999999995</v>
      </c>
      <c r="U55" s="13">
        <f>_xll.BDH("BLUE US Equity","EBITDA","FQ4 2023","FQ4 2023","Currency=USD","Period=FQ","BEST_FPERIOD_OVERRIDE=FQ","FILING_STATUS=MR","SCALING_FORMAT=MLN","FA_ADJUSTED=GAAP","Sort=A","Dates=H","DateFormat=P","Fill=—","Direction=H","UseDPDF=Y")</f>
        <v>-57.271999999999998</v>
      </c>
      <c r="V55" s="13">
        <f>_xll.BDH("BLUE US Equity","EBITDA","FQ1 2024","FQ1 2024","Currency=USD","Period=FQ","BEST_FPERIOD_OVERRIDE=FQ","FILING_STATUS=MR","SCALING_FORMAT=MLN","FA_ADJUSTED=GAAP","Sort=A","Dates=H","DateFormat=P","Fill=—","Direction=H","UseDPDF=Y")</f>
        <v>-64.082999999999998</v>
      </c>
      <c r="W55" s="13">
        <f>_xll.BDH("BLUE US Equity","EBITDA","FQ2 2024","FQ2 2024","Currency=USD","Period=FQ","BEST_FPERIOD_OVERRIDE=FQ","FILING_STATUS=MR","SCALING_FORMAT=MLN","FA_ADJUSTED=GAAP","Sort=A","Dates=H","DateFormat=P","Fill=—","Direction=H","UseDPDF=Y")</f>
        <v>-72.64</v>
      </c>
      <c r="X55" s="13">
        <f>_xll.BDH("BLUE US Equity","EBITDA","FQ3 2024","FQ3 2024","Currency=USD","Period=FQ","BEST_FPERIOD_OVERRIDE=FQ","FILING_STATUS=MR","SCALING_FORMAT=MLN","FA_ADJUSTED=GAAP","Sort=A","Dates=H","DateFormat=P","Fill=—","Direction=H","UseDPDF=Y")</f>
        <v>-51.575000000000003</v>
      </c>
      <c r="Y55" s="13">
        <f>_xll.BDH("BLUE US Equity","EBITDA","FQ4 2024","FQ4 2024","Currency=USD","Period=FQ","BEST_FPERIOD_OVERRIDE=FQ","FILING_STATUS=MR","SCALING_FORMAT=MLN","FA_ADJUSTED=GAAP","Sort=A","Dates=H","DateFormat=P","Fill=—","Direction=H","UseDPDF=Y")</f>
        <v>-29.396999999999998</v>
      </c>
      <c r="Z55" s="13">
        <v>-44</v>
      </c>
      <c r="AA55" s="13">
        <v>-39.4</v>
      </c>
    </row>
    <row r="56" spans="1:27" x14ac:dyDescent="0.25">
      <c r="A56" s="10" t="s">
        <v>355</v>
      </c>
      <c r="B56" s="10" t="s">
        <v>356</v>
      </c>
      <c r="C56" s="14">
        <f>_xll.BDH("BLUE US Equity","EBITDA_MARGIN","FQ2 2019","FQ2 2019","Currency=USD","Period=FQ","BEST_FPERIOD_OVERRIDE=FQ","FILING_STATUS=MR","FA_ADJUSTED=GAAP","Sort=A","Dates=H","DateFormat=P","Fill=—","Direction=H","UseDPDF=Y")</f>
        <v>-1143.4186</v>
      </c>
      <c r="D56" s="14">
        <f>_xll.BDH("BLUE US Equity","EBITDA_MARGIN","FQ3 2019","FQ3 2019","Currency=USD","Period=FQ","BEST_FPERIOD_OVERRIDE=FQ","FILING_STATUS=MR","FA_ADJUSTED=GAAP","Sort=A","Dates=H","DateFormat=P","Fill=—","Direction=H","UseDPDF=Y")</f>
        <v>-1294.6717000000001</v>
      </c>
      <c r="E56" s="14">
        <f>_xll.BDH("BLUE US Equity","EBITDA_MARGIN","FQ4 2019","FQ4 2019","Currency=USD","Period=FQ","BEST_FPERIOD_OVERRIDE=FQ","FILING_STATUS=MR","FA_ADJUSTED=GAAP","Sort=A","Dates=H","DateFormat=P","Fill=—","Direction=H","UseDPDF=Y")</f>
        <v>-1705.7953</v>
      </c>
      <c r="F56" s="14">
        <f>_xll.BDH("BLUE US Equity","EBITDA_MARGIN","FQ1 2020","FQ1 2020","Currency=USD","Period=FQ","BEST_FPERIOD_OVERRIDE=FQ","FILING_STATUS=MR","FA_ADJUSTED=GAAP","Sort=A","Dates=H","DateFormat=P","Fill=—","Direction=H","UseDPDF=Y")</f>
        <v>-1482.7877000000001</v>
      </c>
      <c r="G56" s="14">
        <f>_xll.BDH("BLUE US Equity","EBITDA_MARGIN","FQ2 2020","FQ2 2020","Currency=USD","Period=FQ","BEST_FPERIOD_OVERRIDE=FQ","FILING_STATUS=MR","FA_ADJUSTED=GAAP","Sort=A","Dates=H","DateFormat=P","Fill=—","Direction=H","UseDPDF=Y")</f>
        <v>-264.26690000000002</v>
      </c>
      <c r="H56" s="14">
        <f>_xll.BDH("BLUE US Equity","EBITDA_MARGIN","FQ3 2020","FQ3 2020","Currency=USD","Period=FQ","BEST_FPERIOD_OVERRIDE=FQ","FILING_STATUS=MR","FA_ADJUSTED=GAAP","Sort=A","Dates=H","DateFormat=P","Fill=—","Direction=H","UseDPDF=Y")</f>
        <v>-248.40190000000001</v>
      </c>
      <c r="I56" s="14">
        <f>_xll.BDH("BLUE US Equity","EBITDA_MARGIN","FQ4 2020","FQ4 2020","Currency=USD","Period=FQ","BEST_FPERIOD_OVERRIDE=FQ","FILING_STATUS=MR","FA_ADJUSTED=GAAP","Sort=A","Dates=H","DateFormat=P","Fill=—","Direction=H","UseDPDF=Y")</f>
        <v>-224.5986</v>
      </c>
      <c r="J56" s="14">
        <f>_xll.BDH("BLUE US Equity","EBITDA_MARGIN","FQ1 2021","FQ1 2021","Currency=USD","Period=FQ","BEST_FPERIOD_OVERRIDE=FQ","FILING_STATUS=MR","FA_ADJUSTED=GAAP","Sort=A","Dates=H","DateFormat=P","Fill=—","Direction=H","UseDPDF=Y")</f>
        <v>-219.7072</v>
      </c>
      <c r="K56" s="14">
        <f>_xll.BDH("BLUE US Equity","EBITDA_MARGIN","FQ2 2021","FQ2 2021","Currency=USD","Period=FQ","BEST_FPERIOD_OVERRIDE=FQ","FILING_STATUS=MR","FA_ADJUSTED=GAAP","Sort=A","Dates=H","DateFormat=P","Fill=—","Direction=H","UseDPDF=Y")</f>
        <v>-2513.6003000000001</v>
      </c>
      <c r="L56" s="14">
        <f>_xll.BDH("BLUE US Equity","EBITDA_MARGIN","FQ3 2021","FQ3 2021","Currency=USD","Period=FQ","BEST_FPERIOD_OVERRIDE=FQ","FILING_STATUS=MR","FA_ADJUSTED=GAAP","Sort=A","Dates=H","DateFormat=P","Fill=—","Direction=H","UseDPDF=Y")</f>
        <v>-7016.0361999999996</v>
      </c>
      <c r="M56" s="14">
        <f>_xll.BDH("BLUE US Equity","EBITDA_MARGIN","FQ4 2021","FQ4 2021","Currency=USD","Period=FQ","BEST_FPERIOD_OVERRIDE=FQ","FILING_STATUS=MR","FA_ADJUSTED=GAAP","Sort=A","Dates=H","DateFormat=P","Fill=—","Direction=H","UseDPDF=Y")</f>
        <v>-5981.2483000000002</v>
      </c>
      <c r="N56" s="14">
        <f>_xll.BDH("BLUE US Equity","EBITDA_MARGIN","FQ1 2022","FQ1 2022","Currency=USD","Period=FQ","BEST_FPERIOD_OVERRIDE=FQ","FILING_STATUS=MR","FA_ADJUSTED=GAAP","Sort=A","Dates=H","DateFormat=P","Fill=—","Direction=H","UseDPDF=Y")</f>
        <v>-5281.4898000000003</v>
      </c>
      <c r="O56" s="14">
        <f>_xll.BDH("BLUE US Equity","EBITDA_MARGIN","FQ2 2022","FQ2 2022","Currency=USD","Period=FQ","BEST_FPERIOD_OVERRIDE=FQ","FILING_STATUS=MR","FA_ADJUSTED=GAAP","Sort=A","Dates=H","DateFormat=P","Fill=—","Direction=H","UseDPDF=Y")</f>
        <v>-8329.9063999999998</v>
      </c>
      <c r="P56" s="14">
        <f>_xll.BDH("BLUE US Equity","EBITDA_MARGIN","FQ3 2022","FQ3 2022","Currency=USD","Period=FQ","BEST_FPERIOD_OVERRIDE=FQ","FILING_STATUS=MR","FA_ADJUSTED=GAAP","Sort=A","Dates=H","DateFormat=P","Fill=—","Direction=H","UseDPDF=Y")</f>
        <v>-8600.1751000000004</v>
      </c>
      <c r="Q56" s="14">
        <f>_xll.BDH("BLUE US Equity","EBITDA_MARGIN","FQ4 2022","FQ4 2022","Currency=USD","Period=FQ","BEST_FPERIOD_OVERRIDE=FQ","FILING_STATUS=MR","FA_ADJUSTED=GAAP","Sort=A","Dates=H","DateFormat=P","Fill=—","Direction=H","UseDPDF=Y")</f>
        <v>-6723.4084000000003</v>
      </c>
      <c r="R56" s="14">
        <f>_xll.BDH("BLUE US Equity","EBITDA_MARGIN","FQ1 2023","FQ1 2023","Currency=USD","Period=FQ","BEST_FPERIOD_OVERRIDE=FQ","FILING_STATUS=MR","FA_ADJUSTED=GAAP","Sort=A","Dates=H","DateFormat=P","Fill=—","Direction=H","UseDPDF=Y")</f>
        <v>-2584.4285</v>
      </c>
      <c r="S56" s="14">
        <f>_xll.BDH("BLUE US Equity","EBITDA_MARGIN","FQ2 2023","FQ2 2023","Currency=USD","Period=FQ","BEST_FPERIOD_OVERRIDE=FQ","FILING_STATUS=MR","FA_ADJUSTED=GAAP","Sort=A","Dates=H","DateFormat=P","Fill=—","Direction=H","UseDPDF=Y")</f>
        <v>-666.90769999999998</v>
      </c>
      <c r="T56" s="14">
        <f>_xll.BDH("BLUE US Equity","EBITDA_MARGIN","FQ3 2023","FQ3 2023","Currency=USD","Period=FQ","BEST_FPERIOD_OVERRIDE=FQ","FILING_STATUS=MR","FA_ADJUSTED=GAAP","Sort=A","Dates=H","DateFormat=P","Fill=—","Direction=H","UseDPDF=Y")</f>
        <v>-304.67200000000003</v>
      </c>
      <c r="U56" s="14">
        <f>_xll.BDH("BLUE US Equity","EBITDA_MARGIN","FQ4 2023","FQ4 2023","Currency=USD","Period=FQ","BEST_FPERIOD_OVERRIDE=FQ","FILING_STATUS=MR","FA_ADJUSTED=GAAP","Sort=A","Dates=H","DateFormat=P","Fill=—","Direction=H","UseDPDF=Y")</f>
        <v>-645.49950000000001</v>
      </c>
      <c r="V56" s="14">
        <f>_xll.BDH("BLUE US Equity","EBITDA_MARGIN","FQ1 2024","FQ1 2024","Currency=USD","Period=FQ","BEST_FPERIOD_OVERRIDE=FQ","FILING_STATUS=MR","FA_ADJUSTED=GAAP","Sort=A","Dates=H","DateFormat=P","Fill=—","Direction=H","UseDPDF=Y")</f>
        <v>-597.00369999999998</v>
      </c>
      <c r="W56" s="14">
        <f>_xll.BDH("BLUE US Equity","EBITDA_MARGIN","FQ2 2024","FQ2 2024","Currency=USD","Period=FQ","BEST_FPERIOD_OVERRIDE=FQ","FILING_STATUS=MR","FA_ADJUSTED=GAAP","Sort=A","Dates=H","DateFormat=P","Fill=—","Direction=H","UseDPDF=Y")</f>
        <v>-511.59019999999998</v>
      </c>
      <c r="X56" s="14">
        <f>_xll.BDH("BLUE US Equity","EBITDA_MARGIN","FQ3 2024","FQ3 2024","Currency=USD","Period=FQ","BEST_FPERIOD_OVERRIDE=FQ","FILING_STATUS=MR","FA_ADJUSTED=GAAP","Sort=A","Dates=H","DateFormat=P","Fill=—","Direction=H","UseDPDF=Y")</f>
        <v>-462.29289999999997</v>
      </c>
      <c r="Y56" s="14">
        <f>_xll.BDH("BLUE US Equity","EBITDA_MARGIN","FQ4 2024","FQ4 2024","Currency=USD","Period=FQ","BEST_FPERIOD_OVERRIDE=FQ","FILING_STATUS=MR","FA_ADJUSTED=GAAP","Sort=A","Dates=H","DateFormat=P","Fill=—","Direction=H","UseDPDF=Y")</f>
        <v>-259.75749999999999</v>
      </c>
      <c r="Z56" s="14"/>
      <c r="AA56" s="14"/>
    </row>
    <row r="57" spans="1:27" x14ac:dyDescent="0.25">
      <c r="A57" s="10" t="s">
        <v>357</v>
      </c>
      <c r="B57" s="10" t="s">
        <v>357</v>
      </c>
      <c r="C57" s="13" t="str">
        <f>_xll.BDH("BLUE US Equity","EBITA","FQ2 2019","FQ2 2019","Currency=USD","Period=FQ","BEST_FPERIOD_OVERRIDE=FQ","FILING_STATUS=MR","SCALING_FORMAT=MLN","FA_ADJUSTED=GAAP","Sort=A","Dates=H","DateFormat=P","Fill=—","Direction=H","UseDPDF=Y")</f>
        <v>—</v>
      </c>
      <c r="D57" s="13" t="str">
        <f>_xll.BDH("BLUE US Equity","EBITA","FQ3 2019","FQ3 2019","Currency=USD","Period=FQ","BEST_FPERIOD_OVERRIDE=FQ","FILING_STATUS=MR","SCALING_FORMAT=MLN","FA_ADJUSTED=GAAP","Sort=A","Dates=H","DateFormat=P","Fill=—","Direction=H","UseDPDF=Y")</f>
        <v>—</v>
      </c>
      <c r="E57" s="13" t="str">
        <f>_xll.BDH("BLUE US Equity","EBITA","FQ4 2019","FQ4 2019","Currency=USD","Period=FQ","BEST_FPERIOD_OVERRIDE=FQ","FILING_STATUS=MR","SCALING_FORMAT=MLN","FA_ADJUSTED=GAAP","Sort=A","Dates=H","DateFormat=P","Fill=—","Direction=H","UseDPDF=Y")</f>
        <v>—</v>
      </c>
      <c r="F57" s="13" t="str">
        <f>_xll.BDH("BLUE US Equity","EBITA","FQ1 2020","FQ1 2020","Currency=USD","Period=FQ","BEST_FPERIOD_OVERRIDE=FQ","FILING_STATUS=MR","SCALING_FORMAT=MLN","FA_ADJUSTED=GAAP","Sort=A","Dates=H","DateFormat=P","Fill=—","Direction=H","UseDPDF=Y")</f>
        <v>—</v>
      </c>
      <c r="G57" s="13" t="str">
        <f>_xll.BDH("BLUE US Equity","EBITA","FQ2 2020","FQ2 2020","Currency=USD","Period=FQ","BEST_FPERIOD_OVERRIDE=FQ","FILING_STATUS=MR","SCALING_FORMAT=MLN","FA_ADJUSTED=GAAP","Sort=A","Dates=H","DateFormat=P","Fill=—","Direction=H","UseDPDF=Y")</f>
        <v>—</v>
      </c>
      <c r="H57" s="13" t="str">
        <f>_xll.BDH("BLUE US Equity","EBITA","FQ3 2020","FQ3 2020","Currency=USD","Period=FQ","BEST_FPERIOD_OVERRIDE=FQ","FILING_STATUS=MR","SCALING_FORMAT=MLN","FA_ADJUSTED=GAAP","Sort=A","Dates=H","DateFormat=P","Fill=—","Direction=H","UseDPDF=Y")</f>
        <v>—</v>
      </c>
      <c r="I57" s="13" t="str">
        <f>_xll.BDH("BLUE US Equity","EBITA","FQ4 2020","FQ4 2020","Currency=USD","Period=FQ","BEST_FPERIOD_OVERRIDE=FQ","FILING_STATUS=MR","SCALING_FORMAT=MLN","FA_ADJUSTED=GAAP","Sort=A","Dates=H","DateFormat=P","Fill=—","Direction=H","UseDPDF=Y")</f>
        <v>—</v>
      </c>
      <c r="J57" s="13" t="str">
        <f>_xll.BDH("BLUE US Equity","EBITA","FQ1 2021","FQ1 2021","Currency=USD","Period=FQ","BEST_FPERIOD_OVERRIDE=FQ","FILING_STATUS=MR","SCALING_FORMAT=MLN","FA_ADJUSTED=GAAP","Sort=A","Dates=H","DateFormat=P","Fill=—","Direction=H","UseDPDF=Y")</f>
        <v>—</v>
      </c>
      <c r="K57" s="13" t="str">
        <f>_xll.BDH("BLUE US Equity","EBITA","FQ2 2021","FQ2 2021","Currency=USD","Period=FQ","BEST_FPERIOD_OVERRIDE=FQ","FILING_STATUS=MR","SCALING_FORMAT=MLN","FA_ADJUSTED=GAAP","Sort=A","Dates=H","DateFormat=P","Fill=—","Direction=H","UseDPDF=Y")</f>
        <v>—</v>
      </c>
      <c r="L57" s="13">
        <f>_xll.BDH("BLUE US Equity","EBITA","FQ3 2021","FQ3 2021","Currency=USD","Period=FQ","BEST_FPERIOD_OVERRIDE=FQ","FILING_STATUS=MR","SCALING_FORMAT=MLN","FA_ADJUSTED=GAAP","Sort=A","Dates=H","DateFormat=P","Fill=—","Direction=H","UseDPDF=Y")</f>
        <v>-154.44900000000001</v>
      </c>
      <c r="M57" s="13" t="str">
        <f>_xll.BDH("BLUE US Equity","EBITA","FQ4 2021","FQ4 2021","Currency=USD","Period=FQ","BEST_FPERIOD_OVERRIDE=FQ","FILING_STATUS=MR","SCALING_FORMAT=MLN","FA_ADJUSTED=GAAP","Sort=A","Dates=H","DateFormat=P","Fill=—","Direction=H","UseDPDF=Y")</f>
        <v>—</v>
      </c>
      <c r="N57" s="13" t="str">
        <f>_xll.BDH("BLUE US Equity","EBITA","FQ1 2022","FQ1 2022","Currency=USD","Period=FQ","BEST_FPERIOD_OVERRIDE=FQ","FILING_STATUS=MR","SCALING_FORMAT=MLN","FA_ADJUSTED=GAAP","Sort=A","Dates=H","DateFormat=P","Fill=—","Direction=H","UseDPDF=Y")</f>
        <v>—</v>
      </c>
      <c r="O57" s="13" t="str">
        <f>_xll.BDH("BLUE US Equity","EBITA","FQ2 2022","FQ2 2022","Currency=USD","Period=FQ","BEST_FPERIOD_OVERRIDE=FQ","FILING_STATUS=MR","SCALING_FORMAT=MLN","FA_ADJUSTED=GAAP","Sort=A","Dates=H","DateFormat=P","Fill=—","Direction=H","UseDPDF=Y")</f>
        <v>—</v>
      </c>
      <c r="P57" s="13">
        <f>_xll.BDH("BLUE US Equity","EBITA","FQ3 2022","FQ3 2022","Currency=USD","Period=FQ","BEST_FPERIOD_OVERRIDE=FQ","FILING_STATUS=MR","SCALING_FORMAT=MLN","FA_ADJUSTED=GAAP","Sort=A","Dates=H","DateFormat=P","Fill=—","Direction=H","UseDPDF=Y")</f>
        <v>-84.781000000000006</v>
      </c>
      <c r="Q57" s="13" t="str">
        <f>_xll.BDH("BLUE US Equity","EBITA","FQ4 2022","FQ4 2022","Currency=USD","Period=FQ","BEST_FPERIOD_OVERRIDE=FQ","FILING_STATUS=MR","SCALING_FORMAT=MLN","FA_ADJUSTED=GAAP","Sort=A","Dates=H","DateFormat=P","Fill=—","Direction=H","UseDPDF=Y")</f>
        <v>—</v>
      </c>
      <c r="R57" s="13" t="str">
        <f>_xll.BDH("BLUE US Equity","EBITA","FQ1 2023","FQ1 2023","Currency=USD","Period=FQ","BEST_FPERIOD_OVERRIDE=FQ","FILING_STATUS=MR","SCALING_FORMAT=MLN","FA_ADJUSTED=GAAP","Sort=A","Dates=H","DateFormat=P","Fill=—","Direction=H","UseDPDF=Y")</f>
        <v>—</v>
      </c>
      <c r="S57" s="13" t="str">
        <f>_xll.BDH("BLUE US Equity","EBITA","FQ2 2023","FQ2 2023","Currency=USD","Period=FQ","BEST_FPERIOD_OVERRIDE=FQ","FILING_STATUS=MR","SCALING_FORMAT=MLN","FA_ADJUSTED=GAAP","Sort=A","Dates=H","DateFormat=P","Fill=—","Direction=H","UseDPDF=Y")</f>
        <v>—</v>
      </c>
      <c r="T57" s="13" t="str">
        <f>_xll.BDH("BLUE US Equity","EBITA","FQ3 2023","FQ3 2023","Currency=USD","Period=FQ","BEST_FPERIOD_OVERRIDE=FQ","FILING_STATUS=MR","SCALING_FORMAT=MLN","FA_ADJUSTED=GAAP","Sort=A","Dates=H","DateFormat=P","Fill=—","Direction=H","UseDPDF=Y")</f>
        <v>—</v>
      </c>
      <c r="U57" s="13" t="str">
        <f>_xll.BDH("BLUE US Equity","EBITA","FQ4 2023","FQ4 2023","Currency=USD","Period=FQ","BEST_FPERIOD_OVERRIDE=FQ","FILING_STATUS=MR","SCALING_FORMAT=MLN","FA_ADJUSTED=GAAP","Sort=A","Dates=H","DateFormat=P","Fill=—","Direction=H","UseDPDF=Y")</f>
        <v>—</v>
      </c>
      <c r="V57" s="13" t="str">
        <f>_xll.BDH("BLUE US Equity","EBITA","FQ1 2024","FQ1 2024","Currency=USD","Period=FQ","BEST_FPERIOD_OVERRIDE=FQ","FILING_STATUS=MR","SCALING_FORMAT=MLN","FA_ADJUSTED=GAAP","Sort=A","Dates=H","DateFormat=P","Fill=—","Direction=H","UseDPDF=Y")</f>
        <v>—</v>
      </c>
      <c r="W57" s="13" t="str">
        <f>_xll.BDH("BLUE US Equity","EBITA","FQ2 2024","FQ2 2024","Currency=USD","Period=FQ","BEST_FPERIOD_OVERRIDE=FQ","FILING_STATUS=MR","SCALING_FORMAT=MLN","FA_ADJUSTED=GAAP","Sort=A","Dates=H","DateFormat=P","Fill=—","Direction=H","UseDPDF=Y")</f>
        <v>—</v>
      </c>
      <c r="X57" s="13" t="str">
        <f>_xll.BDH("BLUE US Equity","EBITA","FQ3 2024","FQ3 2024","Currency=USD","Period=FQ","BEST_FPERIOD_OVERRIDE=FQ","FILING_STATUS=MR","SCALING_FORMAT=MLN","FA_ADJUSTED=GAAP","Sort=A","Dates=H","DateFormat=P","Fill=—","Direction=H","UseDPDF=Y")</f>
        <v>—</v>
      </c>
      <c r="Y57" s="13" t="str">
        <f>_xll.BDH("BLUE US Equity","EBITA","FQ4 2024","FQ4 2024","Currency=USD","Period=FQ","BEST_FPERIOD_OVERRIDE=FQ","FILING_STATUS=MR","SCALING_FORMAT=MLN","FA_ADJUSTED=GAAP","Sort=A","Dates=H","DateFormat=P","Fill=—","Direction=H","UseDPDF=Y")</f>
        <v>—</v>
      </c>
      <c r="Z57" s="13"/>
      <c r="AA57" s="13"/>
    </row>
    <row r="58" spans="1:27" x14ac:dyDescent="0.25">
      <c r="A58" s="10" t="s">
        <v>141</v>
      </c>
      <c r="B58" s="10" t="s">
        <v>141</v>
      </c>
      <c r="C58" s="13">
        <f>_xll.BDH("BLUE US Equity","EBIT","FQ2 2019","FQ2 2019","Currency=USD","Period=FQ","BEST_FPERIOD_OVERRIDE=FQ","FILING_STATUS=MR","SCALING_FORMAT=MLN","FA_ADJUSTED=GAAP","Sort=A","Dates=H","DateFormat=P","Fill=—","Direction=H","UseDPDF=Y")</f>
        <v>-202.702</v>
      </c>
      <c r="D58" s="13">
        <f>_xll.BDH("BLUE US Equity","EBIT","FQ3 2019","FQ3 2019","Currency=USD","Period=FQ","BEST_FPERIOD_OVERRIDE=FQ","FILING_STATUS=MR","SCALING_FORMAT=MLN","FA_ADJUSTED=GAAP","Sort=A","Dates=H","DateFormat=P","Fill=—","Direction=H","UseDPDF=Y")</f>
        <v>-210.416</v>
      </c>
      <c r="E58" s="13">
        <f>_xll.BDH("BLUE US Equity","EBIT","FQ4 2019","FQ4 2019","Currency=USD","Period=FQ","BEST_FPERIOD_OVERRIDE=FQ","FILING_STATUS=MR","SCALING_FORMAT=MLN","FA_ADJUSTED=GAAP","Sort=A","Dates=H","DateFormat=P","Fill=—","Direction=H","UseDPDF=Y")</f>
        <v>-230.53399999999999</v>
      </c>
      <c r="F58" s="13">
        <f>_xll.BDH("BLUE US Equity","EBIT","FQ1 2020","FQ1 2020","Currency=USD","Period=FQ","BEST_FPERIOD_OVERRIDE=FQ","FILING_STATUS=MR","SCALING_FORMAT=MLN","FA_ADJUSTED=GAAP","Sort=A","Dates=H","DateFormat=P","Fill=—","Direction=H","UseDPDF=Y")</f>
        <v>-203.42500000000001</v>
      </c>
      <c r="G58" s="13">
        <f>_xll.BDH("BLUE US Equity","EBIT","FQ2 2020","FQ2 2020","Currency=USD","Period=FQ","BEST_FPERIOD_OVERRIDE=FQ","FILING_STATUS=MR","SCALING_FORMAT=MLN","FA_ADJUSTED=GAAP","Sort=A","Dates=H","DateFormat=P","Fill=—","Direction=H","UseDPDF=Y")</f>
        <v>-25.945</v>
      </c>
      <c r="H58" s="13">
        <f>_xll.BDH("BLUE US Equity","EBIT","FQ3 2020","FQ3 2020","Currency=USD","Period=FQ","BEST_FPERIOD_OVERRIDE=FQ","FILING_STATUS=MR","SCALING_FORMAT=MLN","FA_ADJUSTED=GAAP","Sort=A","Dates=H","DateFormat=P","Fill=—","Direction=H","UseDPDF=Y")</f>
        <v>-189.69399999999999</v>
      </c>
      <c r="I58" s="13">
        <f>_xll.BDH("BLUE US Equity","EBIT","FQ4 2020","FQ4 2020","Currency=USD","Period=FQ","BEST_FPERIOD_OVERRIDE=FQ","FILING_STATUS=MR","SCALING_FORMAT=MLN","FA_ADJUSTED=GAAP","Sort=A","Dates=H","DateFormat=P","Fill=—","Direction=H","UseDPDF=Y")</f>
        <v>-139.387</v>
      </c>
      <c r="J58" s="13">
        <f>_xll.BDH("BLUE US Equity","EBIT","FQ1 2021","FQ1 2021","Currency=USD","Period=FQ","BEST_FPERIOD_OVERRIDE=FQ","FILING_STATUS=MR","SCALING_FORMAT=MLN","FA_ADJUSTED=GAAP","Sort=A","Dates=H","DateFormat=P","Fill=—","Direction=H","UseDPDF=Y")</f>
        <v>-146.09399999999999</v>
      </c>
      <c r="K58" s="13">
        <f>_xll.BDH("BLUE US Equity","EBIT","FQ2 2021","FQ2 2021","Currency=USD","Period=FQ","BEST_FPERIOD_OVERRIDE=FQ","FILING_STATUS=MR","SCALING_FORMAT=MLN","FA_ADJUSTED=GAAP","Sort=A","Dates=H","DateFormat=P","Fill=—","Direction=H","UseDPDF=Y")</f>
        <v>-240.83799999999999</v>
      </c>
      <c r="L58" s="13">
        <f>_xll.BDH("BLUE US Equity","EBIT","FQ3 2021","FQ3 2021","Currency=USD","Period=FQ","BEST_FPERIOD_OVERRIDE=FQ","FILING_STATUS=MR","SCALING_FORMAT=MLN","FA_ADJUSTED=GAAP","Sort=A","Dates=H","DateFormat=P","Fill=—","Direction=H","UseDPDF=Y")</f>
        <v>-154.44900000000001</v>
      </c>
      <c r="M58" s="13">
        <f>_xll.BDH("BLUE US Equity","EBIT","FQ4 2021","FQ4 2021","Currency=USD","Period=FQ","BEST_FPERIOD_OVERRIDE=FQ","FILING_STATUS=MR","SCALING_FORMAT=MLN","FA_ADJUSTED=GAAP","Sort=A","Dates=H","DateFormat=P","Fill=—","Direction=H","UseDPDF=Y")</f>
        <v>-135.667</v>
      </c>
      <c r="N58" s="13">
        <f>_xll.BDH("BLUE US Equity","EBIT","FQ1 2022","FQ1 2022","Currency=USD","Period=FQ","BEST_FPERIOD_OVERRIDE=FQ","FILING_STATUS=MR","SCALING_FORMAT=MLN","FA_ADJUSTED=GAAP","Sort=A","Dates=H","DateFormat=P","Fill=—","Direction=H","UseDPDF=Y")</f>
        <v>-120.346</v>
      </c>
      <c r="O58" s="13">
        <f>_xll.BDH("BLUE US Equity","EBIT","FQ2 2022","FQ2 2022","Currency=USD","Period=FQ","BEST_FPERIOD_OVERRIDE=FQ","FILING_STATUS=MR","SCALING_FORMAT=MLN","FA_ADJUSTED=GAAP","Sort=A","Dates=H","DateFormat=P","Fill=—","Direction=H","UseDPDF=Y")</f>
        <v>-107.4</v>
      </c>
      <c r="P58" s="13">
        <f>_xll.BDH("BLUE US Equity","EBIT","FQ3 2022","FQ3 2022","Currency=USD","Period=FQ","BEST_FPERIOD_OVERRIDE=FQ","FILING_STATUS=MR","SCALING_FORMAT=MLN","FA_ADJUSTED=GAAP","Sort=A","Dates=H","DateFormat=P","Fill=—","Direction=H","UseDPDF=Y")</f>
        <v>-84.781000000000006</v>
      </c>
      <c r="Q58" s="13">
        <f>_xll.BDH("BLUE US Equity","EBIT","FQ4 2022","FQ4 2022","Currency=USD","Period=FQ","BEST_FPERIOD_OVERRIDE=FQ","FILING_STATUS=MR","SCALING_FORMAT=MLN","FA_ADJUSTED=GAAP","Sort=A","Dates=H","DateFormat=P","Fill=—","Direction=H","UseDPDF=Y")</f>
        <v>62.341999999999999</v>
      </c>
      <c r="R58" s="13">
        <f>_xll.BDH("BLUE US Equity","EBIT","FQ1 2023","FQ1 2023","Currency=USD","Period=FQ","BEST_FPERIOD_OVERRIDE=FQ","FILING_STATUS=MR","SCALING_FORMAT=MLN","FA_ADJUSTED=GAAP","Sort=A","Dates=H","DateFormat=P","Fill=—","Direction=H","UseDPDF=Y")</f>
        <v>10.744999999999999</v>
      </c>
      <c r="S58" s="13">
        <f>_xll.BDH("BLUE US Equity","EBIT","FQ2 2023","FQ2 2023","Currency=USD","Period=FQ","BEST_FPERIOD_OVERRIDE=FQ","FILING_STATUS=MR","SCALING_FORMAT=MLN","FA_ADJUSTED=GAAP","Sort=A","Dates=H","DateFormat=P","Fill=—","Direction=H","UseDPDF=Y")</f>
        <v>-71.716999999999999</v>
      </c>
      <c r="T58" s="13">
        <f>_xll.BDH("BLUE US Equity","EBIT","FQ3 2023","FQ3 2023","Currency=USD","Period=FQ","BEST_FPERIOD_OVERRIDE=FQ","FILING_STATUS=MR","SCALING_FORMAT=MLN","FA_ADJUSTED=GAAP","Sort=A","Dates=H","DateFormat=P","Fill=—","Direction=H","UseDPDF=Y")</f>
        <v>-96.006</v>
      </c>
      <c r="U58" s="13">
        <f>_xll.BDH("BLUE US Equity","EBIT","FQ4 2023","FQ4 2023","Currency=USD","Period=FQ","BEST_FPERIOD_OVERRIDE=FQ","FILING_STATUS=MR","SCALING_FORMAT=MLN","FA_ADJUSTED=GAAP","Sort=A","Dates=H","DateFormat=P","Fill=—","Direction=H","UseDPDF=Y")</f>
        <v>-82.673000000000002</v>
      </c>
      <c r="V58" s="13">
        <f>_xll.BDH("BLUE US Equity","EBIT","FQ1 2024","FQ1 2024","Currency=USD","Period=FQ","BEST_FPERIOD_OVERRIDE=FQ","FILING_STATUS=MR","SCALING_FORMAT=MLN","FA_ADJUSTED=GAAP","Sort=A","Dates=H","DateFormat=P","Fill=—","Direction=H","UseDPDF=Y")</f>
        <v>-78.691999999999993</v>
      </c>
      <c r="W58" s="13">
        <f>_xll.BDH("BLUE US Equity","EBIT","FQ2 2024","FQ2 2024","Currency=USD","Period=FQ","BEST_FPERIOD_OVERRIDE=FQ","FILING_STATUS=MR","SCALING_FORMAT=MLN","FA_ADJUSTED=GAAP","Sort=A","Dates=H","DateFormat=P","Fill=—","Direction=H","UseDPDF=Y")</f>
        <v>-88.391999999999996</v>
      </c>
      <c r="X58" s="13">
        <f>_xll.BDH("BLUE US Equity","EBIT","FQ3 2024","FQ3 2024","Currency=USD","Period=FQ","BEST_FPERIOD_OVERRIDE=FQ","FILING_STATUS=MR","SCALING_FORMAT=MLN","FA_ADJUSTED=GAAP","Sort=A","Dates=H","DateFormat=P","Fill=—","Direction=H","UseDPDF=Y")</f>
        <v>-66.918999999999997</v>
      </c>
      <c r="Y58" s="13">
        <f>_xll.BDH("BLUE US Equity","EBIT","FQ4 2024","FQ4 2024","Currency=USD","Period=FQ","BEST_FPERIOD_OVERRIDE=FQ","FILING_STATUS=MR","SCALING_FORMAT=MLN","FA_ADJUSTED=GAAP","Sort=A","Dates=H","DateFormat=P","Fill=—","Direction=H","UseDPDF=Y")</f>
        <v>-36.457999999999998</v>
      </c>
      <c r="Z58" s="13">
        <v>-44.716999999999999</v>
      </c>
      <c r="AA58" s="13">
        <v>-24.567</v>
      </c>
    </row>
    <row r="59" spans="1:27" x14ac:dyDescent="0.25">
      <c r="A59" s="10" t="s">
        <v>358</v>
      </c>
      <c r="B59" s="10" t="s">
        <v>152</v>
      </c>
      <c r="C59" s="14" t="str">
        <f>_xll.BDH("BLUE US Equity","GROSS_MARGIN","FQ2 2019","FQ2 2019","Currency=USD","Period=FQ","BEST_FPERIOD_OVERRIDE=FQ","FILING_STATUS=MR","FA_ADJUSTED=GAAP","Sort=A","Dates=H","DateFormat=P","Fill=—","Direction=H","UseDPDF=Y")</f>
        <v>—</v>
      </c>
      <c r="D59" s="14" t="str">
        <f>_xll.BDH("BLUE US Equity","GROSS_MARGIN","FQ3 2019","FQ3 2019","Currency=USD","Period=FQ","BEST_FPERIOD_OVERRIDE=FQ","FILING_STATUS=MR","FA_ADJUSTED=GAAP","Sort=A","Dates=H","DateFormat=P","Fill=—","Direction=H","UseDPDF=Y")</f>
        <v>—</v>
      </c>
      <c r="E59" s="14" t="str">
        <f>_xll.BDH("BLUE US Equity","GROSS_MARGIN","FQ4 2019","FQ4 2019","Currency=USD","Period=FQ","BEST_FPERIOD_OVERRIDE=FQ","FILING_STATUS=MR","FA_ADJUSTED=GAAP","Sort=A","Dates=H","DateFormat=P","Fill=—","Direction=H","UseDPDF=Y")</f>
        <v>—</v>
      </c>
      <c r="F59" s="14" t="str">
        <f>_xll.BDH("BLUE US Equity","GROSS_MARGIN","FQ1 2020","FQ1 2020","Currency=USD","Period=FQ","BEST_FPERIOD_OVERRIDE=FQ","FILING_STATUS=MR","FA_ADJUSTED=GAAP","Sort=A","Dates=H","DateFormat=P","Fill=—","Direction=H","UseDPDF=Y")</f>
        <v>—</v>
      </c>
      <c r="G59" s="14" t="str">
        <f>_xll.BDH("BLUE US Equity","GROSS_MARGIN","FQ2 2020","FQ2 2020","Currency=USD","Period=FQ","BEST_FPERIOD_OVERRIDE=FQ","FILING_STATUS=MR","FA_ADJUSTED=GAAP","Sort=A","Dates=H","DateFormat=P","Fill=—","Direction=H","UseDPDF=Y")</f>
        <v>—</v>
      </c>
      <c r="H59" s="14" t="str">
        <f>_xll.BDH("BLUE US Equity","GROSS_MARGIN","FQ3 2020","FQ3 2020","Currency=USD","Period=FQ","BEST_FPERIOD_OVERRIDE=FQ","FILING_STATUS=MR","FA_ADJUSTED=GAAP","Sort=A","Dates=H","DateFormat=P","Fill=—","Direction=H","UseDPDF=Y")</f>
        <v>—</v>
      </c>
      <c r="I59" s="14" t="str">
        <f>_xll.BDH("BLUE US Equity","GROSS_MARGIN","FQ4 2020","FQ4 2020","Currency=USD","Period=FQ","BEST_FPERIOD_OVERRIDE=FQ","FILING_STATUS=MR","FA_ADJUSTED=GAAP","Sort=A","Dates=H","DateFormat=P","Fill=—","Direction=H","UseDPDF=Y")</f>
        <v>—</v>
      </c>
      <c r="J59" s="14">
        <f>_xll.BDH("BLUE US Equity","GROSS_MARGIN","FQ1 2021","FQ1 2021","Currency=USD","Period=FQ","BEST_FPERIOD_OVERRIDE=FQ","FILING_STATUS=MR","FA_ADJUSTED=GAAP","Sort=A","Dates=H","DateFormat=P","Fill=—","Direction=H","UseDPDF=Y")</f>
        <v>35.570500000000003</v>
      </c>
      <c r="K59" s="14" t="str">
        <f>_xll.BDH("BLUE US Equity","GROSS_MARGIN","FQ2 2021","FQ2 2021","Currency=USD","Period=FQ","BEST_FPERIOD_OVERRIDE=FQ","FILING_STATUS=MR","FA_ADJUSTED=GAAP","Sort=A","Dates=H","DateFormat=P","Fill=—","Direction=H","UseDPDF=Y")</f>
        <v>—</v>
      </c>
      <c r="L59" s="14">
        <f>_xll.BDH("BLUE US Equity","GROSS_MARGIN","FQ3 2021","FQ3 2021","Currency=USD","Period=FQ","BEST_FPERIOD_OVERRIDE=FQ","FILING_STATUS=MR","FA_ADJUSTED=GAAP","Sort=A","Dates=H","DateFormat=P","Fill=—","Direction=H","UseDPDF=Y")</f>
        <v>-1802.3552999999999</v>
      </c>
      <c r="M59" s="14">
        <f>_xll.BDH("BLUE US Equity","GROSS_MARGIN","FQ4 2021","FQ4 2021","Currency=USD","Period=FQ","BEST_FPERIOD_OVERRIDE=FQ","FILING_STATUS=MR","FA_ADJUSTED=GAAP","Sort=A","Dates=H","DateFormat=P","Fill=—","Direction=H","UseDPDF=Y")</f>
        <v>-129.2653</v>
      </c>
      <c r="N59" s="14">
        <f>_xll.BDH("BLUE US Equity","GROSS_MARGIN","FQ1 2022","FQ1 2022","Currency=USD","Period=FQ","BEST_FPERIOD_OVERRIDE=FQ","FILING_STATUS=MR","FA_ADJUSTED=GAAP","Sort=A","Dates=H","DateFormat=P","Fill=—","Direction=H","UseDPDF=Y")</f>
        <v>-327.24939999999998</v>
      </c>
      <c r="O59" s="14">
        <f>_xll.BDH("BLUE US Equity","GROSS_MARGIN","FQ2 2022","FQ2 2022","Currency=USD","Period=FQ","BEST_FPERIOD_OVERRIDE=FQ","FILING_STATUS=MR","FA_ADJUSTED=GAAP","Sort=A","Dates=H","DateFormat=P","Fill=—","Direction=H","UseDPDF=Y")</f>
        <v>-14.8782</v>
      </c>
      <c r="P59" s="14" t="str">
        <f>_xll.BDH("BLUE US Equity","GROSS_MARGIN","FQ3 2022","FQ3 2022","Currency=USD","Period=FQ","BEST_FPERIOD_OVERRIDE=FQ","FILING_STATUS=MR","FA_ADJUSTED=GAAP","Sort=A","Dates=H","DateFormat=P","Fill=—","Direction=H","UseDPDF=Y")</f>
        <v>—</v>
      </c>
      <c r="Q59" s="14">
        <f>_xll.BDH("BLUE US Equity","GROSS_MARGIN","FQ4 2022","FQ4 2022","Currency=USD","Period=FQ","BEST_FPERIOD_OVERRIDE=FQ","FILING_STATUS=MR","FA_ADJUSTED=GAAP","Sort=A","Dates=H","DateFormat=P","Fill=—","Direction=H","UseDPDF=Y")</f>
        <v>64.516099999999994</v>
      </c>
      <c r="R59" s="14">
        <f>_xll.BDH("BLUE US Equity","GROSS_MARGIN","FQ1 2023","FQ1 2023","Currency=USD","Period=FQ","BEST_FPERIOD_OVERRIDE=FQ","FILING_STATUS=MR","FA_ADJUSTED=GAAP","Sort=A","Dates=H","DateFormat=P","Fill=—","Direction=H","UseDPDF=Y")</f>
        <v>-131.49940000000001</v>
      </c>
      <c r="S59" s="14">
        <f>_xll.BDH("BLUE US Equity","GROSS_MARGIN","FQ2 2023","FQ2 2023","Currency=USD","Period=FQ","BEST_FPERIOD_OVERRIDE=FQ","FILING_STATUS=MR","FA_ADJUSTED=GAAP","Sort=A","Dates=H","DateFormat=P","Fill=—","Direction=H","UseDPDF=Y")</f>
        <v>2.8012000000000001</v>
      </c>
      <c r="T59" s="14">
        <f>_xll.BDH("BLUE US Equity","GROSS_MARGIN","FQ3 2023","FQ3 2023","Currency=USD","Period=FQ","BEST_FPERIOD_OVERRIDE=FQ","FILING_STATUS=MR","FA_ADJUSTED=GAAP","Sort=A","Dates=H","DateFormat=P","Fill=—","Direction=H","UseDPDF=Y")</f>
        <v>26.355699999999999</v>
      </c>
      <c r="U59" s="14">
        <f>_xll.BDH("BLUE US Equity","GROSS_MARGIN","FQ4 2023","FQ4 2023","Currency=USD","Period=FQ","BEST_FPERIOD_OVERRIDE=FQ","FILING_STATUS=MR","FA_ADJUSTED=GAAP","Sort=A","Dates=H","DateFormat=P","Fill=—","Direction=H","UseDPDF=Y")</f>
        <v>-22.9512</v>
      </c>
      <c r="V59" s="14">
        <f>_xll.BDH("BLUE US Equity","GROSS_MARGIN","FQ1 2024","FQ1 2024","Currency=USD","Period=FQ","BEST_FPERIOD_OVERRIDE=FQ","FILING_STATUS=MR","FA_ADJUSTED=GAAP","Sort=A","Dates=H","DateFormat=P","Fill=—","Direction=H","UseDPDF=Y")</f>
        <v>-39.255899999999997</v>
      </c>
      <c r="W59" s="14">
        <f>_xll.BDH("BLUE US Equity","GROSS_MARGIN","FQ2 2024","FQ2 2024","Currency=USD","Period=FQ","BEST_FPERIOD_OVERRIDE=FQ","FILING_STATUS=MR","FA_ADJUSTED=GAAP","Sort=A","Dates=H","DateFormat=P","Fill=—","Direction=H","UseDPDF=Y")</f>
        <v>-79.777699999999996</v>
      </c>
      <c r="X59" s="14">
        <f>_xll.BDH("BLUE US Equity","GROSS_MARGIN","FQ3 2024","FQ3 2024","Currency=USD","Period=FQ","BEST_FPERIOD_OVERRIDE=FQ","FILING_STATUS=MR","FA_ADJUSTED=GAAP","Sort=A","Dates=H","DateFormat=P","Fill=—","Direction=H","UseDPDF=Y")</f>
        <v>-11.0158</v>
      </c>
      <c r="Y59" s="14">
        <f>_xll.BDH("BLUE US Equity","GROSS_MARGIN","FQ4 2024","FQ4 2024","Currency=USD","Period=FQ","BEST_FPERIOD_OVERRIDE=FQ","FILING_STATUS=MR","FA_ADJUSTED=GAAP","Sort=A","Dates=H","DateFormat=P","Fill=—","Direction=H","UseDPDF=Y")</f>
        <v>40.8401</v>
      </c>
      <c r="Z59" s="14"/>
      <c r="AA59" s="14"/>
    </row>
    <row r="60" spans="1:27" x14ac:dyDescent="0.25">
      <c r="A60" s="10" t="s">
        <v>359</v>
      </c>
      <c r="B60" s="10" t="s">
        <v>360</v>
      </c>
      <c r="C60" s="14">
        <f>_xll.BDH("BLUE US Equity","OPER_MARGIN","FQ2 2019","FQ2 2019","Currency=USD","Period=FQ","BEST_FPERIOD_OVERRIDE=FQ","FILING_STATUS=MR","FA_ADJUSTED=GAAP","Sort=A","Dates=H","DateFormat=P","Fill=—","Direction=H","UseDPDF=Y")</f>
        <v>-1524.5337</v>
      </c>
      <c r="D60" s="14">
        <f>_xll.BDH("BLUE US Equity","OPER_MARGIN","FQ3 2019","FQ3 2019","Currency=USD","Period=FQ","BEST_FPERIOD_OVERRIDE=FQ","FILING_STATUS=MR","FA_ADJUSTED=GAAP","Sort=A","Dates=H","DateFormat=P","Fill=—","Direction=H","UseDPDF=Y")</f>
        <v>-2361.5713000000001</v>
      </c>
      <c r="E60" s="14">
        <f>_xll.BDH("BLUE US Equity","OPER_MARGIN","FQ4 2019","FQ4 2019","Currency=USD","Period=FQ","BEST_FPERIOD_OVERRIDE=FQ","FILING_STATUS=MR","FA_ADJUSTED=GAAP","Sort=A","Dates=H","DateFormat=P","Fill=—","Direction=H","UseDPDF=Y")</f>
        <v>-2306.0318000000002</v>
      </c>
      <c r="F60" s="14">
        <f>_xll.BDH("BLUE US Equity","OPER_MARGIN","FQ1 2020","FQ1 2020","Currency=USD","Period=FQ","BEST_FPERIOD_OVERRIDE=FQ","FILING_STATUS=MR","FA_ADJUSTED=GAAP","Sort=A","Dates=H","DateFormat=P","Fill=—","Direction=H","UseDPDF=Y")</f>
        <v>-930.45330000000001</v>
      </c>
      <c r="G60" s="14">
        <f>_xll.BDH("BLUE US Equity","OPER_MARGIN","FQ2 2020","FQ2 2020","Currency=USD","Period=FQ","BEST_FPERIOD_OVERRIDE=FQ","FILING_STATUS=MR","FA_ADJUSTED=GAAP","Sort=A","Dates=H","DateFormat=P","Fill=—","Direction=H","UseDPDF=Y")</f>
        <v>-13.0449</v>
      </c>
      <c r="H60" s="14">
        <f>_xll.BDH("BLUE US Equity","OPER_MARGIN","FQ3 2020","FQ3 2020","Currency=USD","Period=FQ","BEST_FPERIOD_OVERRIDE=FQ","FILING_STATUS=MR","FA_ADJUSTED=GAAP","Sort=A","Dates=H","DateFormat=P","Fill=—","Direction=H","UseDPDF=Y")</f>
        <v>-984.24739999999997</v>
      </c>
      <c r="I60" s="14" t="str">
        <f>_xll.BDH("BLUE US Equity","OPER_MARGIN","FQ4 2020","FQ4 2020","Currency=USD","Period=FQ","BEST_FPERIOD_OVERRIDE=FQ","FILING_STATUS=MR","FA_ADJUSTED=GAAP","Sort=A","Dates=H","DateFormat=P","Fill=—","Direction=H","UseDPDF=Y")</f>
        <v>—</v>
      </c>
      <c r="J60" s="14">
        <f>_xll.BDH("BLUE US Equity","OPER_MARGIN","FQ1 2021","FQ1 2021","Currency=USD","Period=FQ","BEST_FPERIOD_OVERRIDE=FQ","FILING_STATUS=MR","FA_ADJUSTED=GAAP","Sort=A","Dates=H","DateFormat=P","Fill=—","Direction=H","UseDPDF=Y")</f>
        <v>-16341.610699999999</v>
      </c>
      <c r="K60" s="14">
        <f>_xll.BDH("BLUE US Equity","OPER_MARGIN","FQ2 2021","FQ2 2021","Currency=USD","Period=FQ","BEST_FPERIOD_OVERRIDE=FQ","FILING_STATUS=MR","FA_ADJUSTED=GAAP","Sort=A","Dates=H","DateFormat=P","Fill=—","Direction=H","UseDPDF=Y")</f>
        <v>-3223.2066</v>
      </c>
      <c r="L60" s="14">
        <f>_xll.BDH("BLUE US Equity","OPER_MARGIN","FQ3 2021","FQ3 2021","Currency=USD","Period=FQ","BEST_FPERIOD_OVERRIDE=FQ","FILING_STATUS=MR","FA_ADJUSTED=GAAP","Sort=A","Dates=H","DateFormat=P","Fill=—","Direction=H","UseDPDF=Y")</f>
        <v>-15156.9185</v>
      </c>
      <c r="M60" s="14">
        <f>_xll.BDH("BLUE US Equity","OPER_MARGIN","FQ4 2021","FQ4 2021","Currency=USD","Period=FQ","BEST_FPERIOD_OVERRIDE=FQ","FILING_STATUS=MR","FA_ADJUSTED=GAAP","Sort=A","Dates=H","DateFormat=P","Fill=—","Direction=H","UseDPDF=Y")</f>
        <v>-8447.5092999999997</v>
      </c>
      <c r="N60" s="14">
        <f>_xll.BDH("BLUE US Equity","OPER_MARGIN","FQ1 2022","FQ1 2022","Currency=USD","Period=FQ","BEST_FPERIOD_OVERRIDE=FQ","FILING_STATUS=MR","FA_ADJUSTED=GAAP","Sort=A","Dates=H","DateFormat=P","Fill=—","Direction=H","UseDPDF=Y")</f>
        <v>-6187.4549999999999</v>
      </c>
      <c r="O60" s="14">
        <f>_xll.BDH("BLUE US Equity","OPER_MARGIN","FQ2 2022","FQ2 2022","Currency=USD","Period=FQ","BEST_FPERIOD_OVERRIDE=FQ","FILING_STATUS=MR","FA_ADJUSTED=GAAP","Sort=A","Dates=H","DateFormat=P","Fill=—","Direction=H","UseDPDF=Y")</f>
        <v>-7070.4411</v>
      </c>
      <c r="P60" s="14">
        <f>_xll.BDH("BLUE US Equity","OPER_MARGIN","FQ3 2022","FQ3 2022","Currency=USD","Period=FQ","BEST_FPERIOD_OVERRIDE=FQ","FILING_STATUS=MR","FA_ADJUSTED=GAAP","Sort=A","Dates=H","DateFormat=P","Fill=—","Direction=H","UseDPDF=Y")</f>
        <v>-119409.85920000001</v>
      </c>
      <c r="Q60" s="14">
        <f>_xll.BDH("BLUE US Equity","OPER_MARGIN","FQ4 2022","FQ4 2022","Currency=USD","Period=FQ","BEST_FPERIOD_OVERRIDE=FQ","FILING_STATUS=MR","FA_ADJUSTED=GAAP","Sort=A","Dates=H","DateFormat=P","Fill=—","Direction=H","UseDPDF=Y")</f>
        <v>100551.61289999999</v>
      </c>
      <c r="R60" s="14">
        <f>_xll.BDH("BLUE US Equity","OPER_MARGIN","FQ1 2023","FQ1 2023","Currency=USD","Period=FQ","BEST_FPERIOD_OVERRIDE=FQ","FILING_STATUS=MR","FA_ADJUSTED=GAAP","Sort=A","Dates=H","DateFormat=P","Fill=—","Direction=H","UseDPDF=Y")</f>
        <v>451.28100000000001</v>
      </c>
      <c r="S60" s="14">
        <f>_xll.BDH("BLUE US Equity","OPER_MARGIN","FQ2 2023","FQ2 2023","Currency=USD","Period=FQ","BEST_FPERIOD_OVERRIDE=FQ","FILING_STATUS=MR","FA_ADJUSTED=GAAP","Sort=A","Dates=H","DateFormat=P","Fill=—","Direction=H","UseDPDF=Y")</f>
        <v>-1040.8852999999999</v>
      </c>
      <c r="T60" s="14">
        <f>_xll.BDH("BLUE US Equity","OPER_MARGIN","FQ3 2023","FQ3 2023","Currency=USD","Period=FQ","BEST_FPERIOD_OVERRIDE=FQ","FILING_STATUS=MR","FA_ADJUSTED=GAAP","Sort=A","Dates=H","DateFormat=P","Fill=—","Direction=H","UseDPDF=Y")</f>
        <v>-774.74180000000001</v>
      </c>
      <c r="U60" s="14">
        <f>_xll.BDH("BLUE US Equity","OPER_MARGIN","FQ4 2023","FQ4 2023","Currency=USD","Period=FQ","BEST_FPERIOD_OVERRIDE=FQ","FILING_STATUS=MR","FA_ADJUSTED=GAAP","Sort=A","Dates=H","DateFormat=P","Fill=—","Direction=H","UseDPDF=Y")</f>
        <v>-1055.3101999999999</v>
      </c>
      <c r="V60" s="14">
        <f>_xll.BDH("BLUE US Equity","OPER_MARGIN","FQ1 2024","FQ1 2024","Currency=USD","Period=FQ","BEST_FPERIOD_OVERRIDE=FQ","FILING_STATUS=MR","FA_ADJUSTED=GAAP","Sort=A","Dates=H","DateFormat=P","Fill=—","Direction=H","UseDPDF=Y")</f>
        <v>-423.69029999999998</v>
      </c>
      <c r="W60" s="14">
        <f>_xll.BDH("BLUE US Equity","OPER_MARGIN","FQ2 2024","FQ2 2024","Currency=USD","Period=FQ","BEST_FPERIOD_OVERRIDE=FQ","FILING_STATUS=MR","FA_ADJUSTED=GAAP","Sort=A","Dates=H","DateFormat=P","Fill=—","Direction=H","UseDPDF=Y")</f>
        <v>-548.98450000000003</v>
      </c>
      <c r="X60" s="14">
        <f>_xll.BDH("BLUE US Equity","OPER_MARGIN","FQ3 2024","FQ3 2024","Currency=USD","Period=FQ","BEST_FPERIOD_OVERRIDE=FQ","FILING_STATUS=MR","FA_ADJUSTED=GAAP","Sort=A","Dates=H","DateFormat=P","Fill=—","Direction=H","UseDPDF=Y")</f>
        <v>-630.59739999999999</v>
      </c>
      <c r="Y60" s="14">
        <f>_xll.BDH("BLUE US Equity","OPER_MARGIN","FQ4 2024","FQ4 2024","Currency=USD","Period=FQ","BEST_FPERIOD_OVERRIDE=FQ","FILING_STATUS=MR","FA_ADJUSTED=GAAP","Sort=A","Dates=H","DateFormat=P","Fill=—","Direction=H","UseDPDF=Y")</f>
        <v>-94.644499999999994</v>
      </c>
      <c r="Z60" s="14">
        <v>-122.455294794205</v>
      </c>
      <c r="AA60" s="14">
        <v>-42.515964903172197</v>
      </c>
    </row>
    <row r="61" spans="1:27" x14ac:dyDescent="0.25">
      <c r="A61" s="10" t="s">
        <v>361</v>
      </c>
      <c r="B61" s="10" t="s">
        <v>362</v>
      </c>
      <c r="C61" s="14">
        <f>_xll.BDH("BLUE US Equity","PROF_MARGIN","FQ2 2019","FQ2 2019","Currency=USD","Period=FQ","BEST_FPERIOD_OVERRIDE=FQ","FILING_STATUS=MR","FA_ADJUSTED=GAAP","Sort=A","Dates=H","DateFormat=P","Fill=—","Direction=H","UseDPDF=Y")</f>
        <v>-1472.4880000000001</v>
      </c>
      <c r="D61" s="14">
        <f>_xll.BDH("BLUE US Equity","PROF_MARGIN","FQ3 2019","FQ3 2019","Currency=USD","Period=FQ","BEST_FPERIOD_OVERRIDE=FQ","FILING_STATUS=MR","FA_ADJUSTED=GAAP","Sort=A","Dates=H","DateFormat=P","Fill=—","Direction=H","UseDPDF=Y")</f>
        <v>-2312.3793000000001</v>
      </c>
      <c r="E61" s="14">
        <f>_xll.BDH("BLUE US Equity","PROF_MARGIN","FQ4 2019","FQ4 2019","Currency=USD","Period=FQ","BEST_FPERIOD_OVERRIDE=FQ","FILING_STATUS=MR","FA_ADJUSTED=GAAP","Sort=A","Dates=H","DateFormat=P","Fill=—","Direction=H","UseDPDF=Y")</f>
        <v>-2234.1401999999998</v>
      </c>
      <c r="F61" s="14">
        <f>_xll.BDH("BLUE US Equity","PROF_MARGIN","FQ1 2020","FQ1 2020","Currency=USD","Period=FQ","BEST_FPERIOD_OVERRIDE=FQ","FILING_STATUS=MR","FA_ADJUSTED=GAAP","Sort=A","Dates=H","DateFormat=P","Fill=—","Direction=H","UseDPDF=Y")</f>
        <v>-926.73009999999999</v>
      </c>
      <c r="G61" s="14">
        <f>_xll.BDH("BLUE US Equity","PROF_MARGIN","FQ2 2020","FQ2 2020","Currency=USD","Period=FQ","BEST_FPERIOD_OVERRIDE=FQ","FILING_STATUS=MR","FA_ADJUSTED=GAAP","Sort=A","Dates=H","DateFormat=P","Fill=—","Direction=H","UseDPDF=Y")</f>
        <v>-10.792400000000001</v>
      </c>
      <c r="H61" s="14">
        <f>_xll.BDH("BLUE US Equity","PROF_MARGIN","FQ3 2020","FQ3 2020","Currency=USD","Period=FQ","BEST_FPERIOD_OVERRIDE=FQ","FILING_STATUS=MR","FA_ADJUSTED=GAAP","Sort=A","Dates=H","DateFormat=P","Fill=—","Direction=H","UseDPDF=Y")</f>
        <v>-1010.455</v>
      </c>
      <c r="I61" s="14" t="str">
        <f>_xll.BDH("BLUE US Equity","PROF_MARGIN","FQ4 2020","FQ4 2020","Currency=USD","Period=FQ","BEST_FPERIOD_OVERRIDE=FQ","FILING_STATUS=MR","FA_ADJUSTED=GAAP","Sort=A","Dates=H","DateFormat=P","Fill=—","Direction=H","UseDPDF=Y")</f>
        <v>—</v>
      </c>
      <c r="J61" s="14">
        <f>_xll.BDH("BLUE US Equity","PROF_MARGIN","FQ1 2021","FQ1 2021","Currency=USD","Period=FQ","BEST_FPERIOD_OVERRIDE=FQ","FILING_STATUS=MR","FA_ADJUSTED=GAAP","Sort=A","Dates=H","DateFormat=P","Fill=—","Direction=H","UseDPDF=Y")</f>
        <v>-23021.0291</v>
      </c>
      <c r="K61" s="14">
        <f>_xll.BDH("BLUE US Equity","PROF_MARGIN","FQ2 2021","FQ2 2021","Currency=USD","Period=FQ","BEST_FPERIOD_OVERRIDE=FQ","FILING_STATUS=MR","FA_ADJUSTED=GAAP","Sort=A","Dates=H","DateFormat=P","Fill=—","Direction=H","UseDPDF=Y")</f>
        <v>-3234.7698</v>
      </c>
      <c r="L61" s="14">
        <f>_xll.BDH("BLUE US Equity","PROF_MARGIN","FQ3 2021","FQ3 2021","Currency=USD","Period=FQ","BEST_FPERIOD_OVERRIDE=FQ","FILING_STATUS=MR","FA_ADJUSTED=GAAP","Sort=A","Dates=H","DateFormat=P","Fill=—","Direction=H","UseDPDF=Y")</f>
        <v>-21277.330699999999</v>
      </c>
      <c r="M61" s="14">
        <f>_xll.BDH("BLUE US Equity","PROF_MARGIN","FQ4 2021","FQ4 2021","Currency=USD","Period=FQ","BEST_FPERIOD_OVERRIDE=FQ","FILING_STATUS=MR","FA_ADJUSTED=GAAP","Sort=A","Dates=H","DateFormat=P","Fill=—","Direction=H","UseDPDF=Y")</f>
        <v>-9654.5455000000002</v>
      </c>
      <c r="N61" s="14">
        <f>_xll.BDH("BLUE US Equity","PROF_MARGIN","FQ1 2022","FQ1 2022","Currency=USD","Period=FQ","BEST_FPERIOD_OVERRIDE=FQ","FILING_STATUS=MR","FA_ADJUSTED=GAAP","Sort=A","Dates=H","DateFormat=P","Fill=—","Direction=H","UseDPDF=Y")</f>
        <v>-6280.3085000000001</v>
      </c>
      <c r="O61" s="14">
        <f>_xll.BDH("BLUE US Equity","PROF_MARGIN","FQ2 2022","FQ2 2022","Currency=USD","Period=FQ","BEST_FPERIOD_OVERRIDE=FQ","FILING_STATUS=MR","FA_ADJUSTED=GAAP","Sort=A","Dates=H","DateFormat=P","Fill=—","Direction=H","UseDPDF=Y")</f>
        <v>-6592.3634000000002</v>
      </c>
      <c r="P61" s="14">
        <f>_xll.BDH("BLUE US Equity","PROF_MARGIN","FQ3 2022","FQ3 2022","Currency=USD","Period=FQ","BEST_FPERIOD_OVERRIDE=FQ","FILING_STATUS=MR","FA_ADJUSTED=GAAP","Sort=A","Dates=H","DateFormat=P","Fill=—","Direction=H","UseDPDF=Y")</f>
        <v>-107774.6479</v>
      </c>
      <c r="Q61" s="14">
        <f>_xll.BDH("BLUE US Equity","PROF_MARGIN","FQ4 2022","FQ4 2022","Currency=USD","Period=FQ","BEST_FPERIOD_OVERRIDE=FQ","FILING_STATUS=MR","FA_ADJUSTED=GAAP","Sort=A","Dates=H","DateFormat=P","Fill=—","Direction=H","UseDPDF=Y")</f>
        <v>110432.25810000001</v>
      </c>
      <c r="R61" s="14">
        <f>_xll.BDH("BLUE US Equity","PROF_MARGIN","FQ1 2023","FQ1 2023","Currency=USD","Period=FQ","BEST_FPERIOD_OVERRIDE=FQ","FILING_STATUS=MR","FA_ADJUSTED=GAAP","Sort=A","Dates=H","DateFormat=P","Fill=—","Direction=H","UseDPDF=Y")</f>
        <v>795.04409999999996</v>
      </c>
      <c r="S61" s="14">
        <f>_xll.BDH("BLUE US Equity","PROF_MARGIN","FQ2 2023","FQ2 2023","Currency=USD","Period=FQ","BEST_FPERIOD_OVERRIDE=FQ","FILING_STATUS=MR","FA_ADJUSTED=GAAP","Sort=A","Dates=H","DateFormat=P","Fill=—","Direction=H","UseDPDF=Y")</f>
        <v>-911.30619999999999</v>
      </c>
      <c r="T61" s="14">
        <f>_xll.BDH("BLUE US Equity","PROF_MARGIN","FQ3 2023","FQ3 2023","Currency=USD","Period=FQ","BEST_FPERIOD_OVERRIDE=FQ","FILING_STATUS=MR","FA_ADJUSTED=GAAP","Sort=A","Dates=H","DateFormat=P","Fill=—","Direction=H","UseDPDF=Y")</f>
        <v>-703.93799999999999</v>
      </c>
      <c r="U61" s="14">
        <f>_xll.BDH("BLUE US Equity","PROF_MARGIN","FQ4 2023","FQ4 2023","Currency=USD","Period=FQ","BEST_FPERIOD_OVERRIDE=FQ","FILING_STATUS=MR","FA_ADJUSTED=GAAP","Sort=A","Dates=H","DateFormat=P","Fill=—","Direction=H","UseDPDF=Y")</f>
        <v>-1129.8697999999999</v>
      </c>
      <c r="V61" s="14">
        <f>_xll.BDH("BLUE US Equity","PROF_MARGIN","FQ1 2024","FQ1 2024","Currency=USD","Period=FQ","BEST_FPERIOD_OVERRIDE=FQ","FILING_STATUS=MR","FA_ADJUSTED=GAAP","Sort=A","Dates=H","DateFormat=P","Fill=—","Direction=H","UseDPDF=Y")</f>
        <v>-375.83589999999998</v>
      </c>
      <c r="W61" s="14">
        <f>_xll.BDH("BLUE US Equity","PROF_MARGIN","FQ2 2024","FQ2 2024","Currency=USD","Period=FQ","BEST_FPERIOD_OVERRIDE=FQ","FILING_STATUS=MR","FA_ADJUSTED=GAAP","Sort=A","Dates=H","DateFormat=P","Fill=—","Direction=H","UseDPDF=Y")</f>
        <v>-505.51519999999999</v>
      </c>
      <c r="X61" s="14">
        <f>_xll.BDH("BLUE US Equity","PROF_MARGIN","FQ3 2024","FQ3 2024","Currency=USD","Period=FQ","BEST_FPERIOD_OVERRIDE=FQ","FILING_STATUS=MR","FA_ADJUSTED=GAAP","Sort=A","Dates=H","DateFormat=P","Fill=—","Direction=H","UseDPDF=Y")</f>
        <v>-573.01170000000002</v>
      </c>
      <c r="Y61" s="14">
        <f>_xll.BDH("BLUE US Equity","PROF_MARGIN","FQ4 2024","FQ4 2024","Currency=USD","Period=FQ","BEST_FPERIOD_OVERRIDE=FQ","FILING_STATUS=MR","FA_ADJUSTED=GAAP","Sort=A","Dates=H","DateFormat=P","Fill=—","Direction=H","UseDPDF=Y")</f>
        <v>-74.530799999999999</v>
      </c>
      <c r="Z61" s="14">
        <v>-116.337596188077</v>
      </c>
      <c r="AA61" s="14">
        <v>-49.524946783656098</v>
      </c>
    </row>
    <row r="62" spans="1:27" x14ac:dyDescent="0.25">
      <c r="A62" s="10" t="s">
        <v>363</v>
      </c>
      <c r="B62" s="10" t="s">
        <v>364</v>
      </c>
      <c r="C62" s="14" t="str">
        <f>_xll.BDH("BLUE US Equity","ACTUAL_SALES_PER_EMPL","FQ2 2019","FQ2 2019","Currency=USD","Period=FQ","BEST_FPERIOD_OVERRIDE=FQ","FILING_STATUS=MR","FA_ADJUSTED=GAAP","Sort=A","Dates=H","DateFormat=P","Fill=—","Direction=H","UseDPDF=Y")</f>
        <v>—</v>
      </c>
      <c r="D62" s="14" t="str">
        <f>_xll.BDH("BLUE US Equity","ACTUAL_SALES_PER_EMPL","FQ3 2019","FQ3 2019","Currency=USD","Period=FQ","BEST_FPERIOD_OVERRIDE=FQ","FILING_STATUS=MR","FA_ADJUSTED=GAAP","Sort=A","Dates=H","DateFormat=P","Fill=—","Direction=H","UseDPDF=Y")</f>
        <v>—</v>
      </c>
      <c r="E62" s="14">
        <f>_xll.BDH("BLUE US Equity","ACTUAL_SALES_PER_EMPL","FQ4 2019","FQ4 2019","Currency=USD","Period=FQ","BEST_FPERIOD_OVERRIDE=FQ","FILING_STATUS=MR","FA_ADJUSTED=GAAP","Sort=A","Dates=H","DateFormat=P","Fill=—","Direction=H","UseDPDF=Y")</f>
        <v>9878.4585000000006</v>
      </c>
      <c r="F62" s="14" t="str">
        <f>_xll.BDH("BLUE US Equity","ACTUAL_SALES_PER_EMPL","FQ1 2020","FQ1 2020","Currency=USD","Period=FQ","BEST_FPERIOD_OVERRIDE=FQ","FILING_STATUS=MR","FA_ADJUSTED=GAAP","Sort=A","Dates=H","DateFormat=P","Fill=—","Direction=H","UseDPDF=Y")</f>
        <v>—</v>
      </c>
      <c r="G62" s="14" t="str">
        <f>_xll.BDH("BLUE US Equity","ACTUAL_SALES_PER_EMPL","FQ2 2020","FQ2 2020","Currency=USD","Period=FQ","BEST_FPERIOD_OVERRIDE=FQ","FILING_STATUS=MR","FA_ADJUSTED=GAAP","Sort=A","Dates=H","DateFormat=P","Fill=—","Direction=H","UseDPDF=Y")</f>
        <v>—</v>
      </c>
      <c r="H62" s="14" t="str">
        <f>_xll.BDH("BLUE US Equity","ACTUAL_SALES_PER_EMPL","FQ3 2020","FQ3 2020","Currency=USD","Period=FQ","BEST_FPERIOD_OVERRIDE=FQ","FILING_STATUS=MR","FA_ADJUSTED=GAAP","Sort=A","Dates=H","DateFormat=P","Fill=—","Direction=H","UseDPDF=Y")</f>
        <v>—</v>
      </c>
      <c r="I62" s="14">
        <f>_xll.BDH("BLUE US Equity","ACTUAL_SALES_PER_EMPL","FQ4 2020","FQ4 2020","Currency=USD","Period=FQ","BEST_FPERIOD_OVERRIDE=FQ","FILING_STATUS=MR","FA_ADJUSTED=GAAP","Sort=A","Dates=H","DateFormat=P","Fill=—","Direction=H","UseDPDF=Y")</f>
        <v>0</v>
      </c>
      <c r="J62" s="14" t="str">
        <f>_xll.BDH("BLUE US Equity","ACTUAL_SALES_PER_EMPL","FQ1 2021","FQ1 2021","Currency=USD","Period=FQ","BEST_FPERIOD_OVERRIDE=FQ","FILING_STATUS=MR","FA_ADJUSTED=GAAP","Sort=A","Dates=H","DateFormat=P","Fill=—","Direction=H","UseDPDF=Y")</f>
        <v>—</v>
      </c>
      <c r="K62" s="14" t="str">
        <f>_xll.BDH("BLUE US Equity","ACTUAL_SALES_PER_EMPL","FQ2 2021","FQ2 2021","Currency=USD","Period=FQ","BEST_FPERIOD_OVERRIDE=FQ","FILING_STATUS=MR","FA_ADJUSTED=GAAP","Sort=A","Dates=H","DateFormat=P","Fill=—","Direction=H","UseDPDF=Y")</f>
        <v>—</v>
      </c>
      <c r="L62" s="14" t="str">
        <f>_xll.BDH("BLUE US Equity","ACTUAL_SALES_PER_EMPL","FQ3 2021","FQ3 2021","Currency=USD","Period=FQ","BEST_FPERIOD_OVERRIDE=FQ","FILING_STATUS=MR","FA_ADJUSTED=GAAP","Sort=A","Dates=H","DateFormat=P","Fill=—","Direction=H","UseDPDF=Y")</f>
        <v>—</v>
      </c>
      <c r="M62" s="14">
        <f>_xll.BDH("BLUE US Equity","ACTUAL_SALES_PER_EMPL","FQ4 2021","FQ4 2021","Currency=USD","Period=FQ","BEST_FPERIOD_OVERRIDE=FQ","FILING_STATUS=MR","FA_ADJUSTED=GAAP","Sort=A","Dates=H","DateFormat=P","Fill=—","Direction=H","UseDPDF=Y")</f>
        <v>3100.3861000000002</v>
      </c>
      <c r="N62" s="14" t="str">
        <f>_xll.BDH("BLUE US Equity","ACTUAL_SALES_PER_EMPL","FQ1 2022","FQ1 2022","Currency=USD","Period=FQ","BEST_FPERIOD_OVERRIDE=FQ","FILING_STATUS=MR","FA_ADJUSTED=GAAP","Sort=A","Dates=H","DateFormat=P","Fill=—","Direction=H","UseDPDF=Y")</f>
        <v>—</v>
      </c>
      <c r="O62" s="14" t="str">
        <f>_xll.BDH("BLUE US Equity","ACTUAL_SALES_PER_EMPL","FQ2 2022","FQ2 2022","Currency=USD","Period=FQ","BEST_FPERIOD_OVERRIDE=FQ","FILING_STATUS=MR","FA_ADJUSTED=GAAP","Sort=A","Dates=H","DateFormat=P","Fill=—","Direction=H","UseDPDF=Y")</f>
        <v>—</v>
      </c>
      <c r="P62" s="14" t="str">
        <f>_xll.BDH("BLUE US Equity","ACTUAL_SALES_PER_EMPL","FQ3 2022","FQ3 2022","Currency=USD","Period=FQ","BEST_FPERIOD_OVERRIDE=FQ","FILING_STATUS=MR","FA_ADJUSTED=GAAP","Sort=A","Dates=H","DateFormat=P","Fill=—","Direction=H","UseDPDF=Y")</f>
        <v>—</v>
      </c>
      <c r="Q62" s="14">
        <f>_xll.BDH("BLUE US Equity","ACTUAL_SALES_PER_EMPL","FQ4 2022","FQ4 2022","Currency=USD","Period=FQ","BEST_FPERIOD_OVERRIDE=FQ","FILING_STATUS=MR","FA_ADJUSTED=GAAP","Sort=A","Dates=H","DateFormat=P","Fill=—","Direction=H","UseDPDF=Y")</f>
        <v>191.95050000000001</v>
      </c>
      <c r="R62" s="14" t="str">
        <f>_xll.BDH("BLUE US Equity","ACTUAL_SALES_PER_EMPL","FQ1 2023","FQ1 2023","Currency=USD","Period=FQ","BEST_FPERIOD_OVERRIDE=FQ","FILING_STATUS=MR","FA_ADJUSTED=GAAP","Sort=A","Dates=H","DateFormat=P","Fill=—","Direction=H","UseDPDF=Y")</f>
        <v>—</v>
      </c>
      <c r="S62" s="14" t="str">
        <f>_xll.BDH("BLUE US Equity","ACTUAL_SALES_PER_EMPL","FQ2 2023","FQ2 2023","Currency=USD","Period=FQ","BEST_FPERIOD_OVERRIDE=FQ","FILING_STATUS=MR","FA_ADJUSTED=GAAP","Sort=A","Dates=H","DateFormat=P","Fill=—","Direction=H","UseDPDF=Y")</f>
        <v>—</v>
      </c>
      <c r="T62" s="14" t="str">
        <f>_xll.BDH("BLUE US Equity","ACTUAL_SALES_PER_EMPL","FQ3 2023","FQ3 2023","Currency=USD","Period=FQ","BEST_FPERIOD_OVERRIDE=FQ","FILING_STATUS=MR","FA_ADJUSTED=GAAP","Sort=A","Dates=H","DateFormat=P","Fill=—","Direction=H","UseDPDF=Y")</f>
        <v>—</v>
      </c>
      <c r="U62" s="14">
        <f>_xll.BDH("BLUE US Equity","ACTUAL_SALES_PER_EMPL","FQ4 2023","FQ4 2023","Currency=USD","Period=FQ","BEST_FPERIOD_OVERRIDE=FQ","FILING_STATUS=MR","FA_ADJUSTED=GAAP","Sort=A","Dates=H","DateFormat=P","Fill=—","Direction=H","UseDPDF=Y")</f>
        <v>20890.666700000002</v>
      </c>
      <c r="V62" s="14" t="str">
        <f>_xll.BDH("BLUE US Equity","ACTUAL_SALES_PER_EMPL","FQ1 2024","FQ1 2024","Currency=USD","Period=FQ","BEST_FPERIOD_OVERRIDE=FQ","FILING_STATUS=MR","FA_ADJUSTED=GAAP","Sort=A","Dates=H","DateFormat=P","Fill=—","Direction=H","UseDPDF=Y")</f>
        <v>—</v>
      </c>
      <c r="W62" s="14" t="str">
        <f>_xll.BDH("BLUE US Equity","ACTUAL_SALES_PER_EMPL","FQ2 2024","FQ2 2024","Currency=USD","Period=FQ","BEST_FPERIOD_OVERRIDE=FQ","FILING_STATUS=MR","FA_ADJUSTED=GAAP","Sort=A","Dates=H","DateFormat=P","Fill=—","Direction=H","UseDPDF=Y")</f>
        <v>—</v>
      </c>
      <c r="X62" s="14" t="str">
        <f>_xll.BDH("BLUE US Equity","ACTUAL_SALES_PER_EMPL","FQ3 2024","FQ3 2024","Currency=USD","Period=FQ","BEST_FPERIOD_OVERRIDE=FQ","FILING_STATUS=MR","FA_ADJUSTED=GAAP","Sort=A","Dates=H","DateFormat=P","Fill=—","Direction=H","UseDPDF=Y")</f>
        <v>—</v>
      </c>
      <c r="Y62" s="14">
        <f>_xll.BDH("BLUE US Equity","ACTUAL_SALES_PER_EMPL","FQ4 2024","FQ4 2024","Currency=USD","Period=FQ","BEST_FPERIOD_OVERRIDE=FQ","FILING_STATUS=MR","FA_ADJUSTED=GAAP","Sort=A","Dates=H","DateFormat=P","Fill=—","Direction=H","UseDPDF=Y")</f>
        <v>155326.61290000001</v>
      </c>
      <c r="Z62" s="14"/>
      <c r="AA62" s="14"/>
    </row>
    <row r="63" spans="1:27" x14ac:dyDescent="0.25">
      <c r="A63" s="10" t="s">
        <v>365</v>
      </c>
      <c r="B63" s="10" t="s">
        <v>242</v>
      </c>
      <c r="C63" s="14">
        <f>_xll.BDH("BLUE US Equity","EQY_DPS","FQ2 2019","FQ2 2019","Currency=USD","Period=FQ","BEST_FPERIOD_OVERRIDE=FQ","FILING_STATUS=MR","Sort=A","Dates=H","DateFormat=P","Fill=—","Direction=H","UseDPDF=Y")</f>
        <v>0</v>
      </c>
      <c r="D63" s="14">
        <f>_xll.BDH("BLUE US Equity","EQY_DPS","FQ3 2019","FQ3 2019","Currency=USD","Period=FQ","BEST_FPERIOD_OVERRIDE=FQ","FILING_STATUS=MR","Sort=A","Dates=H","DateFormat=P","Fill=—","Direction=H","UseDPDF=Y")</f>
        <v>0</v>
      </c>
      <c r="E63" s="14">
        <f>_xll.BDH("BLUE US Equity","EQY_DPS","FQ4 2019","FQ4 2019","Currency=USD","Period=FQ","BEST_FPERIOD_OVERRIDE=FQ","FILING_STATUS=MR","Sort=A","Dates=H","DateFormat=P","Fill=—","Direction=H","UseDPDF=Y")</f>
        <v>0</v>
      </c>
      <c r="F63" s="14">
        <f>_xll.BDH("BLUE US Equity","EQY_DPS","FQ1 2020","FQ1 2020","Currency=USD","Period=FQ","BEST_FPERIOD_OVERRIDE=FQ","FILING_STATUS=MR","Sort=A","Dates=H","DateFormat=P","Fill=—","Direction=H","UseDPDF=Y")</f>
        <v>0</v>
      </c>
      <c r="G63" s="14">
        <f>_xll.BDH("BLUE US Equity","EQY_DPS","FQ2 2020","FQ2 2020","Currency=USD","Period=FQ","BEST_FPERIOD_OVERRIDE=FQ","FILING_STATUS=MR","Sort=A","Dates=H","DateFormat=P","Fill=—","Direction=H","UseDPDF=Y")</f>
        <v>0</v>
      </c>
      <c r="H63" s="14">
        <f>_xll.BDH("BLUE US Equity","EQY_DPS","FQ3 2020","FQ3 2020","Currency=USD","Period=FQ","BEST_FPERIOD_OVERRIDE=FQ","FILING_STATUS=MR","Sort=A","Dates=H","DateFormat=P","Fill=—","Direction=H","UseDPDF=Y")</f>
        <v>0</v>
      </c>
      <c r="I63" s="14">
        <f>_xll.BDH("BLUE US Equity","EQY_DPS","FQ4 2020","FQ4 2020","Currency=USD","Period=FQ","BEST_FPERIOD_OVERRIDE=FQ","FILING_STATUS=MR","Sort=A","Dates=H","DateFormat=P","Fill=—","Direction=H","UseDPDF=Y")</f>
        <v>0</v>
      </c>
      <c r="J63" s="14">
        <f>_xll.BDH("BLUE US Equity","EQY_DPS","FQ1 2021","FQ1 2021","Currency=USD","Period=FQ","BEST_FPERIOD_OVERRIDE=FQ","FILING_STATUS=MR","Sort=A","Dates=H","DateFormat=P","Fill=—","Direction=H","UseDPDF=Y")</f>
        <v>0</v>
      </c>
      <c r="K63" s="14">
        <f>_xll.BDH("BLUE US Equity","EQY_DPS","FQ2 2021","FQ2 2021","Currency=USD","Period=FQ","BEST_FPERIOD_OVERRIDE=FQ","FILING_STATUS=MR","Sort=A","Dates=H","DateFormat=P","Fill=—","Direction=H","UseDPDF=Y")</f>
        <v>0</v>
      </c>
      <c r="L63" s="14">
        <f>_xll.BDH("BLUE US Equity","EQY_DPS","FQ3 2021","FQ3 2021","Currency=USD","Period=FQ","BEST_FPERIOD_OVERRIDE=FQ","FILING_STATUS=MR","Sort=A","Dates=H","DateFormat=P","Fill=—","Direction=H","UseDPDF=Y")</f>
        <v>0</v>
      </c>
      <c r="M63" s="14">
        <f>_xll.BDH("BLUE US Equity","EQY_DPS","FQ4 2021","FQ4 2021","Currency=USD","Period=FQ","BEST_FPERIOD_OVERRIDE=FQ","FILING_STATUS=MR","Sort=A","Dates=H","DateFormat=P","Fill=—","Direction=H","UseDPDF=Y")</f>
        <v>0</v>
      </c>
      <c r="N63" s="14">
        <f>_xll.BDH("BLUE US Equity","EQY_DPS","FQ1 2022","FQ1 2022","Currency=USD","Period=FQ","BEST_FPERIOD_OVERRIDE=FQ","FILING_STATUS=MR","Sort=A","Dates=H","DateFormat=P","Fill=—","Direction=H","UseDPDF=Y")</f>
        <v>0</v>
      </c>
      <c r="O63" s="14">
        <f>_xll.BDH("BLUE US Equity","EQY_DPS","FQ2 2022","FQ2 2022","Currency=USD","Period=FQ","BEST_FPERIOD_OVERRIDE=FQ","FILING_STATUS=MR","Sort=A","Dates=H","DateFormat=P","Fill=—","Direction=H","UseDPDF=Y")</f>
        <v>0</v>
      </c>
      <c r="P63" s="14">
        <f>_xll.BDH("BLUE US Equity","EQY_DPS","FQ3 2022","FQ3 2022","Currency=USD","Period=FQ","BEST_FPERIOD_OVERRIDE=FQ","FILING_STATUS=MR","Sort=A","Dates=H","DateFormat=P","Fill=—","Direction=H","UseDPDF=Y")</f>
        <v>0</v>
      </c>
      <c r="Q63" s="14">
        <f>_xll.BDH("BLUE US Equity","EQY_DPS","FQ4 2022","FQ4 2022","Currency=USD","Period=FQ","BEST_FPERIOD_OVERRIDE=FQ","FILING_STATUS=MR","Sort=A","Dates=H","DateFormat=P","Fill=—","Direction=H","UseDPDF=Y")</f>
        <v>0</v>
      </c>
      <c r="R63" s="14">
        <f>_xll.BDH("BLUE US Equity","EQY_DPS","FQ1 2023","FQ1 2023","Currency=USD","Period=FQ","BEST_FPERIOD_OVERRIDE=FQ","FILING_STATUS=MR","Sort=A","Dates=H","DateFormat=P","Fill=—","Direction=H","UseDPDF=Y")</f>
        <v>0</v>
      </c>
      <c r="S63" s="14">
        <f>_xll.BDH("BLUE US Equity","EQY_DPS","FQ2 2023","FQ2 2023","Currency=USD","Period=FQ","BEST_FPERIOD_OVERRIDE=FQ","FILING_STATUS=MR","Sort=A","Dates=H","DateFormat=P","Fill=—","Direction=H","UseDPDF=Y")</f>
        <v>0</v>
      </c>
      <c r="T63" s="14">
        <f>_xll.BDH("BLUE US Equity","EQY_DPS","FQ3 2023","FQ3 2023","Currency=USD","Period=FQ","BEST_FPERIOD_OVERRIDE=FQ","FILING_STATUS=MR","Sort=A","Dates=H","DateFormat=P","Fill=—","Direction=H","UseDPDF=Y")</f>
        <v>0</v>
      </c>
      <c r="U63" s="14">
        <f>_xll.BDH("BLUE US Equity","EQY_DPS","FQ4 2023","FQ4 2023","Currency=USD","Period=FQ","BEST_FPERIOD_OVERRIDE=FQ","FILING_STATUS=MR","Sort=A","Dates=H","DateFormat=P","Fill=—","Direction=H","UseDPDF=Y")</f>
        <v>0</v>
      </c>
      <c r="V63" s="14">
        <f>_xll.BDH("BLUE US Equity","EQY_DPS","FQ1 2024","FQ1 2024","Currency=USD","Period=FQ","BEST_FPERIOD_OVERRIDE=FQ","FILING_STATUS=MR","Sort=A","Dates=H","DateFormat=P","Fill=—","Direction=H","UseDPDF=Y")</f>
        <v>0</v>
      </c>
      <c r="W63" s="14">
        <f>_xll.BDH("BLUE US Equity","EQY_DPS","FQ2 2024","FQ2 2024","Currency=USD","Period=FQ","BEST_FPERIOD_OVERRIDE=FQ","FILING_STATUS=MR","Sort=A","Dates=H","DateFormat=P","Fill=—","Direction=H","UseDPDF=Y")</f>
        <v>0</v>
      </c>
      <c r="X63" s="14">
        <f>_xll.BDH("BLUE US Equity","EQY_DPS","FQ3 2024","FQ3 2024","Currency=USD","Period=FQ","BEST_FPERIOD_OVERRIDE=FQ","FILING_STATUS=MR","Sort=A","Dates=H","DateFormat=P","Fill=—","Direction=H","UseDPDF=Y")</f>
        <v>0</v>
      </c>
      <c r="Y63" s="14">
        <f>_xll.BDH("BLUE US Equity","EQY_DPS","FQ4 2024","FQ4 2024","Currency=USD","Period=FQ","BEST_FPERIOD_OVERRIDE=FQ","FILING_STATUS=MR","Sort=A","Dates=H","DateFormat=P","Fill=—","Direction=H","UseDPDF=Y")</f>
        <v>0</v>
      </c>
      <c r="Z63" s="14"/>
      <c r="AA63" s="14"/>
    </row>
    <row r="64" spans="1:27" x14ac:dyDescent="0.25">
      <c r="A64" s="10" t="s">
        <v>366</v>
      </c>
      <c r="B64" s="10" t="s">
        <v>367</v>
      </c>
      <c r="C64" s="13">
        <f>_xll.BDH("BLUE US Equity","IS_TOT_CASH_COM_DVD","FQ2 2019","FQ2 2019","Currency=USD","Period=FQ","BEST_FPERIOD_OVERRIDE=FQ","FILING_STATUS=MR","SCALING_FORMAT=MLN","Sort=A","Dates=H","DateFormat=P","Fill=—","Direction=H","UseDPDF=Y")</f>
        <v>0</v>
      </c>
      <c r="D64" s="13">
        <f>_xll.BDH("BLUE US Equity","IS_TOT_CASH_COM_DVD","FQ3 2019","FQ3 2019","Currency=USD","Period=FQ","BEST_FPERIOD_OVERRIDE=FQ","FILING_STATUS=MR","SCALING_FORMAT=MLN","Sort=A","Dates=H","DateFormat=P","Fill=—","Direction=H","UseDPDF=Y")</f>
        <v>0</v>
      </c>
      <c r="E64" s="13">
        <f>_xll.BDH("BLUE US Equity","IS_TOT_CASH_COM_DVD","FQ4 2019","FQ4 2019","Currency=USD","Period=FQ","BEST_FPERIOD_OVERRIDE=FQ","FILING_STATUS=MR","SCALING_FORMAT=MLN","Sort=A","Dates=H","DateFormat=P","Fill=—","Direction=H","UseDPDF=Y")</f>
        <v>0</v>
      </c>
      <c r="F64" s="13">
        <f>_xll.BDH("BLUE US Equity","IS_TOT_CASH_COM_DVD","FQ1 2020","FQ1 2020","Currency=USD","Period=FQ","BEST_FPERIOD_OVERRIDE=FQ","FILING_STATUS=MR","SCALING_FORMAT=MLN","Sort=A","Dates=H","DateFormat=P","Fill=—","Direction=H","UseDPDF=Y")</f>
        <v>0</v>
      </c>
      <c r="G64" s="13">
        <f>_xll.BDH("BLUE US Equity","IS_TOT_CASH_COM_DVD","FQ2 2020","FQ2 2020","Currency=USD","Period=FQ","BEST_FPERIOD_OVERRIDE=FQ","FILING_STATUS=MR","SCALING_FORMAT=MLN","Sort=A","Dates=H","DateFormat=P","Fill=—","Direction=H","UseDPDF=Y")</f>
        <v>0</v>
      </c>
      <c r="H64" s="13">
        <f>_xll.BDH("BLUE US Equity","IS_TOT_CASH_COM_DVD","FQ3 2020","FQ3 2020","Currency=USD","Period=FQ","BEST_FPERIOD_OVERRIDE=FQ","FILING_STATUS=MR","SCALING_FORMAT=MLN","Sort=A","Dates=H","DateFormat=P","Fill=—","Direction=H","UseDPDF=Y")</f>
        <v>0</v>
      </c>
      <c r="I64" s="13">
        <f>_xll.BDH("BLUE US Equity","IS_TOT_CASH_COM_DVD","FQ4 2020","FQ4 2020","Currency=USD","Period=FQ","BEST_FPERIOD_OVERRIDE=FQ","FILING_STATUS=MR","SCALING_FORMAT=MLN","Sort=A","Dates=H","DateFormat=P","Fill=—","Direction=H","UseDPDF=Y")</f>
        <v>0</v>
      </c>
      <c r="J64" s="13">
        <f>_xll.BDH("BLUE US Equity","IS_TOT_CASH_COM_DVD","FQ1 2021","FQ1 2021","Currency=USD","Period=FQ","BEST_FPERIOD_OVERRIDE=FQ","FILING_STATUS=MR","SCALING_FORMAT=MLN","Sort=A","Dates=H","DateFormat=P","Fill=—","Direction=H","UseDPDF=Y")</f>
        <v>0</v>
      </c>
      <c r="K64" s="13">
        <f>_xll.BDH("BLUE US Equity","IS_TOT_CASH_COM_DVD","FQ2 2021","FQ2 2021","Currency=USD","Period=FQ","BEST_FPERIOD_OVERRIDE=FQ","FILING_STATUS=MR","SCALING_FORMAT=MLN","Sort=A","Dates=H","DateFormat=P","Fill=—","Direction=H","UseDPDF=Y")</f>
        <v>0</v>
      </c>
      <c r="L64" s="13">
        <f>_xll.BDH("BLUE US Equity","IS_TOT_CASH_COM_DVD","FQ3 2021","FQ3 2021","Currency=USD","Period=FQ","BEST_FPERIOD_OVERRIDE=FQ","FILING_STATUS=MR","SCALING_FORMAT=MLN","Sort=A","Dates=H","DateFormat=P","Fill=—","Direction=H","UseDPDF=Y")</f>
        <v>0</v>
      </c>
      <c r="M64" s="13">
        <f>_xll.BDH("BLUE US Equity","IS_TOT_CASH_COM_DVD","FQ4 2021","FQ4 2021","Currency=USD","Period=FQ","BEST_FPERIOD_OVERRIDE=FQ","FILING_STATUS=MR","SCALING_FORMAT=MLN","Sort=A","Dates=H","DateFormat=P","Fill=—","Direction=H","UseDPDF=Y")</f>
        <v>0</v>
      </c>
      <c r="N64" s="13">
        <f>_xll.BDH("BLUE US Equity","IS_TOT_CASH_COM_DVD","FQ1 2022","FQ1 2022","Currency=USD","Period=FQ","BEST_FPERIOD_OVERRIDE=FQ","FILING_STATUS=MR","SCALING_FORMAT=MLN","Sort=A","Dates=H","DateFormat=P","Fill=—","Direction=H","UseDPDF=Y")</f>
        <v>0</v>
      </c>
      <c r="O64" s="13">
        <f>_xll.BDH("BLUE US Equity","IS_TOT_CASH_COM_DVD","FQ2 2022","FQ2 2022","Currency=USD","Period=FQ","BEST_FPERIOD_OVERRIDE=FQ","FILING_STATUS=MR","SCALING_FORMAT=MLN","Sort=A","Dates=H","DateFormat=P","Fill=—","Direction=H","UseDPDF=Y")</f>
        <v>0</v>
      </c>
      <c r="P64" s="13">
        <f>_xll.BDH("BLUE US Equity","IS_TOT_CASH_COM_DVD","FQ3 2022","FQ3 2022","Currency=USD","Period=FQ","BEST_FPERIOD_OVERRIDE=FQ","FILING_STATUS=MR","SCALING_FORMAT=MLN","Sort=A","Dates=H","DateFormat=P","Fill=—","Direction=H","UseDPDF=Y")</f>
        <v>0</v>
      </c>
      <c r="Q64" s="13">
        <f>_xll.BDH("BLUE US Equity","IS_TOT_CASH_COM_DVD","FQ4 2022","FQ4 2022","Currency=USD","Period=FQ","BEST_FPERIOD_OVERRIDE=FQ","FILING_STATUS=MR","SCALING_FORMAT=MLN","Sort=A","Dates=H","DateFormat=P","Fill=—","Direction=H","UseDPDF=Y")</f>
        <v>0</v>
      </c>
      <c r="R64" s="13">
        <f>_xll.BDH("BLUE US Equity","IS_TOT_CASH_COM_DVD","FQ1 2023","FQ1 2023","Currency=USD","Period=FQ","BEST_FPERIOD_OVERRIDE=FQ","FILING_STATUS=MR","SCALING_FORMAT=MLN","Sort=A","Dates=H","DateFormat=P","Fill=—","Direction=H","UseDPDF=Y")</f>
        <v>0</v>
      </c>
      <c r="S64" s="13">
        <f>_xll.BDH("BLUE US Equity","IS_TOT_CASH_COM_DVD","FQ2 2023","FQ2 2023","Currency=USD","Period=FQ","BEST_FPERIOD_OVERRIDE=FQ","FILING_STATUS=MR","SCALING_FORMAT=MLN","Sort=A","Dates=H","DateFormat=P","Fill=—","Direction=H","UseDPDF=Y")</f>
        <v>0</v>
      </c>
      <c r="T64" s="13">
        <f>_xll.BDH("BLUE US Equity","IS_TOT_CASH_COM_DVD","FQ3 2023","FQ3 2023","Currency=USD","Period=FQ","BEST_FPERIOD_OVERRIDE=FQ","FILING_STATUS=MR","SCALING_FORMAT=MLN","Sort=A","Dates=H","DateFormat=P","Fill=—","Direction=H","UseDPDF=Y")</f>
        <v>0</v>
      </c>
      <c r="U64" s="13">
        <f>_xll.BDH("BLUE US Equity","IS_TOT_CASH_COM_DVD","FQ4 2023","FQ4 2023","Currency=USD","Period=FQ","BEST_FPERIOD_OVERRIDE=FQ","FILING_STATUS=MR","SCALING_FORMAT=MLN","Sort=A","Dates=H","DateFormat=P","Fill=—","Direction=H","UseDPDF=Y")</f>
        <v>0</v>
      </c>
      <c r="V64" s="13">
        <f>_xll.BDH("BLUE US Equity","IS_TOT_CASH_COM_DVD","FQ1 2024","FQ1 2024","Currency=USD","Period=FQ","BEST_FPERIOD_OVERRIDE=FQ","FILING_STATUS=MR","SCALING_FORMAT=MLN","Sort=A","Dates=H","DateFormat=P","Fill=—","Direction=H","UseDPDF=Y")</f>
        <v>0</v>
      </c>
      <c r="W64" s="13">
        <f>_xll.BDH("BLUE US Equity","IS_TOT_CASH_COM_DVD","FQ2 2024","FQ2 2024","Currency=USD","Period=FQ","BEST_FPERIOD_OVERRIDE=FQ","FILING_STATUS=MR","SCALING_FORMAT=MLN","Sort=A","Dates=H","DateFormat=P","Fill=—","Direction=H","UseDPDF=Y")</f>
        <v>0</v>
      </c>
      <c r="X64" s="13">
        <f>_xll.BDH("BLUE US Equity","IS_TOT_CASH_COM_DVD","FQ3 2024","FQ3 2024","Currency=USD","Period=FQ","BEST_FPERIOD_OVERRIDE=FQ","FILING_STATUS=MR","SCALING_FORMAT=MLN","Sort=A","Dates=H","DateFormat=P","Fill=—","Direction=H","UseDPDF=Y")</f>
        <v>0</v>
      </c>
      <c r="Y64" s="13">
        <f>_xll.BDH("BLUE US Equity","IS_TOT_CASH_COM_DVD","FQ4 2024","FQ4 2024","Currency=USD","Period=FQ","BEST_FPERIOD_OVERRIDE=FQ","FILING_STATUS=MR","SCALING_FORMAT=MLN","Sort=A","Dates=H","DateFormat=P","Fill=—","Direction=H","UseDPDF=Y")</f>
        <v>0</v>
      </c>
      <c r="Z64" s="13"/>
      <c r="AA64" s="13"/>
    </row>
    <row r="65" spans="1:27" x14ac:dyDescent="0.25">
      <c r="A65" s="10" t="s">
        <v>368</v>
      </c>
      <c r="B65" s="10" t="s">
        <v>369</v>
      </c>
      <c r="C65" s="13">
        <f>_xll.BDH("BLUE US Equity","IS_CAP_INT_EXP","FQ2 2019","FQ2 2019","Currency=USD","Period=FQ","BEST_FPERIOD_OVERRIDE=FQ","FILING_STATUS=MR","SCALING_FORMAT=MLN","Sort=A","Dates=H","DateFormat=P","Fill=—","Direction=H","UseDPDF=Y")</f>
        <v>0</v>
      </c>
      <c r="D65" s="13">
        <f>_xll.BDH("BLUE US Equity","IS_CAP_INT_EXP","FQ3 2019","FQ3 2019","Currency=USD","Period=FQ","BEST_FPERIOD_OVERRIDE=FQ","FILING_STATUS=MR","SCALING_FORMAT=MLN","Sort=A","Dates=H","DateFormat=P","Fill=—","Direction=H","UseDPDF=Y")</f>
        <v>0</v>
      </c>
      <c r="E65" s="13">
        <f>_xll.BDH("BLUE US Equity","IS_CAP_INT_EXP","FQ4 2019","FQ4 2019","Currency=USD","Period=FQ","BEST_FPERIOD_OVERRIDE=FQ","FILING_STATUS=MR","SCALING_FORMAT=MLN","Sort=A","Dates=H","DateFormat=P","Fill=—","Direction=H","UseDPDF=Y")</f>
        <v>0</v>
      </c>
      <c r="F65" s="13">
        <f>_xll.BDH("BLUE US Equity","IS_CAP_INT_EXP","FQ1 2020","FQ1 2020","Currency=USD","Period=FQ","BEST_FPERIOD_OVERRIDE=FQ","FILING_STATUS=MR","SCALING_FORMAT=MLN","Sort=A","Dates=H","DateFormat=P","Fill=—","Direction=H","UseDPDF=Y")</f>
        <v>0</v>
      </c>
      <c r="G65" s="13">
        <f>_xll.BDH("BLUE US Equity","IS_CAP_INT_EXP","FQ2 2020","FQ2 2020","Currency=USD","Period=FQ","BEST_FPERIOD_OVERRIDE=FQ","FILING_STATUS=MR","SCALING_FORMAT=MLN","Sort=A","Dates=H","DateFormat=P","Fill=—","Direction=H","UseDPDF=Y")</f>
        <v>0</v>
      </c>
      <c r="H65" s="13">
        <f>_xll.BDH("BLUE US Equity","IS_CAP_INT_EXP","FQ3 2020","FQ3 2020","Currency=USD","Period=FQ","BEST_FPERIOD_OVERRIDE=FQ","FILING_STATUS=MR","SCALING_FORMAT=MLN","Sort=A","Dates=H","DateFormat=P","Fill=—","Direction=H","UseDPDF=Y")</f>
        <v>0</v>
      </c>
      <c r="I65" s="13">
        <f>_xll.BDH("BLUE US Equity","IS_CAP_INT_EXP","FQ4 2020","FQ4 2020","Currency=USD","Period=FQ","BEST_FPERIOD_OVERRIDE=FQ","FILING_STATUS=MR","SCALING_FORMAT=MLN","Sort=A","Dates=H","DateFormat=P","Fill=—","Direction=H","UseDPDF=Y")</f>
        <v>0</v>
      </c>
      <c r="J65" s="13" t="str">
        <f>_xll.BDH("BLUE US Equity","IS_CAP_INT_EXP","FQ1 2021","FQ1 2021","Currency=USD","Period=FQ","BEST_FPERIOD_OVERRIDE=FQ","FILING_STATUS=MR","SCALING_FORMAT=MLN","Sort=A","Dates=H","DateFormat=P","Fill=—","Direction=H","UseDPDF=Y")</f>
        <v>—</v>
      </c>
      <c r="K65" s="13">
        <f>_xll.BDH("BLUE US Equity","IS_CAP_INT_EXP","FQ2 2021","FQ2 2021","Currency=USD","Period=FQ","BEST_FPERIOD_OVERRIDE=FQ","FILING_STATUS=MR","SCALING_FORMAT=MLN","Sort=A","Dates=H","DateFormat=P","Fill=—","Direction=H","UseDPDF=Y")</f>
        <v>0</v>
      </c>
      <c r="L65" s="13" t="str">
        <f>_xll.BDH("BLUE US Equity","IS_CAP_INT_EXP","FQ3 2021","FQ3 2021","Currency=USD","Period=FQ","BEST_FPERIOD_OVERRIDE=FQ","FILING_STATUS=MR","SCALING_FORMAT=MLN","Sort=A","Dates=H","DateFormat=P","Fill=—","Direction=H","UseDPDF=Y")</f>
        <v>—</v>
      </c>
      <c r="M65" s="13">
        <f>_xll.BDH("BLUE US Equity","IS_CAP_INT_EXP","FQ4 2021","FQ4 2021","Currency=USD","Period=FQ","BEST_FPERIOD_OVERRIDE=FQ","FILING_STATUS=MR","SCALING_FORMAT=MLN","Sort=A","Dates=H","DateFormat=P","Fill=—","Direction=H","UseDPDF=Y")</f>
        <v>0</v>
      </c>
      <c r="N65" s="13" t="str">
        <f>_xll.BDH("BLUE US Equity","IS_CAP_INT_EXP","FQ1 2022","FQ1 2022","Currency=USD","Period=FQ","BEST_FPERIOD_OVERRIDE=FQ","FILING_STATUS=MR","SCALING_FORMAT=MLN","Sort=A","Dates=H","DateFormat=P","Fill=—","Direction=H","UseDPDF=Y")</f>
        <v>—</v>
      </c>
      <c r="O65" s="13">
        <f>_xll.BDH("BLUE US Equity","IS_CAP_INT_EXP","FQ2 2022","FQ2 2022","Currency=USD","Period=FQ","BEST_FPERIOD_OVERRIDE=FQ","FILING_STATUS=MR","SCALING_FORMAT=MLN","Sort=A","Dates=H","DateFormat=P","Fill=—","Direction=H","UseDPDF=Y")</f>
        <v>0</v>
      </c>
      <c r="P65" s="13" t="str">
        <f>_xll.BDH("BLUE US Equity","IS_CAP_INT_EXP","FQ3 2022","FQ3 2022","Currency=USD","Period=FQ","BEST_FPERIOD_OVERRIDE=FQ","FILING_STATUS=MR","SCALING_FORMAT=MLN","Sort=A","Dates=H","DateFormat=P","Fill=—","Direction=H","UseDPDF=Y")</f>
        <v>—</v>
      </c>
      <c r="Q65" s="13">
        <f>_xll.BDH("BLUE US Equity","IS_CAP_INT_EXP","FQ4 2022","FQ4 2022","Currency=USD","Period=FQ","BEST_FPERIOD_OVERRIDE=FQ","FILING_STATUS=MR","SCALING_FORMAT=MLN","Sort=A","Dates=H","DateFormat=P","Fill=—","Direction=H","UseDPDF=Y")</f>
        <v>0</v>
      </c>
      <c r="R65" s="13" t="str">
        <f>_xll.BDH("BLUE US Equity","IS_CAP_INT_EXP","FQ1 2023","FQ1 2023","Currency=USD","Period=FQ","BEST_FPERIOD_OVERRIDE=FQ","FILING_STATUS=MR","SCALING_FORMAT=MLN","Sort=A","Dates=H","DateFormat=P","Fill=—","Direction=H","UseDPDF=Y")</f>
        <v>—</v>
      </c>
      <c r="S65" s="13">
        <f>_xll.BDH("BLUE US Equity","IS_CAP_INT_EXP","FQ2 2023","FQ2 2023","Currency=USD","Period=FQ","BEST_FPERIOD_OVERRIDE=FQ","FILING_STATUS=MR","SCALING_FORMAT=MLN","Sort=A","Dates=H","DateFormat=P","Fill=—","Direction=H","UseDPDF=Y")</f>
        <v>0</v>
      </c>
      <c r="T65" s="13" t="str">
        <f>_xll.BDH("BLUE US Equity","IS_CAP_INT_EXP","FQ3 2023","FQ3 2023","Currency=USD","Period=FQ","BEST_FPERIOD_OVERRIDE=FQ","FILING_STATUS=MR","SCALING_FORMAT=MLN","Sort=A","Dates=H","DateFormat=P","Fill=—","Direction=H","UseDPDF=Y")</f>
        <v>—</v>
      </c>
      <c r="U65" s="13">
        <f>_xll.BDH("BLUE US Equity","IS_CAP_INT_EXP","FQ4 2023","FQ4 2023","Currency=USD","Period=FQ","BEST_FPERIOD_OVERRIDE=FQ","FILING_STATUS=MR","SCALING_FORMAT=MLN","Sort=A","Dates=H","DateFormat=P","Fill=—","Direction=H","UseDPDF=Y")</f>
        <v>0</v>
      </c>
      <c r="V65" s="13" t="str">
        <f>_xll.BDH("BLUE US Equity","IS_CAP_INT_EXP","FQ1 2024","FQ1 2024","Currency=USD","Period=FQ","BEST_FPERIOD_OVERRIDE=FQ","FILING_STATUS=MR","SCALING_FORMAT=MLN","Sort=A","Dates=H","DateFormat=P","Fill=—","Direction=H","UseDPDF=Y")</f>
        <v>—</v>
      </c>
      <c r="W65" s="13" t="str">
        <f>_xll.BDH("BLUE US Equity","IS_CAP_INT_EXP","FQ2 2024","FQ2 2024","Currency=USD","Period=FQ","BEST_FPERIOD_OVERRIDE=FQ","FILING_STATUS=MR","SCALING_FORMAT=MLN","Sort=A","Dates=H","DateFormat=P","Fill=—","Direction=H","UseDPDF=Y")</f>
        <v>—</v>
      </c>
      <c r="X65" s="13" t="str">
        <f>_xll.BDH("BLUE US Equity","IS_CAP_INT_EXP","FQ3 2024","FQ3 2024","Currency=USD","Period=FQ","BEST_FPERIOD_OVERRIDE=FQ","FILING_STATUS=MR","SCALING_FORMAT=MLN","Sort=A","Dates=H","DateFormat=P","Fill=—","Direction=H","UseDPDF=Y")</f>
        <v>—</v>
      </c>
      <c r="Y65" s="13" t="str">
        <f>_xll.BDH("BLUE US Equity","IS_CAP_INT_EXP","FQ4 2024","FQ4 2024","Currency=USD","Period=FQ","BEST_FPERIOD_OVERRIDE=FQ","FILING_STATUS=MR","SCALING_FORMAT=MLN","Sort=A","Dates=H","DateFormat=P","Fill=—","Direction=H","UseDPDF=Y")</f>
        <v>—</v>
      </c>
      <c r="Z65" s="13"/>
      <c r="AA65" s="13"/>
    </row>
    <row r="66" spans="1:27" x14ac:dyDescent="0.25">
      <c r="A66" s="10" t="s">
        <v>370</v>
      </c>
      <c r="B66" s="10" t="s">
        <v>371</v>
      </c>
      <c r="C66" s="13" t="str">
        <f>_xll.BDH("BLUE US Equity","IS_DEPR_EXP","FQ2 2019","FQ2 2019","Currency=USD","Period=FQ","BEST_FPERIOD_OVERRIDE=FQ","FILING_STATUS=MR","SCALING_FORMAT=MLN","Sort=A","Dates=H","DateFormat=P","Fill=—","Direction=H","UseDPDF=Y")</f>
        <v>—</v>
      </c>
      <c r="D66" s="13" t="str">
        <f>_xll.BDH("BLUE US Equity","IS_DEPR_EXP","FQ3 2019","FQ3 2019","Currency=USD","Period=FQ","BEST_FPERIOD_OVERRIDE=FQ","FILING_STATUS=MR","SCALING_FORMAT=MLN","Sort=A","Dates=H","DateFormat=P","Fill=—","Direction=H","UseDPDF=Y")</f>
        <v>—</v>
      </c>
      <c r="E66" s="13" t="str">
        <f>_xll.BDH("BLUE US Equity","IS_DEPR_EXP","FQ4 2019","FQ4 2019","Currency=USD","Period=FQ","BEST_FPERIOD_OVERRIDE=FQ","FILING_STATUS=MR","SCALING_FORMAT=MLN","Sort=A","Dates=H","DateFormat=P","Fill=—","Direction=H","UseDPDF=Y")</f>
        <v>—</v>
      </c>
      <c r="F66" s="13" t="str">
        <f>_xll.BDH("BLUE US Equity","IS_DEPR_EXP","FQ1 2020","FQ1 2020","Currency=USD","Period=FQ","BEST_FPERIOD_OVERRIDE=FQ","FILING_STATUS=MR","SCALING_FORMAT=MLN","Sort=A","Dates=H","DateFormat=P","Fill=—","Direction=H","UseDPDF=Y")</f>
        <v>—</v>
      </c>
      <c r="G66" s="13" t="str">
        <f>_xll.BDH("BLUE US Equity","IS_DEPR_EXP","FQ2 2020","FQ2 2020","Currency=USD","Period=FQ","BEST_FPERIOD_OVERRIDE=FQ","FILING_STATUS=MR","SCALING_FORMAT=MLN","Sort=A","Dates=H","DateFormat=P","Fill=—","Direction=H","UseDPDF=Y")</f>
        <v>—</v>
      </c>
      <c r="H66" s="13" t="str">
        <f>_xll.BDH("BLUE US Equity","IS_DEPR_EXP","FQ3 2020","FQ3 2020","Currency=USD","Period=FQ","BEST_FPERIOD_OVERRIDE=FQ","FILING_STATUS=MR","SCALING_FORMAT=MLN","Sort=A","Dates=H","DateFormat=P","Fill=—","Direction=H","UseDPDF=Y")</f>
        <v>—</v>
      </c>
      <c r="I66" s="13" t="str">
        <f>_xll.BDH("BLUE US Equity","IS_DEPR_EXP","FQ4 2020","FQ4 2020","Currency=USD","Period=FQ","BEST_FPERIOD_OVERRIDE=FQ","FILING_STATUS=MR","SCALING_FORMAT=MLN","Sort=A","Dates=H","DateFormat=P","Fill=—","Direction=H","UseDPDF=Y")</f>
        <v>—</v>
      </c>
      <c r="J66" s="13" t="str">
        <f>_xll.BDH("BLUE US Equity","IS_DEPR_EXP","FQ1 2021","FQ1 2021","Currency=USD","Period=FQ","BEST_FPERIOD_OVERRIDE=FQ","FILING_STATUS=MR","SCALING_FORMAT=MLN","Sort=A","Dates=H","DateFormat=P","Fill=—","Direction=H","UseDPDF=Y")</f>
        <v>—</v>
      </c>
      <c r="K66" s="13" t="str">
        <f>_xll.BDH("BLUE US Equity","IS_DEPR_EXP","FQ2 2021","FQ2 2021","Currency=USD","Period=FQ","BEST_FPERIOD_OVERRIDE=FQ","FILING_STATUS=MR","SCALING_FORMAT=MLN","Sort=A","Dates=H","DateFormat=P","Fill=—","Direction=H","UseDPDF=Y")</f>
        <v>—</v>
      </c>
      <c r="L66" s="13">
        <f>_xll.BDH("BLUE US Equity","IS_DEPR_EXP","FQ3 2021","FQ3 2021","Currency=USD","Period=FQ","BEST_FPERIOD_OVERRIDE=FQ","FILING_STATUS=MR","SCALING_FORMAT=MLN","Sort=A","Dates=H","DateFormat=P","Fill=—","Direction=H","UseDPDF=Y")</f>
        <v>5.9820000000000002</v>
      </c>
      <c r="M66" s="13" t="str">
        <f>_xll.BDH("BLUE US Equity","IS_DEPR_EXP","FQ4 2021","FQ4 2021","Currency=USD","Period=FQ","BEST_FPERIOD_OVERRIDE=FQ","FILING_STATUS=MR","SCALING_FORMAT=MLN","Sort=A","Dates=H","DateFormat=P","Fill=—","Direction=H","UseDPDF=Y")</f>
        <v>—</v>
      </c>
      <c r="N66" s="13" t="str">
        <f>_xll.BDH("BLUE US Equity","IS_DEPR_EXP","FQ1 2022","FQ1 2022","Currency=USD","Period=FQ","BEST_FPERIOD_OVERRIDE=FQ","FILING_STATUS=MR","SCALING_FORMAT=MLN","Sort=A","Dates=H","DateFormat=P","Fill=—","Direction=H","UseDPDF=Y")</f>
        <v>—</v>
      </c>
      <c r="O66" s="13" t="str">
        <f>_xll.BDH("BLUE US Equity","IS_DEPR_EXP","FQ2 2022","FQ2 2022","Currency=USD","Period=FQ","BEST_FPERIOD_OVERRIDE=FQ","FILING_STATUS=MR","SCALING_FORMAT=MLN","Sort=A","Dates=H","DateFormat=P","Fill=—","Direction=H","UseDPDF=Y")</f>
        <v>—</v>
      </c>
      <c r="P66" s="13">
        <f>_xll.BDH("BLUE US Equity","IS_DEPR_EXP","FQ3 2022","FQ3 2022","Currency=USD","Period=FQ","BEST_FPERIOD_OVERRIDE=FQ","FILING_STATUS=MR","SCALING_FORMAT=MLN","Sort=A","Dates=H","DateFormat=P","Fill=—","Direction=H","UseDPDF=Y")</f>
        <v>1.387</v>
      </c>
      <c r="Q66" s="13" t="str">
        <f>_xll.BDH("BLUE US Equity","IS_DEPR_EXP","FQ4 2022","FQ4 2022","Currency=USD","Period=FQ","BEST_FPERIOD_OVERRIDE=FQ","FILING_STATUS=MR","SCALING_FORMAT=MLN","Sort=A","Dates=H","DateFormat=P","Fill=—","Direction=H","UseDPDF=Y")</f>
        <v>—</v>
      </c>
      <c r="R66" s="13" t="str">
        <f>_xll.BDH("BLUE US Equity","IS_DEPR_EXP","FQ1 2023","FQ1 2023","Currency=USD","Period=FQ","BEST_FPERIOD_OVERRIDE=FQ","FILING_STATUS=MR","SCALING_FORMAT=MLN","Sort=A","Dates=H","DateFormat=P","Fill=—","Direction=H","UseDPDF=Y")</f>
        <v>—</v>
      </c>
      <c r="S66" s="13" t="str">
        <f>_xll.BDH("BLUE US Equity","IS_DEPR_EXP","FQ2 2023","FQ2 2023","Currency=USD","Period=FQ","BEST_FPERIOD_OVERRIDE=FQ","FILING_STATUS=MR","SCALING_FORMAT=MLN","Sort=A","Dates=H","DateFormat=P","Fill=—","Direction=H","UseDPDF=Y")</f>
        <v>—</v>
      </c>
      <c r="T66" s="13" t="str">
        <f>_xll.BDH("BLUE US Equity","IS_DEPR_EXP","FQ3 2023","FQ3 2023","Currency=USD","Period=FQ","BEST_FPERIOD_OVERRIDE=FQ","FILING_STATUS=MR","SCALING_FORMAT=MLN","Sort=A","Dates=H","DateFormat=P","Fill=—","Direction=H","UseDPDF=Y")</f>
        <v>—</v>
      </c>
      <c r="U66" s="13" t="str">
        <f>_xll.BDH("BLUE US Equity","IS_DEPR_EXP","FQ4 2023","FQ4 2023","Currency=USD","Period=FQ","BEST_FPERIOD_OVERRIDE=FQ","FILING_STATUS=MR","SCALING_FORMAT=MLN","Sort=A","Dates=H","DateFormat=P","Fill=—","Direction=H","UseDPDF=Y")</f>
        <v>—</v>
      </c>
      <c r="V66" s="13" t="str">
        <f>_xll.BDH("BLUE US Equity","IS_DEPR_EXP","FQ1 2024","FQ1 2024","Currency=USD","Period=FQ","BEST_FPERIOD_OVERRIDE=FQ","FILING_STATUS=MR","SCALING_FORMAT=MLN","Sort=A","Dates=H","DateFormat=P","Fill=—","Direction=H","UseDPDF=Y")</f>
        <v>—</v>
      </c>
      <c r="W66" s="13" t="str">
        <f>_xll.BDH("BLUE US Equity","IS_DEPR_EXP","FQ2 2024","FQ2 2024","Currency=USD","Period=FQ","BEST_FPERIOD_OVERRIDE=FQ","FILING_STATUS=MR","SCALING_FORMAT=MLN","Sort=A","Dates=H","DateFormat=P","Fill=—","Direction=H","UseDPDF=Y")</f>
        <v>—</v>
      </c>
      <c r="X66" s="13" t="str">
        <f>_xll.BDH("BLUE US Equity","IS_DEPR_EXP","FQ3 2024","FQ3 2024","Currency=USD","Period=FQ","BEST_FPERIOD_OVERRIDE=FQ","FILING_STATUS=MR","SCALING_FORMAT=MLN","Sort=A","Dates=H","DateFormat=P","Fill=—","Direction=H","UseDPDF=Y")</f>
        <v>—</v>
      </c>
      <c r="Y66" s="13" t="str">
        <f>_xll.BDH("BLUE US Equity","IS_DEPR_EXP","FQ4 2024","FQ4 2024","Currency=USD","Period=FQ","BEST_FPERIOD_OVERRIDE=FQ","FILING_STATUS=MR","SCALING_FORMAT=MLN","Sort=A","Dates=H","DateFormat=P","Fill=—","Direction=H","UseDPDF=Y")</f>
        <v>—</v>
      </c>
      <c r="Z66" s="13"/>
      <c r="AA66" s="13"/>
    </row>
    <row r="67" spans="1:27" x14ac:dyDescent="0.25">
      <c r="A67" s="10" t="s">
        <v>372</v>
      </c>
      <c r="B67" s="10" t="s">
        <v>373</v>
      </c>
      <c r="C67" s="13">
        <f>_xll.BDH("BLUE US Equity","BS_CURR_RENTAL_EXPENSE","FQ2 2019","FQ2 2019","Currency=USD","Period=FQ","BEST_FPERIOD_OVERRIDE=FQ","FILING_STATUS=MR","SCALING_FORMAT=MLN","Sort=A","Dates=H","DateFormat=P","Fill=—","Direction=H","UseDPDF=Y")</f>
        <v>8.9169999999999998</v>
      </c>
      <c r="D67" s="13">
        <f>_xll.BDH("BLUE US Equity","BS_CURR_RENTAL_EXPENSE","FQ3 2019","FQ3 2019","Currency=USD","Period=FQ","BEST_FPERIOD_OVERRIDE=FQ","FILING_STATUS=MR","SCALING_FORMAT=MLN","Sort=A","Dates=H","DateFormat=P","Fill=—","Direction=H","UseDPDF=Y")</f>
        <v>8.843</v>
      </c>
      <c r="E67" s="13">
        <f>_xll.BDH("BLUE US Equity","BS_CURR_RENTAL_EXPENSE","FQ4 2019","FQ4 2019","Currency=USD","Period=FQ","BEST_FPERIOD_OVERRIDE=FQ","FILING_STATUS=MR","SCALING_FORMAT=MLN","Sort=A","Dates=H","DateFormat=P","Fill=—","Direction=H","UseDPDF=Y")</f>
        <v>9.1020000000000003</v>
      </c>
      <c r="F67" s="13" t="str">
        <f>_xll.BDH("BLUE US Equity","BS_CURR_RENTAL_EXPENSE","FQ1 2020","FQ1 2020","Currency=USD","Period=FQ","BEST_FPERIOD_OVERRIDE=FQ","FILING_STATUS=MR","SCALING_FORMAT=MLN","Sort=A","Dates=H","DateFormat=P","Fill=—","Direction=H","UseDPDF=Y")</f>
        <v>—</v>
      </c>
      <c r="G67" s="13" t="str">
        <f>_xll.BDH("BLUE US Equity","BS_CURR_RENTAL_EXPENSE","FQ2 2020","FQ2 2020","Currency=USD","Period=FQ","BEST_FPERIOD_OVERRIDE=FQ","FILING_STATUS=MR","SCALING_FORMAT=MLN","Sort=A","Dates=H","DateFormat=P","Fill=—","Direction=H","UseDPDF=Y")</f>
        <v>—</v>
      </c>
      <c r="H67" s="13" t="str">
        <f>_xll.BDH("BLUE US Equity","BS_CURR_RENTAL_EXPENSE","FQ3 2020","FQ3 2020","Currency=USD","Period=FQ","BEST_FPERIOD_OVERRIDE=FQ","FILING_STATUS=MR","SCALING_FORMAT=MLN","Sort=A","Dates=H","DateFormat=P","Fill=—","Direction=H","UseDPDF=Y")</f>
        <v>—</v>
      </c>
      <c r="I67" s="13" t="str">
        <f>_xll.BDH("BLUE US Equity","BS_CURR_RENTAL_EXPENSE","FQ4 2020","FQ4 2020","Currency=USD","Period=FQ","BEST_FPERIOD_OVERRIDE=FQ","FILING_STATUS=MR","SCALING_FORMAT=MLN","Sort=A","Dates=H","DateFormat=P","Fill=—","Direction=H","UseDPDF=Y")</f>
        <v>—</v>
      </c>
      <c r="J67" s="13" t="str">
        <f>_xll.BDH("BLUE US Equity","BS_CURR_RENTAL_EXPENSE","FQ1 2021","FQ1 2021","Currency=USD","Period=FQ","BEST_FPERIOD_OVERRIDE=FQ","FILING_STATUS=MR","SCALING_FORMAT=MLN","Sort=A","Dates=H","DateFormat=P","Fill=—","Direction=H","UseDPDF=Y")</f>
        <v>—</v>
      </c>
      <c r="K67" s="13" t="str">
        <f>_xll.BDH("BLUE US Equity","BS_CURR_RENTAL_EXPENSE","FQ2 2021","FQ2 2021","Currency=USD","Period=FQ","BEST_FPERIOD_OVERRIDE=FQ","FILING_STATUS=MR","SCALING_FORMAT=MLN","Sort=A","Dates=H","DateFormat=P","Fill=—","Direction=H","UseDPDF=Y")</f>
        <v>—</v>
      </c>
      <c r="L67" s="13" t="str">
        <f>_xll.BDH("BLUE US Equity","BS_CURR_RENTAL_EXPENSE","FQ3 2021","FQ3 2021","Currency=USD","Period=FQ","BEST_FPERIOD_OVERRIDE=FQ","FILING_STATUS=MR","SCALING_FORMAT=MLN","Sort=A","Dates=H","DateFormat=P","Fill=—","Direction=H","UseDPDF=Y")</f>
        <v>—</v>
      </c>
      <c r="M67" s="13" t="str">
        <f>_xll.BDH("BLUE US Equity","BS_CURR_RENTAL_EXPENSE","FQ4 2021","FQ4 2021","Currency=USD","Period=FQ","BEST_FPERIOD_OVERRIDE=FQ","FILING_STATUS=MR","SCALING_FORMAT=MLN","Sort=A","Dates=H","DateFormat=P","Fill=—","Direction=H","UseDPDF=Y")</f>
        <v>—</v>
      </c>
      <c r="N67" s="13" t="str">
        <f>_xll.BDH("BLUE US Equity","BS_CURR_RENTAL_EXPENSE","FQ1 2022","FQ1 2022","Currency=USD","Period=FQ","BEST_FPERIOD_OVERRIDE=FQ","FILING_STATUS=MR","SCALING_FORMAT=MLN","Sort=A","Dates=H","DateFormat=P","Fill=—","Direction=H","UseDPDF=Y")</f>
        <v>—</v>
      </c>
      <c r="O67" s="13" t="str">
        <f>_xll.BDH("BLUE US Equity","BS_CURR_RENTAL_EXPENSE","FQ2 2022","FQ2 2022","Currency=USD","Period=FQ","BEST_FPERIOD_OVERRIDE=FQ","FILING_STATUS=MR","SCALING_FORMAT=MLN","Sort=A","Dates=H","DateFormat=P","Fill=—","Direction=H","UseDPDF=Y")</f>
        <v>—</v>
      </c>
      <c r="P67" s="13" t="str">
        <f>_xll.BDH("BLUE US Equity","BS_CURR_RENTAL_EXPENSE","FQ3 2022","FQ3 2022","Currency=USD","Period=FQ","BEST_FPERIOD_OVERRIDE=FQ","FILING_STATUS=MR","SCALING_FORMAT=MLN","Sort=A","Dates=H","DateFormat=P","Fill=—","Direction=H","UseDPDF=Y")</f>
        <v>—</v>
      </c>
      <c r="Q67" s="13" t="str">
        <f>_xll.BDH("BLUE US Equity","BS_CURR_RENTAL_EXPENSE","FQ4 2022","FQ4 2022","Currency=USD","Period=FQ","BEST_FPERIOD_OVERRIDE=FQ","FILING_STATUS=MR","SCALING_FORMAT=MLN","Sort=A","Dates=H","DateFormat=P","Fill=—","Direction=H","UseDPDF=Y")</f>
        <v>—</v>
      </c>
      <c r="R67" s="13">
        <f>_xll.BDH("BLUE US Equity","BS_CURR_RENTAL_EXPENSE","FQ1 2023","FQ1 2023","Currency=USD","Period=FQ","BEST_FPERIOD_OVERRIDE=FQ","FILING_STATUS=MR","SCALING_FORMAT=MLN","Sort=A","Dates=H","DateFormat=P","Fill=—","Direction=H","UseDPDF=Y")</f>
        <v>8.2759999999999998</v>
      </c>
      <c r="S67" s="13">
        <f>_xll.BDH("BLUE US Equity","BS_CURR_RENTAL_EXPENSE","FQ2 2023","FQ2 2023","Currency=USD","Period=FQ","BEST_FPERIOD_OVERRIDE=FQ","FILING_STATUS=MR","SCALING_FORMAT=MLN","Sort=A","Dates=H","DateFormat=P","Fill=—","Direction=H","UseDPDF=Y")</f>
        <v>6.234</v>
      </c>
      <c r="T67" s="13">
        <f>_xll.BDH("BLUE US Equity","BS_CURR_RENTAL_EXPENSE","FQ3 2023","FQ3 2023","Currency=USD","Period=FQ","BEST_FPERIOD_OVERRIDE=FQ","FILING_STATUS=MR","SCALING_FORMAT=MLN","Sort=A","Dates=H","DateFormat=P","Fill=—","Direction=H","UseDPDF=Y")</f>
        <v>5.9569999999999999</v>
      </c>
      <c r="U67" s="13" t="str">
        <f>_xll.BDH("BLUE US Equity","BS_CURR_RENTAL_EXPENSE","FQ4 2023","FQ4 2023","Currency=USD","Period=FQ","BEST_FPERIOD_OVERRIDE=FQ","FILING_STATUS=MR","SCALING_FORMAT=MLN","Sort=A","Dates=H","DateFormat=P","Fill=—","Direction=H","UseDPDF=Y")</f>
        <v>—</v>
      </c>
      <c r="V67" s="13">
        <f>_xll.BDH("BLUE US Equity","BS_CURR_RENTAL_EXPENSE","FQ1 2024","FQ1 2024","Currency=USD","Period=FQ","BEST_FPERIOD_OVERRIDE=FQ","FILING_STATUS=MR","SCALING_FORMAT=MLN","Sort=A","Dates=H","DateFormat=P","Fill=—","Direction=H","UseDPDF=Y")</f>
        <v>5.2590000000000003</v>
      </c>
      <c r="W67" s="13">
        <f>_xll.BDH("BLUE US Equity","BS_CURR_RENTAL_EXPENSE","FQ2 2024","FQ2 2024","Currency=USD","Period=FQ","BEST_FPERIOD_OVERRIDE=FQ","FILING_STATUS=MR","SCALING_FORMAT=MLN","Sort=A","Dates=H","DateFormat=P","Fill=—","Direction=H","UseDPDF=Y")</f>
        <v>6.1689999999999996</v>
      </c>
      <c r="X67" s="13">
        <f>_xll.BDH("BLUE US Equity","BS_CURR_RENTAL_EXPENSE","FQ3 2024","FQ3 2024","Currency=USD","Period=FQ","BEST_FPERIOD_OVERRIDE=FQ","FILING_STATUS=MR","SCALING_FORMAT=MLN","Sort=A","Dates=H","DateFormat=P","Fill=—","Direction=H","UseDPDF=Y")</f>
        <v>18.713000000000001</v>
      </c>
      <c r="Y67" s="13" t="str">
        <f>_xll.BDH("BLUE US Equity","BS_CURR_RENTAL_EXPENSE","FQ4 2024","FQ4 2024","Currency=USD","Period=FQ","BEST_FPERIOD_OVERRIDE=FQ","FILING_STATUS=MR","SCALING_FORMAT=MLN","Sort=A","Dates=H","DateFormat=P","Fill=—","Direction=H","UseDPDF=Y")</f>
        <v>—</v>
      </c>
      <c r="Z67" s="13"/>
      <c r="AA67" s="13"/>
    </row>
    <row r="68" spans="1:27" x14ac:dyDescent="0.25">
      <c r="A68" s="7" t="s">
        <v>90</v>
      </c>
      <c r="B68" s="7"/>
      <c r="C68" s="7" t="s">
        <v>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381</v>
      </c>
      <c r="D4" s="4" t="s">
        <v>382</v>
      </c>
      <c r="E4" s="4" t="s">
        <v>93</v>
      </c>
      <c r="F4" s="4" t="s">
        <v>94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27</v>
      </c>
      <c r="Z4" s="4" t="s">
        <v>28</v>
      </c>
      <c r="AA4" s="4" t="s">
        <v>29</v>
      </c>
    </row>
    <row r="5" spans="1:27" x14ac:dyDescent="0.25">
      <c r="A5" s="9" t="s">
        <v>33</v>
      </c>
      <c r="B5" s="9"/>
      <c r="C5" s="5" t="s">
        <v>383</v>
      </c>
      <c r="D5" s="5" t="s">
        <v>384</v>
      </c>
      <c r="E5" s="5" t="s">
        <v>95</v>
      </c>
      <c r="F5" s="5" t="s">
        <v>96</v>
      </c>
      <c r="G5" s="5" t="s">
        <v>34</v>
      </c>
      <c r="H5" s="5" t="s">
        <v>35</v>
      </c>
      <c r="I5" s="5" t="s">
        <v>36</v>
      </c>
      <c r="J5" s="5" t="s">
        <v>37</v>
      </c>
      <c r="K5" s="5" t="s">
        <v>38</v>
      </c>
      <c r="L5" s="5" t="s">
        <v>39</v>
      </c>
      <c r="M5" s="5" t="s">
        <v>40</v>
      </c>
      <c r="N5" s="5" t="s">
        <v>41</v>
      </c>
      <c r="O5" s="5" t="s">
        <v>42</v>
      </c>
      <c r="P5" s="5" t="s">
        <v>43</v>
      </c>
      <c r="Q5" s="5" t="s">
        <v>44</v>
      </c>
      <c r="R5" s="5" t="s">
        <v>45</v>
      </c>
      <c r="S5" s="5" t="s">
        <v>46</v>
      </c>
      <c r="T5" s="5" t="s">
        <v>47</v>
      </c>
      <c r="U5" s="5" t="s">
        <v>48</v>
      </c>
      <c r="V5" s="5" t="s">
        <v>49</v>
      </c>
      <c r="W5" s="5" t="s">
        <v>50</v>
      </c>
      <c r="X5" s="5" t="s">
        <v>51</v>
      </c>
      <c r="Y5" s="5" t="s">
        <v>53</v>
      </c>
      <c r="Z5" s="5" t="s">
        <v>54</v>
      </c>
      <c r="AA5" s="5" t="s">
        <v>55</v>
      </c>
    </row>
    <row r="6" spans="1:27" x14ac:dyDescent="0.25">
      <c r="A6" s="6" t="s">
        <v>385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386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387</v>
      </c>
      <c r="B8" s="10" t="s">
        <v>388</v>
      </c>
      <c r="C8" s="13">
        <f>_xll.BDH("BLUE US Equity","ARD_OTHER_REV","FQ2 2018","FQ2 2018","Currency=USD","Period=FQ","BEST_FPERIOD_OVERRIDE=FQ","FILING_STATUS=MR","SCALING_FORMAT=MLN","Sort=A","Dates=H","DateFormat=P","Fill=—","Direction=H","UseDPDF=Y")</f>
        <v>7.4370000000000003</v>
      </c>
      <c r="D8" s="13">
        <f>_xll.BDH("BLUE US Equity","ARD_OTHER_REV","FQ3 2018","FQ3 2018","Currency=USD","Period=FQ","BEST_FPERIOD_OVERRIDE=FQ","FILING_STATUS=MR","SCALING_FORMAT=MLN","Sort=A","Dates=H","DateFormat=P","Fill=—","Direction=H","UseDPDF=Y")</f>
        <v>10.926</v>
      </c>
      <c r="E8" s="13">
        <f>_xll.BDH("BLUE US Equity","ARD_OTHER_REV","FQ4 2018","FQ4 2018","Currency=USD","Period=FQ","BEST_FPERIOD_OVERRIDE=FQ","FILING_STATUS=MR","SCALING_FORMAT=MLN","Sort=A","Dates=H","DateFormat=P","Fill=—","Direction=H","UseDPDF=Y")</f>
        <v>18.382000000000001</v>
      </c>
      <c r="F8" s="13">
        <f>_xll.BDH("BLUE US Equity","ARD_OTHER_REV","FQ1 2019","FQ1 2019","Currency=USD","Period=FQ","BEST_FPERIOD_OVERRIDE=FQ","FILING_STATUS=MR","SCALING_FORMAT=MLN","Sort=A","Dates=H","DateFormat=P","Fill=—","Direction=H","UseDPDF=Y")</f>
        <v>11.177</v>
      </c>
      <c r="G8" s="13">
        <f>_xll.BDH("BLUE US Equity","ARD_OTHER_REV","FQ2 2019","FQ2 2019","Currency=USD","Period=FQ","BEST_FPERIOD_OVERRIDE=FQ","FILING_STATUS=MR","SCALING_FORMAT=MLN","Sort=A","Dates=H","DateFormat=P","Fill=—","Direction=H","UseDPDF=Y")</f>
        <v>11.558</v>
      </c>
      <c r="H8" s="13">
        <f>_xll.BDH("BLUE US Equity","ARD_OTHER_REV","FQ3 2019","FQ3 2019","Currency=USD","Period=FQ","BEST_FPERIOD_OVERRIDE=FQ","FILING_STATUS=MR","SCALING_FORMAT=MLN","Sort=A","Dates=H","DateFormat=P","Fill=—","Direction=H","UseDPDF=Y")</f>
        <v>6.5750000000000002</v>
      </c>
      <c r="I8" s="13">
        <f>_xll.BDH("BLUE US Equity","ARD_OTHER_REV","FQ4 2019","FQ4 2019","Currency=USD","Period=FQ","BEST_FPERIOD_OVERRIDE=FQ","FILING_STATUS=MR","SCALING_FORMAT=MLN","Sort=A","Dates=H","DateFormat=P","Fill=—","Direction=H","UseDPDF=Y")</f>
        <v>7.1589999999999998</v>
      </c>
      <c r="J8" s="13">
        <f>_xll.BDH("BLUE US Equity","ARD_OTHER_REV","FQ1 2020","FQ1 2020","Currency=USD","Period=FQ","BEST_FPERIOD_OVERRIDE=FQ","FILING_STATUS=MR","SCALING_FORMAT=MLN","Sort=A","Dates=H","DateFormat=P","Fill=—","Direction=H","UseDPDF=Y")</f>
        <v>2.302</v>
      </c>
      <c r="K8" s="13">
        <f>_xll.BDH("BLUE US Equity","ARD_OTHER_REV","FQ2 2020","FQ2 2020","Currency=USD","Period=FQ","BEST_FPERIOD_OVERRIDE=FQ","FILING_STATUS=MR","SCALING_FORMAT=MLN","Sort=A","Dates=H","DateFormat=P","Fill=—","Direction=H","UseDPDF=Y")</f>
        <v>109.67400000000001</v>
      </c>
      <c r="L8" s="13">
        <f>_xll.BDH("BLUE US Equity","ARD_OTHER_REV","FQ3 2020","FQ3 2020","Currency=USD","Period=FQ","BEST_FPERIOD_OVERRIDE=FQ","FILING_STATUS=MR","SCALING_FORMAT=MLN","Sort=A","Dates=H","DateFormat=P","Fill=—","Direction=H","UseDPDF=Y")</f>
        <v>2.4220000000000002</v>
      </c>
      <c r="M8" s="13">
        <f>_xll.BDH("BLUE US Equity","ARD_OTHER_REV","FQ4 2020","FQ4 2020","Currency=USD","Period=FQ","BEST_FPERIOD_OVERRIDE=FQ","FILING_STATUS=MR","SCALING_FORMAT=MLN","Sort=A","Dates=H","DateFormat=P","Fill=—","Direction=H","UseDPDF=Y")</f>
        <v>0</v>
      </c>
      <c r="N8" s="13">
        <f>_xll.BDH("BLUE US Equity","ARD_OTHER_REV","FQ1 2021","FQ1 2021","Currency=USD","Period=FQ","BEST_FPERIOD_OVERRIDE=FQ","FILING_STATUS=MR","SCALING_FORMAT=MLN","Sort=A","Dates=H","DateFormat=P","Fill=—","Direction=H","UseDPDF=Y")</f>
        <v>0.17</v>
      </c>
      <c r="O8" s="13">
        <f>_xll.BDH("BLUE US Equity","ARD_OTHER_REV","FQ2 2021","FQ2 2021","Currency=USD","Period=FQ","BEST_FPERIOD_OVERRIDE=FQ","FILING_STATUS=MR","SCALING_FORMAT=MLN","Sort=A","Dates=H","DateFormat=P","Fill=—","Direction=H","UseDPDF=Y")</f>
        <v>1.67</v>
      </c>
      <c r="P8" s="13">
        <f>_xll.BDH("BLUE US Equity","ARD_OTHER_REV","FQ3 2021","FQ3 2021","Currency=USD","Period=FQ","BEST_FPERIOD_OVERRIDE=FQ","FILING_STATUS=MR","SCALING_FORMAT=MLN","Sort=A","Dates=H","DateFormat=P","Fill=—","Direction=H","UseDPDF=Y")</f>
        <v>0.251</v>
      </c>
      <c r="Q8" s="13">
        <f>_xll.BDH("BLUE US Equity","ARD_OTHER_REV","FQ4 2021","FQ4 2021","Currency=USD","Period=FQ","BEST_FPERIOD_OVERRIDE=FQ","FILING_STATUS=MR","SCALING_FORMAT=MLN","Sort=A","Dates=H","DateFormat=P","Fill=—","Direction=H","UseDPDF=Y")</f>
        <v>0.248</v>
      </c>
      <c r="R8" s="13">
        <f>_xll.BDH("BLUE US Equity","ARD_OTHER_REV","FQ1 2022","FQ1 2022","Currency=USD","Period=FQ","BEST_FPERIOD_OVERRIDE=FQ","FILING_STATUS=MR","SCALING_FORMAT=MLN","Sort=A","Dates=H","DateFormat=P","Fill=—","Direction=H","UseDPDF=Y")</f>
        <v>0.53700000000000003</v>
      </c>
      <c r="S8" s="13">
        <f>_xll.BDH("BLUE US Equity","ARD_OTHER_REV","FQ2 2022","FQ2 2022","Currency=USD","Period=FQ","BEST_FPERIOD_OVERRIDE=FQ","FILING_STATUS=MR","SCALING_FORMAT=MLN","Sort=A","Dates=H","DateFormat=P","Fill=—","Direction=H","UseDPDF=Y")</f>
        <v>0.188</v>
      </c>
      <c r="T8" s="13">
        <f>_xll.BDH("BLUE US Equity","ARD_OTHER_REV","FQ3 2022","FQ3 2022","Currency=USD","Period=FQ","BEST_FPERIOD_OVERRIDE=FQ","FILING_STATUS=MR","SCALING_FORMAT=MLN","Sort=A","Dates=H","DateFormat=P","Fill=—","Direction=H","UseDPDF=Y")</f>
        <v>7.0999999999999994E-2</v>
      </c>
      <c r="U8" s="13">
        <f>_xll.BDH("BLUE US Equity","ARD_OTHER_REV","FQ4 2022","FQ4 2022","Currency=USD","Period=FQ","BEST_FPERIOD_OVERRIDE=FQ","FILING_STATUS=MR","SCALING_FORMAT=MLN","Sort=A","Dates=H","DateFormat=P","Fill=—","Direction=H","UseDPDF=Y")</f>
        <v>6.2E-2</v>
      </c>
      <c r="V8" s="13">
        <f>_xll.BDH("BLUE US Equity","ARD_OTHER_REV","FQ1 2023","FQ1 2023","Currency=USD","Period=FQ","BEST_FPERIOD_OVERRIDE=FQ","FILING_STATUS=MR","SCALING_FORMAT=MLN","Sort=A","Dates=H","DateFormat=P","Fill=—","Direction=H","UseDPDF=Y")</f>
        <v>8.5000000000000006E-2</v>
      </c>
      <c r="W8" s="13">
        <f>_xll.BDH("BLUE US Equity","ARD_OTHER_REV","FQ2 2023","FQ2 2023","Currency=USD","Period=FQ","BEST_FPERIOD_OVERRIDE=FQ","FILING_STATUS=MR","SCALING_FORMAT=MLN","Sort=A","Dates=H","DateFormat=P","Fill=—","Direction=H","UseDPDF=Y")</f>
        <v>5.2999999999999999E-2</v>
      </c>
      <c r="X8" s="13">
        <f>_xll.BDH("BLUE US Equity","ARD_OTHER_REV","FQ3 2023","FQ3 2023","Currency=USD","Period=FQ","BEST_FPERIOD_OVERRIDE=FQ","FILING_STATUS=MR","SCALING_FORMAT=MLN","Sort=A","Dates=H","DateFormat=P","Fill=—","Direction=H","UseDPDF=Y")</f>
        <v>0.111</v>
      </c>
      <c r="Y8" s="13">
        <f>_xll.BDH("BLUE US Equity","ARD_OTHER_REV","FQ1 2024","FQ1 2024","Currency=USD","Period=FQ","BEST_FPERIOD_OVERRIDE=FQ","FILING_STATUS=MR","SCALING_FORMAT=MLN","Sort=A","Dates=H","DateFormat=P","Fill=—","Direction=H","UseDPDF=Y")</f>
        <v>1.2E-2</v>
      </c>
      <c r="Z8" s="13">
        <f>_xll.BDH("BLUE US Equity","ARD_OTHER_REV","FQ2 2024","FQ2 2024","Currency=USD","Period=FQ","BEST_FPERIOD_OVERRIDE=FQ","FILING_STATUS=MR","SCALING_FORMAT=MLN","Sort=A","Dates=H","DateFormat=P","Fill=—","Direction=H","UseDPDF=Y")</f>
        <v>0</v>
      </c>
      <c r="AA8" s="13">
        <f>_xll.BDH("BLUE US Equity","ARD_OTHER_REV","FQ3 2024","FQ3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389</v>
      </c>
      <c r="B9" s="10" t="s">
        <v>390</v>
      </c>
      <c r="C9" s="13" t="str">
        <f>_xll.BDH("BLUE US Equity","ARD_ROYALTY_REVENUE","FQ2 2018","FQ2 2018","Currency=USD","Period=FQ","BEST_FPERIOD_OVERRIDE=FQ","FILING_STATUS=MR","SCALING_FORMAT=MLN","Sort=A","Dates=H","DateFormat=P","Fill=—","Direction=H","UseDPDF=Y")</f>
        <v>—</v>
      </c>
      <c r="D9" s="13" t="str">
        <f>_xll.BDH("BLUE US Equity","ARD_ROYALTY_REVENUE","FQ3 2018","FQ3 2018","Currency=USD","Period=FQ","BEST_FPERIOD_OVERRIDE=FQ","FILING_STATUS=MR","SCALING_FORMAT=MLN","Sort=A","Dates=H","DateFormat=P","Fill=—","Direction=H","UseDPDF=Y")</f>
        <v>—</v>
      </c>
      <c r="E9" s="13" t="str">
        <f>_xll.BDH("BLUE US Equity","ARD_ROYALTY_REVENUE","FQ4 2018","FQ4 2018","Currency=USD","Period=FQ","BEST_FPERIOD_OVERRIDE=FQ","FILING_STATUS=MR","SCALING_FORMAT=MLN","Sort=A","Dates=H","DateFormat=P","Fill=—","Direction=H","UseDPDF=Y")</f>
        <v>—</v>
      </c>
      <c r="F9" s="13" t="str">
        <f>_xll.BDH("BLUE US Equity","ARD_ROYALTY_REVENUE","FQ1 2019","FQ1 2019","Currency=USD","Period=FQ","BEST_FPERIOD_OVERRIDE=FQ","FILING_STATUS=MR","SCALING_FORMAT=MLN","Sort=A","Dates=H","DateFormat=P","Fill=—","Direction=H","UseDPDF=Y")</f>
        <v>—</v>
      </c>
      <c r="G9" s="13" t="str">
        <f>_xll.BDH("BLUE US Equity","ARD_ROYALTY_REVENUE","FQ2 2019","FQ2 2019","Currency=USD","Period=FQ","BEST_FPERIOD_OVERRIDE=FQ","FILING_STATUS=MR","SCALING_FORMAT=MLN","Sort=A","Dates=H","DateFormat=P","Fill=—","Direction=H","UseDPDF=Y")</f>
        <v>—</v>
      </c>
      <c r="H9" s="13" t="str">
        <f>_xll.BDH("BLUE US Equity","ARD_ROYALTY_REVENUE","FQ3 2019","FQ3 2019","Currency=USD","Period=FQ","BEST_FPERIOD_OVERRIDE=FQ","FILING_STATUS=MR","SCALING_FORMAT=MLN","Sort=A","Dates=H","DateFormat=P","Fill=—","Direction=H","UseDPDF=Y")</f>
        <v>—</v>
      </c>
      <c r="I9" s="13" t="str">
        <f>_xll.BDH("BLUE US Equity","ARD_ROYALTY_REVENUE","FQ4 2019","FQ4 2019","Currency=USD","Period=FQ","BEST_FPERIOD_OVERRIDE=FQ","FILING_STATUS=MR","SCALING_FORMAT=MLN","Sort=A","Dates=H","DateFormat=P","Fill=—","Direction=H","UseDPDF=Y")</f>
        <v>—</v>
      </c>
      <c r="J9" s="13">
        <f>_xll.BDH("BLUE US Equity","ARD_ROYALTY_REVENUE","FQ1 2020","FQ1 2020","Currency=USD","Period=FQ","BEST_FPERIOD_OVERRIDE=FQ","FILING_STATUS=MR","SCALING_FORMAT=MLN","Sort=A","Dates=H","DateFormat=P","Fill=—","Direction=H","UseDPDF=Y")</f>
        <v>2.7280000000000002</v>
      </c>
      <c r="K9" s="13">
        <f>_xll.BDH("BLUE US Equity","ARD_ROYALTY_REVENUE","FQ2 2020","FQ2 2020","Currency=USD","Period=FQ","BEST_FPERIOD_OVERRIDE=FQ","FILING_STATUS=MR","SCALING_FORMAT=MLN","Sort=A","Dates=H","DateFormat=P","Fill=—","Direction=H","UseDPDF=Y")</f>
        <v>10.859</v>
      </c>
      <c r="L9" s="13">
        <f>_xll.BDH("BLUE US Equity","ARD_ROYALTY_REVENUE","FQ3 2020","FQ3 2020","Currency=USD","Period=FQ","BEST_FPERIOD_OVERRIDE=FQ","FILING_STATUS=MR","SCALING_FORMAT=MLN","Sort=A","Dates=H","DateFormat=P","Fill=—","Direction=H","UseDPDF=Y")</f>
        <v>3.4990000000000001</v>
      </c>
      <c r="M9" s="13" t="str">
        <f>_xll.BDH("BLUE US Equity","ARD_ROYALTY_REVENUE","FQ4 2020","FQ4 2020","Currency=USD","Period=FQ","BEST_FPERIOD_OVERRIDE=FQ","FILING_STATUS=MR","SCALING_FORMAT=MLN","Sort=A","Dates=H","DateFormat=P","Fill=—","Direction=H","UseDPDF=Y")</f>
        <v>—</v>
      </c>
      <c r="N9" s="13" t="str">
        <f>_xll.BDH("BLUE US Equity","ARD_ROYALTY_REVENUE","FQ1 2021","FQ1 2021","Currency=USD","Period=FQ","BEST_FPERIOD_OVERRIDE=FQ","FILING_STATUS=MR","SCALING_FORMAT=MLN","Sort=A","Dates=H","DateFormat=P","Fill=—","Direction=H","UseDPDF=Y")</f>
        <v>—</v>
      </c>
      <c r="O9" s="13">
        <f>_xll.BDH("BLUE US Equity","ARD_ROYALTY_REVENUE","FQ2 2021","FQ2 2021","Currency=USD","Period=FQ","BEST_FPERIOD_OVERRIDE=FQ","FILING_STATUS=MR","SCALING_FORMAT=MLN","Sort=A","Dates=H","DateFormat=P","Fill=—","Direction=H","UseDPDF=Y")</f>
        <v>0.48799999999999999</v>
      </c>
      <c r="P9" s="13" t="str">
        <f>_xll.BDH("BLUE US Equity","ARD_ROYALTY_REVENUE","FQ3 2021","FQ3 2021","Currency=USD","Period=FQ","BEST_FPERIOD_OVERRIDE=FQ","FILING_STATUS=MR","SCALING_FORMAT=MLN","Sort=A","Dates=H","DateFormat=P","Fill=—","Direction=H","UseDPDF=Y")</f>
        <v>—</v>
      </c>
      <c r="Q9" s="13" t="str">
        <f>_xll.BDH("BLUE US Equity","ARD_ROYALTY_REVENUE","FQ4 2021","FQ4 2021","Currency=USD","Period=FQ","BEST_FPERIOD_OVERRIDE=FQ","FILING_STATUS=MR","SCALING_FORMAT=MLN","Sort=A","Dates=H","DateFormat=P","Fill=—","Direction=H","UseDPDF=Y")</f>
        <v>—</v>
      </c>
      <c r="R9" s="13" t="str">
        <f>_xll.BDH("BLUE US Equity","ARD_ROYALTY_REVENUE","FQ1 2022","FQ1 2022","Currency=USD","Period=FQ","BEST_FPERIOD_OVERRIDE=FQ","FILING_STATUS=MR","SCALING_FORMAT=MLN","Sort=A","Dates=H","DateFormat=P","Fill=—","Direction=H","UseDPDF=Y")</f>
        <v>—</v>
      </c>
      <c r="S9" s="13" t="str">
        <f>_xll.BDH("BLUE US Equity","ARD_ROYALTY_REVENUE","FQ2 2022","FQ2 2022","Currency=USD","Period=FQ","BEST_FPERIOD_OVERRIDE=FQ","FILING_STATUS=MR","SCALING_FORMAT=MLN","Sort=A","Dates=H","DateFormat=P","Fill=—","Direction=H","UseDPDF=Y")</f>
        <v>—</v>
      </c>
      <c r="T9" s="13" t="str">
        <f>_xll.BDH("BLUE US Equity","ARD_ROYALTY_REVENUE","FQ3 2022","FQ3 2022","Currency=USD","Period=FQ","BEST_FPERIOD_OVERRIDE=FQ","FILING_STATUS=MR","SCALING_FORMAT=MLN","Sort=A","Dates=H","DateFormat=P","Fill=—","Direction=H","UseDPDF=Y")</f>
        <v>—</v>
      </c>
      <c r="U9" s="13" t="str">
        <f>_xll.BDH("BLUE US Equity","ARD_ROYALTY_REVENUE","FQ4 2022","FQ4 2022","Currency=USD","Period=FQ","BEST_FPERIOD_OVERRIDE=FQ","FILING_STATUS=MR","SCALING_FORMAT=MLN","Sort=A","Dates=H","DateFormat=P","Fill=—","Direction=H","UseDPDF=Y")</f>
        <v>—</v>
      </c>
      <c r="V9" s="13" t="str">
        <f>_xll.BDH("BLUE US Equity","ARD_ROYALTY_REVENUE","FQ1 2023","FQ1 2023","Currency=USD","Period=FQ","BEST_FPERIOD_OVERRIDE=FQ","FILING_STATUS=MR","SCALING_FORMAT=MLN","Sort=A","Dates=H","DateFormat=P","Fill=—","Direction=H","UseDPDF=Y")</f>
        <v>—</v>
      </c>
      <c r="W9" s="13" t="str">
        <f>_xll.BDH("BLUE US Equity","ARD_ROYALTY_REVENUE","FQ2 2023","FQ2 2023","Currency=USD","Period=FQ","BEST_FPERIOD_OVERRIDE=FQ","FILING_STATUS=MR","SCALING_FORMAT=MLN","Sort=A","Dates=H","DateFormat=P","Fill=—","Direction=H","UseDPDF=Y")</f>
        <v>—</v>
      </c>
      <c r="X9" s="13" t="str">
        <f>_xll.BDH("BLUE US Equity","ARD_ROYALTY_REVENUE","FQ3 2023","FQ3 2023","Currency=USD","Period=FQ","BEST_FPERIOD_OVERRIDE=FQ","FILING_STATUS=MR","SCALING_FORMAT=MLN","Sort=A","Dates=H","DateFormat=P","Fill=—","Direction=H","UseDPDF=Y")</f>
        <v>—</v>
      </c>
      <c r="Y9" s="13" t="str">
        <f>_xll.BDH("BLUE US Equity","ARD_ROYALTY_REVENUE","FQ1 2024","FQ1 2024","Currency=USD","Period=FQ","BEST_FPERIOD_OVERRIDE=FQ","FILING_STATUS=MR","SCALING_FORMAT=MLN","Sort=A","Dates=H","DateFormat=P","Fill=—","Direction=H","UseDPDF=Y")</f>
        <v>—</v>
      </c>
      <c r="Z9" s="13" t="str">
        <f>_xll.BDH("BLUE US Equity","ARD_ROYALTY_REVENUE","FQ2 2024","FQ2 2024","Currency=USD","Period=FQ","BEST_FPERIOD_OVERRIDE=FQ","FILING_STATUS=MR","SCALING_FORMAT=MLN","Sort=A","Dates=H","DateFormat=P","Fill=—","Direction=H","UseDPDF=Y")</f>
        <v>—</v>
      </c>
      <c r="AA9" s="13" t="str">
        <f>_xll.BDH("BLUE US Equity","ARD_ROYALTY_REVENUE","FQ3 2024","FQ3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10" t="s">
        <v>391</v>
      </c>
      <c r="B10" s="10" t="s">
        <v>392</v>
      </c>
      <c r="C10" s="13" t="str">
        <f>_xll.BDH("BLUE US Equity","ARD_PRODUCT_REVENUE","FQ2 2018","FQ2 2018","Currency=USD","Period=FQ","BEST_FPERIOD_OVERRIDE=FQ","FILING_STATUS=MR","SCALING_FORMAT=MLN","Sort=A","Dates=H","DateFormat=P","Fill=—","Direction=H","UseDPDF=Y")</f>
        <v>—</v>
      </c>
      <c r="D10" s="13" t="str">
        <f>_xll.BDH("BLUE US Equity","ARD_PRODUCT_REVENUE","FQ3 2018","FQ3 2018","Currency=USD","Period=FQ","BEST_FPERIOD_OVERRIDE=FQ","FILING_STATUS=MR","SCALING_FORMAT=MLN","Sort=A","Dates=H","DateFormat=P","Fill=—","Direction=H","UseDPDF=Y")</f>
        <v>—</v>
      </c>
      <c r="E10" s="13" t="str">
        <f>_xll.BDH("BLUE US Equity","ARD_PRODUCT_REVENUE","FQ4 2018","FQ4 2018","Currency=USD","Period=FQ","BEST_FPERIOD_OVERRIDE=FQ","FILING_STATUS=MR","SCALING_FORMAT=MLN","Sort=A","Dates=H","DateFormat=P","Fill=—","Direction=H","UseDPDF=Y")</f>
        <v>—</v>
      </c>
      <c r="F10" s="13" t="str">
        <f>_xll.BDH("BLUE US Equity","ARD_PRODUCT_REVENUE","FQ1 2019","FQ1 2019","Currency=USD","Period=FQ","BEST_FPERIOD_OVERRIDE=FQ","FILING_STATUS=MR","SCALING_FORMAT=MLN","Sort=A","Dates=H","DateFormat=P","Fill=—","Direction=H","UseDPDF=Y")</f>
        <v>—</v>
      </c>
      <c r="G10" s="13" t="str">
        <f>_xll.BDH("BLUE US Equity","ARD_PRODUCT_REVENUE","FQ2 2019","FQ2 2019","Currency=USD","Period=FQ","BEST_FPERIOD_OVERRIDE=FQ","FILING_STATUS=MR","SCALING_FORMAT=MLN","Sort=A","Dates=H","DateFormat=P","Fill=—","Direction=H","UseDPDF=Y")</f>
        <v>—</v>
      </c>
      <c r="H10" s="13" t="str">
        <f>_xll.BDH("BLUE US Equity","ARD_PRODUCT_REVENUE","FQ3 2019","FQ3 2019","Currency=USD","Period=FQ","BEST_FPERIOD_OVERRIDE=FQ","FILING_STATUS=MR","SCALING_FORMAT=MLN","Sort=A","Dates=H","DateFormat=P","Fill=—","Direction=H","UseDPDF=Y")</f>
        <v>—</v>
      </c>
      <c r="I10" s="13" t="str">
        <f>_xll.BDH("BLUE US Equity","ARD_PRODUCT_REVENUE","FQ4 2019","FQ4 2019","Currency=USD","Period=FQ","BEST_FPERIOD_OVERRIDE=FQ","FILING_STATUS=MR","SCALING_FORMAT=MLN","Sort=A","Dates=H","DateFormat=P","Fill=—","Direction=H","UseDPDF=Y")</f>
        <v>—</v>
      </c>
      <c r="J10" s="13" t="str">
        <f>_xll.BDH("BLUE US Equity","ARD_PRODUCT_REVENUE","FQ1 2020","FQ1 2020","Currency=USD","Period=FQ","BEST_FPERIOD_OVERRIDE=FQ","FILING_STATUS=MR","SCALING_FORMAT=MLN","Sort=A","Dates=H","DateFormat=P","Fill=—","Direction=H","UseDPDF=Y")</f>
        <v>—</v>
      </c>
      <c r="K10" s="13" t="str">
        <f>_xll.BDH("BLUE US Equity","ARD_PRODUCT_REVENUE","FQ2 2020","FQ2 2020","Currency=USD","Period=FQ","BEST_FPERIOD_OVERRIDE=FQ","FILING_STATUS=MR","SCALING_FORMAT=MLN","Sort=A","Dates=H","DateFormat=P","Fill=—","Direction=H","UseDPDF=Y")</f>
        <v>—</v>
      </c>
      <c r="L10" s="13" t="str">
        <f>_xll.BDH("BLUE US Equity","ARD_PRODUCT_REVENUE","FQ3 2020","FQ3 2020","Currency=USD","Period=FQ","BEST_FPERIOD_OVERRIDE=FQ","FILING_STATUS=MR","SCALING_FORMAT=MLN","Sort=A","Dates=H","DateFormat=P","Fill=—","Direction=H","UseDPDF=Y")</f>
        <v>—</v>
      </c>
      <c r="M10" s="13">
        <f>_xll.BDH("BLUE US Equity","ARD_PRODUCT_REVENUE","FQ4 2020","FQ4 2020","Currency=USD","Period=FQ","BEST_FPERIOD_OVERRIDE=FQ","FILING_STATUS=MR","SCALING_FORMAT=MLN","Sort=A","Dates=H","DateFormat=P","Fill=—","Direction=H","UseDPDF=Y")</f>
        <v>0</v>
      </c>
      <c r="N10" s="13">
        <f>_xll.BDH("BLUE US Equity","ARD_PRODUCT_REVENUE","FQ1 2021","FQ1 2021","Currency=USD","Period=FQ","BEST_FPERIOD_OVERRIDE=FQ","FILING_STATUS=MR","SCALING_FORMAT=MLN","Sort=A","Dates=H","DateFormat=P","Fill=—","Direction=H","UseDPDF=Y")</f>
        <v>0.72399999999999998</v>
      </c>
      <c r="O10" s="13" t="str">
        <f>_xll.BDH("BLUE US Equity","ARD_PRODUCT_REVENUE","FQ2 2021","FQ2 2021","Currency=USD","Period=FQ","BEST_FPERIOD_OVERRIDE=FQ","FILING_STATUS=MR","SCALING_FORMAT=MLN","Sort=A","Dates=H","DateFormat=P","Fill=—","Direction=H","UseDPDF=Y")</f>
        <v>—</v>
      </c>
      <c r="P10" s="13">
        <f>_xll.BDH("BLUE US Equity","ARD_PRODUCT_REVENUE","FQ3 2021","FQ3 2021","Currency=USD","Period=FQ","BEST_FPERIOD_OVERRIDE=FQ","FILING_STATUS=MR","SCALING_FORMAT=MLN","Sort=A","Dates=H","DateFormat=P","Fill=—","Direction=H","UseDPDF=Y")</f>
        <v>0.76800000000000002</v>
      </c>
      <c r="Q10" s="13">
        <f>_xll.BDH("BLUE US Equity","ARD_PRODUCT_REVENUE","FQ4 2021","FQ4 2021","Currency=USD","Period=FQ","BEST_FPERIOD_OVERRIDE=FQ","FILING_STATUS=MR","SCALING_FORMAT=MLN","Sort=A","Dates=H","DateFormat=P","Fill=—","Direction=H","UseDPDF=Y")</f>
        <v>1.3580000000000001</v>
      </c>
      <c r="R10" s="13">
        <f>_xll.BDH("BLUE US Equity","ARD_PRODUCT_REVENUE","FQ1 2022","FQ1 2022","Currency=USD","Period=FQ","BEST_FPERIOD_OVERRIDE=FQ","FILING_STATUS=MR","SCALING_FORMAT=MLN","Sort=A","Dates=H","DateFormat=P","Fill=—","Direction=H","UseDPDF=Y")</f>
        <v>1.4079999999999999</v>
      </c>
      <c r="S10" s="13">
        <f>_xll.BDH("BLUE US Equity","ARD_PRODUCT_REVENUE","FQ2 2022","FQ2 2022","Currency=USD","Period=FQ","BEST_FPERIOD_OVERRIDE=FQ","FILING_STATUS=MR","SCALING_FORMAT=MLN","Sort=A","Dates=H","DateFormat=P","Fill=—","Direction=H","UseDPDF=Y")</f>
        <v>1.331</v>
      </c>
      <c r="T10" s="13">
        <f>_xll.BDH("BLUE US Equity","ARD_PRODUCT_REVENUE","FQ3 2022","FQ3 2022","Currency=USD","Period=FQ","BEST_FPERIOD_OVERRIDE=FQ","FILING_STATUS=MR","SCALING_FORMAT=MLN","Sort=A","Dates=H","DateFormat=P","Fill=—","Direction=H","UseDPDF=Y")</f>
        <v>0</v>
      </c>
      <c r="U10" s="13">
        <f>_xll.BDH("BLUE US Equity","ARD_PRODUCT_REVENUE","FQ4 2022","FQ4 2022","Currency=USD","Period=FQ","BEST_FPERIOD_OVERRIDE=FQ","FILING_STATUS=MR","SCALING_FORMAT=MLN","Sort=A","Dates=H","DateFormat=P","Fill=—","Direction=H","UseDPDF=Y")</f>
        <v>0</v>
      </c>
      <c r="V10" s="13">
        <f>_xll.BDH("BLUE US Equity","ARD_PRODUCT_REVENUE","FQ1 2023","FQ1 2023","Currency=USD","Period=FQ","BEST_FPERIOD_OVERRIDE=FQ","FILING_STATUS=MR","SCALING_FORMAT=MLN","Sort=A","Dates=H","DateFormat=P","Fill=—","Direction=H","UseDPDF=Y")</f>
        <v>2.2959999999999998</v>
      </c>
      <c r="W10" s="13">
        <f>_xll.BDH("BLUE US Equity","ARD_PRODUCT_REVENUE","FQ2 2023","FQ2 2023","Currency=USD","Period=FQ","BEST_FPERIOD_OVERRIDE=FQ","FILING_STATUS=MR","SCALING_FORMAT=MLN","Sort=A","Dates=H","DateFormat=P","Fill=—","Direction=H","UseDPDF=Y")</f>
        <v>6.8369999999999997</v>
      </c>
      <c r="X10" s="13">
        <f>_xll.BDH("BLUE US Equity","ARD_PRODUCT_REVENUE","FQ3 2023","FQ3 2023","Currency=USD","Period=FQ","BEST_FPERIOD_OVERRIDE=FQ","FILING_STATUS=MR","SCALING_FORMAT=MLN","Sort=A","Dates=H","DateFormat=P","Fill=—","Direction=H","UseDPDF=Y")</f>
        <v>12.281000000000001</v>
      </c>
      <c r="Y10" s="13">
        <f>_xll.BDH("BLUE US Equity","ARD_PRODUCT_REVENUE","FQ1 2024","FQ1 2024","Currency=USD","Period=FQ","BEST_FPERIOD_OVERRIDE=FQ","FILING_STATUS=MR","SCALING_FORMAT=MLN","Sort=A","Dates=H","DateFormat=P","Fill=—","Direction=H","UseDPDF=Y")</f>
        <v>18.561</v>
      </c>
      <c r="Z10" s="13">
        <f>_xll.BDH("BLUE US Equity","ARD_PRODUCT_REVENUE","FQ2 2024","FQ2 2024","Currency=USD","Period=FQ","BEST_FPERIOD_OVERRIDE=FQ","FILING_STATUS=MR","SCALING_FORMAT=MLN","Sort=A","Dates=H","DateFormat=P","Fill=—","Direction=H","UseDPDF=Y")</f>
        <v>16.100999999999999</v>
      </c>
      <c r="AA10" s="13">
        <f>_xll.BDH("BLUE US Equity","ARD_PRODUCT_REVENUE","FQ3 2024","FQ3 2024","Currency=USD","Period=FQ","BEST_FPERIOD_OVERRIDE=FQ","FILING_STATUS=MR","SCALING_FORMAT=MLN","Sort=A","Dates=H","DateFormat=P","Fill=—","Direction=H","UseDPDF=Y")</f>
        <v>10.612</v>
      </c>
    </row>
    <row r="11" spans="1:27" x14ac:dyDescent="0.25">
      <c r="A11" s="10" t="s">
        <v>393</v>
      </c>
      <c r="B11" s="10" t="s">
        <v>394</v>
      </c>
      <c r="C11" s="13" t="str">
        <f>_xll.BDH("BLUE US Equity","ARD_SERVICE_REVENUE","FQ2 2018","FQ2 2018","Currency=USD","Period=FQ","BEST_FPERIOD_OVERRIDE=FQ","FILING_STATUS=MR","SCALING_FORMAT=MLN","Sort=A","Dates=H","DateFormat=P","Fill=—","Direction=H","UseDPDF=Y")</f>
        <v>—</v>
      </c>
      <c r="D11" s="13" t="str">
        <f>_xll.BDH("BLUE US Equity","ARD_SERVICE_REVENUE","FQ3 2018","FQ3 2018","Currency=USD","Period=FQ","BEST_FPERIOD_OVERRIDE=FQ","FILING_STATUS=MR","SCALING_FORMAT=MLN","Sort=A","Dates=H","DateFormat=P","Fill=—","Direction=H","UseDPDF=Y")</f>
        <v>—</v>
      </c>
      <c r="E11" s="13" t="str">
        <f>_xll.BDH("BLUE US Equity","ARD_SERVICE_REVENUE","FQ4 2018","FQ4 2018","Currency=USD","Period=FQ","BEST_FPERIOD_OVERRIDE=FQ","FILING_STATUS=MR","SCALING_FORMAT=MLN","Sort=A","Dates=H","DateFormat=P","Fill=—","Direction=H","UseDPDF=Y")</f>
        <v>—</v>
      </c>
      <c r="F11" s="13" t="str">
        <f>_xll.BDH("BLUE US Equity","ARD_SERVICE_REVENUE","FQ1 2019","FQ1 2019","Currency=USD","Period=FQ","BEST_FPERIOD_OVERRIDE=FQ","FILING_STATUS=MR","SCALING_FORMAT=MLN","Sort=A","Dates=H","DateFormat=P","Fill=—","Direction=H","UseDPDF=Y")</f>
        <v>—</v>
      </c>
      <c r="G11" s="13" t="str">
        <f>_xll.BDH("BLUE US Equity","ARD_SERVICE_REVENUE","FQ2 2019","FQ2 2019","Currency=USD","Period=FQ","BEST_FPERIOD_OVERRIDE=FQ","FILING_STATUS=MR","SCALING_FORMAT=MLN","Sort=A","Dates=H","DateFormat=P","Fill=—","Direction=H","UseDPDF=Y")</f>
        <v>—</v>
      </c>
      <c r="H11" s="13" t="str">
        <f>_xll.BDH("BLUE US Equity","ARD_SERVICE_REVENUE","FQ3 2019","FQ3 2019","Currency=USD","Period=FQ","BEST_FPERIOD_OVERRIDE=FQ","FILING_STATUS=MR","SCALING_FORMAT=MLN","Sort=A","Dates=H","DateFormat=P","Fill=—","Direction=H","UseDPDF=Y")</f>
        <v>—</v>
      </c>
      <c r="I11" s="13" t="str">
        <f>_xll.BDH("BLUE US Equity","ARD_SERVICE_REVENUE","FQ4 2019","FQ4 2019","Currency=USD","Period=FQ","BEST_FPERIOD_OVERRIDE=FQ","FILING_STATUS=MR","SCALING_FORMAT=MLN","Sort=A","Dates=H","DateFormat=P","Fill=—","Direction=H","UseDPDF=Y")</f>
        <v>—</v>
      </c>
      <c r="J11" s="13">
        <f>_xll.BDH("BLUE US Equity","ARD_SERVICE_REVENUE","FQ1 2020","FQ1 2020","Currency=USD","Period=FQ","BEST_FPERIOD_OVERRIDE=FQ","FILING_STATUS=MR","SCALING_FORMAT=MLN","Sort=A","Dates=H","DateFormat=P","Fill=—","Direction=H","UseDPDF=Y")</f>
        <v>16.832999999999998</v>
      </c>
      <c r="K11" s="13">
        <f>_xll.BDH("BLUE US Equity","ARD_SERVICE_REVENUE","FQ2 2020","FQ2 2020","Currency=USD","Period=FQ","BEST_FPERIOD_OVERRIDE=FQ","FILING_STATUS=MR","SCALING_FORMAT=MLN","Sort=A","Dates=H","DateFormat=P","Fill=—","Direction=H","UseDPDF=Y")</f>
        <v>78.356999999999999</v>
      </c>
      <c r="L11" s="13">
        <f>_xll.BDH("BLUE US Equity","ARD_SERVICE_REVENUE","FQ3 2020","FQ3 2020","Currency=USD","Period=FQ","BEST_FPERIOD_OVERRIDE=FQ","FILING_STATUS=MR","SCALING_FORMAT=MLN","Sort=A","Dates=H","DateFormat=P","Fill=—","Direction=H","UseDPDF=Y")</f>
        <v>13.352</v>
      </c>
      <c r="M11" s="13" t="str">
        <f>_xll.BDH("BLUE US Equity","ARD_SERVICE_REVENUE","FQ4 2020","FQ4 2020","Currency=USD","Period=FQ","BEST_FPERIOD_OVERRIDE=FQ","FILING_STATUS=MR","SCALING_FORMAT=MLN","Sort=A","Dates=H","DateFormat=P","Fill=—","Direction=H","UseDPDF=Y")</f>
        <v>—</v>
      </c>
      <c r="N11" s="13" t="str">
        <f>_xll.BDH("BLUE US Equity","ARD_SERVICE_REVENUE","FQ1 2021","FQ1 2021","Currency=USD","Period=FQ","BEST_FPERIOD_OVERRIDE=FQ","FILING_STATUS=MR","SCALING_FORMAT=MLN","Sort=A","Dates=H","DateFormat=P","Fill=—","Direction=H","UseDPDF=Y")</f>
        <v>—</v>
      </c>
      <c r="O11" s="13">
        <f>_xll.BDH("BLUE US Equity","ARD_SERVICE_REVENUE","FQ2 2021","FQ2 2021","Currency=USD","Period=FQ","BEST_FPERIOD_OVERRIDE=FQ","FILING_STATUS=MR","SCALING_FORMAT=MLN","Sort=A","Dates=H","DateFormat=P","Fill=—","Direction=H","UseDPDF=Y")</f>
        <v>5.3140000000000001</v>
      </c>
      <c r="P11" s="13" t="str">
        <f>_xll.BDH("BLUE US Equity","ARD_SERVICE_REVENUE","FQ3 2021","FQ3 2021","Currency=USD","Period=FQ","BEST_FPERIOD_OVERRIDE=FQ","FILING_STATUS=MR","SCALING_FORMAT=MLN","Sort=A","Dates=H","DateFormat=P","Fill=—","Direction=H","UseDPDF=Y")</f>
        <v>—</v>
      </c>
      <c r="Q11" s="13" t="str">
        <f>_xll.BDH("BLUE US Equity","ARD_SERVICE_REVENUE","FQ4 2021","FQ4 2021","Currency=USD","Period=FQ","BEST_FPERIOD_OVERRIDE=FQ","FILING_STATUS=MR","SCALING_FORMAT=MLN","Sort=A","Dates=H","DateFormat=P","Fill=—","Direction=H","UseDPDF=Y")</f>
        <v>—</v>
      </c>
      <c r="R11" s="13" t="str">
        <f>_xll.BDH("BLUE US Equity","ARD_SERVICE_REVENUE","FQ1 2022","FQ1 2022","Currency=USD","Period=FQ","BEST_FPERIOD_OVERRIDE=FQ","FILING_STATUS=MR","SCALING_FORMAT=MLN","Sort=A","Dates=H","DateFormat=P","Fill=—","Direction=H","UseDPDF=Y")</f>
        <v>—</v>
      </c>
      <c r="S11" s="13" t="str">
        <f>_xll.BDH("BLUE US Equity","ARD_SERVICE_REVENUE","FQ2 2022","FQ2 2022","Currency=USD","Period=FQ","BEST_FPERIOD_OVERRIDE=FQ","FILING_STATUS=MR","SCALING_FORMAT=MLN","Sort=A","Dates=H","DateFormat=P","Fill=—","Direction=H","UseDPDF=Y")</f>
        <v>—</v>
      </c>
      <c r="T11" s="13" t="str">
        <f>_xll.BDH("BLUE US Equity","ARD_SERVICE_REVENUE","FQ3 2022","FQ3 2022","Currency=USD","Period=FQ","BEST_FPERIOD_OVERRIDE=FQ","FILING_STATUS=MR","SCALING_FORMAT=MLN","Sort=A","Dates=H","DateFormat=P","Fill=—","Direction=H","UseDPDF=Y")</f>
        <v>—</v>
      </c>
      <c r="U11" s="13" t="str">
        <f>_xll.BDH("BLUE US Equity","ARD_SERVICE_REVENUE","FQ4 2022","FQ4 2022","Currency=USD","Period=FQ","BEST_FPERIOD_OVERRIDE=FQ","FILING_STATUS=MR","SCALING_FORMAT=MLN","Sort=A","Dates=H","DateFormat=P","Fill=—","Direction=H","UseDPDF=Y")</f>
        <v>—</v>
      </c>
      <c r="V11" s="13" t="str">
        <f>_xll.BDH("BLUE US Equity","ARD_SERVICE_REVENUE","FQ1 2023","FQ1 2023","Currency=USD","Period=FQ","BEST_FPERIOD_OVERRIDE=FQ","FILING_STATUS=MR","SCALING_FORMAT=MLN","Sort=A","Dates=H","DateFormat=P","Fill=—","Direction=H","UseDPDF=Y")</f>
        <v>—</v>
      </c>
      <c r="W11" s="13" t="str">
        <f>_xll.BDH("BLUE US Equity","ARD_SERVICE_REVENUE","FQ2 2023","FQ2 2023","Currency=USD","Period=FQ","BEST_FPERIOD_OVERRIDE=FQ","FILING_STATUS=MR","SCALING_FORMAT=MLN","Sort=A","Dates=H","DateFormat=P","Fill=—","Direction=H","UseDPDF=Y")</f>
        <v>—</v>
      </c>
      <c r="X11" s="13" t="str">
        <f>_xll.BDH("BLUE US Equity","ARD_SERVICE_REVENUE","FQ3 2023","FQ3 2023","Currency=USD","Period=FQ","BEST_FPERIOD_OVERRIDE=FQ","FILING_STATUS=MR","SCALING_FORMAT=MLN","Sort=A","Dates=H","DateFormat=P","Fill=—","Direction=H","UseDPDF=Y")</f>
        <v>—</v>
      </c>
      <c r="Y11" s="13" t="str">
        <f>_xll.BDH("BLUE US Equity","ARD_SERVICE_REVENUE","FQ1 2024","FQ1 2024","Currency=USD","Period=FQ","BEST_FPERIOD_OVERRIDE=FQ","FILING_STATUS=MR","SCALING_FORMAT=MLN","Sort=A","Dates=H","DateFormat=P","Fill=—","Direction=H","UseDPDF=Y")</f>
        <v>—</v>
      </c>
      <c r="Z11" s="13" t="str">
        <f>_xll.BDH("BLUE US Equity","ARD_SERVICE_REVENUE","FQ2 2024","FQ2 2024","Currency=USD","Period=FQ","BEST_FPERIOD_OVERRIDE=FQ","FILING_STATUS=MR","SCALING_FORMAT=MLN","Sort=A","Dates=H","DateFormat=P","Fill=—","Direction=H","UseDPDF=Y")</f>
        <v>—</v>
      </c>
      <c r="AA11" s="13" t="str">
        <f>_xll.BDH("BLUE US Equity","ARD_SERVICE_REVENUE","FQ3 2024","FQ3 2024","Currency=USD","Period=FQ","BEST_FPERIOD_OVERRIDE=FQ","FILING_STATUS=MR","SCALING_FORMAT=MLN","Sort=A","Dates=H","DateFormat=P","Fill=—","Direction=H","UseDPDF=Y")</f>
        <v>—</v>
      </c>
    </row>
    <row r="12" spans="1:27" x14ac:dyDescent="0.25">
      <c r="A12" s="10" t="s">
        <v>395</v>
      </c>
      <c r="B12" s="10" t="s">
        <v>396</v>
      </c>
      <c r="C12" s="13">
        <f>_xll.BDH("BLUE US Equity","ARD_LICENSE_CONTRACT_FEE_REV","FQ2 2018","FQ2 2018","Currency=USD","Period=FQ","BEST_FPERIOD_OVERRIDE=FQ","FILING_STATUS=MR","SCALING_FORMAT=MLN","Sort=A","Dates=H","DateFormat=P","Fill=—","Direction=H","UseDPDF=Y")</f>
        <v>0.41399999999999998</v>
      </c>
      <c r="D12" s="13">
        <f>_xll.BDH("BLUE US Equity","ARD_LICENSE_CONTRACT_FEE_REV","FQ3 2018","FQ3 2018","Currency=USD","Period=FQ","BEST_FPERIOD_OVERRIDE=FQ","FILING_STATUS=MR","SCALING_FORMAT=MLN","Sort=A","Dates=H","DateFormat=P","Fill=—","Direction=H","UseDPDF=Y")</f>
        <v>0.60199999999999998</v>
      </c>
      <c r="E12" s="13">
        <f>_xll.BDH("BLUE US Equity","ARD_LICENSE_CONTRACT_FEE_REV","FQ4 2018","FQ4 2018","Currency=USD","Period=FQ","BEST_FPERIOD_OVERRIDE=FQ","FILING_STATUS=MR","SCALING_FORMAT=MLN","Sort=A","Dates=H","DateFormat=P","Fill=—","Direction=H","UseDPDF=Y")</f>
        <v>0.86099999999999999</v>
      </c>
      <c r="F12" s="13">
        <f>_xll.BDH("BLUE US Equity","ARD_LICENSE_CONTRACT_FEE_REV","FQ1 2019","FQ1 2019","Currency=USD","Period=FQ","BEST_FPERIOD_OVERRIDE=FQ","FILING_STATUS=MR","SCALING_FORMAT=MLN","Sort=A","Dates=H","DateFormat=P","Fill=—","Direction=H","UseDPDF=Y")</f>
        <v>1.294</v>
      </c>
      <c r="G12" s="13">
        <f>_xll.BDH("BLUE US Equity","ARD_LICENSE_CONTRACT_FEE_REV","FQ2 2019","FQ2 2019","Currency=USD","Period=FQ","BEST_FPERIOD_OVERRIDE=FQ","FILING_STATUS=MR","SCALING_FORMAT=MLN","Sort=A","Dates=H","DateFormat=P","Fill=—","Direction=H","UseDPDF=Y")</f>
        <v>1.738</v>
      </c>
      <c r="H12" s="13">
        <f>_xll.BDH("BLUE US Equity","ARD_LICENSE_CONTRACT_FEE_REV","FQ3 2019","FQ3 2019","Currency=USD","Period=FQ","BEST_FPERIOD_OVERRIDE=FQ","FILING_STATUS=MR","SCALING_FORMAT=MLN","Sort=A","Dates=H","DateFormat=P","Fill=—","Direction=H","UseDPDF=Y")</f>
        <v>2.335</v>
      </c>
      <c r="I12" s="13">
        <f>_xll.BDH("BLUE US Equity","ARD_LICENSE_CONTRACT_FEE_REV","FQ4 2019","FQ4 2019","Currency=USD","Period=FQ","BEST_FPERIOD_OVERRIDE=FQ","FILING_STATUS=MR","SCALING_FORMAT=MLN","Sort=A","Dates=H","DateFormat=P","Fill=—","Direction=H","UseDPDF=Y")</f>
        <v>2.8380000000000001</v>
      </c>
      <c r="J12" s="13" t="str">
        <f>_xll.BDH("BLUE US Equity","ARD_LICENSE_CONTRACT_FEE_REV","FQ1 2020","FQ1 2020","Currency=USD","Period=FQ","BEST_FPERIOD_OVERRIDE=FQ","FILING_STATUS=MR","SCALING_FORMAT=MLN","Sort=A","Dates=H","DateFormat=P","Fill=—","Direction=H","UseDPDF=Y")</f>
        <v>—</v>
      </c>
      <c r="K12" s="13" t="str">
        <f>_xll.BDH("BLUE US Equity","ARD_LICENSE_CONTRACT_FEE_REV","FQ2 2020","FQ2 2020","Currency=USD","Period=FQ","BEST_FPERIOD_OVERRIDE=FQ","FILING_STATUS=MR","SCALING_FORMAT=MLN","Sort=A","Dates=H","DateFormat=P","Fill=—","Direction=H","UseDPDF=Y")</f>
        <v>—</v>
      </c>
      <c r="L12" s="13" t="str">
        <f>_xll.BDH("BLUE US Equity","ARD_LICENSE_CONTRACT_FEE_REV","FQ3 2020","FQ3 2020","Currency=USD","Period=FQ","BEST_FPERIOD_OVERRIDE=FQ","FILING_STATUS=MR","SCALING_FORMAT=MLN","Sort=A","Dates=H","DateFormat=P","Fill=—","Direction=H","UseDPDF=Y")</f>
        <v>—</v>
      </c>
      <c r="M12" s="13" t="str">
        <f>_xll.BDH("BLUE US Equity","ARD_LICENSE_CONTRACT_FEE_REV","FQ4 2020","FQ4 2020","Currency=USD","Period=FQ","BEST_FPERIOD_OVERRIDE=FQ","FILING_STATUS=MR","SCALING_FORMAT=MLN","Sort=A","Dates=H","DateFormat=P","Fill=—","Direction=H","UseDPDF=Y")</f>
        <v>—</v>
      </c>
      <c r="N12" s="13" t="str">
        <f>_xll.BDH("BLUE US Equity","ARD_LICENSE_CONTRACT_FEE_REV","FQ1 2021","FQ1 2021","Currency=USD","Period=FQ","BEST_FPERIOD_OVERRIDE=FQ","FILING_STATUS=MR","SCALING_FORMAT=MLN","Sort=A","Dates=H","DateFormat=P","Fill=—","Direction=H","UseDPDF=Y")</f>
        <v>—</v>
      </c>
      <c r="O12" s="13" t="str">
        <f>_xll.BDH("BLUE US Equity","ARD_LICENSE_CONTRACT_FEE_REV","FQ2 2021","FQ2 2021","Currency=USD","Period=FQ","BEST_FPERIOD_OVERRIDE=FQ","FILING_STATUS=MR","SCALING_FORMAT=MLN","Sort=A","Dates=H","DateFormat=P","Fill=—","Direction=H","UseDPDF=Y")</f>
        <v>—</v>
      </c>
      <c r="P12" s="13" t="str">
        <f>_xll.BDH("BLUE US Equity","ARD_LICENSE_CONTRACT_FEE_REV","FQ3 2021","FQ3 2021","Currency=USD","Period=FQ","BEST_FPERIOD_OVERRIDE=FQ","FILING_STATUS=MR","SCALING_FORMAT=MLN","Sort=A","Dates=H","DateFormat=P","Fill=—","Direction=H","UseDPDF=Y")</f>
        <v>—</v>
      </c>
      <c r="Q12" s="13" t="str">
        <f>_xll.BDH("BLUE US Equity","ARD_LICENSE_CONTRACT_FEE_REV","FQ4 2021","FQ4 2021","Currency=USD","Period=FQ","BEST_FPERIOD_OVERRIDE=FQ","FILING_STATUS=MR","SCALING_FORMAT=MLN","Sort=A","Dates=H","DateFormat=P","Fill=—","Direction=H","UseDPDF=Y")</f>
        <v>—</v>
      </c>
      <c r="R12" s="13" t="str">
        <f>_xll.BDH("BLUE US Equity","ARD_LICENSE_CONTRACT_FEE_REV","FQ1 2022","FQ1 2022","Currency=USD","Period=FQ","BEST_FPERIOD_OVERRIDE=FQ","FILING_STATUS=MR","SCALING_FORMAT=MLN","Sort=A","Dates=H","DateFormat=P","Fill=—","Direction=H","UseDPDF=Y")</f>
        <v>—</v>
      </c>
      <c r="S12" s="13" t="str">
        <f>_xll.BDH("BLUE US Equity","ARD_LICENSE_CONTRACT_FEE_REV","FQ2 2022","FQ2 2022","Currency=USD","Period=FQ","BEST_FPERIOD_OVERRIDE=FQ","FILING_STATUS=MR","SCALING_FORMAT=MLN","Sort=A","Dates=H","DateFormat=P","Fill=—","Direction=H","UseDPDF=Y")</f>
        <v>—</v>
      </c>
      <c r="T12" s="13" t="str">
        <f>_xll.BDH("BLUE US Equity","ARD_LICENSE_CONTRACT_FEE_REV","FQ3 2022","FQ3 2022","Currency=USD","Period=FQ","BEST_FPERIOD_OVERRIDE=FQ","FILING_STATUS=MR","SCALING_FORMAT=MLN","Sort=A","Dates=H","DateFormat=P","Fill=—","Direction=H","UseDPDF=Y")</f>
        <v>—</v>
      </c>
      <c r="U12" s="13" t="str">
        <f>_xll.BDH("BLUE US Equity","ARD_LICENSE_CONTRACT_FEE_REV","FQ4 2022","FQ4 2022","Currency=USD","Period=FQ","BEST_FPERIOD_OVERRIDE=FQ","FILING_STATUS=MR","SCALING_FORMAT=MLN","Sort=A","Dates=H","DateFormat=P","Fill=—","Direction=H","UseDPDF=Y")</f>
        <v>—</v>
      </c>
      <c r="V12" s="13" t="str">
        <f>_xll.BDH("BLUE US Equity","ARD_LICENSE_CONTRACT_FEE_REV","FQ1 2023","FQ1 2023","Currency=USD","Period=FQ","BEST_FPERIOD_OVERRIDE=FQ","FILING_STATUS=MR","SCALING_FORMAT=MLN","Sort=A","Dates=H","DateFormat=P","Fill=—","Direction=H","UseDPDF=Y")</f>
        <v>—</v>
      </c>
      <c r="W12" s="13" t="str">
        <f>_xll.BDH("BLUE US Equity","ARD_LICENSE_CONTRACT_FEE_REV","FQ2 2023","FQ2 2023","Currency=USD","Period=FQ","BEST_FPERIOD_OVERRIDE=FQ","FILING_STATUS=MR","SCALING_FORMAT=MLN","Sort=A","Dates=H","DateFormat=P","Fill=—","Direction=H","UseDPDF=Y")</f>
        <v>—</v>
      </c>
      <c r="X12" s="13" t="str">
        <f>_xll.BDH("BLUE US Equity","ARD_LICENSE_CONTRACT_FEE_REV","FQ3 2023","FQ3 2023","Currency=USD","Period=FQ","BEST_FPERIOD_OVERRIDE=FQ","FILING_STATUS=MR","SCALING_FORMAT=MLN","Sort=A","Dates=H","DateFormat=P","Fill=—","Direction=H","UseDPDF=Y")</f>
        <v>—</v>
      </c>
      <c r="Y12" s="13" t="str">
        <f>_xll.BDH("BLUE US Equity","ARD_LICENSE_CONTRACT_FEE_REV","FQ1 2024","FQ1 2024","Currency=USD","Period=FQ","BEST_FPERIOD_OVERRIDE=FQ","FILING_STATUS=MR","SCALING_FORMAT=MLN","Sort=A","Dates=H","DateFormat=P","Fill=—","Direction=H","UseDPDF=Y")</f>
        <v>—</v>
      </c>
      <c r="Z12" s="13" t="str">
        <f>_xll.BDH("BLUE US Equity","ARD_LICENSE_CONTRACT_FEE_REV","FQ2 2024","FQ2 2024","Currency=USD","Period=FQ","BEST_FPERIOD_OVERRIDE=FQ","FILING_STATUS=MR","SCALING_FORMAT=MLN","Sort=A","Dates=H","DateFormat=P","Fill=—","Direction=H","UseDPDF=Y")</f>
        <v>—</v>
      </c>
      <c r="AA12" s="13" t="str">
        <f>_xll.BDH("BLUE US Equity","ARD_LICENSE_CONTRACT_FEE_REV","FQ3 2024","FQ3 2024","Currency=USD","Period=FQ","BEST_FPERIOD_OVERRIDE=FQ","FILING_STATUS=MR","SCALING_FORMAT=MLN","Sort=A","Dates=H","DateFormat=P","Fill=—","Direction=H","UseDPDF=Y")</f>
        <v>—</v>
      </c>
    </row>
    <row r="13" spans="1:27" x14ac:dyDescent="0.25">
      <c r="A13" s="6" t="s">
        <v>1</v>
      </c>
      <c r="B13" s="6" t="s">
        <v>397</v>
      </c>
      <c r="C13" s="19">
        <f>_xll.BDH("BLUE US Equity","ARD_TOTAL_REVENUES","FQ2 2018","FQ2 2018","Currency=USD","Period=FQ","BEST_FPERIOD_OVERRIDE=FQ","FILING_STATUS=MR","SCALING_FORMAT=MLN","Sort=A","Dates=H","DateFormat=P","Fill=—","Direction=H","UseDPDF=Y")</f>
        <v>7.851</v>
      </c>
      <c r="D13" s="19">
        <f>_xll.BDH("BLUE US Equity","ARD_TOTAL_REVENUES","FQ3 2018","FQ3 2018","Currency=USD","Period=FQ","BEST_FPERIOD_OVERRIDE=FQ","FILING_STATUS=MR","SCALING_FORMAT=MLN","Sort=A","Dates=H","DateFormat=P","Fill=—","Direction=H","UseDPDF=Y")</f>
        <v>11.528</v>
      </c>
      <c r="E13" s="19">
        <f>_xll.BDH("BLUE US Equity","ARD_TOTAL_REVENUES","FQ4 2018","FQ4 2018","Currency=USD","Period=FQ","BEST_FPERIOD_OVERRIDE=FQ","FILING_STATUS=MR","SCALING_FORMAT=MLN","Sort=A","Dates=H","DateFormat=P","Fill=—","Direction=H","UseDPDF=Y")</f>
        <v>19.242999999999999</v>
      </c>
      <c r="F13" s="19">
        <f>_xll.BDH("BLUE US Equity","ARD_TOTAL_REVENUES","FQ1 2019","FQ1 2019","Currency=USD","Period=FQ","BEST_FPERIOD_OVERRIDE=FQ","FILING_STATUS=MR","SCALING_FORMAT=MLN","Sort=A","Dates=H","DateFormat=P","Fill=—","Direction=H","UseDPDF=Y")</f>
        <v>12.471</v>
      </c>
      <c r="G13" s="19">
        <f>_xll.BDH("BLUE US Equity","ARD_TOTAL_REVENUES","FQ2 2019","FQ2 2019","Currency=USD","Period=FQ","BEST_FPERIOD_OVERRIDE=FQ","FILING_STATUS=MR","SCALING_FORMAT=MLN","Sort=A","Dates=H","DateFormat=P","Fill=—","Direction=H","UseDPDF=Y")</f>
        <v>13.295999999999999</v>
      </c>
      <c r="H13" s="19">
        <f>_xll.BDH("BLUE US Equity","ARD_TOTAL_REVENUES","FQ3 2019","FQ3 2019","Currency=USD","Period=FQ","BEST_FPERIOD_OVERRIDE=FQ","FILING_STATUS=MR","SCALING_FORMAT=MLN","Sort=A","Dates=H","DateFormat=P","Fill=—","Direction=H","UseDPDF=Y")</f>
        <v>8.91</v>
      </c>
      <c r="I13" s="19">
        <f>_xll.BDH("BLUE US Equity","ARD_TOTAL_REVENUES","FQ4 2019","FQ4 2019","Currency=USD","Period=FQ","BEST_FPERIOD_OVERRIDE=FQ","FILING_STATUS=MR","SCALING_FORMAT=MLN","Sort=A","Dates=H","DateFormat=P","Fill=—","Direction=H","UseDPDF=Y")</f>
        <v>9.9969999999999999</v>
      </c>
      <c r="J13" s="19">
        <f>_xll.BDH("BLUE US Equity","ARD_TOTAL_REVENUES","FQ1 2020","FQ1 2020","Currency=USD","Period=FQ","BEST_FPERIOD_OVERRIDE=FQ","FILING_STATUS=MR","SCALING_FORMAT=MLN","Sort=A","Dates=H","DateFormat=P","Fill=—","Direction=H","UseDPDF=Y")</f>
        <v>21.863</v>
      </c>
      <c r="K13" s="19">
        <f>_xll.BDH("BLUE US Equity","ARD_TOTAL_REVENUES","FQ2 2020","FQ2 2020","Currency=USD","Period=FQ","BEST_FPERIOD_OVERRIDE=FQ","FILING_STATUS=MR","SCALING_FORMAT=MLN","Sort=A","Dates=H","DateFormat=P","Fill=—","Direction=H","UseDPDF=Y")</f>
        <v>198.89</v>
      </c>
      <c r="L13" s="19">
        <f>_xll.BDH("BLUE US Equity","ARD_TOTAL_REVENUES","FQ3 2020","FQ3 2020","Currency=USD","Period=FQ","BEST_FPERIOD_OVERRIDE=FQ","FILING_STATUS=MR","SCALING_FORMAT=MLN","Sort=A","Dates=H","DateFormat=P","Fill=—","Direction=H","UseDPDF=Y")</f>
        <v>19.273</v>
      </c>
      <c r="M13" s="19">
        <f>_xll.BDH("BLUE US Equity","ARD_TOTAL_REVENUES","FQ4 2020","FQ4 2020","Currency=USD","Period=FQ","BEST_FPERIOD_OVERRIDE=FQ","FILING_STATUS=MR","SCALING_FORMAT=MLN","Sort=A","Dates=H","DateFormat=P","Fill=—","Direction=H","UseDPDF=Y")</f>
        <v>0</v>
      </c>
      <c r="N13" s="19">
        <f>_xll.BDH("BLUE US Equity","ARD_TOTAL_REVENUES","FQ1 2021","FQ1 2021","Currency=USD","Period=FQ","BEST_FPERIOD_OVERRIDE=FQ","FILING_STATUS=MR","SCALING_FORMAT=MLN","Sort=A","Dates=H","DateFormat=P","Fill=—","Direction=H","UseDPDF=Y")</f>
        <v>0.89400000000000002</v>
      </c>
      <c r="O13" s="19">
        <f>_xll.BDH("BLUE US Equity","ARD_TOTAL_REVENUES","FQ2 2021","FQ2 2021","Currency=USD","Period=FQ","BEST_FPERIOD_OVERRIDE=FQ","FILING_STATUS=MR","SCALING_FORMAT=MLN","Sort=A","Dates=H","DateFormat=P","Fill=—","Direction=H","UseDPDF=Y")</f>
        <v>7.4720000000000004</v>
      </c>
      <c r="P13" s="19">
        <f>_xll.BDH("BLUE US Equity","ARD_TOTAL_REVENUES","FQ3 2021","FQ3 2021","Currency=USD","Period=FQ","BEST_FPERIOD_OVERRIDE=FQ","FILING_STATUS=MR","SCALING_FORMAT=MLN","Sort=A","Dates=H","DateFormat=P","Fill=—","Direction=H","UseDPDF=Y")</f>
        <v>1.0189999999999999</v>
      </c>
      <c r="Q13" s="19">
        <f>_xll.BDH("BLUE US Equity","ARD_TOTAL_REVENUES","FQ4 2021","FQ4 2021","Currency=USD","Period=FQ","BEST_FPERIOD_OVERRIDE=FQ","FILING_STATUS=MR","SCALING_FORMAT=MLN","Sort=A","Dates=H","DateFormat=P","Fill=—","Direction=H","UseDPDF=Y")</f>
        <v>1.6060000000000001</v>
      </c>
      <c r="R13" s="19">
        <f>_xll.BDH("BLUE US Equity","ARD_TOTAL_REVENUES","FQ1 2022","FQ1 2022","Currency=USD","Period=FQ","BEST_FPERIOD_OVERRIDE=FQ","FILING_STATUS=MR","SCALING_FORMAT=MLN","Sort=A","Dates=H","DateFormat=P","Fill=—","Direction=H","UseDPDF=Y")</f>
        <v>1.9450000000000001</v>
      </c>
      <c r="S13" s="19">
        <f>_xll.BDH("BLUE US Equity","ARD_TOTAL_REVENUES","FQ2 2022","FQ2 2022","Currency=USD","Period=FQ","BEST_FPERIOD_OVERRIDE=FQ","FILING_STATUS=MR","SCALING_FORMAT=MLN","Sort=A","Dates=H","DateFormat=P","Fill=—","Direction=H","UseDPDF=Y")</f>
        <v>1.5189999999999999</v>
      </c>
      <c r="T13" s="19">
        <f>_xll.BDH("BLUE US Equity","ARD_TOTAL_REVENUES","FQ3 2022","FQ3 2022","Currency=USD","Period=FQ","BEST_FPERIOD_OVERRIDE=FQ","FILING_STATUS=MR","SCALING_FORMAT=MLN","Sort=A","Dates=H","DateFormat=P","Fill=—","Direction=H","UseDPDF=Y")</f>
        <v>7.0999999999999994E-2</v>
      </c>
      <c r="U13" s="19">
        <f>_xll.BDH("BLUE US Equity","ARD_TOTAL_REVENUES","FQ4 2022","FQ4 2022","Currency=USD","Period=FQ","BEST_FPERIOD_OVERRIDE=FQ","FILING_STATUS=MR","SCALING_FORMAT=MLN","Sort=A","Dates=H","DateFormat=P","Fill=—","Direction=H","UseDPDF=Y")</f>
        <v>6.2E-2</v>
      </c>
      <c r="V13" s="19">
        <f>_xll.BDH("BLUE US Equity","ARD_TOTAL_REVENUES","FQ1 2023","FQ1 2023","Currency=USD","Period=FQ","BEST_FPERIOD_OVERRIDE=FQ","FILING_STATUS=MR","SCALING_FORMAT=MLN","Sort=A","Dates=H","DateFormat=P","Fill=—","Direction=H","UseDPDF=Y")</f>
        <v>2.3809999999999998</v>
      </c>
      <c r="W13" s="19">
        <f>_xll.BDH("BLUE US Equity","ARD_TOTAL_REVENUES","FQ2 2023","FQ2 2023","Currency=USD","Period=FQ","BEST_FPERIOD_OVERRIDE=FQ","FILING_STATUS=MR","SCALING_FORMAT=MLN","Sort=A","Dates=H","DateFormat=P","Fill=—","Direction=H","UseDPDF=Y")</f>
        <v>6.89</v>
      </c>
      <c r="X13" s="19">
        <f>_xll.BDH("BLUE US Equity","ARD_TOTAL_REVENUES","FQ3 2023","FQ3 2023","Currency=USD","Period=FQ","BEST_FPERIOD_OVERRIDE=FQ","FILING_STATUS=MR","SCALING_FORMAT=MLN","Sort=A","Dates=H","DateFormat=P","Fill=—","Direction=H","UseDPDF=Y")</f>
        <v>12.391999999999999</v>
      </c>
      <c r="Y13" s="19">
        <f>_xll.BDH("BLUE US Equity","ARD_TOTAL_REVENUES","FQ1 2024","FQ1 2024","Currency=USD","Period=FQ","BEST_FPERIOD_OVERRIDE=FQ","FILING_STATUS=MR","SCALING_FORMAT=MLN","Sort=A","Dates=H","DateFormat=P","Fill=—","Direction=H","UseDPDF=Y")</f>
        <v>18.573</v>
      </c>
      <c r="Z13" s="19">
        <f>_xll.BDH("BLUE US Equity","ARD_TOTAL_REVENUES","FQ2 2024","FQ2 2024","Currency=USD","Period=FQ","BEST_FPERIOD_OVERRIDE=FQ","FILING_STATUS=MR","SCALING_FORMAT=MLN","Sort=A","Dates=H","DateFormat=P","Fill=—","Direction=H","UseDPDF=Y")</f>
        <v>16.100999999999999</v>
      </c>
      <c r="AA13" s="19">
        <f>_xll.BDH("BLUE US Equity","ARD_TOTAL_REVENUES","FQ3 2024","FQ3 2024","Currency=USD","Period=FQ","BEST_FPERIOD_OVERRIDE=FQ","FILING_STATUS=MR","SCALING_FORMAT=MLN","Sort=A","Dates=H","DateFormat=P","Fill=—","Direction=H","UseDPDF=Y")</f>
        <v>10.612</v>
      </c>
    </row>
    <row r="14" spans="1:27" x14ac:dyDescent="0.25">
      <c r="A14" s="10" t="s">
        <v>398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399</v>
      </c>
      <c r="B15" s="10" t="s">
        <v>400</v>
      </c>
      <c r="C15" s="13">
        <f>_xll.BDH("BLUE US Equity","ARD_TOTAL_OPERATING_EXPENSES","FQ2 2018","FQ2 2018","Currency=USD","Period=FQ","BEST_FPERIOD_OVERRIDE=FQ","FILING_STATUS=MR","SCALING_FORMAT=MLN","Sort=A","Dates=H","DateFormat=P","Fill=—","Direction=H","UseDPDF=Y")</f>
        <v>156.465</v>
      </c>
      <c r="D15" s="13">
        <f>_xll.BDH("BLUE US Equity","ARD_TOTAL_OPERATING_EXPENSES","FQ3 2018","FQ3 2018","Currency=USD","Period=FQ","BEST_FPERIOD_OVERRIDE=FQ","FILING_STATUS=MR","SCALING_FORMAT=MLN","Sort=A","Dates=H","DateFormat=P","Fill=—","Direction=H","UseDPDF=Y")</f>
        <v>161.34700000000001</v>
      </c>
      <c r="E15" s="13">
        <f>_xll.BDH("BLUE US Equity","ARD_TOTAL_OPERATING_EXPENSES","FQ4 2018","FQ4 2018","Currency=USD","Period=FQ","BEST_FPERIOD_OVERRIDE=FQ","FILING_STATUS=MR","SCALING_FORMAT=MLN","Sort=A","Dates=H","DateFormat=P","Fill=—","Direction=H","UseDPDF=Y")</f>
        <v>176.20400000000001</v>
      </c>
      <c r="F15" s="13">
        <f>_xll.BDH("BLUE US Equity","ARD_TOTAL_OPERATING_EXPENSES","FQ1 2019","FQ1 2019","Currency=USD","Period=FQ","BEST_FPERIOD_OVERRIDE=FQ","FILING_STATUS=MR","SCALING_FORMAT=MLN","Sort=A","Dates=H","DateFormat=P","Fill=—","Direction=H","UseDPDF=Y")</f>
        <v>183.64500000000001</v>
      </c>
      <c r="G15" s="13">
        <f>_xll.BDH("BLUE US Equity","ARD_TOTAL_OPERATING_EXPENSES","FQ2 2019","FQ2 2019","Currency=USD","Period=FQ","BEST_FPERIOD_OVERRIDE=FQ","FILING_STATUS=MR","SCALING_FORMAT=MLN","Sort=A","Dates=H","DateFormat=P","Fill=—","Direction=H","UseDPDF=Y")</f>
        <v>215.99799999999999</v>
      </c>
      <c r="H15" s="13">
        <f>_xll.BDH("BLUE US Equity","ARD_TOTAL_OPERATING_EXPENSES","FQ3 2019","FQ3 2019","Currency=USD","Period=FQ","BEST_FPERIOD_OVERRIDE=FQ","FILING_STATUS=MR","SCALING_FORMAT=MLN","Sort=A","Dates=H","DateFormat=P","Fill=—","Direction=H","UseDPDF=Y")</f>
        <v>219.32599999999999</v>
      </c>
      <c r="I15" s="13">
        <f>_xll.BDH("BLUE US Equity","ARD_TOTAL_OPERATING_EXPENSES","FQ4 2019","FQ4 2019","Currency=USD","Period=FQ","BEST_FPERIOD_OVERRIDE=FQ","FILING_STATUS=MR","SCALING_FORMAT=MLN","Sort=A","Dates=H","DateFormat=P","Fill=—","Direction=H","UseDPDF=Y")</f>
        <v>240.53100000000001</v>
      </c>
      <c r="J15" s="13">
        <f>_xll.BDH("BLUE US Equity","ARD_TOTAL_OPERATING_EXPENSES","FQ1 2020","FQ1 2020","Currency=USD","Period=FQ","BEST_FPERIOD_OVERRIDE=FQ","FILING_STATUS=MR","SCALING_FORMAT=MLN","Sort=A","Dates=H","DateFormat=P","Fill=—","Direction=H","UseDPDF=Y")</f>
        <v>225.28800000000001</v>
      </c>
      <c r="K15" s="13">
        <f>_xll.BDH("BLUE US Equity","ARD_TOTAL_OPERATING_EXPENSES","FQ2 2020","FQ2 2020","Currency=USD","Period=FQ","BEST_FPERIOD_OVERRIDE=FQ","FILING_STATUS=MR","SCALING_FORMAT=MLN","Sort=A","Dates=H","DateFormat=P","Fill=—","Direction=H","UseDPDF=Y")</f>
        <v>224.83500000000001</v>
      </c>
      <c r="L15" s="13">
        <f>_xll.BDH("BLUE US Equity","ARD_TOTAL_OPERATING_EXPENSES","FQ3 2020","FQ3 2020","Currency=USD","Period=FQ","BEST_FPERIOD_OVERRIDE=FQ","FILING_STATUS=MR","SCALING_FORMAT=MLN","Sort=A","Dates=H","DateFormat=P","Fill=—","Direction=H","UseDPDF=Y")</f>
        <v>208.96700000000001</v>
      </c>
      <c r="M15" s="13">
        <f>_xll.BDH("BLUE US Equity","ARD_TOTAL_OPERATING_EXPENSES","FQ4 2020","FQ4 2020","Currency=USD","Period=FQ","BEST_FPERIOD_OVERRIDE=FQ","FILING_STATUS=MR","SCALING_FORMAT=MLN","Sort=A","Dates=H","DateFormat=P","Fill=—","Direction=H","UseDPDF=Y")</f>
        <v>139.387</v>
      </c>
      <c r="N15" s="13">
        <f>_xll.BDH("BLUE US Equity","ARD_TOTAL_OPERATING_EXPENSES","FQ1 2021","FQ1 2021","Currency=USD","Period=FQ","BEST_FPERIOD_OVERRIDE=FQ","FILING_STATUS=MR","SCALING_FORMAT=MLN","Sort=A","Dates=H","DateFormat=P","Fill=—","Direction=H","UseDPDF=Y")</f>
        <v>146.988</v>
      </c>
      <c r="O15" s="13">
        <f>_xll.BDH("BLUE US Equity","ARD_TOTAL_OPERATING_EXPENSES","FQ2 2021","FQ2 2021","Currency=USD","Period=FQ","BEST_FPERIOD_OVERRIDE=FQ","FILING_STATUS=MR","SCALING_FORMAT=MLN","Sort=A","Dates=H","DateFormat=P","Fill=—","Direction=H","UseDPDF=Y")</f>
        <v>248.31</v>
      </c>
      <c r="P15" s="13">
        <f>_xll.BDH("BLUE US Equity","ARD_TOTAL_OPERATING_EXPENSES","FQ3 2021","FQ3 2021","Currency=USD","Period=FQ","BEST_FPERIOD_OVERRIDE=FQ","FILING_STATUS=MR","SCALING_FORMAT=MLN","Sort=A","Dates=H","DateFormat=P","Fill=—","Direction=H","UseDPDF=Y")</f>
        <v>155.46799999999999</v>
      </c>
      <c r="Q15" s="13">
        <f>_xll.BDH("BLUE US Equity","ARD_TOTAL_OPERATING_EXPENSES","FQ4 2021","FQ4 2021","Currency=USD","Period=FQ","BEST_FPERIOD_OVERRIDE=FQ","FILING_STATUS=MR","SCALING_FORMAT=MLN","Sort=A","Dates=H","DateFormat=P","Fill=—","Direction=H","UseDPDF=Y")</f>
        <v>137.273</v>
      </c>
      <c r="R15" s="13">
        <f>_xll.BDH("BLUE US Equity","ARD_TOTAL_OPERATING_EXPENSES","FQ1 2022","FQ1 2022","Currency=USD","Period=FQ","BEST_FPERIOD_OVERRIDE=FQ","FILING_STATUS=MR","SCALING_FORMAT=MLN","Sort=A","Dates=H","DateFormat=P","Fill=—","Direction=H","UseDPDF=Y")</f>
        <v>122.291</v>
      </c>
      <c r="S15" s="13">
        <f>_xll.BDH("BLUE US Equity","ARD_TOTAL_OPERATING_EXPENSES","FQ2 2022","FQ2 2022","Currency=USD","Period=FQ","BEST_FPERIOD_OVERRIDE=FQ","FILING_STATUS=MR","SCALING_FORMAT=MLN","Sort=A","Dates=H","DateFormat=P","Fill=—","Direction=H","UseDPDF=Y")</f>
        <v>108.919</v>
      </c>
      <c r="T15" s="13">
        <f>_xll.BDH("BLUE US Equity","ARD_TOTAL_OPERATING_EXPENSES","FQ3 2022","FQ3 2022","Currency=USD","Period=FQ","BEST_FPERIOD_OVERRIDE=FQ","FILING_STATUS=MR","SCALING_FORMAT=MLN","Sort=A","Dates=H","DateFormat=P","Fill=—","Direction=H","UseDPDF=Y")</f>
        <v>84.852000000000004</v>
      </c>
      <c r="U15" s="13">
        <f>_xll.BDH("BLUE US Equity","ARD_TOTAL_OPERATING_EXPENSES","FQ4 2022","FQ4 2022","Currency=USD","Period=FQ","BEST_FPERIOD_OVERRIDE=FQ","FILING_STATUS=MR","SCALING_FORMAT=MLN","Sort=A","Dates=H","DateFormat=P","Fill=—","Direction=H","UseDPDF=Y")</f>
        <v>76.626999999999995</v>
      </c>
      <c r="V15" s="13">
        <f>_xll.BDH("BLUE US Equity","ARD_TOTAL_OPERATING_EXPENSES","FQ1 2023","FQ1 2023","Currency=USD","Period=FQ","BEST_FPERIOD_OVERRIDE=FQ","FILING_STATUS=MR","SCALING_FORMAT=MLN","Sort=A","Dates=H","DateFormat=P","Fill=—","Direction=H","UseDPDF=Y")</f>
        <v>79.054000000000002</v>
      </c>
      <c r="W15" s="13">
        <f>_xll.BDH("BLUE US Equity","ARD_TOTAL_OPERATING_EXPENSES","FQ2 2023","FQ2 2023","Currency=USD","Period=FQ","BEST_FPERIOD_OVERRIDE=FQ","FILING_STATUS=MR","SCALING_FORMAT=MLN","Sort=A","Dates=H","DateFormat=P","Fill=—","Direction=H","UseDPDF=Y")</f>
        <v>71.91</v>
      </c>
      <c r="X15" s="13">
        <f>_xll.BDH("BLUE US Equity","ARD_TOTAL_OPERATING_EXPENSES","FQ3 2023","FQ3 2023","Currency=USD","Period=FQ","BEST_FPERIOD_OVERRIDE=FQ","FILING_STATUS=MR","SCALING_FORMAT=MLN","Sort=A","Dates=H","DateFormat=P","Fill=—","Direction=H","UseDPDF=Y")</f>
        <v>99.272000000000006</v>
      </c>
      <c r="Y15" s="13">
        <f>_xll.BDH("BLUE US Equity","ARD_TOTAL_OPERATING_EXPENSES","FQ1 2024","FQ1 2024","Currency=USD","Period=FQ","BEST_FPERIOD_OVERRIDE=FQ","FILING_STATUS=MR","SCALING_FORMAT=MLN","Sort=A","Dates=H","DateFormat=P","Fill=—","Direction=H","UseDPDF=Y")</f>
        <v>71.400999999999996</v>
      </c>
      <c r="Z15" s="13">
        <f>_xll.BDH("BLUE US Equity","ARD_TOTAL_OPERATING_EXPENSES","FQ2 2024","FQ2 2024","Currency=USD","Period=FQ","BEST_FPERIOD_OVERRIDE=FQ","FILING_STATUS=MR","SCALING_FORMAT=MLN","Sort=A","Dates=H","DateFormat=P","Fill=—","Direction=H","UseDPDF=Y")</f>
        <v>75.546999999999997</v>
      </c>
      <c r="AA15" s="13">
        <f>_xll.BDH("BLUE US Equity","ARD_TOTAL_OPERATING_EXPENSES","FQ3 2024","FQ3 2024","Currency=USD","Period=FQ","BEST_FPERIOD_OVERRIDE=FQ","FILING_STATUS=MR","SCALING_FORMAT=MLN","Sort=A","Dates=H","DateFormat=P","Fill=—","Direction=H","UseDPDF=Y")</f>
        <v>65.75</v>
      </c>
    </row>
    <row r="16" spans="1:27" x14ac:dyDescent="0.25">
      <c r="A16" s="10" t="s">
        <v>401</v>
      </c>
      <c r="B16" s="10" t="s">
        <v>402</v>
      </c>
      <c r="C16" s="13">
        <f>_xll.BDH("BLUE US Equity","ARD_R&amp;D_EXPENDITURES","FQ2 2018","FQ2 2018","Currency=USD","Period=FQ","BEST_FPERIOD_OVERRIDE=FQ","FILING_STATUS=MR","SCALING_FORMAT=MLN","Sort=A","Dates=H","DateFormat=P","Fill=—","Direction=H","UseDPDF=Y")</f>
        <v>115.014</v>
      </c>
      <c r="D16" s="13">
        <f>_xll.BDH("BLUE US Equity","ARD_R&amp;D_EXPENDITURES","FQ3 2018","FQ3 2018","Currency=USD","Period=FQ","BEST_FPERIOD_OVERRIDE=FQ","FILING_STATUS=MR","SCALING_FORMAT=MLN","Sort=A","Dates=H","DateFormat=P","Fill=—","Direction=H","UseDPDF=Y")</f>
        <v>116.744</v>
      </c>
      <c r="E16" s="13">
        <f>_xll.BDH("BLUE US Equity","ARD_R&amp;D_EXPENDITURES","FQ4 2018","FQ4 2018","Currency=USD","Period=FQ","BEST_FPERIOD_OVERRIDE=FQ","FILING_STATUS=MR","SCALING_FORMAT=MLN","Sort=A","Dates=H","DateFormat=P","Fill=—","Direction=H","UseDPDF=Y")</f>
        <v>119.72199999999999</v>
      </c>
      <c r="F16" s="13">
        <f>_xll.BDH("BLUE US Equity","ARD_R&amp;D_EXPENDITURES","FQ1 2019","FQ1 2019","Currency=USD","Period=FQ","BEST_FPERIOD_OVERRIDE=FQ","FILING_STATUS=MR","SCALING_FORMAT=MLN","Sort=A","Dates=H","DateFormat=P","Fill=—","Direction=H","UseDPDF=Y")</f>
        <v>122.64</v>
      </c>
      <c r="G16" s="13">
        <f>_xll.BDH("BLUE US Equity","ARD_R&amp;D_EXPENDITURES","FQ2 2019","FQ2 2019","Currency=USD","Period=FQ","BEST_FPERIOD_OVERRIDE=FQ","FILING_STATUS=MR","SCALING_FORMAT=MLN","Sort=A","Dates=H","DateFormat=P","Fill=—","Direction=H","UseDPDF=Y")</f>
        <v>146.54</v>
      </c>
      <c r="H16" s="13">
        <f>_xll.BDH("BLUE US Equity","ARD_R&amp;D_EXPENDITURES","FQ3 2019","FQ3 2019","Currency=USD","Period=FQ","BEST_FPERIOD_OVERRIDE=FQ","FILING_STATUS=MR","SCALING_FORMAT=MLN","Sort=A","Dates=H","DateFormat=P","Fill=—","Direction=H","UseDPDF=Y")</f>
        <v>151.41200000000001</v>
      </c>
      <c r="I16" s="13">
        <f>_xll.BDH("BLUE US Equity","ARD_R&amp;D_EXPENDITURES","FQ4 2019","FQ4 2019","Currency=USD","Period=FQ","BEST_FPERIOD_OVERRIDE=FQ","FILING_STATUS=MR","SCALING_FORMAT=MLN","Sort=A","Dates=H","DateFormat=P","Fill=—","Direction=H","UseDPDF=Y")</f>
        <v>161.821</v>
      </c>
      <c r="J16" s="13">
        <f>_xll.BDH("BLUE US Equity","ARD_R&amp;D_EXPENDITURES","FQ1 2020","FQ1 2020","Currency=USD","Period=FQ","BEST_FPERIOD_OVERRIDE=FQ","FILING_STATUS=MR","SCALING_FORMAT=MLN","Sort=A","Dates=H","DateFormat=P","Fill=—","Direction=H","UseDPDF=Y")</f>
        <v>154.12299999999999</v>
      </c>
      <c r="K16" s="13">
        <f>_xll.BDH("BLUE US Equity","ARD_R&amp;D_EXPENDITURES","FQ2 2020","FQ2 2020","Currency=USD","Period=FQ","BEST_FPERIOD_OVERRIDE=FQ","FILING_STATUS=MR","SCALING_FORMAT=MLN","Sort=A","Dates=H","DateFormat=P","Fill=—","Direction=H","UseDPDF=Y")</f>
        <v>156.30799999999999</v>
      </c>
      <c r="L16" s="13">
        <f>_xll.BDH("BLUE US Equity","ARD_R&amp;D_EXPENDITURES","FQ3 2020","FQ3 2020","Currency=USD","Period=FQ","BEST_FPERIOD_OVERRIDE=FQ","FILING_STATUS=MR","SCALING_FORMAT=MLN","Sort=A","Dates=H","DateFormat=P","Fill=—","Direction=H","UseDPDF=Y")</f>
        <v>140.43100000000001</v>
      </c>
      <c r="M16" s="13">
        <f>_xll.BDH("BLUE US Equity","ARD_R&amp;D_EXPENDITURES","FQ4 2020","FQ4 2020","Currency=USD","Period=FQ","BEST_FPERIOD_OVERRIDE=FQ","FILING_STATUS=MR","SCALING_FORMAT=MLN","Sort=A","Dates=H","DateFormat=P","Fill=—","Direction=H","UseDPDF=Y")</f>
        <v>58.814999999999998</v>
      </c>
      <c r="N16" s="13">
        <f>_xll.BDH("BLUE US Equity","ARD_R&amp;D_EXPENDITURES","FQ1 2021","FQ1 2021","Currency=USD","Period=FQ","BEST_FPERIOD_OVERRIDE=FQ","FILING_STATUS=MR","SCALING_FORMAT=MLN","Sort=A","Dates=H","DateFormat=P","Fill=—","Direction=H","UseDPDF=Y")</f>
        <v>82.843000000000004</v>
      </c>
      <c r="O16" s="13">
        <f>_xll.BDH("BLUE US Equity","ARD_R&amp;D_EXPENDITURES","FQ2 2021","FQ2 2021","Currency=USD","Period=FQ","BEST_FPERIOD_OVERRIDE=FQ","FILING_STATUS=MR","SCALING_FORMAT=MLN","Sort=A","Dates=H","DateFormat=P","Fill=—","Direction=H","UseDPDF=Y")</f>
        <v>144.315</v>
      </c>
      <c r="P16" s="13">
        <f>_xll.BDH("BLUE US Equity","ARD_R&amp;D_EXPENDITURES","FQ3 2021","FQ3 2021","Currency=USD","Period=FQ","BEST_FPERIOD_OVERRIDE=FQ","FILING_STATUS=MR","SCALING_FORMAT=MLN","Sort=A","Dates=H","DateFormat=P","Fill=—","Direction=H","UseDPDF=Y")</f>
        <v>73.679000000000002</v>
      </c>
      <c r="Q16" s="13">
        <f>_xll.BDH("BLUE US Equity","ARD_R&amp;D_EXPENDITURES","FQ4 2021","FQ4 2021","Currency=USD","Period=FQ","BEST_FPERIOD_OVERRIDE=FQ","FILING_STATUS=MR","SCALING_FORMAT=MLN","Sort=A","Dates=H","DateFormat=P","Fill=—","Direction=H","UseDPDF=Y")</f>
        <v>79.384</v>
      </c>
      <c r="R16" s="13">
        <f>_xll.BDH("BLUE US Equity","ARD_R&amp;D_EXPENDITURES","FQ1 2022","FQ1 2022","Currency=USD","Period=FQ","BEST_FPERIOD_OVERRIDE=FQ","FILING_STATUS=MR","SCALING_FORMAT=MLN","Sort=A","Dates=H","DateFormat=P","Fill=—","Direction=H","UseDPDF=Y")</f>
        <v>77.875</v>
      </c>
      <c r="S16" s="13">
        <f>_xll.BDH("BLUE US Equity","ARD_R&amp;D_EXPENDITURES","FQ2 2022","FQ2 2022","Currency=USD","Period=FQ","BEST_FPERIOD_OVERRIDE=FQ","FILING_STATUS=MR","SCALING_FORMAT=MLN","Sort=A","Dates=H","DateFormat=P","Fill=—","Direction=H","UseDPDF=Y")</f>
        <v>63.841000000000001</v>
      </c>
      <c r="T16" s="13">
        <f>_xll.BDH("BLUE US Equity","ARD_R&amp;D_EXPENDITURES","FQ3 2022","FQ3 2022","Currency=USD","Period=FQ","BEST_FPERIOD_OVERRIDE=FQ","FILING_STATUS=MR","SCALING_FORMAT=MLN","Sort=A","Dates=H","DateFormat=P","Fill=—","Direction=H","UseDPDF=Y")</f>
        <v>53.149000000000001</v>
      </c>
      <c r="U16" s="13">
        <f>_xll.BDH("BLUE US Equity","ARD_R&amp;D_EXPENDITURES","FQ4 2022","FQ4 2022","Currency=USD","Period=FQ","BEST_FPERIOD_OVERRIDE=FQ","FILING_STATUS=MR","SCALING_FORMAT=MLN","Sort=A","Dates=H","DateFormat=P","Fill=—","Direction=H","UseDPDF=Y")</f>
        <v>45.899000000000001</v>
      </c>
      <c r="V16" s="13">
        <f>_xll.BDH("BLUE US Equity","ARD_R&amp;D_EXPENDITURES","FQ1 2023","FQ1 2023","Currency=USD","Period=FQ","BEST_FPERIOD_OVERRIDE=FQ","FILING_STATUS=MR","SCALING_FORMAT=MLN","Sort=A","Dates=H","DateFormat=P","Fill=—","Direction=H","UseDPDF=Y")</f>
        <v>41.587000000000003</v>
      </c>
      <c r="W16" s="13">
        <f>_xll.BDH("BLUE US Equity","ARD_R&amp;D_EXPENDITURES","FQ2 2023","FQ2 2023","Currency=USD","Period=FQ","BEST_FPERIOD_OVERRIDE=FQ","FILING_STATUS=MR","SCALING_FORMAT=MLN","Sort=A","Dates=H","DateFormat=P","Fill=—","Direction=H","UseDPDF=Y")</f>
        <v>31.448</v>
      </c>
      <c r="X16" s="13">
        <f>_xll.BDH("BLUE US Equity","ARD_R&amp;D_EXPENDITURES","FQ3 2023","FQ3 2023","Currency=USD","Period=FQ","BEST_FPERIOD_OVERRIDE=FQ","FILING_STATUS=MR","SCALING_FORMAT=MLN","Sort=A","Dates=H","DateFormat=P","Fill=—","Direction=H","UseDPDF=Y")</f>
        <v>58.500999999999998</v>
      </c>
      <c r="Y16" s="13">
        <f>_xll.BDH("BLUE US Equity","ARD_R&amp;D_EXPENDITURES","FQ1 2024","FQ1 2024","Currency=USD","Period=FQ","BEST_FPERIOD_OVERRIDE=FQ","FILING_STATUS=MR","SCALING_FORMAT=MLN","Sort=A","Dates=H","DateFormat=P","Fill=—","Direction=H","UseDPDF=Y")</f>
        <v>25.071999999999999</v>
      </c>
      <c r="Z16" s="13">
        <f>_xll.BDH("BLUE US Equity","ARD_R&amp;D_EXPENDITURES","FQ2 2024","FQ2 2024","Currency=USD","Period=FQ","BEST_FPERIOD_OVERRIDE=FQ","FILING_STATUS=MR","SCALING_FORMAT=MLN","Sort=A","Dates=H","DateFormat=P","Fill=—","Direction=H","UseDPDF=Y")</f>
        <v>25.161999999999999</v>
      </c>
      <c r="AA16" s="13">
        <f>_xll.BDH("BLUE US Equity","ARD_R&amp;D_EXPENDITURES","FQ3 2024","FQ3 2024","Currency=USD","Period=FQ","BEST_FPERIOD_OVERRIDE=FQ","FILING_STATUS=MR","SCALING_FORMAT=MLN","Sort=A","Dates=H","DateFormat=P","Fill=—","Direction=H","UseDPDF=Y")</f>
        <v>23.173999999999999</v>
      </c>
    </row>
    <row r="17" spans="1:27" x14ac:dyDescent="0.25">
      <c r="A17" s="10" t="s">
        <v>403</v>
      </c>
      <c r="B17" s="10" t="s">
        <v>404</v>
      </c>
      <c r="C17" s="13" t="str">
        <f>_xll.BDH("BLUE US Equity","ARD_SELLING_GENERAL_ADMIN_EXP","FQ2 2018","FQ2 2018","Currency=USD","Period=FQ","BEST_FPERIOD_OVERRIDE=FQ","FILING_STATUS=MR","SCALING_FORMAT=MLN","Sort=A","Dates=H","DateFormat=P","Fill=—","Direction=H","UseDPDF=Y")</f>
        <v>—</v>
      </c>
      <c r="D17" s="13" t="str">
        <f>_xll.BDH("BLUE US Equity","ARD_SELLING_GENERAL_ADMIN_EXP","FQ3 2018","FQ3 2018","Currency=USD","Period=FQ","BEST_FPERIOD_OVERRIDE=FQ","FILING_STATUS=MR","SCALING_FORMAT=MLN","Sort=A","Dates=H","DateFormat=P","Fill=—","Direction=H","UseDPDF=Y")</f>
        <v>—</v>
      </c>
      <c r="E17" s="13" t="str">
        <f>_xll.BDH("BLUE US Equity","ARD_SELLING_GENERAL_ADMIN_EXP","FQ4 2018","FQ4 2018","Currency=USD","Period=FQ","BEST_FPERIOD_OVERRIDE=FQ","FILING_STATUS=MR","SCALING_FORMAT=MLN","Sort=A","Dates=H","DateFormat=P","Fill=—","Direction=H","UseDPDF=Y")</f>
        <v>—</v>
      </c>
      <c r="F17" s="13" t="str">
        <f>_xll.BDH("BLUE US Equity","ARD_SELLING_GENERAL_ADMIN_EXP","FQ1 2019","FQ1 2019","Currency=USD","Period=FQ","BEST_FPERIOD_OVERRIDE=FQ","FILING_STATUS=MR","SCALING_FORMAT=MLN","Sort=A","Dates=H","DateFormat=P","Fill=—","Direction=H","UseDPDF=Y")</f>
        <v>—</v>
      </c>
      <c r="G17" s="13" t="str">
        <f>_xll.BDH("BLUE US Equity","ARD_SELLING_GENERAL_ADMIN_EXP","FQ2 2019","FQ2 2019","Currency=USD","Period=FQ","BEST_FPERIOD_OVERRIDE=FQ","FILING_STATUS=MR","SCALING_FORMAT=MLN","Sort=A","Dates=H","DateFormat=P","Fill=—","Direction=H","UseDPDF=Y")</f>
        <v>—</v>
      </c>
      <c r="H17" s="13" t="str">
        <f>_xll.BDH("BLUE US Equity","ARD_SELLING_GENERAL_ADMIN_EXP","FQ3 2019","FQ3 2019","Currency=USD","Period=FQ","BEST_FPERIOD_OVERRIDE=FQ","FILING_STATUS=MR","SCALING_FORMAT=MLN","Sort=A","Dates=H","DateFormat=P","Fill=—","Direction=H","UseDPDF=Y")</f>
        <v>—</v>
      </c>
      <c r="I17" s="13">
        <f>_xll.BDH("BLUE US Equity","ARD_SELLING_GENERAL_ADMIN_EXP","FQ4 2019","FQ4 2019","Currency=USD","Period=FQ","BEST_FPERIOD_OVERRIDE=FQ","FILING_STATUS=MR","SCALING_FORMAT=MLN","Sort=A","Dates=H","DateFormat=P","Fill=—","Direction=H","UseDPDF=Y")</f>
        <v>76.201999999999998</v>
      </c>
      <c r="J17" s="13">
        <f>_xll.BDH("BLUE US Equity","ARD_SELLING_GENERAL_ADMIN_EXP","FQ1 2020","FQ1 2020","Currency=USD","Period=FQ","BEST_FPERIOD_OVERRIDE=FQ","FILING_STATUS=MR","SCALING_FORMAT=MLN","Sort=A","Dates=H","DateFormat=P","Fill=—","Direction=H","UseDPDF=Y")</f>
        <v>73.248000000000005</v>
      </c>
      <c r="K17" s="13">
        <f>_xll.BDH("BLUE US Equity","ARD_SELLING_GENERAL_ADMIN_EXP","FQ2 2020","FQ2 2020","Currency=USD","Period=FQ","BEST_FPERIOD_OVERRIDE=FQ","FILING_STATUS=MR","SCALING_FORMAT=MLN","Sort=A","Dates=H","DateFormat=P","Fill=—","Direction=H","UseDPDF=Y")</f>
        <v>68.628</v>
      </c>
      <c r="L17" s="13">
        <f>_xll.BDH("BLUE US Equity","ARD_SELLING_GENERAL_ADMIN_EXP","FQ3 2020","FQ3 2020","Currency=USD","Period=FQ","BEST_FPERIOD_OVERRIDE=FQ","FILING_STATUS=MR","SCALING_FORMAT=MLN","Sort=A","Dates=H","DateFormat=P","Fill=—","Direction=H","UseDPDF=Y")</f>
        <v>68.046000000000006</v>
      </c>
      <c r="M17" s="13">
        <f>_xll.BDH("BLUE US Equity","ARD_SELLING_GENERAL_ADMIN_EXP","FQ4 2020","FQ4 2020","Currency=USD","Period=FQ","BEST_FPERIOD_OVERRIDE=FQ","FILING_STATUS=MR","SCALING_FORMAT=MLN","Sort=A","Dates=H","DateFormat=P","Fill=—","Direction=H","UseDPDF=Y")</f>
        <v>80.572000000000003</v>
      </c>
      <c r="N17" s="13">
        <f>_xll.BDH("BLUE US Equity","ARD_SELLING_GENERAL_ADMIN_EXP","FQ1 2021","FQ1 2021","Currency=USD","Period=FQ","BEST_FPERIOD_OVERRIDE=FQ","FILING_STATUS=MR","SCALING_FORMAT=MLN","Sort=A","Dates=H","DateFormat=P","Fill=—","Direction=H","UseDPDF=Y")</f>
        <v>63.569000000000003</v>
      </c>
      <c r="O17" s="13">
        <f>_xll.BDH("BLUE US Equity","ARD_SELLING_GENERAL_ADMIN_EXP","FQ2 2021","FQ2 2021","Currency=USD","Period=FQ","BEST_FPERIOD_OVERRIDE=FQ","FILING_STATUS=MR","SCALING_FORMAT=MLN","Sort=A","Dates=H","DateFormat=P","Fill=—","Direction=H","UseDPDF=Y")</f>
        <v>78.575999999999993</v>
      </c>
      <c r="P17" s="13">
        <f>_xll.BDH("BLUE US Equity","ARD_SELLING_GENERAL_ADMIN_EXP","FQ3 2021","FQ3 2021","Currency=USD","Period=FQ","BEST_FPERIOD_OVERRIDE=FQ","FILING_STATUS=MR","SCALING_FORMAT=MLN","Sort=A","Dates=H","DateFormat=P","Fill=—","Direction=H","UseDPDF=Y")</f>
        <v>42.228999999999999</v>
      </c>
      <c r="Q17" s="13">
        <f>_xll.BDH("BLUE US Equity","ARD_SELLING_GENERAL_ADMIN_EXP","FQ4 2021","FQ4 2021","Currency=USD","Period=FQ","BEST_FPERIOD_OVERRIDE=FQ","FILING_STATUS=MR","SCALING_FORMAT=MLN","Sort=A","Dates=H","DateFormat=P","Fill=—","Direction=H","UseDPDF=Y")</f>
        <v>53.206000000000003</v>
      </c>
      <c r="R17" s="13">
        <f>_xll.BDH("BLUE US Equity","ARD_SELLING_GENERAL_ADMIN_EXP","FQ1 2022","FQ1 2022","Currency=USD","Period=FQ","BEST_FPERIOD_OVERRIDE=FQ","FILING_STATUS=MR","SCALING_FORMAT=MLN","Sort=A","Dates=H","DateFormat=P","Fill=—","Direction=H","UseDPDF=Y")</f>
        <v>36.106000000000002</v>
      </c>
      <c r="S17" s="13">
        <f>_xll.BDH("BLUE US Equity","ARD_SELLING_GENERAL_ADMIN_EXP","FQ2 2022","FQ2 2022","Currency=USD","Period=FQ","BEST_FPERIOD_OVERRIDE=FQ","FILING_STATUS=MR","SCALING_FORMAT=MLN","Sort=A","Dates=H","DateFormat=P","Fill=—","Direction=H","UseDPDF=Y")</f>
        <v>36.694000000000003</v>
      </c>
      <c r="T17" s="13">
        <f>_xll.BDH("BLUE US Equity","ARD_SELLING_GENERAL_ADMIN_EXP","FQ3 2022","FQ3 2022","Currency=USD","Period=FQ","BEST_FPERIOD_OVERRIDE=FQ","FILING_STATUS=MR","SCALING_FORMAT=MLN","Sort=A","Dates=H","DateFormat=P","Fill=—","Direction=H","UseDPDF=Y")</f>
        <v>33.402000000000001</v>
      </c>
      <c r="U17" s="13">
        <f>_xll.BDH("BLUE US Equity","ARD_SELLING_GENERAL_ADMIN_EXP","FQ4 2022","FQ4 2022","Currency=USD","Period=FQ","BEST_FPERIOD_OVERRIDE=FQ","FILING_STATUS=MR","SCALING_FORMAT=MLN","Sort=A","Dates=H","DateFormat=P","Fill=—","Direction=H","UseDPDF=Y")</f>
        <v>30.706</v>
      </c>
      <c r="V17" s="13">
        <f>_xll.BDH("BLUE US Equity","ARD_SELLING_GENERAL_ADMIN_EXP","FQ1 2023","FQ1 2023","Currency=USD","Period=FQ","BEST_FPERIOD_OVERRIDE=FQ","FILING_STATUS=MR","SCALING_FORMAT=MLN","Sort=A","Dates=H","DateFormat=P","Fill=—","Direction=H","UseDPDF=Y")</f>
        <v>37.466999999999999</v>
      </c>
      <c r="W17" s="13">
        <f>_xll.BDH("BLUE US Equity","ARD_SELLING_GENERAL_ADMIN_EXP","FQ2 2023","FQ2 2023","Currency=USD","Period=FQ","BEST_FPERIOD_OVERRIDE=FQ","FILING_STATUS=MR","SCALING_FORMAT=MLN","Sort=A","Dates=H","DateFormat=P","Fill=—","Direction=H","UseDPDF=Y")</f>
        <v>40.462000000000003</v>
      </c>
      <c r="X17" s="13">
        <f>_xll.BDH("BLUE US Equity","ARD_SELLING_GENERAL_ADMIN_EXP","FQ3 2023","FQ3 2023","Currency=USD","Period=FQ","BEST_FPERIOD_OVERRIDE=FQ","FILING_STATUS=MR","SCALING_FORMAT=MLN","Sort=A","Dates=H","DateFormat=P","Fill=—","Direction=H","UseDPDF=Y")</f>
        <v>40.771000000000001</v>
      </c>
      <c r="Y17" s="13">
        <f>_xll.BDH("BLUE US Equity","ARD_SELLING_GENERAL_ADMIN_EXP","FQ1 2024","FQ1 2024","Currency=USD","Period=FQ","BEST_FPERIOD_OVERRIDE=FQ","FILING_STATUS=MR","SCALING_FORMAT=MLN","Sort=A","Dates=H","DateFormat=P","Fill=—","Direction=H","UseDPDF=Y")</f>
        <v>46.329000000000001</v>
      </c>
      <c r="Z17" s="13">
        <f>_xll.BDH("BLUE US Equity","ARD_SELLING_GENERAL_ADMIN_EXP","FQ2 2024","FQ2 2024","Currency=USD","Period=FQ","BEST_FPERIOD_OVERRIDE=FQ","FILING_STATUS=MR","SCALING_FORMAT=MLN","Sort=A","Dates=H","DateFormat=P","Fill=—","Direction=H","UseDPDF=Y")</f>
        <v>50.384999999999998</v>
      </c>
      <c r="AA17" s="13">
        <f>_xll.BDH("BLUE US Equity","ARD_SELLING_GENERAL_ADMIN_EXP","FQ3 2024","FQ3 2024","Currency=USD","Period=FQ","BEST_FPERIOD_OVERRIDE=FQ","FILING_STATUS=MR","SCALING_FORMAT=MLN","Sort=A","Dates=H","DateFormat=P","Fill=—","Direction=H","UseDPDF=Y")</f>
        <v>39.765000000000001</v>
      </c>
    </row>
    <row r="18" spans="1:27" x14ac:dyDescent="0.25">
      <c r="A18" s="10" t="s">
        <v>405</v>
      </c>
      <c r="B18" s="10" t="s">
        <v>406</v>
      </c>
      <c r="C18" s="13">
        <f>_xll.BDH("BLUE US Equity","ARD_OTHER_OPERATING_EXPENSES","FQ2 2018","FQ2 2018","Currency=USD","Period=FQ","BEST_FPERIOD_OVERRIDE=FQ","FILING_STATUS=MR","SCALING_FORMAT=MLN","Sort=A","Dates=H","DateFormat=P","Fill=—","Direction=H","UseDPDF=Y")</f>
        <v>2.1000000000000001E-2</v>
      </c>
      <c r="D18" s="13">
        <f>_xll.BDH("BLUE US Equity","ARD_OTHER_OPERATING_EXPENSES","FQ3 2018","FQ3 2018","Currency=USD","Period=FQ","BEST_FPERIOD_OVERRIDE=FQ","FILING_STATUS=MR","SCALING_FORMAT=MLN","Sort=A","Dates=H","DateFormat=P","Fill=—","Direction=H","UseDPDF=Y")</f>
        <v>2.9000000000000001E-2</v>
      </c>
      <c r="E18" s="13">
        <f>_xll.BDH("BLUE US Equity","ARD_OTHER_OPERATING_EXPENSES","FQ4 2018","FQ4 2018","Currency=USD","Period=FQ","BEST_FPERIOD_OVERRIDE=FQ","FILING_STATUS=MR","SCALING_FORMAT=MLN","Sort=A","Dates=H","DateFormat=P","Fill=—","Direction=H","UseDPDF=Y")</f>
        <v>0.81799999999999995</v>
      </c>
      <c r="F18" s="13">
        <f>_xll.BDH("BLUE US Equity","ARD_OTHER_OPERATING_EXPENSES","FQ1 2019","FQ1 2019","Currency=USD","Period=FQ","BEST_FPERIOD_OVERRIDE=FQ","FILING_STATUS=MR","SCALING_FORMAT=MLN","Sort=A","Dates=H","DateFormat=P","Fill=—","Direction=H","UseDPDF=Y")</f>
        <v>0.43</v>
      </c>
      <c r="G18" s="13">
        <f>_xll.BDH("BLUE US Equity","ARD_OTHER_OPERATING_EXPENSES","FQ2 2019","FQ2 2019","Currency=USD","Period=FQ","BEST_FPERIOD_OVERRIDE=FQ","FILING_STATUS=MR","SCALING_FORMAT=MLN","Sort=A","Dates=H","DateFormat=P","Fill=—","Direction=H","UseDPDF=Y")</f>
        <v>0.61299999999999999</v>
      </c>
      <c r="H18" s="13">
        <f>_xll.BDH("BLUE US Equity","ARD_OTHER_OPERATING_EXPENSES","FQ3 2019","FQ3 2019","Currency=USD","Period=FQ","BEST_FPERIOD_OVERRIDE=FQ","FILING_STATUS=MR","SCALING_FORMAT=MLN","Sort=A","Dates=H","DateFormat=P","Fill=—","Direction=H","UseDPDF=Y")</f>
        <v>0.86199999999999999</v>
      </c>
      <c r="I18" s="13">
        <f>_xll.BDH("BLUE US Equity","ARD_OTHER_OPERATING_EXPENSES","FQ4 2019","FQ4 2019","Currency=USD","Period=FQ","BEST_FPERIOD_OVERRIDE=FQ","FILING_STATUS=MR","SCALING_FORMAT=MLN","Sort=A","Dates=H","DateFormat=P","Fill=—","Direction=H","UseDPDF=Y")</f>
        <v>1.073</v>
      </c>
      <c r="J18" s="13">
        <f>_xll.BDH("BLUE US Equity","ARD_OTHER_OPERATING_EXPENSES","FQ1 2020","FQ1 2020","Currency=USD","Period=FQ","BEST_FPERIOD_OVERRIDE=FQ","FILING_STATUS=MR","SCALING_FORMAT=MLN","Sort=A","Dates=H","DateFormat=P","Fill=—","Direction=H","UseDPDF=Y")</f>
        <v>1.0249999999999999</v>
      </c>
      <c r="K18" s="13">
        <f>_xll.BDH("BLUE US Equity","ARD_OTHER_OPERATING_EXPENSES","FQ2 2020","FQ2 2020","Currency=USD","Period=FQ","BEST_FPERIOD_OVERRIDE=FQ","FILING_STATUS=MR","SCALING_FORMAT=MLN","Sort=A","Dates=H","DateFormat=P","Fill=—","Direction=H","UseDPDF=Y")</f>
        <v>1.554</v>
      </c>
      <c r="L18" s="13">
        <f>_xll.BDH("BLUE US Equity","ARD_OTHER_OPERATING_EXPENSES","FQ3 2020","FQ3 2020","Currency=USD","Period=FQ","BEST_FPERIOD_OVERRIDE=FQ","FILING_STATUS=MR","SCALING_FORMAT=MLN","Sort=A","Dates=H","DateFormat=P","Fill=—","Direction=H","UseDPDF=Y")</f>
        <v>1.3180000000000001</v>
      </c>
      <c r="M18" s="13" t="str">
        <f>_xll.BDH("BLUE US Equity","ARD_OTHER_OPERATING_EXPENSES","FQ4 2020","FQ4 2020","Currency=USD","Period=FQ","BEST_FPERIOD_OVERRIDE=FQ","FILING_STATUS=MR","SCALING_FORMAT=MLN","Sort=A","Dates=H","DateFormat=P","Fill=—","Direction=H","UseDPDF=Y")</f>
        <v>—</v>
      </c>
      <c r="N18" s="13" t="str">
        <f>_xll.BDH("BLUE US Equity","ARD_OTHER_OPERATING_EXPENSES","FQ1 2021","FQ1 2021","Currency=USD","Period=FQ","BEST_FPERIOD_OVERRIDE=FQ","FILING_STATUS=MR","SCALING_FORMAT=MLN","Sort=A","Dates=H","DateFormat=P","Fill=—","Direction=H","UseDPDF=Y")</f>
        <v>—</v>
      </c>
      <c r="O18" s="13">
        <f>_xll.BDH("BLUE US Equity","ARD_OTHER_OPERATING_EXPENSES","FQ2 2021","FQ2 2021","Currency=USD","Period=FQ","BEST_FPERIOD_OVERRIDE=FQ","FILING_STATUS=MR","SCALING_FORMAT=MLN","Sort=A","Dates=H","DateFormat=P","Fill=—","Direction=H","UseDPDF=Y")</f>
        <v>15.301</v>
      </c>
      <c r="P18" s="13" t="str">
        <f>_xll.BDH("BLUE US Equity","ARD_OTHER_OPERATING_EXPENSES","FQ3 2021","FQ3 2021","Currency=USD","Period=FQ","BEST_FPERIOD_OVERRIDE=FQ","FILING_STATUS=MR","SCALING_FORMAT=MLN","Sort=A","Dates=H","DateFormat=P","Fill=—","Direction=H","UseDPDF=Y")</f>
        <v>—</v>
      </c>
      <c r="Q18" s="13" t="str">
        <f>_xll.BDH("BLUE US Equity","ARD_OTHER_OPERATING_EXPENSES","FQ4 2021","FQ4 2021","Currency=USD","Period=FQ","BEST_FPERIOD_OVERRIDE=FQ","FILING_STATUS=MR","SCALING_FORMAT=MLN","Sort=A","Dates=H","DateFormat=P","Fill=—","Direction=H","UseDPDF=Y")</f>
        <v>—</v>
      </c>
      <c r="R18" s="13" t="str">
        <f>_xll.BDH("BLUE US Equity","ARD_OTHER_OPERATING_EXPENSES","FQ1 2022","FQ1 2022","Currency=USD","Period=FQ","BEST_FPERIOD_OVERRIDE=FQ","FILING_STATUS=MR","SCALING_FORMAT=MLN","Sort=A","Dates=H","DateFormat=P","Fill=—","Direction=H","UseDPDF=Y")</f>
        <v>—</v>
      </c>
      <c r="S18" s="13" t="str">
        <f>_xll.BDH("BLUE US Equity","ARD_OTHER_OPERATING_EXPENSES","FQ2 2022","FQ2 2022","Currency=USD","Period=FQ","BEST_FPERIOD_OVERRIDE=FQ","FILING_STATUS=MR","SCALING_FORMAT=MLN","Sort=A","Dates=H","DateFormat=P","Fill=—","Direction=H","UseDPDF=Y")</f>
        <v>—</v>
      </c>
      <c r="T18" s="13" t="str">
        <f>_xll.BDH("BLUE US Equity","ARD_OTHER_OPERATING_EXPENSES","FQ3 2022","FQ3 2022","Currency=USD","Period=FQ","BEST_FPERIOD_OVERRIDE=FQ","FILING_STATUS=MR","SCALING_FORMAT=MLN","Sort=A","Dates=H","DateFormat=P","Fill=—","Direction=H","UseDPDF=Y")</f>
        <v>—</v>
      </c>
      <c r="U18" s="13" t="str">
        <f>_xll.BDH("BLUE US Equity","ARD_OTHER_OPERATING_EXPENSES","FQ4 2022","FQ4 2022","Currency=USD","Period=FQ","BEST_FPERIOD_OVERRIDE=FQ","FILING_STATUS=MR","SCALING_FORMAT=MLN","Sort=A","Dates=H","DateFormat=P","Fill=—","Direction=H","UseDPDF=Y")</f>
        <v>—</v>
      </c>
      <c r="V18" s="13" t="str">
        <f>_xll.BDH("BLUE US Equity","ARD_OTHER_OPERATING_EXPENSES","FQ1 2023","FQ1 2023","Currency=USD","Period=FQ","BEST_FPERIOD_OVERRIDE=FQ","FILING_STATUS=MR","SCALING_FORMAT=MLN","Sort=A","Dates=H","DateFormat=P","Fill=—","Direction=H","UseDPDF=Y")</f>
        <v>—</v>
      </c>
      <c r="W18" s="13" t="str">
        <f>_xll.BDH("BLUE US Equity","ARD_OTHER_OPERATING_EXPENSES","FQ2 2023","FQ2 2023","Currency=USD","Period=FQ","BEST_FPERIOD_OVERRIDE=FQ","FILING_STATUS=MR","SCALING_FORMAT=MLN","Sort=A","Dates=H","DateFormat=P","Fill=—","Direction=H","UseDPDF=Y")</f>
        <v>—</v>
      </c>
      <c r="X18" s="13" t="str">
        <f>_xll.BDH("BLUE US Equity","ARD_OTHER_OPERATING_EXPENSES","FQ3 2023","FQ3 2023","Currency=USD","Period=FQ","BEST_FPERIOD_OVERRIDE=FQ","FILING_STATUS=MR","SCALING_FORMAT=MLN","Sort=A","Dates=H","DateFormat=P","Fill=—","Direction=H","UseDPDF=Y")</f>
        <v>—</v>
      </c>
      <c r="Y18" s="13" t="str">
        <f>_xll.BDH("BLUE US Equity","ARD_OTHER_OPERATING_EXPENSES","FQ1 2024","FQ1 2024","Currency=USD","Period=FQ","BEST_FPERIOD_OVERRIDE=FQ","FILING_STATUS=MR","SCALING_FORMAT=MLN","Sort=A","Dates=H","DateFormat=P","Fill=—","Direction=H","UseDPDF=Y")</f>
        <v>—</v>
      </c>
      <c r="Z18" s="13" t="str">
        <f>_xll.BDH("BLUE US Equity","ARD_OTHER_OPERATING_EXPENSES","FQ2 2024","FQ2 2024","Currency=USD","Period=FQ","BEST_FPERIOD_OVERRIDE=FQ","FILING_STATUS=MR","SCALING_FORMAT=MLN","Sort=A","Dates=H","DateFormat=P","Fill=—","Direction=H","UseDPDF=Y")</f>
        <v>—</v>
      </c>
      <c r="AA18" s="13" t="str">
        <f>_xll.BDH("BLUE US Equity","ARD_OTHER_OPERATING_EXPENSES","FQ3 2024","FQ3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407</v>
      </c>
      <c r="B19" s="10" t="s">
        <v>408</v>
      </c>
      <c r="C19" s="13" t="str">
        <f>_xll.BDH("BLUE US Equity","ARD_RESTRUCTURING_CHARGES","FQ2 2018","FQ2 2018","Currency=USD","Period=FQ","BEST_FPERIOD_OVERRIDE=FQ","FILING_STATUS=MR","SCALING_FORMAT=MLN","Sort=A","Dates=H","DateFormat=P","Fill=—","Direction=H","UseDPDF=Y")</f>
        <v>—</v>
      </c>
      <c r="D19" s="13" t="str">
        <f>_xll.BDH("BLUE US Equity","ARD_RESTRUCTURING_CHARGES","FQ3 2018","FQ3 2018","Currency=USD","Period=FQ","BEST_FPERIOD_OVERRIDE=FQ","FILING_STATUS=MR","SCALING_FORMAT=MLN","Sort=A","Dates=H","DateFormat=P","Fill=—","Direction=H","UseDPDF=Y")</f>
        <v>—</v>
      </c>
      <c r="E19" s="13" t="str">
        <f>_xll.BDH("BLUE US Equity","ARD_RESTRUCTURING_CHARGES","FQ4 2018","FQ4 2018","Currency=USD","Period=FQ","BEST_FPERIOD_OVERRIDE=FQ","FILING_STATUS=MR","SCALING_FORMAT=MLN","Sort=A","Dates=H","DateFormat=P","Fill=—","Direction=H","UseDPDF=Y")</f>
        <v>—</v>
      </c>
      <c r="F19" s="13" t="str">
        <f>_xll.BDH("BLUE US Equity","ARD_RESTRUCTURING_CHARGES","FQ1 2019","FQ1 2019","Currency=USD","Period=FQ","BEST_FPERIOD_OVERRIDE=FQ","FILING_STATUS=MR","SCALING_FORMAT=MLN","Sort=A","Dates=H","DateFormat=P","Fill=—","Direction=H","UseDPDF=Y")</f>
        <v>—</v>
      </c>
      <c r="G19" s="13" t="str">
        <f>_xll.BDH("BLUE US Equity","ARD_RESTRUCTURING_CHARGES","FQ2 2019","FQ2 2019","Currency=USD","Period=FQ","BEST_FPERIOD_OVERRIDE=FQ","FILING_STATUS=MR","SCALING_FORMAT=MLN","Sort=A","Dates=H","DateFormat=P","Fill=—","Direction=H","UseDPDF=Y")</f>
        <v>—</v>
      </c>
      <c r="H19" s="13" t="str">
        <f>_xll.BDH("BLUE US Equity","ARD_RESTRUCTURING_CHARGES","FQ3 2019","FQ3 2019","Currency=USD","Period=FQ","BEST_FPERIOD_OVERRIDE=FQ","FILING_STATUS=MR","SCALING_FORMAT=MLN","Sort=A","Dates=H","DateFormat=P","Fill=—","Direction=H","UseDPDF=Y")</f>
        <v>—</v>
      </c>
      <c r="I19" s="13" t="str">
        <f>_xll.BDH("BLUE US Equity","ARD_RESTRUCTURING_CHARGES","FQ4 2019","FQ4 2019","Currency=USD","Period=FQ","BEST_FPERIOD_OVERRIDE=FQ","FILING_STATUS=MR","SCALING_FORMAT=MLN","Sort=A","Dates=H","DateFormat=P","Fill=—","Direction=H","UseDPDF=Y")</f>
        <v>—</v>
      </c>
      <c r="J19" s="13" t="str">
        <f>_xll.BDH("BLUE US Equity","ARD_RESTRUCTURING_CHARGES","FQ1 2020","FQ1 2020","Currency=USD","Period=FQ","BEST_FPERIOD_OVERRIDE=FQ","FILING_STATUS=MR","SCALING_FORMAT=MLN","Sort=A","Dates=H","DateFormat=P","Fill=—","Direction=H","UseDPDF=Y")</f>
        <v>—</v>
      </c>
      <c r="K19" s="13" t="str">
        <f>_xll.BDH("BLUE US Equity","ARD_RESTRUCTURING_CHARGES","FQ2 2020","FQ2 2020","Currency=USD","Period=FQ","BEST_FPERIOD_OVERRIDE=FQ","FILING_STATUS=MR","SCALING_FORMAT=MLN","Sort=A","Dates=H","DateFormat=P","Fill=—","Direction=H","UseDPDF=Y")</f>
        <v>—</v>
      </c>
      <c r="L19" s="13" t="str">
        <f>_xll.BDH("BLUE US Equity","ARD_RESTRUCTURING_CHARGES","FQ3 2020","FQ3 2020","Currency=USD","Period=FQ","BEST_FPERIOD_OVERRIDE=FQ","FILING_STATUS=MR","SCALING_FORMAT=MLN","Sort=A","Dates=H","DateFormat=P","Fill=—","Direction=H","UseDPDF=Y")</f>
        <v>—</v>
      </c>
      <c r="M19" s="13">
        <f>_xll.BDH("BLUE US Equity","ARD_RESTRUCTURING_CHARGES","FQ4 2020","FQ4 2020","Currency=USD","Period=FQ","BEST_FPERIOD_OVERRIDE=FQ","FILING_STATUS=MR","SCALING_FORMAT=MLN","Sort=A","Dates=H","DateFormat=P","Fill=—","Direction=H","UseDPDF=Y")</f>
        <v>0</v>
      </c>
      <c r="N19" s="13" t="str">
        <f>_xll.BDH("BLUE US Equity","ARD_RESTRUCTURING_CHARGES","FQ1 2021","FQ1 2021","Currency=USD","Period=FQ","BEST_FPERIOD_OVERRIDE=FQ","FILING_STATUS=MR","SCALING_FORMAT=MLN","Sort=A","Dates=H","DateFormat=P","Fill=—","Direction=H","UseDPDF=Y")</f>
        <v>—</v>
      </c>
      <c r="O19" s="13" t="str">
        <f>_xll.BDH("BLUE US Equity","ARD_RESTRUCTURING_CHARGES","FQ2 2021","FQ2 2021","Currency=USD","Period=FQ","BEST_FPERIOD_OVERRIDE=FQ","FILING_STATUS=MR","SCALING_FORMAT=MLN","Sort=A","Dates=H","DateFormat=P","Fill=—","Direction=H","UseDPDF=Y")</f>
        <v>—</v>
      </c>
      <c r="P19" s="13">
        <f>_xll.BDH("BLUE US Equity","ARD_RESTRUCTURING_CHARGES","FQ3 2021","FQ3 2021","Currency=USD","Period=FQ","BEST_FPERIOD_OVERRIDE=FQ","FILING_STATUS=MR","SCALING_FORMAT=MLN","Sort=A","Dates=H","DateFormat=P","Fill=—","Direction=H","UseDPDF=Y")</f>
        <v>20.175000000000001</v>
      </c>
      <c r="Q19" s="13">
        <f>_xll.BDH("BLUE US Equity","ARD_RESTRUCTURING_CHARGES","FQ4 2021","FQ4 2021","Currency=USD","Period=FQ","BEST_FPERIOD_OVERRIDE=FQ","FILING_STATUS=MR","SCALING_FORMAT=MLN","Sort=A","Dates=H","DateFormat=P","Fill=—","Direction=H","UseDPDF=Y")</f>
        <v>1.0009999999999999</v>
      </c>
      <c r="R19" s="13" t="str">
        <f>_xll.BDH("BLUE US Equity","ARD_RESTRUCTURING_CHARGES","FQ1 2022","FQ1 2022","Currency=USD","Period=FQ","BEST_FPERIOD_OVERRIDE=FQ","FILING_STATUS=MR","SCALING_FORMAT=MLN","Sort=A","Dates=H","DateFormat=P","Fill=—","Direction=H","UseDPDF=Y")</f>
        <v>—</v>
      </c>
      <c r="S19" s="13">
        <f>_xll.BDH("BLUE US Equity","ARD_RESTRUCTURING_CHARGES","FQ2 2022","FQ2 2022","Currency=USD","Period=FQ","BEST_FPERIOD_OVERRIDE=FQ","FILING_STATUS=MR","SCALING_FORMAT=MLN","Sort=A","Dates=H","DateFormat=P","Fill=—","Direction=H","UseDPDF=Y")</f>
        <v>6.6390000000000002</v>
      </c>
      <c r="T19" s="13">
        <f>_xll.BDH("BLUE US Equity","ARD_RESTRUCTURING_CHARGES","FQ3 2022","FQ3 2022","Currency=USD","Period=FQ","BEST_FPERIOD_OVERRIDE=FQ","FILING_STATUS=MR","SCALING_FORMAT=MLN","Sort=A","Dates=H","DateFormat=P","Fill=—","Direction=H","UseDPDF=Y")</f>
        <v>-1.6990000000000001</v>
      </c>
      <c r="U19" s="13">
        <f>_xll.BDH("BLUE US Equity","ARD_RESTRUCTURING_CHARGES","FQ4 2022","FQ4 2022","Currency=USD","Period=FQ","BEST_FPERIOD_OVERRIDE=FQ","FILING_STATUS=MR","SCALING_FORMAT=MLN","Sort=A","Dates=H","DateFormat=P","Fill=—","Direction=H","UseDPDF=Y")</f>
        <v>0</v>
      </c>
      <c r="V19" s="13" t="str">
        <f>_xll.BDH("BLUE US Equity","ARD_RESTRUCTURING_CHARGES","FQ1 2023","FQ1 2023","Currency=USD","Period=FQ","BEST_FPERIOD_OVERRIDE=FQ","FILING_STATUS=MR","SCALING_FORMAT=MLN","Sort=A","Dates=H","DateFormat=P","Fill=—","Direction=H","UseDPDF=Y")</f>
        <v>—</v>
      </c>
      <c r="W19" s="13" t="str">
        <f>_xll.BDH("BLUE US Equity","ARD_RESTRUCTURING_CHARGES","FQ2 2023","FQ2 2023","Currency=USD","Period=FQ","BEST_FPERIOD_OVERRIDE=FQ","FILING_STATUS=MR","SCALING_FORMAT=MLN","Sort=A","Dates=H","DateFormat=P","Fill=—","Direction=H","UseDPDF=Y")</f>
        <v>—</v>
      </c>
      <c r="X19" s="13">
        <f>_xll.BDH("BLUE US Equity","ARD_RESTRUCTURING_CHARGES","FQ3 2023","FQ3 2023","Currency=USD","Period=FQ","BEST_FPERIOD_OVERRIDE=FQ","FILING_STATUS=MR","SCALING_FORMAT=MLN","Sort=A","Dates=H","DateFormat=P","Fill=—","Direction=H","UseDPDF=Y")</f>
        <v>0</v>
      </c>
      <c r="Y19" s="13" t="str">
        <f>_xll.BDH("BLUE US Equity","ARD_RESTRUCTURING_CHARGES","FQ1 2024","FQ1 2024","Currency=USD","Period=FQ","BEST_FPERIOD_OVERRIDE=FQ","FILING_STATUS=MR","SCALING_FORMAT=MLN","Sort=A","Dates=H","DateFormat=P","Fill=—","Direction=H","UseDPDF=Y")</f>
        <v>—</v>
      </c>
      <c r="Z19" s="13" t="str">
        <f>_xll.BDH("BLUE US Equity","ARD_RESTRUCTURING_CHARGES","FQ2 2024","FQ2 2024","Currency=USD","Period=FQ","BEST_FPERIOD_OVERRIDE=FQ","FILING_STATUS=MR","SCALING_FORMAT=MLN","Sort=A","Dates=H","DateFormat=P","Fill=—","Direction=H","UseDPDF=Y")</f>
        <v>—</v>
      </c>
      <c r="AA19" s="13">
        <f>_xll.BDH("BLUE US Equity","ARD_RESTRUCTURING_CHARGES","FQ3 2024","FQ3 2024","Currency=USD","Period=FQ","BEST_FPERIOD_OVERRIDE=FQ","FILING_STATUS=MR","SCALING_FORMAT=MLN","Sort=A","Dates=H","DateFormat=P","Fill=—","Direction=H","UseDPDF=Y")</f>
        <v>2.8109999999999999</v>
      </c>
    </row>
    <row r="20" spans="1:27" x14ac:dyDescent="0.25">
      <c r="A20" s="10" t="s">
        <v>409</v>
      </c>
      <c r="B20" s="10" t="s">
        <v>410</v>
      </c>
      <c r="C20" s="13" t="str">
        <f>_xll.BDH("BLUE US Equity","ARD_OTHER_ONE_TIME_CHARGES","FQ2 2018","FQ2 2018","Currency=USD","Period=FQ","BEST_FPERIOD_OVERRIDE=FQ","FILING_STATUS=MR","SCALING_FORMAT=MLN","Sort=A","Dates=H","DateFormat=P","Fill=—","Direction=H","UseDPDF=Y")</f>
        <v>—</v>
      </c>
      <c r="D20" s="13" t="str">
        <f>_xll.BDH("BLUE US Equity","ARD_OTHER_ONE_TIME_CHARGES","FQ3 2018","FQ3 2018","Currency=USD","Period=FQ","BEST_FPERIOD_OVERRIDE=FQ","FILING_STATUS=MR","SCALING_FORMAT=MLN","Sort=A","Dates=H","DateFormat=P","Fill=—","Direction=H","UseDPDF=Y")</f>
        <v>—</v>
      </c>
      <c r="E20" s="13" t="str">
        <f>_xll.BDH("BLUE US Equity","ARD_OTHER_ONE_TIME_CHARGES","FQ4 2018","FQ4 2018","Currency=USD","Period=FQ","BEST_FPERIOD_OVERRIDE=FQ","FILING_STATUS=MR","SCALING_FORMAT=MLN","Sort=A","Dates=H","DateFormat=P","Fill=—","Direction=H","UseDPDF=Y")</f>
        <v>—</v>
      </c>
      <c r="F20" s="13" t="str">
        <f>_xll.BDH("BLUE US Equity","ARD_OTHER_ONE_TIME_CHARGES","FQ1 2019","FQ1 2019","Currency=USD","Period=FQ","BEST_FPERIOD_OVERRIDE=FQ","FILING_STATUS=MR","SCALING_FORMAT=MLN","Sort=A","Dates=H","DateFormat=P","Fill=—","Direction=H","UseDPDF=Y")</f>
        <v>—</v>
      </c>
      <c r="G20" s="13" t="str">
        <f>_xll.BDH("BLUE US Equity","ARD_OTHER_ONE_TIME_CHARGES","FQ2 2019","FQ2 2019","Currency=USD","Period=FQ","BEST_FPERIOD_OVERRIDE=FQ","FILING_STATUS=MR","SCALING_FORMAT=MLN","Sort=A","Dates=H","DateFormat=P","Fill=—","Direction=H","UseDPDF=Y")</f>
        <v>—</v>
      </c>
      <c r="H20" s="13" t="str">
        <f>_xll.BDH("BLUE US Equity","ARD_OTHER_ONE_TIME_CHARGES","FQ3 2019","FQ3 2019","Currency=USD","Period=FQ","BEST_FPERIOD_OVERRIDE=FQ","FILING_STATUS=MR","SCALING_FORMAT=MLN","Sort=A","Dates=H","DateFormat=P","Fill=—","Direction=H","UseDPDF=Y")</f>
        <v>—</v>
      </c>
      <c r="I20" s="13" t="str">
        <f>_xll.BDH("BLUE US Equity","ARD_OTHER_ONE_TIME_CHARGES","FQ4 2019","FQ4 2019","Currency=USD","Period=FQ","BEST_FPERIOD_OVERRIDE=FQ","FILING_STATUS=MR","SCALING_FORMAT=MLN","Sort=A","Dates=H","DateFormat=P","Fill=—","Direction=H","UseDPDF=Y")</f>
        <v>—</v>
      </c>
      <c r="J20" s="13" t="str">
        <f>_xll.BDH("BLUE US Equity","ARD_OTHER_ONE_TIME_CHARGES","FQ1 2020","FQ1 2020","Currency=USD","Period=FQ","BEST_FPERIOD_OVERRIDE=FQ","FILING_STATUS=MR","SCALING_FORMAT=MLN","Sort=A","Dates=H","DateFormat=P","Fill=—","Direction=H","UseDPDF=Y")</f>
        <v>—</v>
      </c>
      <c r="K20" s="13" t="str">
        <f>_xll.BDH("BLUE US Equity","ARD_OTHER_ONE_TIME_CHARGES","FQ2 2020","FQ2 2020","Currency=USD","Period=FQ","BEST_FPERIOD_OVERRIDE=FQ","FILING_STATUS=MR","SCALING_FORMAT=MLN","Sort=A","Dates=H","DateFormat=P","Fill=—","Direction=H","UseDPDF=Y")</f>
        <v>—</v>
      </c>
      <c r="L20" s="13" t="str">
        <f>_xll.BDH("BLUE US Equity","ARD_OTHER_ONE_TIME_CHARGES","FQ3 2020","FQ3 2020","Currency=USD","Period=FQ","BEST_FPERIOD_OVERRIDE=FQ","FILING_STATUS=MR","SCALING_FORMAT=MLN","Sort=A","Dates=H","DateFormat=P","Fill=—","Direction=H","UseDPDF=Y")</f>
        <v>—</v>
      </c>
      <c r="M20" s="13" t="str">
        <f>_xll.BDH("BLUE US Equity","ARD_OTHER_ONE_TIME_CHARGES","FQ4 2020","FQ4 2020","Currency=USD","Period=FQ","BEST_FPERIOD_OVERRIDE=FQ","FILING_STATUS=MR","SCALING_FORMAT=MLN","Sort=A","Dates=H","DateFormat=P","Fill=—","Direction=H","UseDPDF=Y")</f>
        <v>—</v>
      </c>
      <c r="N20" s="13" t="str">
        <f>_xll.BDH("BLUE US Equity","ARD_OTHER_ONE_TIME_CHARGES","FQ1 2021","FQ1 2021","Currency=USD","Period=FQ","BEST_FPERIOD_OVERRIDE=FQ","FILING_STATUS=MR","SCALING_FORMAT=MLN","Sort=A","Dates=H","DateFormat=P","Fill=—","Direction=H","UseDPDF=Y")</f>
        <v>—</v>
      </c>
      <c r="O20" s="13" t="str">
        <f>_xll.BDH("BLUE US Equity","ARD_OTHER_ONE_TIME_CHARGES","FQ2 2021","FQ2 2021","Currency=USD","Period=FQ","BEST_FPERIOD_OVERRIDE=FQ","FILING_STATUS=MR","SCALING_FORMAT=MLN","Sort=A","Dates=H","DateFormat=P","Fill=—","Direction=H","UseDPDF=Y")</f>
        <v>—</v>
      </c>
      <c r="P20" s="13" t="str">
        <f>_xll.BDH("BLUE US Equity","ARD_OTHER_ONE_TIME_CHARGES","FQ3 2021","FQ3 2021","Currency=USD","Period=FQ","BEST_FPERIOD_OVERRIDE=FQ","FILING_STATUS=MR","SCALING_FORMAT=MLN","Sort=A","Dates=H","DateFormat=P","Fill=—","Direction=H","UseDPDF=Y")</f>
        <v>—</v>
      </c>
      <c r="Q20" s="13" t="str">
        <f>_xll.BDH("BLUE US Equity","ARD_OTHER_ONE_TIME_CHARGES","FQ4 2021","FQ4 2021","Currency=USD","Period=FQ","BEST_FPERIOD_OVERRIDE=FQ","FILING_STATUS=MR","SCALING_FORMAT=MLN","Sort=A","Dates=H","DateFormat=P","Fill=—","Direction=H","UseDPDF=Y")</f>
        <v>—</v>
      </c>
      <c r="R20" s="13" t="str">
        <f>_xll.BDH("BLUE US Equity","ARD_OTHER_ONE_TIME_CHARGES","FQ1 2022","FQ1 2022","Currency=USD","Period=FQ","BEST_FPERIOD_OVERRIDE=FQ","FILING_STATUS=MR","SCALING_FORMAT=MLN","Sort=A","Dates=H","DateFormat=P","Fill=—","Direction=H","UseDPDF=Y")</f>
        <v>—</v>
      </c>
      <c r="S20" s="13" t="str">
        <f>_xll.BDH("BLUE US Equity","ARD_OTHER_ONE_TIME_CHARGES","FQ2 2022","FQ2 2022","Currency=USD","Period=FQ","BEST_FPERIOD_OVERRIDE=FQ","FILING_STATUS=MR","SCALING_FORMAT=MLN","Sort=A","Dates=H","DateFormat=P","Fill=—","Direction=H","UseDPDF=Y")</f>
        <v>—</v>
      </c>
      <c r="T20" s="13" t="str">
        <f>_xll.BDH("BLUE US Equity","ARD_OTHER_ONE_TIME_CHARGES","FQ3 2022","FQ3 2022","Currency=USD","Period=FQ","BEST_FPERIOD_OVERRIDE=FQ","FILING_STATUS=MR","SCALING_FORMAT=MLN","Sort=A","Dates=H","DateFormat=P","Fill=—","Direction=H","UseDPDF=Y")</f>
        <v>—</v>
      </c>
      <c r="U20" s="13">
        <f>_xll.BDH("BLUE US Equity","ARD_OTHER_ONE_TIME_CHARGES","FQ4 2022","FQ4 2022","Currency=USD","Period=FQ","BEST_FPERIOD_OVERRIDE=FQ","FILING_STATUS=MR","SCALING_FORMAT=MLN","Sort=A","Dates=H","DateFormat=P","Fill=—","Direction=H","UseDPDF=Y")</f>
        <v>-102</v>
      </c>
      <c r="V20" s="13">
        <f>_xll.BDH("BLUE US Equity","ARD_OTHER_ONE_TIME_CHARGES","FQ1 2023","FQ1 2023","Currency=USD","Period=FQ","BEST_FPERIOD_OVERRIDE=FQ","FILING_STATUS=MR","SCALING_FORMAT=MLN","Sort=A","Dates=H","DateFormat=P","Fill=—","Direction=H","UseDPDF=Y")</f>
        <v>-92.93</v>
      </c>
      <c r="W20" s="13" t="str">
        <f>_xll.BDH("BLUE US Equity","ARD_OTHER_ONE_TIME_CHARGES","FQ2 2023","FQ2 2023","Currency=USD","Period=FQ","BEST_FPERIOD_OVERRIDE=FQ","FILING_STATUS=MR","SCALING_FORMAT=MLN","Sort=A","Dates=H","DateFormat=P","Fill=—","Direction=H","UseDPDF=Y")</f>
        <v>—</v>
      </c>
      <c r="X20" s="13">
        <f>_xll.BDH("BLUE US Equity","ARD_OTHER_ONE_TIME_CHARGES","FQ3 2023","FQ3 2023","Currency=USD","Period=FQ","BEST_FPERIOD_OVERRIDE=FQ","FILING_STATUS=MR","SCALING_FORMAT=MLN","Sort=A","Dates=H","DateFormat=P","Fill=—","Direction=H","UseDPDF=Y")</f>
        <v>0</v>
      </c>
      <c r="Y20" s="13">
        <f>_xll.BDH("BLUE US Equity","ARD_OTHER_ONE_TIME_CHARGES","FQ1 2024","FQ1 2024","Currency=USD","Period=FQ","BEST_FPERIOD_OVERRIDE=FQ","FILING_STATUS=MR","SCALING_FORMAT=MLN","Sort=A","Dates=H","DateFormat=P","Fill=—","Direction=H","UseDPDF=Y")</f>
        <v>0</v>
      </c>
      <c r="Z20" s="13" t="str">
        <f>_xll.BDH("BLUE US Equity","ARD_OTHER_ONE_TIME_CHARGES","FQ2 2024","FQ2 2024","Currency=USD","Period=FQ","BEST_FPERIOD_OVERRIDE=FQ","FILING_STATUS=MR","SCALING_FORMAT=MLN","Sort=A","Dates=H","DateFormat=P","Fill=—","Direction=H","UseDPDF=Y")</f>
        <v>—</v>
      </c>
      <c r="AA20" s="13">
        <f>_xll.BDH("BLUE US Equity","ARD_OTHER_ONE_TIME_CHARGES","FQ3 2024","FQ3 2024","Currency=USD","Period=FQ","BEST_FPERIOD_OVERRIDE=FQ","FILING_STATUS=MR","SCALING_FORMAT=MLN","Sort=A","Dates=H","DateFormat=P","Fill=—","Direction=H","UseDPDF=Y")</f>
        <v>0</v>
      </c>
    </row>
    <row r="21" spans="1:27" x14ac:dyDescent="0.25">
      <c r="A21" s="10" t="s">
        <v>411</v>
      </c>
      <c r="B21" s="10" t="s">
        <v>412</v>
      </c>
      <c r="C21" s="13">
        <f>_xll.BDH("BLUE US Equity","ARD_GENERAL_ADMINISTRATIVE_EXP","FQ2 2018","FQ2 2018","Currency=USD","Period=FQ","BEST_FPERIOD_OVERRIDE=FQ","FILING_STATUS=MR","SCALING_FORMAT=MLN","Sort=A","Dates=H","DateFormat=P","Fill=—","Direction=H","UseDPDF=Y")</f>
        <v>41.167999999999999</v>
      </c>
      <c r="D21" s="13">
        <f>_xll.BDH("BLUE US Equity","ARD_GENERAL_ADMINISTRATIVE_EXP","FQ3 2018","FQ3 2018","Currency=USD","Period=FQ","BEST_FPERIOD_OVERRIDE=FQ","FILING_STATUS=MR","SCALING_FORMAT=MLN","Sort=A","Dates=H","DateFormat=P","Fill=—","Direction=H","UseDPDF=Y")</f>
        <v>44.527000000000001</v>
      </c>
      <c r="E21" s="13">
        <f>_xll.BDH("BLUE US Equity","ARD_GENERAL_ADMINISTRATIVE_EXP","FQ4 2018","FQ4 2018","Currency=USD","Period=FQ","BEST_FPERIOD_OVERRIDE=FQ","FILING_STATUS=MR","SCALING_FORMAT=MLN","Sort=A","Dates=H","DateFormat=P","Fill=—","Direction=H","UseDPDF=Y")</f>
        <v>53.508000000000003</v>
      </c>
      <c r="F21" s="13">
        <f>_xll.BDH("BLUE US Equity","ARD_GENERAL_ADMINISTRATIVE_EXP","FQ1 2019","FQ1 2019","Currency=USD","Period=FQ","BEST_FPERIOD_OVERRIDE=FQ","FILING_STATUS=MR","SCALING_FORMAT=MLN","Sort=A","Dates=H","DateFormat=P","Fill=—","Direction=H","UseDPDF=Y")</f>
        <v>60.279000000000003</v>
      </c>
      <c r="G21" s="13">
        <f>_xll.BDH("BLUE US Equity","ARD_GENERAL_ADMINISTRATIVE_EXP","FQ2 2019","FQ2 2019","Currency=USD","Period=FQ","BEST_FPERIOD_OVERRIDE=FQ","FILING_STATUS=MR","SCALING_FORMAT=MLN","Sort=A","Dates=H","DateFormat=P","Fill=—","Direction=H","UseDPDF=Y")</f>
        <v>68.631</v>
      </c>
      <c r="H21" s="13">
        <f>_xll.BDH("BLUE US Equity","ARD_GENERAL_ADMINISTRATIVE_EXP","FQ3 2019","FQ3 2019","Currency=USD","Period=FQ","BEST_FPERIOD_OVERRIDE=FQ","FILING_STATUS=MR","SCALING_FORMAT=MLN","Sort=A","Dates=H","DateFormat=P","Fill=—","Direction=H","UseDPDF=Y")</f>
        <v>66.25</v>
      </c>
      <c r="I21" s="13" t="str">
        <f>_xll.BDH("BLUE US Equity","ARD_GENERAL_ADMINISTRATIVE_EXP","FQ4 2019","FQ4 2019","Currency=USD","Period=FQ","BEST_FPERIOD_OVERRIDE=FQ","FILING_STATUS=MR","SCALING_FORMAT=MLN","Sort=A","Dates=H","DateFormat=P","Fill=—","Direction=H","UseDPDF=Y")</f>
        <v>—</v>
      </c>
      <c r="J21" s="13" t="str">
        <f>_xll.BDH("BLUE US Equity","ARD_GENERAL_ADMINISTRATIVE_EXP","FQ1 2020","FQ1 2020","Currency=USD","Period=FQ","BEST_FPERIOD_OVERRIDE=FQ","FILING_STATUS=MR","SCALING_FORMAT=MLN","Sort=A","Dates=H","DateFormat=P","Fill=—","Direction=H","UseDPDF=Y")</f>
        <v>—</v>
      </c>
      <c r="K21" s="13" t="str">
        <f>_xll.BDH("BLUE US Equity","ARD_GENERAL_ADMINISTRATIVE_EXP","FQ2 2020","FQ2 2020","Currency=USD","Period=FQ","BEST_FPERIOD_OVERRIDE=FQ","FILING_STATUS=MR","SCALING_FORMAT=MLN","Sort=A","Dates=H","DateFormat=P","Fill=—","Direction=H","UseDPDF=Y")</f>
        <v>—</v>
      </c>
      <c r="L21" s="13" t="str">
        <f>_xll.BDH("BLUE US Equity","ARD_GENERAL_ADMINISTRATIVE_EXP","FQ3 2020","FQ3 2020","Currency=USD","Period=FQ","BEST_FPERIOD_OVERRIDE=FQ","FILING_STATUS=MR","SCALING_FORMAT=MLN","Sort=A","Dates=H","DateFormat=P","Fill=—","Direction=H","UseDPDF=Y")</f>
        <v>—</v>
      </c>
      <c r="M21" s="13" t="str">
        <f>_xll.BDH("BLUE US Equity","ARD_GENERAL_ADMINISTRATIVE_EXP","FQ4 2020","FQ4 2020","Currency=USD","Period=FQ","BEST_FPERIOD_OVERRIDE=FQ","FILING_STATUS=MR","SCALING_FORMAT=MLN","Sort=A","Dates=H","DateFormat=P","Fill=—","Direction=H","UseDPDF=Y")</f>
        <v>—</v>
      </c>
      <c r="N21" s="13" t="str">
        <f>_xll.BDH("BLUE US Equity","ARD_GENERAL_ADMINISTRATIVE_EXP","FQ1 2021","FQ1 2021","Currency=USD","Period=FQ","BEST_FPERIOD_OVERRIDE=FQ","FILING_STATUS=MR","SCALING_FORMAT=MLN","Sort=A","Dates=H","DateFormat=P","Fill=—","Direction=H","UseDPDF=Y")</f>
        <v>—</v>
      </c>
      <c r="O21" s="13" t="str">
        <f>_xll.BDH("BLUE US Equity","ARD_GENERAL_ADMINISTRATIVE_EXP","FQ2 2021","FQ2 2021","Currency=USD","Period=FQ","BEST_FPERIOD_OVERRIDE=FQ","FILING_STATUS=MR","SCALING_FORMAT=MLN","Sort=A","Dates=H","DateFormat=P","Fill=—","Direction=H","UseDPDF=Y")</f>
        <v>—</v>
      </c>
      <c r="P21" s="13" t="str">
        <f>_xll.BDH("BLUE US Equity","ARD_GENERAL_ADMINISTRATIVE_EXP","FQ3 2021","FQ3 2021","Currency=USD","Period=FQ","BEST_FPERIOD_OVERRIDE=FQ","FILING_STATUS=MR","SCALING_FORMAT=MLN","Sort=A","Dates=H","DateFormat=P","Fill=—","Direction=H","UseDPDF=Y")</f>
        <v>—</v>
      </c>
      <c r="Q21" s="13" t="str">
        <f>_xll.BDH("BLUE US Equity","ARD_GENERAL_ADMINISTRATIVE_EXP","FQ4 2021","FQ4 2021","Currency=USD","Period=FQ","BEST_FPERIOD_OVERRIDE=FQ","FILING_STATUS=MR","SCALING_FORMAT=MLN","Sort=A","Dates=H","DateFormat=P","Fill=—","Direction=H","UseDPDF=Y")</f>
        <v>—</v>
      </c>
      <c r="R21" s="13" t="str">
        <f>_xll.BDH("BLUE US Equity","ARD_GENERAL_ADMINISTRATIVE_EXP","FQ1 2022","FQ1 2022","Currency=USD","Period=FQ","BEST_FPERIOD_OVERRIDE=FQ","FILING_STATUS=MR","SCALING_FORMAT=MLN","Sort=A","Dates=H","DateFormat=P","Fill=—","Direction=H","UseDPDF=Y")</f>
        <v>—</v>
      </c>
      <c r="S21" s="13" t="str">
        <f>_xll.BDH("BLUE US Equity","ARD_GENERAL_ADMINISTRATIVE_EXP","FQ2 2022","FQ2 2022","Currency=USD","Period=FQ","BEST_FPERIOD_OVERRIDE=FQ","FILING_STATUS=MR","SCALING_FORMAT=MLN","Sort=A","Dates=H","DateFormat=P","Fill=—","Direction=H","UseDPDF=Y")</f>
        <v>—</v>
      </c>
      <c r="T21" s="13" t="str">
        <f>_xll.BDH("BLUE US Equity","ARD_GENERAL_ADMINISTRATIVE_EXP","FQ3 2022","FQ3 2022","Currency=USD","Period=FQ","BEST_FPERIOD_OVERRIDE=FQ","FILING_STATUS=MR","SCALING_FORMAT=MLN","Sort=A","Dates=H","DateFormat=P","Fill=—","Direction=H","UseDPDF=Y")</f>
        <v>—</v>
      </c>
      <c r="U21" s="13" t="str">
        <f>_xll.BDH("BLUE US Equity","ARD_GENERAL_ADMINISTRATIVE_EXP","FQ4 2022","FQ4 2022","Currency=USD","Period=FQ","BEST_FPERIOD_OVERRIDE=FQ","FILING_STATUS=MR","SCALING_FORMAT=MLN","Sort=A","Dates=H","DateFormat=P","Fill=—","Direction=H","UseDPDF=Y")</f>
        <v>—</v>
      </c>
      <c r="V21" s="13" t="str">
        <f>_xll.BDH("BLUE US Equity","ARD_GENERAL_ADMINISTRATIVE_EXP","FQ1 2023","FQ1 2023","Currency=USD","Period=FQ","BEST_FPERIOD_OVERRIDE=FQ","FILING_STATUS=MR","SCALING_FORMAT=MLN","Sort=A","Dates=H","DateFormat=P","Fill=—","Direction=H","UseDPDF=Y")</f>
        <v>—</v>
      </c>
      <c r="W21" s="13" t="str">
        <f>_xll.BDH("BLUE US Equity","ARD_GENERAL_ADMINISTRATIVE_EXP","FQ2 2023","FQ2 2023","Currency=USD","Period=FQ","BEST_FPERIOD_OVERRIDE=FQ","FILING_STATUS=MR","SCALING_FORMAT=MLN","Sort=A","Dates=H","DateFormat=P","Fill=—","Direction=H","UseDPDF=Y")</f>
        <v>—</v>
      </c>
      <c r="X21" s="13" t="str">
        <f>_xll.BDH("BLUE US Equity","ARD_GENERAL_ADMINISTRATIVE_EXP","FQ3 2023","FQ3 2023","Currency=USD","Period=FQ","BEST_FPERIOD_OVERRIDE=FQ","FILING_STATUS=MR","SCALING_FORMAT=MLN","Sort=A","Dates=H","DateFormat=P","Fill=—","Direction=H","UseDPDF=Y")</f>
        <v>—</v>
      </c>
      <c r="Y21" s="13" t="str">
        <f>_xll.BDH("BLUE US Equity","ARD_GENERAL_ADMINISTRATIVE_EXP","FQ1 2024","FQ1 2024","Currency=USD","Period=FQ","BEST_FPERIOD_OVERRIDE=FQ","FILING_STATUS=MR","SCALING_FORMAT=MLN","Sort=A","Dates=H","DateFormat=P","Fill=—","Direction=H","UseDPDF=Y")</f>
        <v>—</v>
      </c>
      <c r="Z21" s="13" t="str">
        <f>_xll.BDH("BLUE US Equity","ARD_GENERAL_ADMINISTRATIVE_EXP","FQ2 2024","FQ2 2024","Currency=USD","Period=FQ","BEST_FPERIOD_OVERRIDE=FQ","FILING_STATUS=MR","SCALING_FORMAT=MLN","Sort=A","Dates=H","DateFormat=P","Fill=—","Direction=H","UseDPDF=Y")</f>
        <v>—</v>
      </c>
      <c r="AA21" s="13" t="str">
        <f>_xll.BDH("BLUE US Equity","ARD_GENERAL_ADMINISTRATIVE_EXP","FQ3 2024","FQ3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413</v>
      </c>
      <c r="B22" s="10" t="s">
        <v>414</v>
      </c>
      <c r="C22" s="13">
        <f>_xll.BDH("BLUE US Equity","ARD_MERGER_ACQUISITION_EXPENSE","FQ2 2018","FQ2 2018","Currency=USD","Period=FQ","BEST_FPERIOD_OVERRIDE=FQ","FILING_STATUS=MR","SCALING_FORMAT=MLN","Sort=A","Dates=H","DateFormat=P","Fill=—","Direction=H","UseDPDF=Y")</f>
        <v>0.26200000000000001</v>
      </c>
      <c r="D22" s="13">
        <f>_xll.BDH("BLUE US Equity","ARD_MERGER_ACQUISITION_EXPENSE","FQ3 2018","FQ3 2018","Currency=USD","Period=FQ","BEST_FPERIOD_OVERRIDE=FQ","FILING_STATUS=MR","SCALING_FORMAT=MLN","Sort=A","Dates=H","DateFormat=P","Fill=—","Direction=H","UseDPDF=Y")</f>
        <v>4.7E-2</v>
      </c>
      <c r="E22" s="13">
        <f>_xll.BDH("BLUE US Equity","ARD_MERGER_ACQUISITION_EXPENSE","FQ4 2018","FQ4 2018","Currency=USD","Period=FQ","BEST_FPERIOD_OVERRIDE=FQ","FILING_STATUS=MR","SCALING_FORMAT=MLN","Sort=A","Dates=H","DateFormat=P","Fill=—","Direction=H","UseDPDF=Y")</f>
        <v>2.1560000000000001</v>
      </c>
      <c r="F22" s="13">
        <f>_xll.BDH("BLUE US Equity","ARD_MERGER_ACQUISITION_EXPENSE","FQ1 2019","FQ1 2019","Currency=USD","Period=FQ","BEST_FPERIOD_OVERRIDE=FQ","FILING_STATUS=MR","SCALING_FORMAT=MLN","Sort=A","Dates=H","DateFormat=P","Fill=—","Direction=H","UseDPDF=Y")</f>
        <v>0.29599999999999999</v>
      </c>
      <c r="G22" s="13">
        <f>_xll.BDH("BLUE US Equity","ARD_MERGER_ACQUISITION_EXPENSE","FQ2 2019","FQ2 2019","Currency=USD","Period=FQ","BEST_FPERIOD_OVERRIDE=FQ","FILING_STATUS=MR","SCALING_FORMAT=MLN","Sort=A","Dates=H","DateFormat=P","Fill=—","Direction=H","UseDPDF=Y")</f>
        <v>0.214</v>
      </c>
      <c r="H22" s="13">
        <f>_xll.BDH("BLUE US Equity","ARD_MERGER_ACQUISITION_EXPENSE","FQ3 2019","FQ3 2019","Currency=USD","Period=FQ","BEST_FPERIOD_OVERRIDE=FQ","FILING_STATUS=MR","SCALING_FORMAT=MLN","Sort=A","Dates=H","DateFormat=P","Fill=—","Direction=H","UseDPDF=Y")</f>
        <v>0.80200000000000005</v>
      </c>
      <c r="I22" s="13">
        <f>_xll.BDH("BLUE US Equity","ARD_MERGER_ACQUISITION_EXPENSE","FQ4 2019","FQ4 2019","Currency=USD","Period=FQ","BEST_FPERIOD_OVERRIDE=FQ","FILING_STATUS=MR","SCALING_FORMAT=MLN","Sort=A","Dates=H","DateFormat=P","Fill=—","Direction=H","UseDPDF=Y")</f>
        <v>1.4350000000000001</v>
      </c>
      <c r="J22" s="13">
        <f>_xll.BDH("BLUE US Equity","ARD_MERGER_ACQUISITION_EXPENSE","FQ1 2020","FQ1 2020","Currency=USD","Period=FQ","BEST_FPERIOD_OVERRIDE=FQ","FILING_STATUS=MR","SCALING_FORMAT=MLN","Sort=A","Dates=H","DateFormat=P","Fill=—","Direction=H","UseDPDF=Y")</f>
        <v>-3.1080000000000001</v>
      </c>
      <c r="K22" s="13">
        <f>_xll.BDH("BLUE US Equity","ARD_MERGER_ACQUISITION_EXPENSE","FQ2 2020","FQ2 2020","Currency=USD","Period=FQ","BEST_FPERIOD_OVERRIDE=FQ","FILING_STATUS=MR","SCALING_FORMAT=MLN","Sort=A","Dates=H","DateFormat=P","Fill=—","Direction=H","UseDPDF=Y")</f>
        <v>-1.655</v>
      </c>
      <c r="L22" s="13">
        <f>_xll.BDH("BLUE US Equity","ARD_MERGER_ACQUISITION_EXPENSE","FQ3 2020","FQ3 2020","Currency=USD","Period=FQ","BEST_FPERIOD_OVERRIDE=FQ","FILING_STATUS=MR","SCALING_FORMAT=MLN","Sort=A","Dates=H","DateFormat=P","Fill=—","Direction=H","UseDPDF=Y")</f>
        <v>-0.82799999999999996</v>
      </c>
      <c r="M22" s="13" t="str">
        <f>_xll.BDH("BLUE US Equity","ARD_MERGER_ACQUISITION_EXPENSE","FQ4 2020","FQ4 2020","Currency=USD","Period=FQ","BEST_FPERIOD_OVERRIDE=FQ","FILING_STATUS=MR","SCALING_FORMAT=MLN","Sort=A","Dates=H","DateFormat=P","Fill=—","Direction=H","UseDPDF=Y")</f>
        <v>—</v>
      </c>
      <c r="N22" s="13" t="str">
        <f>_xll.BDH("BLUE US Equity","ARD_MERGER_ACQUISITION_EXPENSE","FQ1 2021","FQ1 2021","Currency=USD","Period=FQ","BEST_FPERIOD_OVERRIDE=FQ","FILING_STATUS=MR","SCALING_FORMAT=MLN","Sort=A","Dates=H","DateFormat=P","Fill=—","Direction=H","UseDPDF=Y")</f>
        <v>—</v>
      </c>
      <c r="O22" s="13">
        <f>_xll.BDH("BLUE US Equity","ARD_MERGER_ACQUISITION_EXPENSE","FQ2 2021","FQ2 2021","Currency=USD","Period=FQ","BEST_FPERIOD_OVERRIDE=FQ","FILING_STATUS=MR","SCALING_FORMAT=MLN","Sort=A","Dates=H","DateFormat=P","Fill=—","Direction=H","UseDPDF=Y")</f>
        <v>4.7E-2</v>
      </c>
      <c r="P22" s="13" t="str">
        <f>_xll.BDH("BLUE US Equity","ARD_MERGER_ACQUISITION_EXPENSE","FQ3 2021","FQ3 2021","Currency=USD","Period=FQ","BEST_FPERIOD_OVERRIDE=FQ","FILING_STATUS=MR","SCALING_FORMAT=MLN","Sort=A","Dates=H","DateFormat=P","Fill=—","Direction=H","UseDPDF=Y")</f>
        <v>—</v>
      </c>
      <c r="Q22" s="13" t="str">
        <f>_xll.BDH("BLUE US Equity","ARD_MERGER_ACQUISITION_EXPENSE","FQ4 2021","FQ4 2021","Currency=USD","Period=FQ","BEST_FPERIOD_OVERRIDE=FQ","FILING_STATUS=MR","SCALING_FORMAT=MLN","Sort=A","Dates=H","DateFormat=P","Fill=—","Direction=H","UseDPDF=Y")</f>
        <v>—</v>
      </c>
      <c r="R22" s="13" t="str">
        <f>_xll.BDH("BLUE US Equity","ARD_MERGER_ACQUISITION_EXPENSE","FQ1 2022","FQ1 2022","Currency=USD","Period=FQ","BEST_FPERIOD_OVERRIDE=FQ","FILING_STATUS=MR","SCALING_FORMAT=MLN","Sort=A","Dates=H","DateFormat=P","Fill=—","Direction=H","UseDPDF=Y")</f>
        <v>—</v>
      </c>
      <c r="S22" s="13" t="str">
        <f>_xll.BDH("BLUE US Equity","ARD_MERGER_ACQUISITION_EXPENSE","FQ2 2022","FQ2 2022","Currency=USD","Period=FQ","BEST_FPERIOD_OVERRIDE=FQ","FILING_STATUS=MR","SCALING_FORMAT=MLN","Sort=A","Dates=H","DateFormat=P","Fill=—","Direction=H","UseDPDF=Y")</f>
        <v>—</v>
      </c>
      <c r="T22" s="13" t="str">
        <f>_xll.BDH("BLUE US Equity","ARD_MERGER_ACQUISITION_EXPENSE","FQ3 2022","FQ3 2022","Currency=USD","Period=FQ","BEST_FPERIOD_OVERRIDE=FQ","FILING_STATUS=MR","SCALING_FORMAT=MLN","Sort=A","Dates=H","DateFormat=P","Fill=—","Direction=H","UseDPDF=Y")</f>
        <v>—</v>
      </c>
      <c r="U22" s="13" t="str">
        <f>_xll.BDH("BLUE US Equity","ARD_MERGER_ACQUISITION_EXPENSE","FQ4 2022","FQ4 2022","Currency=USD","Period=FQ","BEST_FPERIOD_OVERRIDE=FQ","FILING_STATUS=MR","SCALING_FORMAT=MLN","Sort=A","Dates=H","DateFormat=P","Fill=—","Direction=H","UseDPDF=Y")</f>
        <v>—</v>
      </c>
      <c r="V22" s="13" t="str">
        <f>_xll.BDH("BLUE US Equity","ARD_MERGER_ACQUISITION_EXPENSE","FQ1 2023","FQ1 2023","Currency=USD","Period=FQ","BEST_FPERIOD_OVERRIDE=FQ","FILING_STATUS=MR","SCALING_FORMAT=MLN","Sort=A","Dates=H","DateFormat=P","Fill=—","Direction=H","UseDPDF=Y")</f>
        <v>—</v>
      </c>
      <c r="W22" s="13" t="str">
        <f>_xll.BDH("BLUE US Equity","ARD_MERGER_ACQUISITION_EXPENSE","FQ2 2023","FQ2 2023","Currency=USD","Period=FQ","BEST_FPERIOD_OVERRIDE=FQ","FILING_STATUS=MR","SCALING_FORMAT=MLN","Sort=A","Dates=H","DateFormat=P","Fill=—","Direction=H","UseDPDF=Y")</f>
        <v>—</v>
      </c>
      <c r="X22" s="13" t="str">
        <f>_xll.BDH("BLUE US Equity","ARD_MERGER_ACQUISITION_EXPENSE","FQ3 2023","FQ3 2023","Currency=USD","Period=FQ","BEST_FPERIOD_OVERRIDE=FQ","FILING_STATUS=MR","SCALING_FORMAT=MLN","Sort=A","Dates=H","DateFormat=P","Fill=—","Direction=H","UseDPDF=Y")</f>
        <v>—</v>
      </c>
      <c r="Y22" s="13" t="str">
        <f>_xll.BDH("BLUE US Equity","ARD_MERGER_ACQUISITION_EXPENSE","FQ1 2024","FQ1 2024","Currency=USD","Period=FQ","BEST_FPERIOD_OVERRIDE=FQ","FILING_STATUS=MR","SCALING_FORMAT=MLN","Sort=A","Dates=H","DateFormat=P","Fill=—","Direction=H","UseDPDF=Y")</f>
        <v>—</v>
      </c>
      <c r="Z22" s="13" t="str">
        <f>_xll.BDH("BLUE US Equity","ARD_MERGER_ACQUISITION_EXPENSE","FQ2 2024","FQ2 2024","Currency=USD","Period=FQ","BEST_FPERIOD_OVERRIDE=FQ","FILING_STATUS=MR","SCALING_FORMAT=MLN","Sort=A","Dates=H","DateFormat=P","Fill=—","Direction=H","UseDPDF=Y")</f>
        <v>—</v>
      </c>
      <c r="AA22" s="13" t="str">
        <f>_xll.BDH("BLUE US Equity","ARD_MERGER_ACQUISITION_EXPENSE","FQ3 2024","FQ3 2024","Currency=USD","Period=FQ","BEST_FPERIOD_OVERRIDE=FQ","FILING_STATUS=MR","SCALING_FORMAT=MLN","Sort=A","Dates=H","DateFormat=P","Fill=—","Direction=H","UseDPDF=Y")</f>
        <v>—</v>
      </c>
    </row>
    <row r="23" spans="1:27" x14ac:dyDescent="0.25">
      <c r="A23" s="10" t="s">
        <v>2</v>
      </c>
      <c r="B23" s="10" t="s">
        <v>415</v>
      </c>
      <c r="C23" s="13" t="str">
        <f>_xll.BDH("BLUE US Equity","ARD_GROSS_PROFITS","FQ2 2018","FQ2 2018","Currency=USD","Period=FQ","BEST_FPERIOD_OVERRIDE=FQ","FILING_STATUS=MR","SCALING_FORMAT=MLN","Sort=A","Dates=H","DateFormat=P","Fill=—","Direction=H","UseDPDF=Y")</f>
        <v>—</v>
      </c>
      <c r="D23" s="13" t="str">
        <f>_xll.BDH("BLUE US Equity","ARD_GROSS_PROFITS","FQ3 2018","FQ3 2018","Currency=USD","Period=FQ","BEST_FPERIOD_OVERRIDE=FQ","FILING_STATUS=MR","SCALING_FORMAT=MLN","Sort=A","Dates=H","DateFormat=P","Fill=—","Direction=H","UseDPDF=Y")</f>
        <v>—</v>
      </c>
      <c r="E23" s="13" t="str">
        <f>_xll.BDH("BLUE US Equity","ARD_GROSS_PROFITS","FQ4 2018","FQ4 2018","Currency=USD","Period=FQ","BEST_FPERIOD_OVERRIDE=FQ","FILING_STATUS=MR","SCALING_FORMAT=MLN","Sort=A","Dates=H","DateFormat=P","Fill=—","Direction=H","UseDPDF=Y")</f>
        <v>—</v>
      </c>
      <c r="F23" s="13" t="str">
        <f>_xll.BDH("BLUE US Equity","ARD_GROSS_PROFITS","FQ1 2019","FQ1 2019","Currency=USD","Period=FQ","BEST_FPERIOD_OVERRIDE=FQ","FILING_STATUS=MR","SCALING_FORMAT=MLN","Sort=A","Dates=H","DateFormat=P","Fill=—","Direction=H","UseDPDF=Y")</f>
        <v>—</v>
      </c>
      <c r="G23" s="13" t="str">
        <f>_xll.BDH("BLUE US Equity","ARD_GROSS_PROFITS","FQ2 2019","FQ2 2019","Currency=USD","Period=FQ","BEST_FPERIOD_OVERRIDE=FQ","FILING_STATUS=MR","SCALING_FORMAT=MLN","Sort=A","Dates=H","DateFormat=P","Fill=—","Direction=H","UseDPDF=Y")</f>
        <v>—</v>
      </c>
      <c r="H23" s="13" t="str">
        <f>_xll.BDH("BLUE US Equity","ARD_GROSS_PROFITS","FQ3 2019","FQ3 2019","Currency=USD","Period=FQ","BEST_FPERIOD_OVERRIDE=FQ","FILING_STATUS=MR","SCALING_FORMAT=MLN","Sort=A","Dates=H","DateFormat=P","Fill=—","Direction=H","UseDPDF=Y")</f>
        <v>—</v>
      </c>
      <c r="I23" s="13" t="str">
        <f>_xll.BDH("BLUE US Equity","ARD_GROSS_PROFITS","FQ4 2019","FQ4 2019","Currency=USD","Period=FQ","BEST_FPERIOD_OVERRIDE=FQ","FILING_STATUS=MR","SCALING_FORMAT=MLN","Sort=A","Dates=H","DateFormat=P","Fill=—","Direction=H","UseDPDF=Y")</f>
        <v>—</v>
      </c>
      <c r="J23" s="13" t="str">
        <f>_xll.BDH("BLUE US Equity","ARD_GROSS_PROFITS","FQ1 2020","FQ1 2020","Currency=USD","Period=FQ","BEST_FPERIOD_OVERRIDE=FQ","FILING_STATUS=MR","SCALING_FORMAT=MLN","Sort=A","Dates=H","DateFormat=P","Fill=—","Direction=H","UseDPDF=Y")</f>
        <v>—</v>
      </c>
      <c r="K23" s="13" t="str">
        <f>_xll.BDH("BLUE US Equity","ARD_GROSS_PROFITS","FQ2 2020","FQ2 2020","Currency=USD","Period=FQ","BEST_FPERIOD_OVERRIDE=FQ","FILING_STATUS=MR","SCALING_FORMAT=MLN","Sort=A","Dates=H","DateFormat=P","Fill=—","Direction=H","UseDPDF=Y")</f>
        <v>—</v>
      </c>
      <c r="L23" s="13" t="str">
        <f>_xll.BDH("BLUE US Equity","ARD_GROSS_PROFITS","FQ3 2020","FQ3 2020","Currency=USD","Period=FQ","BEST_FPERIOD_OVERRIDE=FQ","FILING_STATUS=MR","SCALING_FORMAT=MLN","Sort=A","Dates=H","DateFormat=P","Fill=—","Direction=H","UseDPDF=Y")</f>
        <v>—</v>
      </c>
      <c r="M23" s="13" t="str">
        <f>_xll.BDH("BLUE US Equity","ARD_GROSS_PROFITS","FQ4 2020","FQ4 2020","Currency=USD","Period=FQ","BEST_FPERIOD_OVERRIDE=FQ","FILING_STATUS=MR","SCALING_FORMAT=MLN","Sort=A","Dates=H","DateFormat=P","Fill=—","Direction=H","UseDPDF=Y")</f>
        <v>—</v>
      </c>
      <c r="N23" s="13" t="str">
        <f>_xll.BDH("BLUE US Equity","ARD_GROSS_PROFITS","FQ1 2021","FQ1 2021","Currency=USD","Period=FQ","BEST_FPERIOD_OVERRIDE=FQ","FILING_STATUS=MR","SCALING_FORMAT=MLN","Sort=A","Dates=H","DateFormat=P","Fill=—","Direction=H","UseDPDF=Y")</f>
        <v>—</v>
      </c>
      <c r="O23" s="13" t="str">
        <f>_xll.BDH("BLUE US Equity","ARD_GROSS_PROFITS","FQ2 2021","FQ2 2021","Currency=USD","Period=FQ","BEST_FPERIOD_OVERRIDE=FQ","FILING_STATUS=MR","SCALING_FORMAT=MLN","Sort=A","Dates=H","DateFormat=P","Fill=—","Direction=H","UseDPDF=Y")</f>
        <v>—</v>
      </c>
      <c r="P23" s="13" t="str">
        <f>_xll.BDH("BLUE US Equity","ARD_GROSS_PROFITS","FQ3 2021","FQ3 2021","Currency=USD","Period=FQ","BEST_FPERIOD_OVERRIDE=FQ","FILING_STATUS=MR","SCALING_FORMAT=MLN","Sort=A","Dates=H","DateFormat=P","Fill=—","Direction=H","UseDPDF=Y")</f>
        <v>—</v>
      </c>
      <c r="Q23" s="13" t="str">
        <f>_xll.BDH("BLUE US Equity","ARD_GROSS_PROFITS","FQ4 2021","FQ4 2021","Currency=USD","Period=FQ","BEST_FPERIOD_OVERRIDE=FQ","FILING_STATUS=MR","SCALING_FORMAT=MLN","Sort=A","Dates=H","DateFormat=P","Fill=—","Direction=H","UseDPDF=Y")</f>
        <v>—</v>
      </c>
      <c r="R23" s="13" t="str">
        <f>_xll.BDH("BLUE US Equity","ARD_GROSS_PROFITS","FQ1 2022","FQ1 2022","Currency=USD","Period=FQ","BEST_FPERIOD_OVERRIDE=FQ","FILING_STATUS=MR","SCALING_FORMAT=MLN","Sort=A","Dates=H","DateFormat=P","Fill=—","Direction=H","UseDPDF=Y")</f>
        <v>—</v>
      </c>
      <c r="S23" s="13" t="str">
        <f>_xll.BDH("BLUE US Equity","ARD_GROSS_PROFITS","FQ2 2022","FQ2 2022","Currency=USD","Period=FQ","BEST_FPERIOD_OVERRIDE=FQ","FILING_STATUS=MR","SCALING_FORMAT=MLN","Sort=A","Dates=H","DateFormat=P","Fill=—","Direction=H","UseDPDF=Y")</f>
        <v>—</v>
      </c>
      <c r="T23" s="13" t="str">
        <f>_xll.BDH("BLUE US Equity","ARD_GROSS_PROFITS","FQ3 2022","FQ3 2022","Currency=USD","Period=FQ","BEST_FPERIOD_OVERRIDE=FQ","FILING_STATUS=MR","SCALING_FORMAT=MLN","Sort=A","Dates=H","DateFormat=P","Fill=—","Direction=H","UseDPDF=Y")</f>
        <v>—</v>
      </c>
      <c r="U23" s="13" t="str">
        <f>_xll.BDH("BLUE US Equity","ARD_GROSS_PROFITS","FQ4 2022","FQ4 2022","Currency=USD","Period=FQ","BEST_FPERIOD_OVERRIDE=FQ","FILING_STATUS=MR","SCALING_FORMAT=MLN","Sort=A","Dates=H","DateFormat=P","Fill=—","Direction=H","UseDPDF=Y")</f>
        <v>—</v>
      </c>
      <c r="V23" s="13">
        <f>_xll.BDH("BLUE US Equity","ARD_GROSS_PROFITS","FQ1 2023","FQ1 2023","Currency=USD","Period=FQ","BEST_FPERIOD_OVERRIDE=FQ","FILING_STATUS=MR","SCALING_FORMAT=MLN","Sort=A","Dates=H","DateFormat=P","Fill=—","Direction=H","UseDPDF=Y")</f>
        <v>-3.1309999999999998</v>
      </c>
      <c r="W23" s="13">
        <f>_xll.BDH("BLUE US Equity","ARD_GROSS_PROFITS","FQ2 2023","FQ2 2023","Currency=USD","Period=FQ","BEST_FPERIOD_OVERRIDE=FQ","FILING_STATUS=MR","SCALING_FORMAT=MLN","Sort=A","Dates=H","DateFormat=P","Fill=—","Direction=H","UseDPDF=Y")</f>
        <v>0.193</v>
      </c>
      <c r="X23" s="13">
        <f>_xll.BDH("BLUE US Equity","ARD_GROSS_PROFITS","FQ3 2023","FQ3 2023","Currency=USD","Period=FQ","BEST_FPERIOD_OVERRIDE=FQ","FILING_STATUS=MR","SCALING_FORMAT=MLN","Sort=A","Dates=H","DateFormat=P","Fill=—","Direction=H","UseDPDF=Y")</f>
        <v>3.266</v>
      </c>
      <c r="Y23" s="13">
        <f>_xll.BDH("BLUE US Equity","ARD_GROSS_PROFITS","FQ1 2024","FQ1 2024","Currency=USD","Period=FQ","BEST_FPERIOD_OVERRIDE=FQ","FILING_STATUS=MR","SCALING_FORMAT=MLN","Sort=A","Dates=H","DateFormat=P","Fill=—","Direction=H","UseDPDF=Y")</f>
        <v>-7.2910000000000004</v>
      </c>
      <c r="Z23" s="13">
        <f>_xll.BDH("BLUE US Equity","ARD_GROSS_PROFITS","FQ2 2024","FQ2 2024","Currency=USD","Period=FQ","BEST_FPERIOD_OVERRIDE=FQ","FILING_STATUS=MR","SCALING_FORMAT=MLN","Sort=A","Dates=H","DateFormat=P","Fill=—","Direction=H","UseDPDF=Y")</f>
        <v>-12.845000000000001</v>
      </c>
      <c r="AA23" s="13">
        <f>_xll.BDH("BLUE US Equity","ARD_GROSS_PROFITS","FQ3 2024","FQ3 2024","Currency=USD","Period=FQ","BEST_FPERIOD_OVERRIDE=FQ","FILING_STATUS=MR","SCALING_FORMAT=MLN","Sort=A","Dates=H","DateFormat=P","Fill=—","Direction=H","UseDPDF=Y")</f>
        <v>-1.169</v>
      </c>
    </row>
    <row r="24" spans="1:27" x14ac:dyDescent="0.25">
      <c r="A24" s="10" t="s">
        <v>98</v>
      </c>
      <c r="B24" s="10" t="s">
        <v>416</v>
      </c>
      <c r="C24" s="13">
        <f>_xll.BDH("BLUE US Equity","ARD_OPERATING_INCOME","FQ2 2018","FQ2 2018","Currency=USD","Period=FQ","BEST_FPERIOD_OVERRIDE=FQ","FILING_STATUS=MR","SCALING_FORMAT=MLN","Sort=A","Dates=H","DateFormat=P","Fill=—","Direction=H","UseDPDF=Y")</f>
        <v>-148.614</v>
      </c>
      <c r="D24" s="13">
        <f>_xll.BDH("BLUE US Equity","ARD_OPERATING_INCOME","FQ3 2018","FQ3 2018","Currency=USD","Period=FQ","BEST_FPERIOD_OVERRIDE=FQ","FILING_STATUS=MR","SCALING_FORMAT=MLN","Sort=A","Dates=H","DateFormat=P","Fill=—","Direction=H","UseDPDF=Y")</f>
        <v>-149.81899999999999</v>
      </c>
      <c r="E24" s="13">
        <f>_xll.BDH("BLUE US Equity","ARD_OPERATING_INCOME","FQ4 2018","FQ4 2018","Currency=USD","Period=FQ","BEST_FPERIOD_OVERRIDE=FQ","FILING_STATUS=MR","SCALING_FORMAT=MLN","Sort=A","Dates=H","DateFormat=P","Fill=—","Direction=H","UseDPDF=Y")</f>
        <v>-156.96100000000001</v>
      </c>
      <c r="F24" s="13">
        <f>_xll.BDH("BLUE US Equity","ARD_OPERATING_INCOME","FQ1 2019","FQ1 2019","Currency=USD","Period=FQ","BEST_FPERIOD_OVERRIDE=FQ","FILING_STATUS=MR","SCALING_FORMAT=MLN","Sort=A","Dates=H","DateFormat=P","Fill=—","Direction=H","UseDPDF=Y")</f>
        <v>-171.17400000000001</v>
      </c>
      <c r="G24" s="13">
        <f>_xll.BDH("BLUE US Equity","ARD_OPERATING_INCOME","FQ2 2019","FQ2 2019","Currency=USD","Period=FQ","BEST_FPERIOD_OVERRIDE=FQ","FILING_STATUS=MR","SCALING_FORMAT=MLN","Sort=A","Dates=H","DateFormat=P","Fill=—","Direction=H","UseDPDF=Y")</f>
        <v>-202.702</v>
      </c>
      <c r="H24" s="13">
        <f>_xll.BDH("BLUE US Equity","ARD_OPERATING_INCOME","FQ3 2019","FQ3 2019","Currency=USD","Period=FQ","BEST_FPERIOD_OVERRIDE=FQ","FILING_STATUS=MR","SCALING_FORMAT=MLN","Sort=A","Dates=H","DateFormat=P","Fill=—","Direction=H","UseDPDF=Y")</f>
        <v>-210.416</v>
      </c>
      <c r="I24" s="13">
        <f>_xll.BDH("BLUE US Equity","ARD_OPERATING_INCOME","FQ4 2019","FQ4 2019","Currency=USD","Period=FQ","BEST_FPERIOD_OVERRIDE=FQ","FILING_STATUS=MR","SCALING_FORMAT=MLN","Sort=A","Dates=H","DateFormat=P","Fill=—","Direction=H","UseDPDF=Y")</f>
        <v>-230.53399999999999</v>
      </c>
      <c r="J24" s="13">
        <f>_xll.BDH("BLUE US Equity","ARD_OPERATING_INCOME","FQ1 2020","FQ1 2020","Currency=USD","Period=FQ","BEST_FPERIOD_OVERRIDE=FQ","FILING_STATUS=MR","SCALING_FORMAT=MLN","Sort=A","Dates=H","DateFormat=P","Fill=—","Direction=H","UseDPDF=Y")</f>
        <v>-203.42500000000001</v>
      </c>
      <c r="K24" s="13">
        <f>_xll.BDH("BLUE US Equity","ARD_OPERATING_INCOME","FQ2 2020","FQ2 2020","Currency=USD","Period=FQ","BEST_FPERIOD_OVERRIDE=FQ","FILING_STATUS=MR","SCALING_FORMAT=MLN","Sort=A","Dates=H","DateFormat=P","Fill=—","Direction=H","UseDPDF=Y")</f>
        <v>-25.945</v>
      </c>
      <c r="L24" s="13">
        <f>_xll.BDH("BLUE US Equity","ARD_OPERATING_INCOME","FQ3 2020","FQ3 2020","Currency=USD","Period=FQ","BEST_FPERIOD_OVERRIDE=FQ","FILING_STATUS=MR","SCALING_FORMAT=MLN","Sort=A","Dates=H","DateFormat=P","Fill=—","Direction=H","UseDPDF=Y")</f>
        <v>-189.69399999999999</v>
      </c>
      <c r="M24" s="13">
        <f>_xll.BDH("BLUE US Equity","ARD_OPERATING_INCOME","FQ4 2020","FQ4 2020","Currency=USD","Period=FQ","BEST_FPERIOD_OVERRIDE=FQ","FILING_STATUS=MR","SCALING_FORMAT=MLN","Sort=A","Dates=H","DateFormat=P","Fill=—","Direction=H","UseDPDF=Y")</f>
        <v>-139.387</v>
      </c>
      <c r="N24" s="13">
        <f>_xll.BDH("BLUE US Equity","ARD_OPERATING_INCOME","FQ1 2021","FQ1 2021","Currency=USD","Period=FQ","BEST_FPERIOD_OVERRIDE=FQ","FILING_STATUS=MR","SCALING_FORMAT=MLN","Sort=A","Dates=H","DateFormat=P","Fill=—","Direction=H","UseDPDF=Y")</f>
        <v>-146.09399999999999</v>
      </c>
      <c r="O24" s="13">
        <f>_xll.BDH("BLUE US Equity","ARD_OPERATING_INCOME","FQ2 2021","FQ2 2021","Currency=USD","Period=FQ","BEST_FPERIOD_OVERRIDE=FQ","FILING_STATUS=MR","SCALING_FORMAT=MLN","Sort=A","Dates=H","DateFormat=P","Fill=—","Direction=H","UseDPDF=Y")</f>
        <v>-240.83799999999999</v>
      </c>
      <c r="P24" s="13">
        <f>_xll.BDH("BLUE US Equity","ARD_OPERATING_INCOME","FQ3 2021","FQ3 2021","Currency=USD","Period=FQ","BEST_FPERIOD_OVERRIDE=FQ","FILING_STATUS=MR","SCALING_FORMAT=MLN","Sort=A","Dates=H","DateFormat=P","Fill=—","Direction=H","UseDPDF=Y")</f>
        <v>-154.44900000000001</v>
      </c>
      <c r="Q24" s="13">
        <f>_xll.BDH("BLUE US Equity","ARD_OPERATING_INCOME","FQ4 2021","FQ4 2021","Currency=USD","Period=FQ","BEST_FPERIOD_OVERRIDE=FQ","FILING_STATUS=MR","SCALING_FORMAT=MLN","Sort=A","Dates=H","DateFormat=P","Fill=—","Direction=H","UseDPDF=Y")</f>
        <v>-135.667</v>
      </c>
      <c r="R24" s="13">
        <f>_xll.BDH("BLUE US Equity","ARD_OPERATING_INCOME","FQ1 2022","FQ1 2022","Currency=USD","Period=FQ","BEST_FPERIOD_OVERRIDE=FQ","FILING_STATUS=MR","SCALING_FORMAT=MLN","Sort=A","Dates=H","DateFormat=P","Fill=—","Direction=H","UseDPDF=Y")</f>
        <v>-120.346</v>
      </c>
      <c r="S24" s="13">
        <f>_xll.BDH("BLUE US Equity","ARD_OPERATING_INCOME","FQ2 2022","FQ2 2022","Currency=USD","Period=FQ","BEST_FPERIOD_OVERRIDE=FQ","FILING_STATUS=MR","SCALING_FORMAT=MLN","Sort=A","Dates=H","DateFormat=P","Fill=—","Direction=H","UseDPDF=Y")</f>
        <v>-107.4</v>
      </c>
      <c r="T24" s="13">
        <f>_xll.BDH("BLUE US Equity","ARD_OPERATING_INCOME","FQ3 2022","FQ3 2022","Currency=USD","Period=FQ","BEST_FPERIOD_OVERRIDE=FQ","FILING_STATUS=MR","SCALING_FORMAT=MLN","Sort=A","Dates=H","DateFormat=P","Fill=—","Direction=H","UseDPDF=Y")</f>
        <v>-84.781000000000006</v>
      </c>
      <c r="U24" s="13">
        <f>_xll.BDH("BLUE US Equity","ARD_OPERATING_INCOME","FQ4 2022","FQ4 2022","Currency=USD","Period=FQ","BEST_FPERIOD_OVERRIDE=FQ","FILING_STATUS=MR","SCALING_FORMAT=MLN","Sort=A","Dates=H","DateFormat=P","Fill=—","Direction=H","UseDPDF=Y")</f>
        <v>25.434999999999999</v>
      </c>
      <c r="V24" s="13">
        <f>_xll.BDH("BLUE US Equity","ARD_OPERATING_INCOME","FQ1 2023","FQ1 2023","Currency=USD","Period=FQ","BEST_FPERIOD_OVERRIDE=FQ","FILING_STATUS=MR","SCALING_FORMAT=MLN","Sort=A","Dates=H","DateFormat=P","Fill=—","Direction=H","UseDPDF=Y")</f>
        <v>10.744999999999999</v>
      </c>
      <c r="W24" s="13">
        <f>_xll.BDH("BLUE US Equity","ARD_OPERATING_INCOME","FQ2 2023","FQ2 2023","Currency=USD","Period=FQ","BEST_FPERIOD_OVERRIDE=FQ","FILING_STATUS=MR","SCALING_FORMAT=MLN","Sort=A","Dates=H","DateFormat=P","Fill=—","Direction=H","UseDPDF=Y")</f>
        <v>-71.716999999999999</v>
      </c>
      <c r="X24" s="13">
        <f>_xll.BDH("BLUE US Equity","ARD_OPERATING_INCOME","FQ3 2023","FQ3 2023","Currency=USD","Period=FQ","BEST_FPERIOD_OVERRIDE=FQ","FILING_STATUS=MR","SCALING_FORMAT=MLN","Sort=A","Dates=H","DateFormat=P","Fill=—","Direction=H","UseDPDF=Y")</f>
        <v>-96.006</v>
      </c>
      <c r="Y24" s="13">
        <f>_xll.BDH("BLUE US Equity","ARD_OPERATING_INCOME","FQ1 2024","FQ1 2024","Currency=USD","Period=FQ","BEST_FPERIOD_OVERRIDE=FQ","FILING_STATUS=MR","SCALING_FORMAT=MLN","Sort=A","Dates=H","DateFormat=P","Fill=—","Direction=H","UseDPDF=Y")</f>
        <v>-78.691999999999993</v>
      </c>
      <c r="Z24" s="13">
        <f>_xll.BDH("BLUE US Equity","ARD_OPERATING_INCOME","FQ2 2024","FQ2 2024","Currency=USD","Period=FQ","BEST_FPERIOD_OVERRIDE=FQ","FILING_STATUS=MR","SCALING_FORMAT=MLN","Sort=A","Dates=H","DateFormat=P","Fill=—","Direction=H","UseDPDF=Y")</f>
        <v>-88.391999999999996</v>
      </c>
      <c r="AA24" s="13">
        <f>_xll.BDH("BLUE US Equity","ARD_OPERATING_INCOME","FQ3 2024","FQ3 2024","Currency=USD","Period=FQ","BEST_FPERIOD_OVERRIDE=FQ","FILING_STATUS=MR","SCALING_FORMAT=MLN","Sort=A","Dates=H","DateFormat=P","Fill=—","Direction=H","UseDPDF=Y")</f>
        <v>-66.918999999999997</v>
      </c>
    </row>
    <row r="25" spans="1:27" x14ac:dyDescent="0.25">
      <c r="A25" s="10" t="s">
        <v>417</v>
      </c>
      <c r="B25" s="10" t="s">
        <v>418</v>
      </c>
      <c r="C25" s="13" t="str">
        <f>_xll.BDH("BLUE US Equity","ARD_COST_OF_PRODUCTS_SOLD","FQ2 2018","FQ2 2018","Currency=USD","Period=FQ","BEST_FPERIOD_OVERRIDE=FQ","FILING_STATUS=MR","SCALING_FORMAT=MLN","Sort=A","Dates=H","DateFormat=P","Fill=—","Direction=H","UseDPDF=Y")</f>
        <v>—</v>
      </c>
      <c r="D25" s="13" t="str">
        <f>_xll.BDH("BLUE US Equity","ARD_COST_OF_PRODUCTS_SOLD","FQ3 2018","FQ3 2018","Currency=USD","Period=FQ","BEST_FPERIOD_OVERRIDE=FQ","FILING_STATUS=MR","SCALING_FORMAT=MLN","Sort=A","Dates=H","DateFormat=P","Fill=—","Direction=H","UseDPDF=Y")</f>
        <v>—</v>
      </c>
      <c r="E25" s="13" t="str">
        <f>_xll.BDH("BLUE US Equity","ARD_COST_OF_PRODUCTS_SOLD","FQ4 2018","FQ4 2018","Currency=USD","Period=FQ","BEST_FPERIOD_OVERRIDE=FQ","FILING_STATUS=MR","SCALING_FORMAT=MLN","Sort=A","Dates=H","DateFormat=P","Fill=—","Direction=H","UseDPDF=Y")</f>
        <v>—</v>
      </c>
      <c r="F25" s="13" t="str">
        <f>_xll.BDH("BLUE US Equity","ARD_COST_OF_PRODUCTS_SOLD","FQ1 2019","FQ1 2019","Currency=USD","Period=FQ","BEST_FPERIOD_OVERRIDE=FQ","FILING_STATUS=MR","SCALING_FORMAT=MLN","Sort=A","Dates=H","DateFormat=P","Fill=—","Direction=H","UseDPDF=Y")</f>
        <v>—</v>
      </c>
      <c r="G25" s="13" t="str">
        <f>_xll.BDH("BLUE US Equity","ARD_COST_OF_PRODUCTS_SOLD","FQ2 2019","FQ2 2019","Currency=USD","Period=FQ","BEST_FPERIOD_OVERRIDE=FQ","FILING_STATUS=MR","SCALING_FORMAT=MLN","Sort=A","Dates=H","DateFormat=P","Fill=—","Direction=H","UseDPDF=Y")</f>
        <v>—</v>
      </c>
      <c r="H25" s="13" t="str">
        <f>_xll.BDH("BLUE US Equity","ARD_COST_OF_PRODUCTS_SOLD","FQ3 2019","FQ3 2019","Currency=USD","Period=FQ","BEST_FPERIOD_OVERRIDE=FQ","FILING_STATUS=MR","SCALING_FORMAT=MLN","Sort=A","Dates=H","DateFormat=P","Fill=—","Direction=H","UseDPDF=Y")</f>
        <v>—</v>
      </c>
      <c r="I25" s="13" t="str">
        <f>_xll.BDH("BLUE US Equity","ARD_COST_OF_PRODUCTS_SOLD","FQ4 2019","FQ4 2019","Currency=USD","Period=FQ","BEST_FPERIOD_OVERRIDE=FQ","FILING_STATUS=MR","SCALING_FORMAT=MLN","Sort=A","Dates=H","DateFormat=P","Fill=—","Direction=H","UseDPDF=Y")</f>
        <v>—</v>
      </c>
      <c r="J25" s="13" t="str">
        <f>_xll.BDH("BLUE US Equity","ARD_COST_OF_PRODUCTS_SOLD","FQ1 2020","FQ1 2020","Currency=USD","Period=FQ","BEST_FPERIOD_OVERRIDE=FQ","FILING_STATUS=MR","SCALING_FORMAT=MLN","Sort=A","Dates=H","DateFormat=P","Fill=—","Direction=H","UseDPDF=Y")</f>
        <v>—</v>
      </c>
      <c r="K25" s="13" t="str">
        <f>_xll.BDH("BLUE US Equity","ARD_COST_OF_PRODUCTS_SOLD","FQ2 2020","FQ2 2020","Currency=USD","Period=FQ","BEST_FPERIOD_OVERRIDE=FQ","FILING_STATUS=MR","SCALING_FORMAT=MLN","Sort=A","Dates=H","DateFormat=P","Fill=—","Direction=H","UseDPDF=Y")</f>
        <v>—</v>
      </c>
      <c r="L25" s="13" t="str">
        <f>_xll.BDH("BLUE US Equity","ARD_COST_OF_PRODUCTS_SOLD","FQ3 2020","FQ3 2020","Currency=USD","Period=FQ","BEST_FPERIOD_OVERRIDE=FQ","FILING_STATUS=MR","SCALING_FORMAT=MLN","Sort=A","Dates=H","DateFormat=P","Fill=—","Direction=H","UseDPDF=Y")</f>
        <v>—</v>
      </c>
      <c r="M25" s="13">
        <f>_xll.BDH("BLUE US Equity","ARD_COST_OF_PRODUCTS_SOLD","FQ4 2020","FQ4 2020","Currency=USD","Period=FQ","BEST_FPERIOD_OVERRIDE=FQ","FILING_STATUS=MR","SCALING_FORMAT=MLN","Sort=A","Dates=H","DateFormat=P","Fill=—","Direction=H","UseDPDF=Y")</f>
        <v>0</v>
      </c>
      <c r="N25" s="13">
        <f>_xll.BDH("BLUE US Equity","ARD_COST_OF_PRODUCTS_SOLD","FQ1 2021","FQ1 2021","Currency=USD","Period=FQ","BEST_FPERIOD_OVERRIDE=FQ","FILING_STATUS=MR","SCALING_FORMAT=MLN","Sort=A","Dates=H","DateFormat=P","Fill=—","Direction=H","UseDPDF=Y")</f>
        <v>0.57599999999999996</v>
      </c>
      <c r="O25" s="13" t="str">
        <f>_xll.BDH("BLUE US Equity","ARD_COST_OF_PRODUCTS_SOLD","FQ2 2021","FQ2 2021","Currency=USD","Period=FQ","BEST_FPERIOD_OVERRIDE=FQ","FILING_STATUS=MR","SCALING_FORMAT=MLN","Sort=A","Dates=H","DateFormat=P","Fill=—","Direction=H","UseDPDF=Y")</f>
        <v>—</v>
      </c>
      <c r="P25" s="13">
        <f>_xll.BDH("BLUE US Equity","ARD_COST_OF_PRODUCTS_SOLD","FQ3 2021","FQ3 2021","Currency=USD","Period=FQ","BEST_FPERIOD_OVERRIDE=FQ","FILING_STATUS=MR","SCALING_FORMAT=MLN","Sort=A","Dates=H","DateFormat=P","Fill=—","Direction=H","UseDPDF=Y")</f>
        <v>19.385000000000002</v>
      </c>
      <c r="Q25" s="13">
        <f>_xll.BDH("BLUE US Equity","ARD_COST_OF_PRODUCTS_SOLD","FQ4 2021","FQ4 2021","Currency=USD","Period=FQ","BEST_FPERIOD_OVERRIDE=FQ","FILING_STATUS=MR","SCALING_FORMAT=MLN","Sort=A","Dates=H","DateFormat=P","Fill=—","Direction=H","UseDPDF=Y")</f>
        <v>3.6819999999999999</v>
      </c>
      <c r="R25" s="13">
        <f>_xll.BDH("BLUE US Equity","ARD_COST_OF_PRODUCTS_SOLD","FQ1 2022","FQ1 2022","Currency=USD","Period=FQ","BEST_FPERIOD_OVERRIDE=FQ","FILING_STATUS=MR","SCALING_FORMAT=MLN","Sort=A","Dates=H","DateFormat=P","Fill=—","Direction=H","UseDPDF=Y")</f>
        <v>8.31</v>
      </c>
      <c r="S25" s="13">
        <f>_xll.BDH("BLUE US Equity","ARD_COST_OF_PRODUCTS_SOLD","FQ2 2022","FQ2 2022","Currency=USD","Period=FQ","BEST_FPERIOD_OVERRIDE=FQ","FILING_STATUS=MR","SCALING_FORMAT=MLN","Sort=A","Dates=H","DateFormat=P","Fill=—","Direction=H","UseDPDF=Y")</f>
        <v>1.7450000000000001</v>
      </c>
      <c r="T25" s="13" t="str">
        <f>_xll.BDH("BLUE US Equity","ARD_COST_OF_PRODUCTS_SOLD","FQ3 2022","FQ3 2022","Currency=USD","Period=FQ","BEST_FPERIOD_OVERRIDE=FQ","FILING_STATUS=MR","SCALING_FORMAT=MLN","Sort=A","Dates=H","DateFormat=P","Fill=—","Direction=H","UseDPDF=Y")</f>
        <v>—</v>
      </c>
      <c r="U25" s="13">
        <f>_xll.BDH("BLUE US Equity","ARD_COST_OF_PRODUCTS_SOLD","FQ4 2022","FQ4 2022","Currency=USD","Period=FQ","BEST_FPERIOD_OVERRIDE=FQ","FILING_STATUS=MR","SCALING_FORMAT=MLN","Sort=A","Dates=H","DateFormat=P","Fill=—","Direction=H","UseDPDF=Y")</f>
        <v>2.1999999999999999E-2</v>
      </c>
      <c r="V25" s="13">
        <f>_xll.BDH("BLUE US Equity","ARD_COST_OF_PRODUCTS_SOLD","FQ1 2023","FQ1 2023","Currency=USD","Period=FQ","BEST_FPERIOD_OVERRIDE=FQ","FILING_STATUS=MR","SCALING_FORMAT=MLN","Sort=A","Dates=H","DateFormat=P","Fill=—","Direction=H","UseDPDF=Y")</f>
        <v>5.5119999999999996</v>
      </c>
      <c r="W25" s="13">
        <f>_xll.BDH("BLUE US Equity","ARD_COST_OF_PRODUCTS_SOLD","FQ2 2023","FQ2 2023","Currency=USD","Period=FQ","BEST_FPERIOD_OVERRIDE=FQ","FILING_STATUS=MR","SCALING_FORMAT=MLN","Sort=A","Dates=H","DateFormat=P","Fill=—","Direction=H","UseDPDF=Y")</f>
        <v>6.6970000000000001</v>
      </c>
      <c r="X25" s="13">
        <f>_xll.BDH("BLUE US Equity","ARD_COST_OF_PRODUCTS_SOLD","FQ3 2023","FQ3 2023","Currency=USD","Period=FQ","BEST_FPERIOD_OVERRIDE=FQ","FILING_STATUS=MR","SCALING_FORMAT=MLN","Sort=A","Dates=H","DateFormat=P","Fill=—","Direction=H","UseDPDF=Y")</f>
        <v>9.1259999999999994</v>
      </c>
      <c r="Y25" s="13">
        <f>_xll.BDH("BLUE US Equity","ARD_COST_OF_PRODUCTS_SOLD","FQ1 2024","FQ1 2024","Currency=USD","Period=FQ","BEST_FPERIOD_OVERRIDE=FQ","FILING_STATUS=MR","SCALING_FORMAT=MLN","Sort=A","Dates=H","DateFormat=P","Fill=—","Direction=H","UseDPDF=Y")</f>
        <v>25.864000000000001</v>
      </c>
      <c r="Z25" s="13">
        <f>_xll.BDH("BLUE US Equity","ARD_COST_OF_PRODUCTS_SOLD","FQ2 2024","FQ2 2024","Currency=USD","Period=FQ","BEST_FPERIOD_OVERRIDE=FQ","FILING_STATUS=MR","SCALING_FORMAT=MLN","Sort=A","Dates=H","DateFormat=P","Fill=—","Direction=H","UseDPDF=Y")</f>
        <v>28.946000000000002</v>
      </c>
      <c r="AA25" s="13">
        <f>_xll.BDH("BLUE US Equity","ARD_COST_OF_PRODUCTS_SOLD","FQ3 2024","FQ3 2024","Currency=USD","Period=FQ","BEST_FPERIOD_OVERRIDE=FQ","FILING_STATUS=MR","SCALING_FORMAT=MLN","Sort=A","Dates=H","DateFormat=P","Fill=—","Direction=H","UseDPDF=Y")</f>
        <v>11.781000000000001</v>
      </c>
    </row>
    <row r="26" spans="1:27" x14ac:dyDescent="0.25">
      <c r="A26" s="10" t="s">
        <v>419</v>
      </c>
      <c r="B26" s="10" t="s">
        <v>420</v>
      </c>
      <c r="C26" s="13" t="str">
        <f>_xll.BDH("BLUE US Equity","ARD_OTH_OPERATING_INC_EXP_NET","FQ2 2018","FQ2 2018","Currency=USD","Period=FQ","BEST_FPERIOD_OVERRIDE=FQ","FILING_STATUS=MR","SCALING_FORMAT=MLN","Sort=A","Dates=H","DateFormat=P","Fill=—","Direction=H","UseDPDF=Y")</f>
        <v>—</v>
      </c>
      <c r="D26" s="13" t="str">
        <f>_xll.BDH("BLUE US Equity","ARD_OTH_OPERATING_INC_EXP_NET","FQ3 2018","FQ3 2018","Currency=USD","Period=FQ","BEST_FPERIOD_OVERRIDE=FQ","FILING_STATUS=MR","SCALING_FORMAT=MLN","Sort=A","Dates=H","DateFormat=P","Fill=—","Direction=H","UseDPDF=Y")</f>
        <v>—</v>
      </c>
      <c r="E26" s="13" t="str">
        <f>_xll.BDH("BLUE US Equity","ARD_OTH_OPERATING_INC_EXP_NET","FQ4 2018","FQ4 2018","Currency=USD","Period=FQ","BEST_FPERIOD_OVERRIDE=FQ","FILING_STATUS=MR","SCALING_FORMAT=MLN","Sort=A","Dates=H","DateFormat=P","Fill=—","Direction=H","UseDPDF=Y")</f>
        <v>—</v>
      </c>
      <c r="F26" s="13" t="str">
        <f>_xll.BDH("BLUE US Equity","ARD_OTH_OPERATING_INC_EXP_NET","FQ1 2019","FQ1 2019","Currency=USD","Period=FQ","BEST_FPERIOD_OVERRIDE=FQ","FILING_STATUS=MR","SCALING_FORMAT=MLN","Sort=A","Dates=H","DateFormat=P","Fill=—","Direction=H","UseDPDF=Y")</f>
        <v>—</v>
      </c>
      <c r="G26" s="13" t="str">
        <f>_xll.BDH("BLUE US Equity","ARD_OTH_OPERATING_INC_EXP_NET","FQ2 2019","FQ2 2019","Currency=USD","Period=FQ","BEST_FPERIOD_OVERRIDE=FQ","FILING_STATUS=MR","SCALING_FORMAT=MLN","Sort=A","Dates=H","DateFormat=P","Fill=—","Direction=H","UseDPDF=Y")</f>
        <v>—</v>
      </c>
      <c r="H26" s="13" t="str">
        <f>_xll.BDH("BLUE US Equity","ARD_OTH_OPERATING_INC_EXP_NET","FQ3 2019","FQ3 2019","Currency=USD","Period=FQ","BEST_FPERIOD_OVERRIDE=FQ","FILING_STATUS=MR","SCALING_FORMAT=MLN","Sort=A","Dates=H","DateFormat=P","Fill=—","Direction=H","UseDPDF=Y")</f>
        <v>—</v>
      </c>
      <c r="I26" s="13" t="str">
        <f>_xll.BDH("BLUE US Equity","ARD_OTH_OPERATING_INC_EXP_NET","FQ4 2019","FQ4 2019","Currency=USD","Period=FQ","BEST_FPERIOD_OVERRIDE=FQ","FILING_STATUS=MR","SCALING_FORMAT=MLN","Sort=A","Dates=H","DateFormat=P","Fill=—","Direction=H","UseDPDF=Y")</f>
        <v>—</v>
      </c>
      <c r="J26" s="13" t="str">
        <f>_xll.BDH("BLUE US Equity","ARD_OTH_OPERATING_INC_EXP_NET","FQ1 2020","FQ1 2020","Currency=USD","Period=FQ","BEST_FPERIOD_OVERRIDE=FQ","FILING_STATUS=MR","SCALING_FORMAT=MLN","Sort=A","Dates=H","DateFormat=P","Fill=—","Direction=H","UseDPDF=Y")</f>
        <v>—</v>
      </c>
      <c r="K26" s="13" t="str">
        <f>_xll.BDH("BLUE US Equity","ARD_OTH_OPERATING_INC_EXP_NET","FQ2 2020","FQ2 2020","Currency=USD","Period=FQ","BEST_FPERIOD_OVERRIDE=FQ","FILING_STATUS=MR","SCALING_FORMAT=MLN","Sort=A","Dates=H","DateFormat=P","Fill=—","Direction=H","UseDPDF=Y")</f>
        <v>—</v>
      </c>
      <c r="L26" s="13" t="str">
        <f>_xll.BDH("BLUE US Equity","ARD_OTH_OPERATING_INC_EXP_NET","FQ3 2020","FQ3 2020","Currency=USD","Period=FQ","BEST_FPERIOD_OVERRIDE=FQ","FILING_STATUS=MR","SCALING_FORMAT=MLN","Sort=A","Dates=H","DateFormat=P","Fill=—","Direction=H","UseDPDF=Y")</f>
        <v>—</v>
      </c>
      <c r="M26" s="13" t="str">
        <f>_xll.BDH("BLUE US Equity","ARD_OTH_OPERATING_INC_EXP_NET","FQ4 2020","FQ4 2020","Currency=USD","Period=FQ","BEST_FPERIOD_OVERRIDE=FQ","FILING_STATUS=MR","SCALING_FORMAT=MLN","Sort=A","Dates=H","DateFormat=P","Fill=—","Direction=H","UseDPDF=Y")</f>
        <v>—</v>
      </c>
      <c r="N26" s="13" t="str">
        <f>_xll.BDH("BLUE US Equity","ARD_OTH_OPERATING_INC_EXP_NET","FQ1 2021","FQ1 2021","Currency=USD","Period=FQ","BEST_FPERIOD_OVERRIDE=FQ","FILING_STATUS=MR","SCALING_FORMAT=MLN","Sort=A","Dates=H","DateFormat=P","Fill=—","Direction=H","UseDPDF=Y")</f>
        <v>—</v>
      </c>
      <c r="O26" s="13">
        <f>_xll.BDH("BLUE US Equity","ARD_OTH_OPERATING_INC_EXP_NET","FQ2 2021","FQ2 2021","Currency=USD","Period=FQ","BEST_FPERIOD_OVERRIDE=FQ","FILING_STATUS=MR","SCALING_FORMAT=MLN","Sort=A","Dates=H","DateFormat=P","Fill=—","Direction=H","UseDPDF=Y")</f>
        <v>10.071</v>
      </c>
      <c r="P26" s="13" t="str">
        <f>_xll.BDH("BLUE US Equity","ARD_OTH_OPERATING_INC_EXP_NET","FQ3 2021","FQ3 2021","Currency=USD","Period=FQ","BEST_FPERIOD_OVERRIDE=FQ","FILING_STATUS=MR","SCALING_FORMAT=MLN","Sort=A","Dates=H","DateFormat=P","Fill=—","Direction=H","UseDPDF=Y")</f>
        <v>—</v>
      </c>
      <c r="Q26" s="13" t="str">
        <f>_xll.BDH("BLUE US Equity","ARD_OTH_OPERATING_INC_EXP_NET","FQ4 2021","FQ4 2021","Currency=USD","Period=FQ","BEST_FPERIOD_OVERRIDE=FQ","FILING_STATUS=MR","SCALING_FORMAT=MLN","Sort=A","Dates=H","DateFormat=P","Fill=—","Direction=H","UseDPDF=Y")</f>
        <v>—</v>
      </c>
      <c r="R26" s="13" t="str">
        <f>_xll.BDH("BLUE US Equity","ARD_OTH_OPERATING_INC_EXP_NET","FQ1 2022","FQ1 2022","Currency=USD","Period=FQ","BEST_FPERIOD_OVERRIDE=FQ","FILING_STATUS=MR","SCALING_FORMAT=MLN","Sort=A","Dates=H","DateFormat=P","Fill=—","Direction=H","UseDPDF=Y")</f>
        <v>—</v>
      </c>
      <c r="S26" s="13" t="str">
        <f>_xll.BDH("BLUE US Equity","ARD_OTH_OPERATING_INC_EXP_NET","FQ2 2022","FQ2 2022","Currency=USD","Period=FQ","BEST_FPERIOD_OVERRIDE=FQ","FILING_STATUS=MR","SCALING_FORMAT=MLN","Sort=A","Dates=H","DateFormat=P","Fill=—","Direction=H","UseDPDF=Y")</f>
        <v>—</v>
      </c>
      <c r="T26" s="13" t="str">
        <f>_xll.BDH("BLUE US Equity","ARD_OTH_OPERATING_INC_EXP_NET","FQ3 2022","FQ3 2022","Currency=USD","Period=FQ","BEST_FPERIOD_OVERRIDE=FQ","FILING_STATUS=MR","SCALING_FORMAT=MLN","Sort=A","Dates=H","DateFormat=P","Fill=—","Direction=H","UseDPDF=Y")</f>
        <v>—</v>
      </c>
      <c r="U26" s="13" t="str">
        <f>_xll.BDH("BLUE US Equity","ARD_OTH_OPERATING_INC_EXP_NET","FQ4 2022","FQ4 2022","Currency=USD","Period=FQ","BEST_FPERIOD_OVERRIDE=FQ","FILING_STATUS=MR","SCALING_FORMAT=MLN","Sort=A","Dates=H","DateFormat=P","Fill=—","Direction=H","UseDPDF=Y")</f>
        <v>—</v>
      </c>
      <c r="V26" s="13" t="str">
        <f>_xll.BDH("BLUE US Equity","ARD_OTH_OPERATING_INC_EXP_NET","FQ1 2023","FQ1 2023","Currency=USD","Period=FQ","BEST_FPERIOD_OVERRIDE=FQ","FILING_STATUS=MR","SCALING_FORMAT=MLN","Sort=A","Dates=H","DateFormat=P","Fill=—","Direction=H","UseDPDF=Y")</f>
        <v>—</v>
      </c>
      <c r="W26" s="13" t="str">
        <f>_xll.BDH("BLUE US Equity","ARD_OTH_OPERATING_INC_EXP_NET","FQ2 2023","FQ2 2023","Currency=USD","Period=FQ","BEST_FPERIOD_OVERRIDE=FQ","FILING_STATUS=MR","SCALING_FORMAT=MLN","Sort=A","Dates=H","DateFormat=P","Fill=—","Direction=H","UseDPDF=Y")</f>
        <v>—</v>
      </c>
      <c r="X26" s="13" t="str">
        <f>_xll.BDH("BLUE US Equity","ARD_OTH_OPERATING_INC_EXP_NET","FQ3 2023","FQ3 2023","Currency=USD","Period=FQ","BEST_FPERIOD_OVERRIDE=FQ","FILING_STATUS=MR","SCALING_FORMAT=MLN","Sort=A","Dates=H","DateFormat=P","Fill=—","Direction=H","UseDPDF=Y")</f>
        <v>—</v>
      </c>
      <c r="Y26" s="13" t="str">
        <f>_xll.BDH("BLUE US Equity","ARD_OTH_OPERATING_INC_EXP_NET","FQ1 2024","FQ1 2024","Currency=USD","Period=FQ","BEST_FPERIOD_OVERRIDE=FQ","FILING_STATUS=MR","SCALING_FORMAT=MLN","Sort=A","Dates=H","DateFormat=P","Fill=—","Direction=H","UseDPDF=Y")</f>
        <v>—</v>
      </c>
      <c r="Z26" s="13" t="str">
        <f>_xll.BDH("BLUE US Equity","ARD_OTH_OPERATING_INC_EXP_NET","FQ2 2024","FQ2 2024","Currency=USD","Period=FQ","BEST_FPERIOD_OVERRIDE=FQ","FILING_STATUS=MR","SCALING_FORMAT=MLN","Sort=A","Dates=H","DateFormat=P","Fill=—","Direction=H","UseDPDF=Y")</f>
        <v>—</v>
      </c>
      <c r="AA26" s="13" t="str">
        <f>_xll.BDH("BLUE US Equity","ARD_OTH_OPERATING_INC_EXP_NET","FQ3 2024","FQ3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421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422</v>
      </c>
      <c r="B28" s="10" t="s">
        <v>423</v>
      </c>
      <c r="C28" s="13" t="str">
        <f>_xll.BDH("BLUE US Equity","ARD_INT_EXP","FQ2 2018","FQ2 2018","Currency=USD","Period=FQ","BEST_FPERIOD_OVERRIDE=FQ","FILING_STATUS=MR","SCALING_FORMAT=MLN","Sort=A","Dates=H","DateFormat=P","Fill=—","Direction=H","UseDPDF=Y")</f>
        <v>—</v>
      </c>
      <c r="D28" s="13" t="str">
        <f>_xll.BDH("BLUE US Equity","ARD_INT_EXP","FQ3 2018","FQ3 2018","Currency=USD","Period=FQ","BEST_FPERIOD_OVERRIDE=FQ","FILING_STATUS=MR","SCALING_FORMAT=MLN","Sort=A","Dates=H","DateFormat=P","Fill=—","Direction=H","UseDPDF=Y")</f>
        <v>—</v>
      </c>
      <c r="E28" s="13" t="str">
        <f>_xll.BDH("BLUE US Equity","ARD_INT_EXP","FQ4 2018","FQ4 2018","Currency=USD","Period=FQ","BEST_FPERIOD_OVERRIDE=FQ","FILING_STATUS=MR","SCALING_FORMAT=MLN","Sort=A","Dates=H","DateFormat=P","Fill=—","Direction=H","UseDPDF=Y")</f>
        <v>—</v>
      </c>
      <c r="F28" s="13" t="str">
        <f>_xll.BDH("BLUE US Equity","ARD_INT_EXP","FQ1 2019","FQ1 2019","Currency=USD","Period=FQ","BEST_FPERIOD_OVERRIDE=FQ","FILING_STATUS=MR","SCALING_FORMAT=MLN","Sort=A","Dates=H","DateFormat=P","Fill=—","Direction=H","UseDPDF=Y")</f>
        <v>—</v>
      </c>
      <c r="G28" s="13" t="str">
        <f>_xll.BDH("BLUE US Equity","ARD_INT_EXP","FQ2 2019","FQ2 2019","Currency=USD","Period=FQ","BEST_FPERIOD_OVERRIDE=FQ","FILING_STATUS=MR","SCALING_FORMAT=MLN","Sort=A","Dates=H","DateFormat=P","Fill=—","Direction=H","UseDPDF=Y")</f>
        <v>—</v>
      </c>
      <c r="H28" s="13" t="str">
        <f>_xll.BDH("BLUE US Equity","ARD_INT_EXP","FQ3 2019","FQ3 2019","Currency=USD","Period=FQ","BEST_FPERIOD_OVERRIDE=FQ","FILING_STATUS=MR","SCALING_FORMAT=MLN","Sort=A","Dates=H","DateFormat=P","Fill=—","Direction=H","UseDPDF=Y")</f>
        <v>—</v>
      </c>
      <c r="I28" s="13" t="str">
        <f>_xll.BDH("BLUE US Equity","ARD_INT_EXP","FQ4 2019","FQ4 2019","Currency=USD","Period=FQ","BEST_FPERIOD_OVERRIDE=FQ","FILING_STATUS=MR","SCALING_FORMAT=MLN","Sort=A","Dates=H","DateFormat=P","Fill=—","Direction=H","UseDPDF=Y")</f>
        <v>—</v>
      </c>
      <c r="J28" s="13" t="str">
        <f>_xll.BDH("BLUE US Equity","ARD_INT_EXP","FQ1 2020","FQ1 2020","Currency=USD","Period=FQ","BEST_FPERIOD_OVERRIDE=FQ","FILING_STATUS=MR","SCALING_FORMAT=MLN","Sort=A","Dates=H","DateFormat=P","Fill=—","Direction=H","UseDPDF=Y")</f>
        <v>—</v>
      </c>
      <c r="K28" s="13" t="str">
        <f>_xll.BDH("BLUE US Equity","ARD_INT_EXP","FQ2 2020","FQ2 2020","Currency=USD","Period=FQ","BEST_FPERIOD_OVERRIDE=FQ","FILING_STATUS=MR","SCALING_FORMAT=MLN","Sort=A","Dates=H","DateFormat=P","Fill=—","Direction=H","UseDPDF=Y")</f>
        <v>—</v>
      </c>
      <c r="L28" s="13" t="str">
        <f>_xll.BDH("BLUE US Equity","ARD_INT_EXP","FQ3 2020","FQ3 2020","Currency=USD","Period=FQ","BEST_FPERIOD_OVERRIDE=FQ","FILING_STATUS=MR","SCALING_FORMAT=MLN","Sort=A","Dates=H","DateFormat=P","Fill=—","Direction=H","UseDPDF=Y")</f>
        <v>—</v>
      </c>
      <c r="M28" s="13" t="str">
        <f>_xll.BDH("BLUE US Equity","ARD_INT_EXP","FQ4 2020","FQ4 2020","Currency=USD","Period=FQ","BEST_FPERIOD_OVERRIDE=FQ","FILING_STATUS=MR","SCALING_FORMAT=MLN","Sort=A","Dates=H","DateFormat=P","Fill=—","Direction=H","UseDPDF=Y")</f>
        <v>—</v>
      </c>
      <c r="N28" s="13" t="str">
        <f>_xll.BDH("BLUE US Equity","ARD_INT_EXP","FQ1 2021","FQ1 2021","Currency=USD","Period=FQ","BEST_FPERIOD_OVERRIDE=FQ","FILING_STATUS=MR","SCALING_FORMAT=MLN","Sort=A","Dates=H","DateFormat=P","Fill=—","Direction=H","UseDPDF=Y")</f>
        <v>—</v>
      </c>
      <c r="O28" s="13" t="str">
        <f>_xll.BDH("BLUE US Equity","ARD_INT_EXP","FQ2 2021","FQ2 2021","Currency=USD","Period=FQ","BEST_FPERIOD_OVERRIDE=FQ","FILING_STATUS=MR","SCALING_FORMAT=MLN","Sort=A","Dates=H","DateFormat=P","Fill=—","Direction=H","UseDPDF=Y")</f>
        <v>—</v>
      </c>
      <c r="P28" s="13" t="str">
        <f>_xll.BDH("BLUE US Equity","ARD_INT_EXP","FQ3 2021","FQ3 2021","Currency=USD","Period=FQ","BEST_FPERIOD_OVERRIDE=FQ","FILING_STATUS=MR","SCALING_FORMAT=MLN","Sort=A","Dates=H","DateFormat=P","Fill=—","Direction=H","UseDPDF=Y")</f>
        <v>—</v>
      </c>
      <c r="Q28" s="13" t="str">
        <f>_xll.BDH("BLUE US Equity","ARD_INT_EXP","FQ4 2021","FQ4 2021","Currency=USD","Period=FQ","BEST_FPERIOD_OVERRIDE=FQ","FILING_STATUS=MR","SCALING_FORMAT=MLN","Sort=A","Dates=H","DateFormat=P","Fill=—","Direction=H","UseDPDF=Y")</f>
        <v>—</v>
      </c>
      <c r="R28" s="13" t="str">
        <f>_xll.BDH("BLUE US Equity","ARD_INT_EXP","FQ1 2022","FQ1 2022","Currency=USD","Period=FQ","BEST_FPERIOD_OVERRIDE=FQ","FILING_STATUS=MR","SCALING_FORMAT=MLN","Sort=A","Dates=H","DateFormat=P","Fill=—","Direction=H","UseDPDF=Y")</f>
        <v>—</v>
      </c>
      <c r="S28" s="13" t="str">
        <f>_xll.BDH("BLUE US Equity","ARD_INT_EXP","FQ2 2022","FQ2 2022","Currency=USD","Period=FQ","BEST_FPERIOD_OVERRIDE=FQ","FILING_STATUS=MR","SCALING_FORMAT=MLN","Sort=A","Dates=H","DateFormat=P","Fill=—","Direction=H","UseDPDF=Y")</f>
        <v>—</v>
      </c>
      <c r="T28" s="13" t="str">
        <f>_xll.BDH("BLUE US Equity","ARD_INT_EXP","FQ3 2022","FQ3 2022","Currency=USD","Period=FQ","BEST_FPERIOD_OVERRIDE=FQ","FILING_STATUS=MR","SCALING_FORMAT=MLN","Sort=A","Dates=H","DateFormat=P","Fill=—","Direction=H","UseDPDF=Y")</f>
        <v>—</v>
      </c>
      <c r="U28" s="13" t="str">
        <f>_xll.BDH("BLUE US Equity","ARD_INT_EXP","FQ4 2022","FQ4 2022","Currency=USD","Period=FQ","BEST_FPERIOD_OVERRIDE=FQ","FILING_STATUS=MR","SCALING_FORMAT=MLN","Sort=A","Dates=H","DateFormat=P","Fill=—","Direction=H","UseDPDF=Y")</f>
        <v>—</v>
      </c>
      <c r="V28" s="13">
        <f>_xll.BDH("BLUE US Equity","ARD_INT_EXP","FQ1 2023","FQ1 2023","Currency=USD","Period=FQ","BEST_FPERIOD_OVERRIDE=FQ","FILING_STATUS=MR","SCALING_FORMAT=MLN","Sort=A","Dates=H","DateFormat=P","Fill=—","Direction=H","UseDPDF=Y")</f>
        <v>4.2699999999999996</v>
      </c>
      <c r="W28" s="13">
        <f>_xll.BDH("BLUE US Equity","ARD_INT_EXP","FQ2 2023","FQ2 2023","Currency=USD","Period=FQ","BEST_FPERIOD_OVERRIDE=FQ","FILING_STATUS=MR","SCALING_FORMAT=MLN","Sort=A","Dates=H","DateFormat=P","Fill=—","Direction=H","UseDPDF=Y")</f>
        <v>3.75</v>
      </c>
      <c r="X28" s="13">
        <f>_xll.BDH("BLUE US Equity","ARD_INT_EXP","FQ3 2023","FQ3 2023","Currency=USD","Period=FQ","BEST_FPERIOD_OVERRIDE=FQ","FILING_STATUS=MR","SCALING_FORMAT=MLN","Sort=A","Dates=H","DateFormat=P","Fill=—","Direction=H","UseDPDF=Y")</f>
        <v>4.3109999999999999</v>
      </c>
      <c r="Y28" s="13">
        <f>_xll.BDH("BLUE US Equity","ARD_INT_EXP","FQ1 2024","FQ1 2024","Currency=USD","Period=FQ","BEST_FPERIOD_OVERRIDE=FQ","FILING_STATUS=MR","SCALING_FORMAT=MLN","Sort=A","Dates=H","DateFormat=P","Fill=—","Direction=H","UseDPDF=Y")</f>
        <v>4.8559999999999999</v>
      </c>
      <c r="Z28" s="13">
        <f>_xll.BDH("BLUE US Equity","ARD_INT_EXP","FQ2 2024","FQ2 2024","Currency=USD","Period=FQ","BEST_FPERIOD_OVERRIDE=FQ","FILING_STATUS=MR","SCALING_FORMAT=MLN","Sort=A","Dates=H","DateFormat=P","Fill=—","Direction=H","UseDPDF=Y")</f>
        <v>5.4530000000000003</v>
      </c>
      <c r="AA28" s="13">
        <f>_xll.BDH("BLUE US Equity","ARD_INT_EXP","FQ3 2024","FQ3 2024","Currency=USD","Period=FQ","BEST_FPERIOD_OVERRIDE=FQ","FILING_STATUS=MR","SCALING_FORMAT=MLN","Sort=A","Dates=H","DateFormat=P","Fill=—","Direction=H","UseDPDF=Y")</f>
        <v>5.7779999999999996</v>
      </c>
    </row>
    <row r="29" spans="1:27" x14ac:dyDescent="0.25">
      <c r="A29" s="10" t="s">
        <v>424</v>
      </c>
      <c r="B29" s="10" t="s">
        <v>425</v>
      </c>
      <c r="C29" s="13">
        <f>_xll.BDH("BLUE US Equity","ARD_INT_INCOME","FQ2 2018","FQ2 2018","Currency=USD","Period=FQ","BEST_FPERIOD_OVERRIDE=FQ","FILING_STATUS=MR","SCALING_FORMAT=MLN","Sort=A","Dates=H","DateFormat=P","Fill=—","Direction=H","UseDPDF=Y")</f>
        <v>-2.4359999999999999</v>
      </c>
      <c r="D29" s="13">
        <f>_xll.BDH("BLUE US Equity","ARD_INT_INCOME","FQ3 2018","FQ3 2018","Currency=USD","Period=FQ","BEST_FPERIOD_OVERRIDE=FQ","FILING_STATUS=MR","SCALING_FORMAT=MLN","Sort=A","Dates=H","DateFormat=P","Fill=—","Direction=H","UseDPDF=Y")</f>
        <v>-4.5910000000000002</v>
      </c>
      <c r="E29" s="13">
        <f>_xll.BDH("BLUE US Equity","ARD_INT_INCOME","FQ4 2018","FQ4 2018","Currency=USD","Period=FQ","BEST_FPERIOD_OVERRIDE=FQ","FILING_STATUS=MR","SCALING_FORMAT=MLN","Sort=A","Dates=H","DateFormat=P","Fill=—","Direction=H","UseDPDF=Y")</f>
        <v>-6.2089999999999996</v>
      </c>
      <c r="F29" s="13">
        <f>_xll.BDH("BLUE US Equity","ARD_INT_INCOME","FQ1 2019","FQ1 2019","Currency=USD","Period=FQ","BEST_FPERIOD_OVERRIDE=FQ","FILING_STATUS=MR","SCALING_FORMAT=MLN","Sort=A","Dates=H","DateFormat=P","Fill=—","Direction=H","UseDPDF=Y")</f>
        <v>-10.102</v>
      </c>
      <c r="G29" s="13">
        <f>_xll.BDH("BLUE US Equity","ARD_INT_INCOME","FQ2 2019","FQ2 2019","Currency=USD","Period=FQ","BEST_FPERIOD_OVERRIDE=FQ","FILING_STATUS=MR","SCALING_FORMAT=MLN","Sort=A","Dates=H","DateFormat=P","Fill=—","Direction=H","UseDPDF=Y")</f>
        <v>-9.3870000000000005</v>
      </c>
      <c r="H29" s="13">
        <f>_xll.BDH("BLUE US Equity","ARD_INT_INCOME","FQ3 2019","FQ3 2019","Currency=USD","Period=FQ","BEST_FPERIOD_OVERRIDE=FQ","FILING_STATUS=MR","SCALING_FORMAT=MLN","Sort=A","Dates=H","DateFormat=P","Fill=—","Direction=H","UseDPDF=Y")</f>
        <v>-8.4169999999999998</v>
      </c>
      <c r="I29" s="13">
        <f>_xll.BDH("BLUE US Equity","ARD_INT_INCOME","FQ4 2019","FQ4 2019","Currency=USD","Period=FQ","BEST_FPERIOD_OVERRIDE=FQ","FILING_STATUS=MR","SCALING_FORMAT=MLN","Sort=A","Dates=H","DateFormat=P","Fill=—","Direction=H","UseDPDF=Y")</f>
        <v>-6.8550000000000004</v>
      </c>
      <c r="J29" s="13">
        <f>_xll.BDH("BLUE US Equity","ARD_INT_INCOME","FQ1 2020","FQ1 2020","Currency=USD","Period=FQ","BEST_FPERIOD_OVERRIDE=FQ","FILING_STATUS=MR","SCALING_FORMAT=MLN","Sort=A","Dates=H","DateFormat=P","Fill=—","Direction=H","UseDPDF=Y")</f>
        <v>-5.3550000000000004</v>
      </c>
      <c r="K29" s="13">
        <f>_xll.BDH("BLUE US Equity","ARD_INT_INCOME","FQ2 2020","FQ2 2020","Currency=USD","Period=FQ","BEST_FPERIOD_OVERRIDE=FQ","FILING_STATUS=MR","SCALING_FORMAT=MLN","Sort=A","Dates=H","DateFormat=P","Fill=—","Direction=H","UseDPDF=Y")</f>
        <v>-2.9390000000000001</v>
      </c>
      <c r="L29" s="13">
        <f>_xll.BDH("BLUE US Equity","ARD_INT_INCOME","FQ3 2020","FQ3 2020","Currency=USD","Period=FQ","BEST_FPERIOD_OVERRIDE=FQ","FILING_STATUS=MR","SCALING_FORMAT=MLN","Sort=A","Dates=H","DateFormat=P","Fill=—","Direction=H","UseDPDF=Y")</f>
        <v>-1.964</v>
      </c>
      <c r="M29" s="13">
        <f>_xll.BDH("BLUE US Equity","ARD_INT_INCOME","FQ4 2020","FQ4 2020","Currency=USD","Period=FQ","BEST_FPERIOD_OVERRIDE=FQ","FILING_STATUS=MR","SCALING_FORMAT=MLN","Sort=A","Dates=H","DateFormat=P","Fill=—","Direction=H","UseDPDF=Y")</f>
        <v>-0.64100000000000001</v>
      </c>
      <c r="N29" s="13">
        <f>_xll.BDH("BLUE US Equity","ARD_INT_INCOME","FQ1 2021","FQ1 2021","Currency=USD","Period=FQ","BEST_FPERIOD_OVERRIDE=FQ","FILING_STATUS=MR","SCALING_FORMAT=MLN","Sort=A","Dates=H","DateFormat=P","Fill=—","Direction=H","UseDPDF=Y")</f>
        <v>-0.35499999999999998</v>
      </c>
      <c r="O29" s="13">
        <f>_xll.BDH("BLUE US Equity","ARD_INT_INCOME","FQ2 2021","FQ2 2021","Currency=USD","Period=FQ","BEST_FPERIOD_OVERRIDE=FQ","FILING_STATUS=MR","SCALING_FORMAT=MLN","Sort=A","Dates=H","DateFormat=P","Fill=—","Direction=H","UseDPDF=Y")</f>
        <v>-0.439</v>
      </c>
      <c r="P29" s="13">
        <f>_xll.BDH("BLUE US Equity","ARD_INT_INCOME","FQ3 2021","FQ3 2021","Currency=USD","Period=FQ","BEST_FPERIOD_OVERRIDE=FQ","FILING_STATUS=MR","SCALING_FORMAT=MLN","Sort=A","Dates=H","DateFormat=P","Fill=—","Direction=H","UseDPDF=Y")</f>
        <v>-0.16</v>
      </c>
      <c r="Q29" s="13">
        <f>_xll.BDH("BLUE US Equity","ARD_INT_INCOME","FQ4 2021","FQ4 2021","Currency=USD","Period=FQ","BEST_FPERIOD_OVERRIDE=FQ","FILING_STATUS=MR","SCALING_FORMAT=MLN","Sort=A","Dates=H","DateFormat=P","Fill=—","Direction=H","UseDPDF=Y")</f>
        <v>-0.14599999999999999</v>
      </c>
      <c r="R29" s="13">
        <f>_xll.BDH("BLUE US Equity","ARD_INT_INCOME","FQ1 2022","FQ1 2022","Currency=USD","Period=FQ","BEST_FPERIOD_OVERRIDE=FQ","FILING_STATUS=MR","SCALING_FORMAT=MLN","Sort=A","Dates=H","DateFormat=P","Fill=—","Direction=H","UseDPDF=Y")</f>
        <v>-0.106</v>
      </c>
      <c r="S29" s="13">
        <f>_xll.BDH("BLUE US Equity","ARD_INT_INCOME","FQ2 2022","FQ2 2022","Currency=USD","Period=FQ","BEST_FPERIOD_OVERRIDE=FQ","FILING_STATUS=MR","SCALING_FORMAT=MLN","Sort=A","Dates=H","DateFormat=P","Fill=—","Direction=H","UseDPDF=Y")</f>
        <v>-0.17399999999999999</v>
      </c>
      <c r="T29" s="13">
        <f>_xll.BDH("BLUE US Equity","ARD_INT_INCOME","FQ3 2022","FQ3 2022","Currency=USD","Period=FQ","BEST_FPERIOD_OVERRIDE=FQ","FILING_STATUS=MR","SCALING_FORMAT=MLN","Sort=A","Dates=H","DateFormat=P","Fill=—","Direction=H","UseDPDF=Y")</f>
        <v>-0.38300000000000001</v>
      </c>
      <c r="U29" s="13">
        <f>_xll.BDH("BLUE US Equity","ARD_INT_INCOME","FQ4 2022","FQ4 2022","Currency=USD","Period=FQ","BEST_FPERIOD_OVERRIDE=FQ","FILING_STATUS=MR","SCALING_FORMAT=MLN","Sort=A","Dates=H","DateFormat=P","Fill=—","Direction=H","UseDPDF=Y")</f>
        <v>-0.36899999999999999</v>
      </c>
      <c r="V29" s="13">
        <f>_xll.BDH("BLUE US Equity","ARD_INT_INCOME","FQ1 2023","FQ1 2023","Currency=USD","Period=FQ","BEST_FPERIOD_OVERRIDE=FQ","FILING_STATUS=MR","SCALING_FORMAT=MLN","Sort=A","Dates=H","DateFormat=P","Fill=—","Direction=H","UseDPDF=Y")</f>
        <v>-2.8279999999999998</v>
      </c>
      <c r="W29" s="13">
        <f>_xll.BDH("BLUE US Equity","ARD_INT_INCOME","FQ2 2023","FQ2 2023","Currency=USD","Period=FQ","BEST_FPERIOD_OVERRIDE=FQ","FILING_STATUS=MR","SCALING_FORMAT=MLN","Sort=A","Dates=H","DateFormat=P","Fill=—","Direction=H","UseDPDF=Y")</f>
        <v>-2.6789999999999998</v>
      </c>
      <c r="X29" s="13">
        <f>_xll.BDH("BLUE US Equity","ARD_INT_INCOME","FQ3 2023","FQ3 2023","Currency=USD","Period=FQ","BEST_FPERIOD_OVERRIDE=FQ","FILING_STATUS=MR","SCALING_FORMAT=MLN","Sort=A","Dates=H","DateFormat=P","Fill=—","Direction=H","UseDPDF=Y")</f>
        <v>-2.4540000000000002</v>
      </c>
      <c r="Y29" s="13">
        <f>_xll.BDH("BLUE US Equity","ARD_INT_INCOME","FQ1 2024","FQ1 2024","Currency=USD","Period=FQ","BEST_FPERIOD_OVERRIDE=FQ","FILING_STATUS=MR","SCALING_FORMAT=MLN","Sort=A","Dates=H","DateFormat=P","Fill=—","Direction=H","UseDPDF=Y")</f>
        <v>-2.5790000000000002</v>
      </c>
      <c r="Z29" s="13">
        <f>_xll.BDH("BLUE US Equity","ARD_INT_INCOME","FQ2 2024","FQ2 2024","Currency=USD","Period=FQ","BEST_FPERIOD_OVERRIDE=FQ","FILING_STATUS=MR","SCALING_FORMAT=MLN","Sort=A","Dates=H","DateFormat=P","Fill=—","Direction=H","UseDPDF=Y")</f>
        <v>-2.8370000000000002</v>
      </c>
      <c r="AA29" s="13">
        <f>_xll.BDH("BLUE US Equity","ARD_INT_INCOME","FQ3 2024","FQ3 2024","Currency=USD","Period=FQ","BEST_FPERIOD_OVERRIDE=FQ","FILING_STATUS=MR","SCALING_FORMAT=MLN","Sort=A","Dates=H","DateFormat=P","Fill=—","Direction=H","UseDPDF=Y")</f>
        <v>-1.64</v>
      </c>
    </row>
    <row r="30" spans="1:27" x14ac:dyDescent="0.25">
      <c r="A30" s="10" t="s">
        <v>426</v>
      </c>
      <c r="B30" s="10" t="s">
        <v>427</v>
      </c>
      <c r="C30" s="13" t="str">
        <f>_xll.BDH("BLUE US Equity","ARD_INTEREST_INCOME_NET","FQ2 2018","FQ2 2018","Currency=USD","Period=FQ","BEST_FPERIOD_OVERRIDE=FQ","FILING_STATUS=MR","SCALING_FORMAT=MLN","Sort=A","Dates=H","DateFormat=P","Fill=—","Direction=H","UseDPDF=Y")</f>
        <v>—</v>
      </c>
      <c r="D30" s="13" t="str">
        <f>_xll.BDH("BLUE US Equity","ARD_INTEREST_INCOME_NET","FQ3 2018","FQ3 2018","Currency=USD","Period=FQ","BEST_FPERIOD_OVERRIDE=FQ","FILING_STATUS=MR","SCALING_FORMAT=MLN","Sort=A","Dates=H","DateFormat=P","Fill=—","Direction=H","UseDPDF=Y")</f>
        <v>—</v>
      </c>
      <c r="E30" s="13" t="str">
        <f>_xll.BDH("BLUE US Equity","ARD_INTEREST_INCOME_NET","FQ4 2018","FQ4 2018","Currency=USD","Period=FQ","BEST_FPERIOD_OVERRIDE=FQ","FILING_STATUS=MR","SCALING_FORMAT=MLN","Sort=A","Dates=H","DateFormat=P","Fill=—","Direction=H","UseDPDF=Y")</f>
        <v>—</v>
      </c>
      <c r="F30" s="13" t="str">
        <f>_xll.BDH("BLUE US Equity","ARD_INTEREST_INCOME_NET","FQ1 2019","FQ1 2019","Currency=USD","Period=FQ","BEST_FPERIOD_OVERRIDE=FQ","FILING_STATUS=MR","SCALING_FORMAT=MLN","Sort=A","Dates=H","DateFormat=P","Fill=—","Direction=H","UseDPDF=Y")</f>
        <v>—</v>
      </c>
      <c r="G30" s="13" t="str">
        <f>_xll.BDH("BLUE US Equity","ARD_INTEREST_INCOME_NET","FQ2 2019","FQ2 2019","Currency=USD","Period=FQ","BEST_FPERIOD_OVERRIDE=FQ","FILING_STATUS=MR","SCALING_FORMAT=MLN","Sort=A","Dates=H","DateFormat=P","Fill=—","Direction=H","UseDPDF=Y")</f>
        <v>—</v>
      </c>
      <c r="H30" s="13" t="str">
        <f>_xll.BDH("BLUE US Equity","ARD_INTEREST_INCOME_NET","FQ3 2019","FQ3 2019","Currency=USD","Period=FQ","BEST_FPERIOD_OVERRIDE=FQ","FILING_STATUS=MR","SCALING_FORMAT=MLN","Sort=A","Dates=H","DateFormat=P","Fill=—","Direction=H","UseDPDF=Y")</f>
        <v>—</v>
      </c>
      <c r="I30" s="13" t="str">
        <f>_xll.BDH("BLUE US Equity","ARD_INTEREST_INCOME_NET","FQ4 2019","FQ4 2019","Currency=USD","Period=FQ","BEST_FPERIOD_OVERRIDE=FQ","FILING_STATUS=MR","SCALING_FORMAT=MLN","Sort=A","Dates=H","DateFormat=P","Fill=—","Direction=H","UseDPDF=Y")</f>
        <v>—</v>
      </c>
      <c r="J30" s="13" t="str">
        <f>_xll.BDH("BLUE US Equity","ARD_INTEREST_INCOME_NET","FQ1 2020","FQ1 2020","Currency=USD","Period=FQ","BEST_FPERIOD_OVERRIDE=FQ","FILING_STATUS=MR","SCALING_FORMAT=MLN","Sort=A","Dates=H","DateFormat=P","Fill=—","Direction=H","UseDPDF=Y")</f>
        <v>—</v>
      </c>
      <c r="K30" s="13" t="str">
        <f>_xll.BDH("BLUE US Equity","ARD_INTEREST_INCOME_NET","FQ2 2020","FQ2 2020","Currency=USD","Period=FQ","BEST_FPERIOD_OVERRIDE=FQ","FILING_STATUS=MR","SCALING_FORMAT=MLN","Sort=A","Dates=H","DateFormat=P","Fill=—","Direction=H","UseDPDF=Y")</f>
        <v>—</v>
      </c>
      <c r="L30" s="13" t="str">
        <f>_xll.BDH("BLUE US Equity","ARD_INTEREST_INCOME_NET","FQ3 2020","FQ3 2020","Currency=USD","Period=FQ","BEST_FPERIOD_OVERRIDE=FQ","FILING_STATUS=MR","SCALING_FORMAT=MLN","Sort=A","Dates=H","DateFormat=P","Fill=—","Direction=H","UseDPDF=Y")</f>
        <v>—</v>
      </c>
      <c r="M30" s="13" t="str">
        <f>_xll.BDH("BLUE US Equity","ARD_INTEREST_INCOME_NET","FQ4 2020","FQ4 2020","Currency=USD","Period=FQ","BEST_FPERIOD_OVERRIDE=FQ","FILING_STATUS=MR","SCALING_FORMAT=MLN","Sort=A","Dates=H","DateFormat=P","Fill=—","Direction=H","UseDPDF=Y")</f>
        <v>—</v>
      </c>
      <c r="N30" s="13" t="str">
        <f>_xll.BDH("BLUE US Equity","ARD_INTEREST_INCOME_NET","FQ1 2021","FQ1 2021","Currency=USD","Period=FQ","BEST_FPERIOD_OVERRIDE=FQ","FILING_STATUS=MR","SCALING_FORMAT=MLN","Sort=A","Dates=H","DateFormat=P","Fill=—","Direction=H","UseDPDF=Y")</f>
        <v>—</v>
      </c>
      <c r="O30" s="13" t="str">
        <f>_xll.BDH("BLUE US Equity","ARD_INTEREST_INCOME_NET","FQ2 2021","FQ2 2021","Currency=USD","Period=FQ","BEST_FPERIOD_OVERRIDE=FQ","FILING_STATUS=MR","SCALING_FORMAT=MLN","Sort=A","Dates=H","DateFormat=P","Fill=—","Direction=H","UseDPDF=Y")</f>
        <v>—</v>
      </c>
      <c r="P30" s="13" t="str">
        <f>_xll.BDH("BLUE US Equity","ARD_INTEREST_INCOME_NET","FQ3 2021","FQ3 2021","Currency=USD","Period=FQ","BEST_FPERIOD_OVERRIDE=FQ","FILING_STATUS=MR","SCALING_FORMAT=MLN","Sort=A","Dates=H","DateFormat=P","Fill=—","Direction=H","UseDPDF=Y")</f>
        <v>—</v>
      </c>
      <c r="Q30" s="13" t="str">
        <f>_xll.BDH("BLUE US Equity","ARD_INTEREST_INCOME_NET","FQ4 2021","FQ4 2021","Currency=USD","Period=FQ","BEST_FPERIOD_OVERRIDE=FQ","FILING_STATUS=MR","SCALING_FORMAT=MLN","Sort=A","Dates=H","DateFormat=P","Fill=—","Direction=H","UseDPDF=Y")</f>
        <v>—</v>
      </c>
      <c r="R30" s="13" t="str">
        <f>_xll.BDH("BLUE US Equity","ARD_INTEREST_INCOME_NET","FQ1 2022","FQ1 2022","Currency=USD","Period=FQ","BEST_FPERIOD_OVERRIDE=FQ","FILING_STATUS=MR","SCALING_FORMAT=MLN","Sort=A","Dates=H","DateFormat=P","Fill=—","Direction=H","UseDPDF=Y")</f>
        <v>—</v>
      </c>
      <c r="S30" s="13" t="str">
        <f>_xll.BDH("BLUE US Equity","ARD_INTEREST_INCOME_NET","FQ2 2022","FQ2 2022","Currency=USD","Period=FQ","BEST_FPERIOD_OVERRIDE=FQ","FILING_STATUS=MR","SCALING_FORMAT=MLN","Sort=A","Dates=H","DateFormat=P","Fill=—","Direction=H","UseDPDF=Y")</f>
        <v>—</v>
      </c>
      <c r="T30" s="13" t="str">
        <f>_xll.BDH("BLUE US Equity","ARD_INTEREST_INCOME_NET","FQ3 2022","FQ3 2022","Currency=USD","Period=FQ","BEST_FPERIOD_OVERRIDE=FQ","FILING_STATUS=MR","SCALING_FORMAT=MLN","Sort=A","Dates=H","DateFormat=P","Fill=—","Direction=H","UseDPDF=Y")</f>
        <v>—</v>
      </c>
      <c r="U30" s="13">
        <f>_xll.BDH("BLUE US Equity","ARD_INTEREST_INCOME_NET","FQ4 2022","FQ4 2022","Currency=USD","Period=FQ","BEST_FPERIOD_OVERRIDE=FQ","FILING_STATUS=MR","SCALING_FORMAT=MLN","Sort=A","Dates=H","DateFormat=P","Fill=—","Direction=H","UseDPDF=Y")</f>
        <v>-0.36899999999999999</v>
      </c>
      <c r="V30" s="13" t="str">
        <f>_xll.BDH("BLUE US Equity","ARD_INTEREST_INCOME_NET","FQ1 2023","FQ1 2023","Currency=USD","Period=FQ","BEST_FPERIOD_OVERRIDE=FQ","FILING_STATUS=MR","SCALING_FORMAT=MLN","Sort=A","Dates=H","DateFormat=P","Fill=—","Direction=H","UseDPDF=Y")</f>
        <v>—</v>
      </c>
      <c r="W30" s="13" t="str">
        <f>_xll.BDH("BLUE US Equity","ARD_INTEREST_INCOME_NET","FQ2 2023","FQ2 2023","Currency=USD","Period=FQ","BEST_FPERIOD_OVERRIDE=FQ","FILING_STATUS=MR","SCALING_FORMAT=MLN","Sort=A","Dates=H","DateFormat=P","Fill=—","Direction=H","UseDPDF=Y")</f>
        <v>—</v>
      </c>
      <c r="X30" s="13">
        <f>_xll.BDH("BLUE US Equity","ARD_INTEREST_INCOME_NET","FQ3 2023","FQ3 2023","Currency=USD","Period=FQ","BEST_FPERIOD_OVERRIDE=FQ","FILING_STATUS=MR","SCALING_FORMAT=MLN","Sort=A","Dates=H","DateFormat=P","Fill=—","Direction=H","UseDPDF=Y")</f>
        <v>-2.4540000000000002</v>
      </c>
      <c r="Y30" s="13" t="str">
        <f>_xll.BDH("BLUE US Equity","ARD_INTEREST_INCOME_NET","FQ1 2024","FQ1 2024","Currency=USD","Period=FQ","BEST_FPERIOD_OVERRIDE=FQ","FILING_STATUS=MR","SCALING_FORMAT=MLN","Sort=A","Dates=H","DateFormat=P","Fill=—","Direction=H","UseDPDF=Y")</f>
        <v>—</v>
      </c>
      <c r="Z30" s="13" t="str">
        <f>_xll.BDH("BLUE US Equity","ARD_INTEREST_INCOME_NET","FQ2 2024","FQ2 2024","Currency=USD","Period=FQ","BEST_FPERIOD_OVERRIDE=FQ","FILING_STATUS=MR","SCALING_FORMAT=MLN","Sort=A","Dates=H","DateFormat=P","Fill=—","Direction=H","UseDPDF=Y")</f>
        <v>—</v>
      </c>
      <c r="AA30" s="13">
        <f>_xll.BDH("BLUE US Equity","ARD_INTEREST_INCOME_NET","FQ3 2024","FQ3 2024","Currency=USD","Period=FQ","BEST_FPERIOD_OVERRIDE=FQ","FILING_STATUS=MR","SCALING_FORMAT=MLN","Sort=A","Dates=H","DateFormat=P","Fill=—","Direction=H","UseDPDF=Y")</f>
        <v>-1.64</v>
      </c>
    </row>
    <row r="31" spans="1:27" x14ac:dyDescent="0.25">
      <c r="A31" s="10" t="s">
        <v>428</v>
      </c>
      <c r="B31" s="10" t="s">
        <v>429</v>
      </c>
      <c r="C31" s="13" t="str">
        <f>_xll.BDH("BLUE US Equity","ARD_INT_EXP_NET","FQ2 2018","FQ2 2018","Currency=USD","Period=FQ","BEST_FPERIOD_OVERRIDE=FQ","FILING_STATUS=MR","SCALING_FORMAT=MLN","Sort=A","Dates=H","DateFormat=P","Fill=—","Direction=H","UseDPDF=Y")</f>
        <v>—</v>
      </c>
      <c r="D31" s="13" t="str">
        <f>_xll.BDH("BLUE US Equity","ARD_INT_EXP_NET","FQ3 2018","FQ3 2018","Currency=USD","Period=FQ","BEST_FPERIOD_OVERRIDE=FQ","FILING_STATUS=MR","SCALING_FORMAT=MLN","Sort=A","Dates=H","DateFormat=P","Fill=—","Direction=H","UseDPDF=Y")</f>
        <v>—</v>
      </c>
      <c r="E31" s="13" t="str">
        <f>_xll.BDH("BLUE US Equity","ARD_INT_EXP_NET","FQ4 2018","FQ4 2018","Currency=USD","Period=FQ","BEST_FPERIOD_OVERRIDE=FQ","FILING_STATUS=MR","SCALING_FORMAT=MLN","Sort=A","Dates=H","DateFormat=P","Fill=—","Direction=H","UseDPDF=Y")</f>
        <v>—</v>
      </c>
      <c r="F31" s="13" t="str">
        <f>_xll.BDH("BLUE US Equity","ARD_INT_EXP_NET","FQ1 2019","FQ1 2019","Currency=USD","Period=FQ","BEST_FPERIOD_OVERRIDE=FQ","FILING_STATUS=MR","SCALING_FORMAT=MLN","Sort=A","Dates=H","DateFormat=P","Fill=—","Direction=H","UseDPDF=Y")</f>
        <v>—</v>
      </c>
      <c r="G31" s="13" t="str">
        <f>_xll.BDH("BLUE US Equity","ARD_INT_EXP_NET","FQ2 2019","FQ2 2019","Currency=USD","Period=FQ","BEST_FPERIOD_OVERRIDE=FQ","FILING_STATUS=MR","SCALING_FORMAT=MLN","Sort=A","Dates=H","DateFormat=P","Fill=—","Direction=H","UseDPDF=Y")</f>
        <v>—</v>
      </c>
      <c r="H31" s="13" t="str">
        <f>_xll.BDH("BLUE US Equity","ARD_INT_EXP_NET","FQ3 2019","FQ3 2019","Currency=USD","Period=FQ","BEST_FPERIOD_OVERRIDE=FQ","FILING_STATUS=MR","SCALING_FORMAT=MLN","Sort=A","Dates=H","DateFormat=P","Fill=—","Direction=H","UseDPDF=Y")</f>
        <v>—</v>
      </c>
      <c r="I31" s="13" t="str">
        <f>_xll.BDH("BLUE US Equity","ARD_INT_EXP_NET","FQ4 2019","FQ4 2019","Currency=USD","Period=FQ","BEST_FPERIOD_OVERRIDE=FQ","FILING_STATUS=MR","SCALING_FORMAT=MLN","Sort=A","Dates=H","DateFormat=P","Fill=—","Direction=H","UseDPDF=Y")</f>
        <v>—</v>
      </c>
      <c r="J31" s="13" t="str">
        <f>_xll.BDH("BLUE US Equity","ARD_INT_EXP_NET","FQ1 2020","FQ1 2020","Currency=USD","Period=FQ","BEST_FPERIOD_OVERRIDE=FQ","FILING_STATUS=MR","SCALING_FORMAT=MLN","Sort=A","Dates=H","DateFormat=P","Fill=—","Direction=H","UseDPDF=Y")</f>
        <v>—</v>
      </c>
      <c r="K31" s="13" t="str">
        <f>_xll.BDH("BLUE US Equity","ARD_INT_EXP_NET","FQ2 2020","FQ2 2020","Currency=USD","Period=FQ","BEST_FPERIOD_OVERRIDE=FQ","FILING_STATUS=MR","SCALING_FORMAT=MLN","Sort=A","Dates=H","DateFormat=P","Fill=—","Direction=H","UseDPDF=Y")</f>
        <v>—</v>
      </c>
      <c r="L31" s="13" t="str">
        <f>_xll.BDH("BLUE US Equity","ARD_INT_EXP_NET","FQ3 2020","FQ3 2020","Currency=USD","Period=FQ","BEST_FPERIOD_OVERRIDE=FQ","FILING_STATUS=MR","SCALING_FORMAT=MLN","Sort=A","Dates=H","DateFormat=P","Fill=—","Direction=H","UseDPDF=Y")</f>
        <v>—</v>
      </c>
      <c r="M31" s="13" t="str">
        <f>_xll.BDH("BLUE US Equity","ARD_INT_EXP_NET","FQ4 2020","FQ4 2020","Currency=USD","Period=FQ","BEST_FPERIOD_OVERRIDE=FQ","FILING_STATUS=MR","SCALING_FORMAT=MLN","Sort=A","Dates=H","DateFormat=P","Fill=—","Direction=H","UseDPDF=Y")</f>
        <v>—</v>
      </c>
      <c r="N31" s="13" t="str">
        <f>_xll.BDH("BLUE US Equity","ARD_INT_EXP_NET","FQ1 2021","FQ1 2021","Currency=USD","Period=FQ","BEST_FPERIOD_OVERRIDE=FQ","FILING_STATUS=MR","SCALING_FORMAT=MLN","Sort=A","Dates=H","DateFormat=P","Fill=—","Direction=H","UseDPDF=Y")</f>
        <v>—</v>
      </c>
      <c r="O31" s="13" t="str">
        <f>_xll.BDH("BLUE US Equity","ARD_INT_EXP_NET","FQ2 2021","FQ2 2021","Currency=USD","Period=FQ","BEST_FPERIOD_OVERRIDE=FQ","FILING_STATUS=MR","SCALING_FORMAT=MLN","Sort=A","Dates=H","DateFormat=P","Fill=—","Direction=H","UseDPDF=Y")</f>
        <v>—</v>
      </c>
      <c r="P31" s="13" t="str">
        <f>_xll.BDH("BLUE US Equity","ARD_INT_EXP_NET","FQ3 2021","FQ3 2021","Currency=USD","Period=FQ","BEST_FPERIOD_OVERRIDE=FQ","FILING_STATUS=MR","SCALING_FORMAT=MLN","Sort=A","Dates=H","DateFormat=P","Fill=—","Direction=H","UseDPDF=Y")</f>
        <v>—</v>
      </c>
      <c r="Q31" s="13" t="str">
        <f>_xll.BDH("BLUE US Equity","ARD_INT_EXP_NET","FQ4 2021","FQ4 2021","Currency=USD","Period=FQ","BEST_FPERIOD_OVERRIDE=FQ","FILING_STATUS=MR","SCALING_FORMAT=MLN","Sort=A","Dates=H","DateFormat=P","Fill=—","Direction=H","UseDPDF=Y")</f>
        <v>—</v>
      </c>
      <c r="R31" s="13" t="str">
        <f>_xll.BDH("BLUE US Equity","ARD_INT_EXP_NET","FQ1 2022","FQ1 2022","Currency=USD","Period=FQ","BEST_FPERIOD_OVERRIDE=FQ","FILING_STATUS=MR","SCALING_FORMAT=MLN","Sort=A","Dates=H","DateFormat=P","Fill=—","Direction=H","UseDPDF=Y")</f>
        <v>—</v>
      </c>
      <c r="S31" s="13" t="str">
        <f>_xll.BDH("BLUE US Equity","ARD_INT_EXP_NET","FQ2 2022","FQ2 2022","Currency=USD","Period=FQ","BEST_FPERIOD_OVERRIDE=FQ","FILING_STATUS=MR","SCALING_FORMAT=MLN","Sort=A","Dates=H","DateFormat=P","Fill=—","Direction=H","UseDPDF=Y")</f>
        <v>—</v>
      </c>
      <c r="T31" s="13" t="str">
        <f>_xll.BDH("BLUE US Equity","ARD_INT_EXP_NET","FQ3 2022","FQ3 2022","Currency=USD","Period=FQ","BEST_FPERIOD_OVERRIDE=FQ","FILING_STATUS=MR","SCALING_FORMAT=MLN","Sort=A","Dates=H","DateFormat=P","Fill=—","Direction=H","UseDPDF=Y")</f>
        <v>—</v>
      </c>
      <c r="U31" s="13" t="str">
        <f>_xll.BDH("BLUE US Equity","ARD_INT_EXP_NET","FQ4 2022","FQ4 2022","Currency=USD","Period=FQ","BEST_FPERIOD_OVERRIDE=FQ","FILING_STATUS=MR","SCALING_FORMAT=MLN","Sort=A","Dates=H","DateFormat=P","Fill=—","Direction=H","UseDPDF=Y")</f>
        <v>—</v>
      </c>
      <c r="V31" s="13" t="str">
        <f>_xll.BDH("BLUE US Equity","ARD_INT_EXP_NET","FQ1 2023","FQ1 2023","Currency=USD","Period=FQ","BEST_FPERIOD_OVERRIDE=FQ","FILING_STATUS=MR","SCALING_FORMAT=MLN","Sort=A","Dates=H","DateFormat=P","Fill=—","Direction=H","UseDPDF=Y")</f>
        <v>—</v>
      </c>
      <c r="W31" s="13" t="str">
        <f>_xll.BDH("BLUE US Equity","ARD_INT_EXP_NET","FQ2 2023","FQ2 2023","Currency=USD","Period=FQ","BEST_FPERIOD_OVERRIDE=FQ","FILING_STATUS=MR","SCALING_FORMAT=MLN","Sort=A","Dates=H","DateFormat=P","Fill=—","Direction=H","UseDPDF=Y")</f>
        <v>—</v>
      </c>
      <c r="X31" s="13">
        <f>_xll.BDH("BLUE US Equity","ARD_INT_EXP_NET","FQ3 2023","FQ3 2023","Currency=USD","Period=FQ","BEST_FPERIOD_OVERRIDE=FQ","FILING_STATUS=MR","SCALING_FORMAT=MLN","Sort=A","Dates=H","DateFormat=P","Fill=—","Direction=H","UseDPDF=Y")</f>
        <v>4.3109999999999999</v>
      </c>
      <c r="Y31" s="13" t="str">
        <f>_xll.BDH("BLUE US Equity","ARD_INT_EXP_NET","FQ1 2024","FQ1 2024","Currency=USD","Period=FQ","BEST_FPERIOD_OVERRIDE=FQ","FILING_STATUS=MR","SCALING_FORMAT=MLN","Sort=A","Dates=H","DateFormat=P","Fill=—","Direction=H","UseDPDF=Y")</f>
        <v>—</v>
      </c>
      <c r="Z31" s="13" t="str">
        <f>_xll.BDH("BLUE US Equity","ARD_INT_EXP_NET","FQ2 2024","FQ2 2024","Currency=USD","Period=FQ","BEST_FPERIOD_OVERRIDE=FQ","FILING_STATUS=MR","SCALING_FORMAT=MLN","Sort=A","Dates=H","DateFormat=P","Fill=—","Direction=H","UseDPDF=Y")</f>
        <v>—</v>
      </c>
      <c r="AA31" s="13">
        <f>_xll.BDH("BLUE US Equity","ARD_INT_EXP_NET","FQ3 2024","FQ3 2024","Currency=USD","Period=FQ","BEST_FPERIOD_OVERRIDE=FQ","FILING_STATUS=MR","SCALING_FORMAT=MLN","Sort=A","Dates=H","DateFormat=P","Fill=—","Direction=H","UseDPDF=Y")</f>
        <v>5.7779999999999996</v>
      </c>
    </row>
    <row r="32" spans="1:27" x14ac:dyDescent="0.25">
      <c r="A32" s="10" t="s">
        <v>430</v>
      </c>
      <c r="B32" s="10" t="s">
        <v>431</v>
      </c>
      <c r="C32" s="13" t="str">
        <f>_xll.BDH("BLUE US Equity","ARD_OTHER_NON_OPERATING_INC","FQ2 2018","FQ2 2018","Currency=USD","Period=FQ","BEST_FPERIOD_OVERRIDE=FQ","FILING_STATUS=MR","SCALING_FORMAT=MLN","Sort=A","Dates=H","DateFormat=P","Fill=—","Direction=H","UseDPDF=Y")</f>
        <v>—</v>
      </c>
      <c r="D32" s="13">
        <f>_xll.BDH("BLUE US Equity","ARD_OTHER_NON_OPERATING_INC","FQ3 2018","FQ3 2018","Currency=USD","Period=FQ","BEST_FPERIOD_OVERRIDE=FQ","FILING_STATUS=MR","SCALING_FORMAT=MLN","Sort=A","Dates=H","DateFormat=P","Fill=—","Direction=H","UseDPDF=Y")</f>
        <v>0.252</v>
      </c>
      <c r="E32" s="13">
        <f>_xll.BDH("BLUE US Equity","ARD_OTHER_NON_OPERATING_INC","FQ4 2018","FQ4 2018","Currency=USD","Period=FQ","BEST_FPERIOD_OVERRIDE=FQ","FILING_STATUS=MR","SCALING_FORMAT=MLN","Sort=A","Dates=H","DateFormat=P","Fill=—","Direction=H","UseDPDF=Y")</f>
        <v>-1.9159999999999999</v>
      </c>
      <c r="F32" s="13" t="str">
        <f>_xll.BDH("BLUE US Equity","ARD_OTHER_NON_OPERATING_INC","FQ1 2019","FQ1 2019","Currency=USD","Period=FQ","BEST_FPERIOD_OVERRIDE=FQ","FILING_STATUS=MR","SCALING_FORMAT=MLN","Sort=A","Dates=H","DateFormat=P","Fill=—","Direction=H","UseDPDF=Y")</f>
        <v>—</v>
      </c>
      <c r="G32" s="13" t="str">
        <f>_xll.BDH("BLUE US Equity","ARD_OTHER_NON_OPERATING_INC","FQ2 2019","FQ2 2019","Currency=USD","Period=FQ","BEST_FPERIOD_OVERRIDE=FQ","FILING_STATUS=MR","SCALING_FORMAT=MLN","Sort=A","Dates=H","DateFormat=P","Fill=—","Direction=H","UseDPDF=Y")</f>
        <v>—</v>
      </c>
      <c r="H32" s="13" t="str">
        <f>_xll.BDH("BLUE US Equity","ARD_OTHER_NON_OPERATING_INC","FQ3 2019","FQ3 2019","Currency=USD","Period=FQ","BEST_FPERIOD_OVERRIDE=FQ","FILING_STATUS=MR","SCALING_FORMAT=MLN","Sort=A","Dates=H","DateFormat=P","Fill=—","Direction=H","UseDPDF=Y")</f>
        <v>—</v>
      </c>
      <c r="I32" s="13">
        <f>_xll.BDH("BLUE US Equity","ARD_OTHER_NON_OPERATING_INC","FQ4 2019","FQ4 2019","Currency=USD","Period=FQ","BEST_FPERIOD_OVERRIDE=FQ","FILING_STATUS=MR","SCALING_FORMAT=MLN","Sort=A","Dates=H","DateFormat=P","Fill=—","Direction=H","UseDPDF=Y")</f>
        <v>-0.53500000000000003</v>
      </c>
      <c r="J32" s="13" t="str">
        <f>_xll.BDH("BLUE US Equity","ARD_OTHER_NON_OPERATING_INC","FQ1 2020","FQ1 2020","Currency=USD","Period=FQ","BEST_FPERIOD_OVERRIDE=FQ","FILING_STATUS=MR","SCALING_FORMAT=MLN","Sort=A","Dates=H","DateFormat=P","Fill=—","Direction=H","UseDPDF=Y")</f>
        <v>—</v>
      </c>
      <c r="K32" s="13" t="str">
        <f>_xll.BDH("BLUE US Equity","ARD_OTHER_NON_OPERATING_INC","FQ2 2020","FQ2 2020","Currency=USD","Period=FQ","BEST_FPERIOD_OVERRIDE=FQ","FILING_STATUS=MR","SCALING_FORMAT=MLN","Sort=A","Dates=H","DateFormat=P","Fill=—","Direction=H","UseDPDF=Y")</f>
        <v>—</v>
      </c>
      <c r="L32" s="13" t="str">
        <f>_xll.BDH("BLUE US Equity","ARD_OTHER_NON_OPERATING_INC","FQ3 2020","FQ3 2020","Currency=USD","Period=FQ","BEST_FPERIOD_OVERRIDE=FQ","FILING_STATUS=MR","SCALING_FORMAT=MLN","Sort=A","Dates=H","DateFormat=P","Fill=—","Direction=H","UseDPDF=Y")</f>
        <v>—</v>
      </c>
      <c r="M32" s="13" t="str">
        <f>_xll.BDH("BLUE US Equity","ARD_OTHER_NON_OPERATING_INC","FQ4 2020","FQ4 2020","Currency=USD","Period=FQ","BEST_FPERIOD_OVERRIDE=FQ","FILING_STATUS=MR","SCALING_FORMAT=MLN","Sort=A","Dates=H","DateFormat=P","Fill=—","Direction=H","UseDPDF=Y")</f>
        <v>—</v>
      </c>
      <c r="N32" s="13" t="str">
        <f>_xll.BDH("BLUE US Equity","ARD_OTHER_NON_OPERATING_INC","FQ1 2021","FQ1 2021","Currency=USD","Period=FQ","BEST_FPERIOD_OVERRIDE=FQ","FILING_STATUS=MR","SCALING_FORMAT=MLN","Sort=A","Dates=H","DateFormat=P","Fill=—","Direction=H","UseDPDF=Y")</f>
        <v>—</v>
      </c>
      <c r="O32" s="13" t="str">
        <f>_xll.BDH("BLUE US Equity","ARD_OTHER_NON_OPERATING_INC","FQ2 2021","FQ2 2021","Currency=USD","Period=FQ","BEST_FPERIOD_OVERRIDE=FQ","FILING_STATUS=MR","SCALING_FORMAT=MLN","Sort=A","Dates=H","DateFormat=P","Fill=—","Direction=H","UseDPDF=Y")</f>
        <v>—</v>
      </c>
      <c r="P32" s="13" t="str">
        <f>_xll.BDH("BLUE US Equity","ARD_OTHER_NON_OPERATING_INC","FQ3 2021","FQ3 2021","Currency=USD","Period=FQ","BEST_FPERIOD_OVERRIDE=FQ","FILING_STATUS=MR","SCALING_FORMAT=MLN","Sort=A","Dates=H","DateFormat=P","Fill=—","Direction=H","UseDPDF=Y")</f>
        <v>—</v>
      </c>
      <c r="Q32" s="13" t="str">
        <f>_xll.BDH("BLUE US Equity","ARD_OTHER_NON_OPERATING_INC","FQ4 2021","FQ4 2021","Currency=USD","Period=FQ","BEST_FPERIOD_OVERRIDE=FQ","FILING_STATUS=MR","SCALING_FORMAT=MLN","Sort=A","Dates=H","DateFormat=P","Fill=—","Direction=H","UseDPDF=Y")</f>
        <v>—</v>
      </c>
      <c r="R32" s="13" t="str">
        <f>_xll.BDH("BLUE US Equity","ARD_OTHER_NON_OPERATING_INC","FQ1 2022","FQ1 2022","Currency=USD","Period=FQ","BEST_FPERIOD_OVERRIDE=FQ","FILING_STATUS=MR","SCALING_FORMAT=MLN","Sort=A","Dates=H","DateFormat=P","Fill=—","Direction=H","UseDPDF=Y")</f>
        <v>—</v>
      </c>
      <c r="S32" s="13" t="str">
        <f>_xll.BDH("BLUE US Equity","ARD_OTHER_NON_OPERATING_INC","FQ2 2022","FQ2 2022","Currency=USD","Period=FQ","BEST_FPERIOD_OVERRIDE=FQ","FILING_STATUS=MR","SCALING_FORMAT=MLN","Sort=A","Dates=H","DateFormat=P","Fill=—","Direction=H","UseDPDF=Y")</f>
        <v>—</v>
      </c>
      <c r="T32" s="13" t="str">
        <f>_xll.BDH("BLUE US Equity","ARD_OTHER_NON_OPERATING_INC","FQ3 2022","FQ3 2022","Currency=USD","Period=FQ","BEST_FPERIOD_OVERRIDE=FQ","FILING_STATUS=MR","SCALING_FORMAT=MLN","Sort=A","Dates=H","DateFormat=P","Fill=—","Direction=H","UseDPDF=Y")</f>
        <v>—</v>
      </c>
      <c r="U32" s="13" t="str">
        <f>_xll.BDH("BLUE US Equity","ARD_OTHER_NON_OPERATING_INC","FQ4 2022","FQ4 2022","Currency=USD","Period=FQ","BEST_FPERIOD_OVERRIDE=FQ","FILING_STATUS=MR","SCALING_FORMAT=MLN","Sort=A","Dates=H","DateFormat=P","Fill=—","Direction=H","UseDPDF=Y")</f>
        <v>—</v>
      </c>
      <c r="V32" s="13" t="str">
        <f>_xll.BDH("BLUE US Equity","ARD_OTHER_NON_OPERATING_INC","FQ1 2023","FQ1 2023","Currency=USD","Period=FQ","BEST_FPERIOD_OVERRIDE=FQ","FILING_STATUS=MR","SCALING_FORMAT=MLN","Sort=A","Dates=H","DateFormat=P","Fill=—","Direction=H","UseDPDF=Y")</f>
        <v>—</v>
      </c>
      <c r="W32" s="13" t="str">
        <f>_xll.BDH("BLUE US Equity","ARD_OTHER_NON_OPERATING_INC","FQ2 2023","FQ2 2023","Currency=USD","Period=FQ","BEST_FPERIOD_OVERRIDE=FQ","FILING_STATUS=MR","SCALING_FORMAT=MLN","Sort=A","Dates=H","DateFormat=P","Fill=—","Direction=H","UseDPDF=Y")</f>
        <v>—</v>
      </c>
      <c r="X32" s="13" t="str">
        <f>_xll.BDH("BLUE US Equity","ARD_OTHER_NON_OPERATING_INC","FQ3 2023","FQ3 2023","Currency=USD","Period=FQ","BEST_FPERIOD_OVERRIDE=FQ","FILING_STATUS=MR","SCALING_FORMAT=MLN","Sort=A","Dates=H","DateFormat=P","Fill=—","Direction=H","UseDPDF=Y")</f>
        <v>—</v>
      </c>
      <c r="Y32" s="13" t="str">
        <f>_xll.BDH("BLUE US Equity","ARD_OTHER_NON_OPERATING_INC","FQ1 2024","FQ1 2024","Currency=USD","Period=FQ","BEST_FPERIOD_OVERRIDE=FQ","FILING_STATUS=MR","SCALING_FORMAT=MLN","Sort=A","Dates=H","DateFormat=P","Fill=—","Direction=H","UseDPDF=Y")</f>
        <v>—</v>
      </c>
      <c r="Z32" s="13" t="str">
        <f>_xll.BDH("BLUE US Equity","ARD_OTHER_NON_OPERATING_INC","FQ2 2024","FQ2 2024","Currency=USD","Period=FQ","BEST_FPERIOD_OVERRIDE=FQ","FILING_STATUS=MR","SCALING_FORMAT=MLN","Sort=A","Dates=H","DateFormat=P","Fill=—","Direction=H","UseDPDF=Y")</f>
        <v>—</v>
      </c>
      <c r="AA32" s="13" t="str">
        <f>_xll.BDH("BLUE US Equity","ARD_OTHER_NON_OPERATING_INC","FQ3 2024","FQ3 2024","Currency=USD","Period=FQ","BEST_FPERIOD_OVERRIDE=FQ","FILING_STATUS=MR","SCALING_FORMAT=MLN","Sort=A","Dates=H","DateFormat=P","Fill=—","Direction=H","UseDPDF=Y")</f>
        <v>—</v>
      </c>
    </row>
    <row r="33" spans="1:27" x14ac:dyDescent="0.25">
      <c r="A33" s="10" t="s">
        <v>432</v>
      </c>
      <c r="B33" s="10" t="s">
        <v>433</v>
      </c>
      <c r="C33" s="13" t="str">
        <f>_xll.BDH("BLUE US Equity","ARD_OTHER_NON_OPERATING_EXP","FQ2 2018","FQ2 2018","Currency=USD","Period=FQ","BEST_FPERIOD_OVERRIDE=FQ","FILING_STATUS=MR","SCALING_FORMAT=MLN","Sort=A","Dates=H","DateFormat=P","Fill=—","Direction=H","UseDPDF=Y")</f>
        <v>—</v>
      </c>
      <c r="D33" s="13" t="str">
        <f>_xll.BDH("BLUE US Equity","ARD_OTHER_NON_OPERATING_EXP","FQ3 2018","FQ3 2018","Currency=USD","Period=FQ","BEST_FPERIOD_OVERRIDE=FQ","FILING_STATUS=MR","SCALING_FORMAT=MLN","Sort=A","Dates=H","DateFormat=P","Fill=—","Direction=H","UseDPDF=Y")</f>
        <v>—</v>
      </c>
      <c r="E33" s="13" t="str">
        <f>_xll.BDH("BLUE US Equity","ARD_OTHER_NON_OPERATING_EXP","FQ4 2018","FQ4 2018","Currency=USD","Period=FQ","BEST_FPERIOD_OVERRIDE=FQ","FILING_STATUS=MR","SCALING_FORMAT=MLN","Sort=A","Dates=H","DateFormat=P","Fill=—","Direction=H","UseDPDF=Y")</f>
        <v>—</v>
      </c>
      <c r="F33" s="13" t="str">
        <f>_xll.BDH("BLUE US Equity","ARD_OTHER_NON_OPERATING_EXP","FQ1 2019","FQ1 2019","Currency=USD","Period=FQ","BEST_FPERIOD_OVERRIDE=FQ","FILING_STATUS=MR","SCALING_FORMAT=MLN","Sort=A","Dates=H","DateFormat=P","Fill=—","Direction=H","UseDPDF=Y")</f>
        <v>—</v>
      </c>
      <c r="G33" s="13" t="str">
        <f>_xll.BDH("BLUE US Equity","ARD_OTHER_NON_OPERATING_EXP","FQ2 2019","FQ2 2019","Currency=USD","Period=FQ","BEST_FPERIOD_OVERRIDE=FQ","FILING_STATUS=MR","SCALING_FORMAT=MLN","Sort=A","Dates=H","DateFormat=P","Fill=—","Direction=H","UseDPDF=Y")</f>
        <v>—</v>
      </c>
      <c r="H33" s="13">
        <f>_xll.BDH("BLUE US Equity","ARD_OTHER_NON_OPERATING_EXP","FQ3 2019","FQ3 2019","Currency=USD","Period=FQ","BEST_FPERIOD_OVERRIDE=FQ","FILING_STATUS=MR","SCALING_FORMAT=MLN","Sort=A","Dates=H","DateFormat=P","Fill=—","Direction=H","UseDPDF=Y")</f>
        <v>4.298</v>
      </c>
      <c r="I33" s="13" t="str">
        <f>_xll.BDH("BLUE US Equity","ARD_OTHER_NON_OPERATING_EXP","FQ4 2019","FQ4 2019","Currency=USD","Period=FQ","BEST_FPERIOD_OVERRIDE=FQ","FILING_STATUS=MR","SCALING_FORMAT=MLN","Sort=A","Dates=H","DateFormat=P","Fill=—","Direction=H","UseDPDF=Y")</f>
        <v>—</v>
      </c>
      <c r="J33" s="13" t="str">
        <f>_xll.BDH("BLUE US Equity","ARD_OTHER_NON_OPERATING_EXP","FQ1 2020","FQ1 2020","Currency=USD","Period=FQ","BEST_FPERIOD_OVERRIDE=FQ","FILING_STATUS=MR","SCALING_FORMAT=MLN","Sort=A","Dates=H","DateFormat=P","Fill=—","Direction=H","UseDPDF=Y")</f>
        <v>—</v>
      </c>
      <c r="K33" s="13" t="str">
        <f>_xll.BDH("BLUE US Equity","ARD_OTHER_NON_OPERATING_EXP","FQ2 2020","FQ2 2020","Currency=USD","Period=FQ","BEST_FPERIOD_OVERRIDE=FQ","FILING_STATUS=MR","SCALING_FORMAT=MLN","Sort=A","Dates=H","DateFormat=P","Fill=—","Direction=H","UseDPDF=Y")</f>
        <v>—</v>
      </c>
      <c r="L33" s="13" t="str">
        <f>_xll.BDH("BLUE US Equity","ARD_OTHER_NON_OPERATING_EXP","FQ3 2020","FQ3 2020","Currency=USD","Period=FQ","BEST_FPERIOD_OVERRIDE=FQ","FILING_STATUS=MR","SCALING_FORMAT=MLN","Sort=A","Dates=H","DateFormat=P","Fill=—","Direction=H","UseDPDF=Y")</f>
        <v>—</v>
      </c>
      <c r="M33" s="13" t="str">
        <f>_xll.BDH("BLUE US Equity","ARD_OTHER_NON_OPERATING_EXP","FQ4 2020","FQ4 2020","Currency=USD","Period=FQ","BEST_FPERIOD_OVERRIDE=FQ","FILING_STATUS=MR","SCALING_FORMAT=MLN","Sort=A","Dates=H","DateFormat=P","Fill=—","Direction=H","UseDPDF=Y")</f>
        <v>—</v>
      </c>
      <c r="N33" s="13" t="str">
        <f>_xll.BDH("BLUE US Equity","ARD_OTHER_NON_OPERATING_EXP","FQ1 2021","FQ1 2021","Currency=USD","Period=FQ","BEST_FPERIOD_OVERRIDE=FQ","FILING_STATUS=MR","SCALING_FORMAT=MLN","Sort=A","Dates=H","DateFormat=P","Fill=—","Direction=H","UseDPDF=Y")</f>
        <v>—</v>
      </c>
      <c r="O33" s="13" t="str">
        <f>_xll.BDH("BLUE US Equity","ARD_OTHER_NON_OPERATING_EXP","FQ2 2021","FQ2 2021","Currency=USD","Period=FQ","BEST_FPERIOD_OVERRIDE=FQ","FILING_STATUS=MR","SCALING_FORMAT=MLN","Sort=A","Dates=H","DateFormat=P","Fill=—","Direction=H","UseDPDF=Y")</f>
        <v>—</v>
      </c>
      <c r="P33" s="13" t="str">
        <f>_xll.BDH("BLUE US Equity","ARD_OTHER_NON_OPERATING_EXP","FQ3 2021","FQ3 2021","Currency=USD","Period=FQ","BEST_FPERIOD_OVERRIDE=FQ","FILING_STATUS=MR","SCALING_FORMAT=MLN","Sort=A","Dates=H","DateFormat=P","Fill=—","Direction=H","UseDPDF=Y")</f>
        <v>—</v>
      </c>
      <c r="Q33" s="13" t="str">
        <f>_xll.BDH("BLUE US Equity","ARD_OTHER_NON_OPERATING_EXP","FQ4 2021","FQ4 2021","Currency=USD","Period=FQ","BEST_FPERIOD_OVERRIDE=FQ","FILING_STATUS=MR","SCALING_FORMAT=MLN","Sort=A","Dates=H","DateFormat=P","Fill=—","Direction=H","UseDPDF=Y")</f>
        <v>—</v>
      </c>
      <c r="R33" s="13" t="str">
        <f>_xll.BDH("BLUE US Equity","ARD_OTHER_NON_OPERATING_EXP","FQ1 2022","FQ1 2022","Currency=USD","Period=FQ","BEST_FPERIOD_OVERRIDE=FQ","FILING_STATUS=MR","SCALING_FORMAT=MLN","Sort=A","Dates=H","DateFormat=P","Fill=—","Direction=H","UseDPDF=Y")</f>
        <v>—</v>
      </c>
      <c r="S33" s="13" t="str">
        <f>_xll.BDH("BLUE US Equity","ARD_OTHER_NON_OPERATING_EXP","FQ2 2022","FQ2 2022","Currency=USD","Period=FQ","BEST_FPERIOD_OVERRIDE=FQ","FILING_STATUS=MR","SCALING_FORMAT=MLN","Sort=A","Dates=H","DateFormat=P","Fill=—","Direction=H","UseDPDF=Y")</f>
        <v>—</v>
      </c>
      <c r="T33" s="13" t="str">
        <f>_xll.BDH("BLUE US Equity","ARD_OTHER_NON_OPERATING_EXP","FQ3 2022","FQ3 2022","Currency=USD","Period=FQ","BEST_FPERIOD_OVERRIDE=FQ","FILING_STATUS=MR","SCALING_FORMAT=MLN","Sort=A","Dates=H","DateFormat=P","Fill=—","Direction=H","UseDPDF=Y")</f>
        <v>—</v>
      </c>
      <c r="U33" s="13" t="str">
        <f>_xll.BDH("BLUE US Equity","ARD_OTHER_NON_OPERATING_EXP","FQ4 2022","FQ4 2022","Currency=USD","Period=FQ","BEST_FPERIOD_OVERRIDE=FQ","FILING_STATUS=MR","SCALING_FORMAT=MLN","Sort=A","Dates=H","DateFormat=P","Fill=—","Direction=H","UseDPDF=Y")</f>
        <v>—</v>
      </c>
      <c r="V33" s="13" t="str">
        <f>_xll.BDH("BLUE US Equity","ARD_OTHER_NON_OPERATING_EXP","FQ1 2023","FQ1 2023","Currency=USD","Period=FQ","BEST_FPERIOD_OVERRIDE=FQ","FILING_STATUS=MR","SCALING_FORMAT=MLN","Sort=A","Dates=H","DateFormat=P","Fill=—","Direction=H","UseDPDF=Y")</f>
        <v>—</v>
      </c>
      <c r="W33" s="13" t="str">
        <f>_xll.BDH("BLUE US Equity","ARD_OTHER_NON_OPERATING_EXP","FQ2 2023","FQ2 2023","Currency=USD","Period=FQ","BEST_FPERIOD_OVERRIDE=FQ","FILING_STATUS=MR","SCALING_FORMAT=MLN","Sort=A","Dates=H","DateFormat=P","Fill=—","Direction=H","UseDPDF=Y")</f>
        <v>—</v>
      </c>
      <c r="X33" s="13" t="str">
        <f>_xll.BDH("BLUE US Equity","ARD_OTHER_NON_OPERATING_EXP","FQ3 2023","FQ3 2023","Currency=USD","Period=FQ","BEST_FPERIOD_OVERRIDE=FQ","FILING_STATUS=MR","SCALING_FORMAT=MLN","Sort=A","Dates=H","DateFormat=P","Fill=—","Direction=H","UseDPDF=Y")</f>
        <v>—</v>
      </c>
      <c r="Y33" s="13" t="str">
        <f>_xll.BDH("BLUE US Equity","ARD_OTHER_NON_OPERATING_EXP","FQ1 2024","FQ1 2024","Currency=USD","Period=FQ","BEST_FPERIOD_OVERRIDE=FQ","FILING_STATUS=MR","SCALING_FORMAT=MLN","Sort=A","Dates=H","DateFormat=P","Fill=—","Direction=H","UseDPDF=Y")</f>
        <v>—</v>
      </c>
      <c r="Z33" s="13" t="str">
        <f>_xll.BDH("BLUE US Equity","ARD_OTHER_NON_OPERATING_EXP","FQ2 2024","FQ2 2024","Currency=USD","Period=FQ","BEST_FPERIOD_OVERRIDE=FQ","FILING_STATUS=MR","SCALING_FORMAT=MLN","Sort=A","Dates=H","DateFormat=P","Fill=—","Direction=H","UseDPDF=Y")</f>
        <v>—</v>
      </c>
      <c r="AA33" s="13" t="str">
        <f>_xll.BDH("BLUE US Equity","ARD_OTHER_NON_OPERATING_EXP","FQ3 2024","FQ3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434</v>
      </c>
      <c r="B34" s="10" t="s">
        <v>435</v>
      </c>
      <c r="C34" s="13" t="str">
        <f>_xll.BDH("BLUE US Equity","ARD_INCOME_TAX_EXP_BENEFIT","FQ2 2018","FQ2 2018","Currency=USD","Period=FQ","BEST_FPERIOD_OVERRIDE=FQ","FILING_STATUS=MR","SCALING_FORMAT=MLN","Sort=A","Dates=H","DateFormat=P","Fill=—","Direction=H","UseDPDF=Y")</f>
        <v>—</v>
      </c>
      <c r="D34" s="13" t="str">
        <f>_xll.BDH("BLUE US Equity","ARD_INCOME_TAX_EXP_BENEFIT","FQ3 2018","FQ3 2018","Currency=USD","Period=FQ","BEST_FPERIOD_OVERRIDE=FQ","FILING_STATUS=MR","SCALING_FORMAT=MLN","Sort=A","Dates=H","DateFormat=P","Fill=—","Direction=H","UseDPDF=Y")</f>
        <v>—</v>
      </c>
      <c r="E34" s="13">
        <f>_xll.BDH("BLUE US Equity","ARD_INCOME_TAX_EXP_BENEFIT","FQ4 2018","FQ4 2018","Currency=USD","Period=FQ","BEST_FPERIOD_OVERRIDE=FQ","FILING_STATUS=MR","SCALING_FORMAT=MLN","Sort=A","Dates=H","DateFormat=P","Fill=—","Direction=H","UseDPDF=Y")</f>
        <v>0.187</v>
      </c>
      <c r="F34" s="13">
        <f>_xll.BDH("BLUE US Equity","ARD_INCOME_TAX_EXP_BENEFIT","FQ1 2019","FQ1 2019","Currency=USD","Period=FQ","BEST_FPERIOD_OVERRIDE=FQ","FILING_STATUS=MR","SCALING_FORMAT=MLN","Sort=A","Dates=H","DateFormat=P","Fill=—","Direction=H","UseDPDF=Y")</f>
        <v>-1.4999999999999999E-2</v>
      </c>
      <c r="G34" s="13">
        <f>_xll.BDH("BLUE US Equity","ARD_INCOME_TAX_EXP_BENEFIT","FQ2 2019","FQ2 2019","Currency=USD","Period=FQ","BEST_FPERIOD_OVERRIDE=FQ","FILING_STATUS=MR","SCALING_FORMAT=MLN","Sort=A","Dates=H","DateFormat=P","Fill=—","Direction=H","UseDPDF=Y")</f>
        <v>-0.46899999999999997</v>
      </c>
      <c r="H34" s="13">
        <f>_xll.BDH("BLUE US Equity","ARD_INCOME_TAX_EXP_BENEFIT","FQ3 2019","FQ3 2019","Currency=USD","Period=FQ","BEST_FPERIOD_OVERRIDE=FQ","FILING_STATUS=MR","SCALING_FORMAT=MLN","Sort=A","Dates=H","DateFormat=P","Fill=—","Direction=H","UseDPDF=Y")</f>
        <v>-0.26400000000000001</v>
      </c>
      <c r="I34" s="13">
        <f>_xll.BDH("BLUE US Equity","ARD_INCOME_TAX_EXP_BENEFIT","FQ4 2019","FQ4 2019","Currency=USD","Period=FQ","BEST_FPERIOD_OVERRIDE=FQ","FILING_STATUS=MR","SCALING_FORMAT=MLN","Sort=A","Dates=H","DateFormat=P","Fill=—","Direction=H","UseDPDF=Y")</f>
        <v>0.20300000000000001</v>
      </c>
      <c r="J34" s="13">
        <f>_xll.BDH("BLUE US Equity","ARD_INCOME_TAX_EXP_BENEFIT","FQ1 2020","FQ1 2020","Currency=USD","Period=FQ","BEST_FPERIOD_OVERRIDE=FQ","FILING_STATUS=MR","SCALING_FORMAT=MLN","Sort=A","Dates=H","DateFormat=P","Fill=—","Direction=H","UseDPDF=Y")</f>
        <v>9.4E-2</v>
      </c>
      <c r="K34" s="13">
        <f>_xll.BDH("BLUE US Equity","ARD_INCOME_TAX_EXP_BENEFIT","FQ2 2020","FQ2 2020","Currency=USD","Period=FQ","BEST_FPERIOD_OVERRIDE=FQ","FILING_STATUS=MR","SCALING_FORMAT=MLN","Sort=A","Dates=H","DateFormat=P","Fill=—","Direction=H","UseDPDF=Y")</f>
        <v>0.01</v>
      </c>
      <c r="L34" s="13">
        <f>_xll.BDH("BLUE US Equity","ARD_INCOME_TAX_EXP_BENEFIT","FQ3 2020","FQ3 2020","Currency=USD","Period=FQ","BEST_FPERIOD_OVERRIDE=FQ","FILING_STATUS=MR","SCALING_FORMAT=MLN","Sort=A","Dates=H","DateFormat=P","Fill=—","Direction=H","UseDPDF=Y")</f>
        <v>0.32900000000000001</v>
      </c>
      <c r="M34" s="13">
        <f>_xll.BDH("BLUE US Equity","ARD_INCOME_TAX_EXP_BENEFIT","FQ4 2020","FQ4 2020","Currency=USD","Period=FQ","BEST_FPERIOD_OVERRIDE=FQ","FILING_STATUS=MR","SCALING_FORMAT=MLN","Sort=A","Dates=H","DateFormat=P","Fill=—","Direction=H","UseDPDF=Y")</f>
        <v>0.253</v>
      </c>
      <c r="N34" s="13">
        <f>_xll.BDH("BLUE US Equity","ARD_INCOME_TAX_EXP_BENEFIT","FQ1 2021","FQ1 2021","Currency=USD","Period=FQ","BEST_FPERIOD_OVERRIDE=FQ","FILING_STATUS=MR","SCALING_FORMAT=MLN","Sort=A","Dates=H","DateFormat=P","Fill=—","Direction=H","UseDPDF=Y")</f>
        <v>6.6000000000000003E-2</v>
      </c>
      <c r="O34" s="13">
        <f>_xll.BDH("BLUE US Equity","ARD_INCOME_TAX_EXP_BENEFIT","FQ2 2021","FQ2 2021","Currency=USD","Period=FQ","BEST_FPERIOD_OVERRIDE=FQ","FILING_STATUS=MR","SCALING_FORMAT=MLN","Sort=A","Dates=H","DateFormat=P","Fill=—","Direction=H","UseDPDF=Y")</f>
        <v>0.216</v>
      </c>
      <c r="P34" s="13">
        <f>_xll.BDH("BLUE US Equity","ARD_INCOME_TAX_EXP_BENEFIT","FQ3 2021","FQ3 2021","Currency=USD","Period=FQ","BEST_FPERIOD_OVERRIDE=FQ","FILING_STATUS=MR","SCALING_FORMAT=MLN","Sort=A","Dates=H","DateFormat=P","Fill=—","Direction=H","UseDPDF=Y")</f>
        <v>-0.113</v>
      </c>
      <c r="Q34" s="13">
        <f>_xll.BDH("BLUE US Equity","ARD_INCOME_TAX_EXP_BENEFIT","FQ4 2021","FQ4 2021","Currency=USD","Period=FQ","BEST_FPERIOD_OVERRIDE=FQ","FILING_STATUS=MR","SCALING_FORMAT=MLN","Sort=A","Dates=H","DateFormat=P","Fill=—","Direction=H","UseDPDF=Y")</f>
        <v>8.8999999999999996E-2</v>
      </c>
      <c r="R34" s="13">
        <f>_xll.BDH("BLUE US Equity","ARD_INCOME_TAX_EXP_BENEFIT","FQ1 2022","FQ1 2022","Currency=USD","Period=FQ","BEST_FPERIOD_OVERRIDE=FQ","FILING_STATUS=MR","SCALING_FORMAT=MLN","Sort=A","Dates=H","DateFormat=P","Fill=—","Direction=H","UseDPDF=Y")</f>
        <v>0</v>
      </c>
      <c r="S34" s="13">
        <f>_xll.BDH("BLUE US Equity","ARD_INCOME_TAX_EXP_BENEFIT","FQ2 2022","FQ2 2022","Currency=USD","Period=FQ","BEST_FPERIOD_OVERRIDE=FQ","FILING_STATUS=MR","SCALING_FORMAT=MLN","Sort=A","Dates=H","DateFormat=P","Fill=—","Direction=H","UseDPDF=Y")</f>
        <v>0</v>
      </c>
      <c r="T34" s="13">
        <f>_xll.BDH("BLUE US Equity","ARD_INCOME_TAX_EXP_BENEFIT","FQ3 2022","FQ3 2022","Currency=USD","Period=FQ","BEST_FPERIOD_OVERRIDE=FQ","FILING_STATUS=MR","SCALING_FORMAT=MLN","Sort=A","Dates=H","DateFormat=P","Fill=—","Direction=H","UseDPDF=Y")</f>
        <v>7.0000000000000001E-3</v>
      </c>
      <c r="U34" s="13">
        <f>_xll.BDH("BLUE US Equity","ARD_INCOME_TAX_EXP_BENEFIT","FQ4 2022","FQ4 2022","Currency=USD","Period=FQ","BEST_FPERIOD_OVERRIDE=FQ","FILING_STATUS=MR","SCALING_FORMAT=MLN","Sort=A","Dates=H","DateFormat=P","Fill=—","Direction=H","UseDPDF=Y")</f>
        <v>0.11</v>
      </c>
      <c r="V34" s="13">
        <f>_xll.BDH("BLUE US Equity","ARD_INCOME_TAX_EXP_BENEFIT","FQ1 2023","FQ1 2023","Currency=USD","Period=FQ","BEST_FPERIOD_OVERRIDE=FQ","FILING_STATUS=MR","SCALING_FORMAT=MLN","Sort=A","Dates=H","DateFormat=P","Fill=—","Direction=H","UseDPDF=Y")</f>
        <v>0</v>
      </c>
      <c r="W34" s="13">
        <f>_xll.BDH("BLUE US Equity","ARD_INCOME_TAX_EXP_BENEFIT","FQ2 2023","FQ2 2023","Currency=USD","Period=FQ","BEST_FPERIOD_OVERRIDE=FQ","FILING_STATUS=MR","SCALING_FORMAT=MLN","Sort=A","Dates=H","DateFormat=P","Fill=—","Direction=H","UseDPDF=Y")</f>
        <v>-0.08</v>
      </c>
      <c r="X34" s="13">
        <f>_xll.BDH("BLUE US Equity","ARD_INCOME_TAX_EXP_BENEFIT","FQ3 2023","FQ3 2023","Currency=USD","Period=FQ","BEST_FPERIOD_OVERRIDE=FQ","FILING_STATUS=MR","SCALING_FORMAT=MLN","Sort=A","Dates=H","DateFormat=P","Fill=—","Direction=H","UseDPDF=Y")</f>
        <v>0</v>
      </c>
      <c r="Y34" s="13">
        <f>_xll.BDH("BLUE US Equity","ARD_INCOME_TAX_EXP_BENEFIT","FQ1 2024","FQ1 2024","Currency=USD","Period=FQ","BEST_FPERIOD_OVERRIDE=FQ","FILING_STATUS=MR","SCALING_FORMAT=MLN","Sort=A","Dates=H","DateFormat=P","Fill=—","Direction=H","UseDPDF=Y")</f>
        <v>0</v>
      </c>
      <c r="Z34" s="13">
        <f>_xll.BDH("BLUE US Equity","ARD_INCOME_TAX_EXP_BENEFIT","FQ2 2024","FQ2 2024","Currency=USD","Period=FQ","BEST_FPERIOD_OVERRIDE=FQ","FILING_STATUS=MR","SCALING_FORMAT=MLN","Sort=A","Dates=H","DateFormat=P","Fill=—","Direction=H","UseDPDF=Y")</f>
        <v>2.1000000000000001E-2</v>
      </c>
      <c r="AA34" s="13">
        <f>_xll.BDH("BLUE US Equity","ARD_INCOME_TAX_EXP_BENEFIT","FQ3 2024","FQ3 2024","Currency=USD","Period=FQ","BEST_FPERIOD_OVERRIDE=FQ","FILING_STATUS=MR","SCALING_FORMAT=MLN","Sort=A","Dates=H","DateFormat=P","Fill=—","Direction=H","UseDPDF=Y")</f>
        <v>-5.8000000000000003E-2</v>
      </c>
    </row>
    <row r="35" spans="1:27" x14ac:dyDescent="0.25">
      <c r="A35" s="10" t="s">
        <v>436</v>
      </c>
      <c r="B35" s="10" t="s">
        <v>437</v>
      </c>
      <c r="C35" s="13">
        <f>_xll.BDH("BLUE US Equity","ARD_INCOME_BEFORE_INCOME_TAXES","FQ2 2018","FQ2 2018","Currency=USD","Period=FQ","BEST_FPERIOD_OVERRIDE=FQ","FILING_STATUS=MR","SCALING_FORMAT=MLN","Sort=A","Dates=H","DateFormat=P","Fill=—","Direction=H","UseDPDF=Y")</f>
        <v>-145.99600000000001</v>
      </c>
      <c r="D35" s="13">
        <f>_xll.BDH("BLUE US Equity","ARD_INCOME_BEFORE_INCOME_TAXES","FQ3 2018","FQ3 2018","Currency=USD","Period=FQ","BEST_FPERIOD_OVERRIDE=FQ","FILING_STATUS=MR","SCALING_FORMAT=MLN","Sort=A","Dates=H","DateFormat=P","Fill=—","Direction=H","UseDPDF=Y")</f>
        <v>-145.47999999999999</v>
      </c>
      <c r="E35" s="13">
        <f>_xll.BDH("BLUE US Equity","ARD_INCOME_BEFORE_INCOME_TAXES","FQ4 2018","FQ4 2018","Currency=USD","Period=FQ","BEST_FPERIOD_OVERRIDE=FQ","FILING_STATUS=MR","SCALING_FORMAT=MLN","Sort=A","Dates=H","DateFormat=P","Fill=—","Direction=H","UseDPDF=Y")</f>
        <v>-148.83600000000001</v>
      </c>
      <c r="F35" s="13">
        <f>_xll.BDH("BLUE US Equity","ARD_INCOME_BEFORE_INCOME_TAXES","FQ1 2019","FQ1 2019","Currency=USD","Period=FQ","BEST_FPERIOD_OVERRIDE=FQ","FILING_STATUS=MR","SCALING_FORMAT=MLN","Sort=A","Dates=H","DateFormat=P","Fill=—","Direction=H","UseDPDF=Y")</f>
        <v>-164.46100000000001</v>
      </c>
      <c r="G35" s="13">
        <f>_xll.BDH("BLUE US Equity","ARD_INCOME_BEFORE_INCOME_TAXES","FQ2 2019","FQ2 2019","Currency=USD","Period=FQ","BEST_FPERIOD_OVERRIDE=FQ","FILING_STATUS=MR","SCALING_FORMAT=MLN","Sort=A","Dates=H","DateFormat=P","Fill=—","Direction=H","UseDPDF=Y")</f>
        <v>-196.251</v>
      </c>
      <c r="H35" s="13">
        <f>_xll.BDH("BLUE US Equity","ARD_INCOME_BEFORE_INCOME_TAXES","FQ3 2019","FQ3 2019","Currency=USD","Period=FQ","BEST_FPERIOD_OVERRIDE=FQ","FILING_STATUS=MR","SCALING_FORMAT=MLN","Sort=A","Dates=H","DateFormat=P","Fill=—","Direction=H","UseDPDF=Y")</f>
        <v>-206.297</v>
      </c>
      <c r="I35" s="13">
        <f>_xll.BDH("BLUE US Equity","ARD_INCOME_BEFORE_INCOME_TAXES","FQ4 2019","FQ4 2019","Currency=USD","Period=FQ","BEST_FPERIOD_OVERRIDE=FQ","FILING_STATUS=MR","SCALING_FORMAT=MLN","Sort=A","Dates=H","DateFormat=P","Fill=—","Direction=H","UseDPDF=Y")</f>
        <v>-223.14400000000001</v>
      </c>
      <c r="J35" s="13">
        <f>_xll.BDH("BLUE US Equity","ARD_INCOME_BEFORE_INCOME_TAXES","FQ1 2020","FQ1 2020","Currency=USD","Period=FQ","BEST_FPERIOD_OVERRIDE=FQ","FILING_STATUS=MR","SCALING_FORMAT=MLN","Sort=A","Dates=H","DateFormat=P","Fill=—","Direction=H","UseDPDF=Y")</f>
        <v>-202.517</v>
      </c>
      <c r="K35" s="13">
        <f>_xll.BDH("BLUE US Equity","ARD_INCOME_BEFORE_INCOME_TAXES","FQ2 2020","FQ2 2020","Currency=USD","Period=FQ","BEST_FPERIOD_OVERRIDE=FQ","FILING_STATUS=MR","SCALING_FORMAT=MLN","Sort=A","Dates=H","DateFormat=P","Fill=—","Direction=H","UseDPDF=Y")</f>
        <v>-21.454999999999998</v>
      </c>
      <c r="L35" s="13">
        <f>_xll.BDH("BLUE US Equity","ARD_INCOME_BEFORE_INCOME_TAXES","FQ3 2020","FQ3 2020","Currency=USD","Period=FQ","BEST_FPERIOD_OVERRIDE=FQ","FILING_STATUS=MR","SCALING_FORMAT=MLN","Sort=A","Dates=H","DateFormat=P","Fill=—","Direction=H","UseDPDF=Y")</f>
        <v>-194.416</v>
      </c>
      <c r="M35" s="13">
        <f>_xll.BDH("BLUE US Equity","ARD_INCOME_BEFORE_INCOME_TAXES","FQ4 2020","FQ4 2020","Currency=USD","Period=FQ","BEST_FPERIOD_OVERRIDE=FQ","FILING_STATUS=MR","SCALING_FORMAT=MLN","Sort=A","Dates=H","DateFormat=P","Fill=—","Direction=H","UseDPDF=Y")</f>
        <v>-136.06800000000001</v>
      </c>
      <c r="N35" s="13">
        <f>_xll.BDH("BLUE US Equity","ARD_INCOME_BEFORE_INCOME_TAXES","FQ1 2021","FQ1 2021","Currency=USD","Period=FQ","BEST_FPERIOD_OVERRIDE=FQ","FILING_STATUS=MR","SCALING_FORMAT=MLN","Sort=A","Dates=H","DateFormat=P","Fill=—","Direction=H","UseDPDF=Y")</f>
        <v>-121.438</v>
      </c>
      <c r="O35" s="13">
        <f>_xll.BDH("BLUE US Equity","ARD_INCOME_BEFORE_INCOME_TAXES","FQ2 2021","FQ2 2021","Currency=USD","Period=FQ","BEST_FPERIOD_OVERRIDE=FQ","FILING_STATUS=MR","SCALING_FORMAT=MLN","Sort=A","Dates=H","DateFormat=P","Fill=—","Direction=H","UseDPDF=Y")</f>
        <v>-241.48599999999999</v>
      </c>
      <c r="P35" s="13">
        <f>_xll.BDH("BLUE US Equity","ARD_INCOME_BEFORE_INCOME_TAXES","FQ3 2021","FQ3 2021","Currency=USD","Period=FQ","BEST_FPERIOD_OVERRIDE=FQ","FILING_STATUS=MR","SCALING_FORMAT=MLN","Sort=A","Dates=H","DateFormat=P","Fill=—","Direction=H","UseDPDF=Y")</f>
        <v>-152.947</v>
      </c>
      <c r="Q35" s="13">
        <f>_xll.BDH("BLUE US Equity","ARD_INCOME_BEFORE_INCOME_TAXES","FQ4 2021","FQ4 2021","Currency=USD","Period=FQ","BEST_FPERIOD_OVERRIDE=FQ","FILING_STATUS=MR","SCALING_FORMAT=MLN","Sort=A","Dates=H","DateFormat=P","Fill=—","Direction=H","UseDPDF=Y")</f>
        <v>-132.238</v>
      </c>
      <c r="R35" s="13">
        <f>_xll.BDH("BLUE US Equity","ARD_INCOME_BEFORE_INCOME_TAXES","FQ1 2022","FQ1 2022","Currency=USD","Period=FQ","BEST_FPERIOD_OVERRIDE=FQ","FILING_STATUS=MR","SCALING_FORMAT=MLN","Sort=A","Dates=H","DateFormat=P","Fill=—","Direction=H","UseDPDF=Y")</f>
        <v>-122.152</v>
      </c>
      <c r="S35" s="13">
        <f>_xll.BDH("BLUE US Equity","ARD_INCOME_BEFORE_INCOME_TAXES","FQ2 2022","FQ2 2022","Currency=USD","Period=FQ","BEST_FPERIOD_OVERRIDE=FQ","FILING_STATUS=MR","SCALING_FORMAT=MLN","Sort=A","Dates=H","DateFormat=P","Fill=—","Direction=H","UseDPDF=Y")</f>
        <v>-100.13800000000001</v>
      </c>
      <c r="T35" s="13">
        <f>_xll.BDH("BLUE US Equity","ARD_INCOME_BEFORE_INCOME_TAXES","FQ3 2022","FQ3 2022","Currency=USD","Period=FQ","BEST_FPERIOD_OVERRIDE=FQ","FILING_STATUS=MR","SCALING_FORMAT=MLN","Sort=A","Dates=H","DateFormat=P","Fill=—","Direction=H","UseDPDF=Y")</f>
        <v>-76.513000000000005</v>
      </c>
      <c r="U35" s="13">
        <f>_xll.BDH("BLUE US Equity","ARD_INCOME_BEFORE_INCOME_TAXES","FQ4 2022","FQ4 2022","Currency=USD","Period=FQ","BEST_FPERIOD_OVERRIDE=FQ","FILING_STATUS=MR","SCALING_FORMAT=MLN","Sort=A","Dates=H","DateFormat=P","Fill=—","Direction=H","UseDPDF=Y")</f>
        <v>32.341999999999999</v>
      </c>
      <c r="V35" s="13">
        <f>_xll.BDH("BLUE US Equity","ARD_INCOME_BEFORE_INCOME_TAXES","FQ1 2023","FQ1 2023","Currency=USD","Period=FQ","BEST_FPERIOD_OVERRIDE=FQ","FILING_STATUS=MR","SCALING_FORMAT=MLN","Sort=A","Dates=H","DateFormat=P","Fill=—","Direction=H","UseDPDF=Y")</f>
        <v>18.93</v>
      </c>
      <c r="W35" s="13">
        <f>_xll.BDH("BLUE US Equity","ARD_INCOME_BEFORE_INCOME_TAXES","FQ2 2023","FQ2 2023","Currency=USD","Period=FQ","BEST_FPERIOD_OVERRIDE=FQ","FILING_STATUS=MR","SCALING_FORMAT=MLN","Sort=A","Dates=H","DateFormat=P","Fill=—","Direction=H","UseDPDF=Y")</f>
        <v>-62.869</v>
      </c>
      <c r="X35" s="13">
        <f>_xll.BDH("BLUE US Equity","ARD_INCOME_BEFORE_INCOME_TAXES","FQ3 2023","FQ3 2023","Currency=USD","Period=FQ","BEST_FPERIOD_OVERRIDE=FQ","FILING_STATUS=MR","SCALING_FORMAT=MLN","Sort=A","Dates=H","DateFormat=P","Fill=—","Direction=H","UseDPDF=Y")</f>
        <v>-87.231999999999999</v>
      </c>
      <c r="Y35" s="13">
        <f>_xll.BDH("BLUE US Equity","ARD_INCOME_BEFORE_INCOME_TAXES","FQ1 2024","FQ1 2024","Currency=USD","Period=FQ","BEST_FPERIOD_OVERRIDE=FQ","FILING_STATUS=MR","SCALING_FORMAT=MLN","Sort=A","Dates=H","DateFormat=P","Fill=—","Direction=H","UseDPDF=Y")</f>
        <v>-69.804000000000002</v>
      </c>
      <c r="Z35" s="13">
        <f>_xll.BDH("BLUE US Equity","ARD_INCOME_BEFORE_INCOME_TAXES","FQ2 2024","FQ2 2024","Currency=USD","Period=FQ","BEST_FPERIOD_OVERRIDE=FQ","FILING_STATUS=MR","SCALING_FORMAT=MLN","Sort=A","Dates=H","DateFormat=P","Fill=—","Direction=H","UseDPDF=Y")</f>
        <v>-81.372</v>
      </c>
      <c r="AA35" s="13">
        <f>_xll.BDH("BLUE US Equity","ARD_INCOME_BEFORE_INCOME_TAXES","FQ3 2024","FQ3 2024","Currency=USD","Period=FQ","BEST_FPERIOD_OVERRIDE=FQ","FILING_STATUS=MR","SCALING_FORMAT=MLN","Sort=A","Dates=H","DateFormat=P","Fill=—","Direction=H","UseDPDF=Y")</f>
        <v>-60.866</v>
      </c>
    </row>
    <row r="36" spans="1:27" x14ac:dyDescent="0.25">
      <c r="A36" s="10" t="s">
        <v>438</v>
      </c>
      <c r="B36" s="10" t="s">
        <v>439</v>
      </c>
      <c r="C36" s="13" t="str">
        <f>_xll.BDH("BLUE US Equity","ARD_INCOME_BEFORE_XO_ITEMS","FQ2 2018","FQ2 2018","Currency=USD","Period=FQ","BEST_FPERIOD_OVERRIDE=FQ","FILING_STATUS=MR","SCALING_FORMAT=MLN","Sort=A","Dates=H","DateFormat=P","Fill=—","Direction=H","UseDPDF=Y")</f>
        <v>—</v>
      </c>
      <c r="D36" s="13" t="str">
        <f>_xll.BDH("BLUE US Equity","ARD_INCOME_BEFORE_XO_ITEMS","FQ3 2018","FQ3 2018","Currency=USD","Period=FQ","BEST_FPERIOD_OVERRIDE=FQ","FILING_STATUS=MR","SCALING_FORMAT=MLN","Sort=A","Dates=H","DateFormat=P","Fill=—","Direction=H","UseDPDF=Y")</f>
        <v>—</v>
      </c>
      <c r="E36" s="13" t="str">
        <f>_xll.BDH("BLUE US Equity","ARD_INCOME_BEFORE_XO_ITEMS","FQ4 2018","FQ4 2018","Currency=USD","Period=FQ","BEST_FPERIOD_OVERRIDE=FQ","FILING_STATUS=MR","SCALING_FORMAT=MLN","Sort=A","Dates=H","DateFormat=P","Fill=—","Direction=H","UseDPDF=Y")</f>
        <v>—</v>
      </c>
      <c r="F36" s="13" t="str">
        <f>_xll.BDH("BLUE US Equity","ARD_INCOME_BEFORE_XO_ITEMS","FQ1 2019","FQ1 2019","Currency=USD","Period=FQ","BEST_FPERIOD_OVERRIDE=FQ","FILING_STATUS=MR","SCALING_FORMAT=MLN","Sort=A","Dates=H","DateFormat=P","Fill=—","Direction=H","UseDPDF=Y")</f>
        <v>—</v>
      </c>
      <c r="G36" s="13" t="str">
        <f>_xll.BDH("BLUE US Equity","ARD_INCOME_BEFORE_XO_ITEMS","FQ2 2019","FQ2 2019","Currency=USD","Period=FQ","BEST_FPERIOD_OVERRIDE=FQ","FILING_STATUS=MR","SCALING_FORMAT=MLN","Sort=A","Dates=H","DateFormat=P","Fill=—","Direction=H","UseDPDF=Y")</f>
        <v>—</v>
      </c>
      <c r="H36" s="13" t="str">
        <f>_xll.BDH("BLUE US Equity","ARD_INCOME_BEFORE_XO_ITEMS","FQ3 2019","FQ3 2019","Currency=USD","Period=FQ","BEST_FPERIOD_OVERRIDE=FQ","FILING_STATUS=MR","SCALING_FORMAT=MLN","Sort=A","Dates=H","DateFormat=P","Fill=—","Direction=H","UseDPDF=Y")</f>
        <v>—</v>
      </c>
      <c r="I36" s="13" t="str">
        <f>_xll.BDH("BLUE US Equity","ARD_INCOME_BEFORE_XO_ITEMS","FQ4 2019","FQ4 2019","Currency=USD","Period=FQ","BEST_FPERIOD_OVERRIDE=FQ","FILING_STATUS=MR","SCALING_FORMAT=MLN","Sort=A","Dates=H","DateFormat=P","Fill=—","Direction=H","UseDPDF=Y")</f>
        <v>—</v>
      </c>
      <c r="J36" s="13" t="str">
        <f>_xll.BDH("BLUE US Equity","ARD_INCOME_BEFORE_XO_ITEMS","FQ1 2020","FQ1 2020","Currency=USD","Period=FQ","BEST_FPERIOD_OVERRIDE=FQ","FILING_STATUS=MR","SCALING_FORMAT=MLN","Sort=A","Dates=H","DateFormat=P","Fill=—","Direction=H","UseDPDF=Y")</f>
        <v>—</v>
      </c>
      <c r="K36" s="13" t="str">
        <f>_xll.BDH("BLUE US Equity","ARD_INCOME_BEFORE_XO_ITEMS","FQ2 2020","FQ2 2020","Currency=USD","Period=FQ","BEST_FPERIOD_OVERRIDE=FQ","FILING_STATUS=MR","SCALING_FORMAT=MLN","Sort=A","Dates=H","DateFormat=P","Fill=—","Direction=H","UseDPDF=Y")</f>
        <v>—</v>
      </c>
      <c r="L36" s="13" t="str">
        <f>_xll.BDH("BLUE US Equity","ARD_INCOME_BEFORE_XO_ITEMS","FQ3 2020","FQ3 2020","Currency=USD","Period=FQ","BEST_FPERIOD_OVERRIDE=FQ","FILING_STATUS=MR","SCALING_FORMAT=MLN","Sort=A","Dates=H","DateFormat=P","Fill=—","Direction=H","UseDPDF=Y")</f>
        <v>—</v>
      </c>
      <c r="M36" s="13">
        <f>_xll.BDH("BLUE US Equity","ARD_INCOME_BEFORE_XO_ITEMS","FQ4 2020","FQ4 2020","Currency=USD","Period=FQ","BEST_FPERIOD_OVERRIDE=FQ","FILING_STATUS=MR","SCALING_FORMAT=MLN","Sort=A","Dates=H","DateFormat=P","Fill=—","Direction=H","UseDPDF=Y")</f>
        <v>-136.321</v>
      </c>
      <c r="N36" s="13">
        <f>_xll.BDH("BLUE US Equity","ARD_INCOME_BEFORE_XO_ITEMS","FQ1 2021","FQ1 2021","Currency=USD","Period=FQ","BEST_FPERIOD_OVERRIDE=FQ","FILING_STATUS=MR","SCALING_FORMAT=MLN","Sort=A","Dates=H","DateFormat=P","Fill=—","Direction=H","UseDPDF=Y")</f>
        <v>-121.504</v>
      </c>
      <c r="O36" s="13" t="str">
        <f>_xll.BDH("BLUE US Equity","ARD_INCOME_BEFORE_XO_ITEMS","FQ2 2021","FQ2 2021","Currency=USD","Period=FQ","BEST_FPERIOD_OVERRIDE=FQ","FILING_STATUS=MR","SCALING_FORMAT=MLN","Sort=A","Dates=H","DateFormat=P","Fill=—","Direction=H","UseDPDF=Y")</f>
        <v>—</v>
      </c>
      <c r="P36" s="13">
        <f>_xll.BDH("BLUE US Equity","ARD_INCOME_BEFORE_XO_ITEMS","FQ3 2021","FQ3 2021","Currency=USD","Period=FQ","BEST_FPERIOD_OVERRIDE=FQ","FILING_STATUS=MR","SCALING_FORMAT=MLN","Sort=A","Dates=H","DateFormat=P","Fill=—","Direction=H","UseDPDF=Y")</f>
        <v>-152.834</v>
      </c>
      <c r="Q36" s="13">
        <f>_xll.BDH("BLUE US Equity","ARD_INCOME_BEFORE_XO_ITEMS","FQ4 2021","FQ4 2021","Currency=USD","Period=FQ","BEST_FPERIOD_OVERRIDE=FQ","FILING_STATUS=MR","SCALING_FORMAT=MLN","Sort=A","Dates=H","DateFormat=P","Fill=—","Direction=H","UseDPDF=Y")</f>
        <v>-132.327</v>
      </c>
      <c r="R36" s="13">
        <f>_xll.BDH("BLUE US Equity","ARD_INCOME_BEFORE_XO_ITEMS","FQ1 2022","FQ1 2022","Currency=USD","Period=FQ","BEST_FPERIOD_OVERRIDE=FQ","FILING_STATUS=MR","SCALING_FORMAT=MLN","Sort=A","Dates=H","DateFormat=P","Fill=—","Direction=H","UseDPDF=Y")</f>
        <v>-122.152</v>
      </c>
      <c r="S36" s="13">
        <f>_xll.BDH("BLUE US Equity","ARD_INCOME_BEFORE_XO_ITEMS","FQ2 2022","FQ2 2022","Currency=USD","Period=FQ","BEST_FPERIOD_OVERRIDE=FQ","FILING_STATUS=MR","SCALING_FORMAT=MLN","Sort=A","Dates=H","DateFormat=P","Fill=—","Direction=H","UseDPDF=Y")</f>
        <v>-100.13800000000001</v>
      </c>
      <c r="T36" s="13">
        <f>_xll.BDH("BLUE US Equity","ARD_INCOME_BEFORE_XO_ITEMS","FQ3 2022","FQ3 2022","Currency=USD","Period=FQ","BEST_FPERIOD_OVERRIDE=FQ","FILING_STATUS=MR","SCALING_FORMAT=MLN","Sort=A","Dates=H","DateFormat=P","Fill=—","Direction=H","UseDPDF=Y")</f>
        <v>-76.52</v>
      </c>
      <c r="U36" s="13">
        <f>_xll.BDH("BLUE US Equity","ARD_INCOME_BEFORE_XO_ITEMS","FQ4 2022","FQ4 2022","Currency=USD","Period=FQ","BEST_FPERIOD_OVERRIDE=FQ","FILING_STATUS=MR","SCALING_FORMAT=MLN","Sort=A","Dates=H","DateFormat=P","Fill=—","Direction=H","UseDPDF=Y")</f>
        <v>32.231999999999999</v>
      </c>
      <c r="V36" s="13">
        <f>_xll.BDH("BLUE US Equity","ARD_INCOME_BEFORE_XO_ITEMS","FQ1 2023","FQ1 2023","Currency=USD","Period=FQ","BEST_FPERIOD_OVERRIDE=FQ","FILING_STATUS=MR","SCALING_FORMAT=MLN","Sort=A","Dates=H","DateFormat=P","Fill=—","Direction=H","UseDPDF=Y")</f>
        <v>18.93</v>
      </c>
      <c r="W36" s="13">
        <f>_xll.BDH("BLUE US Equity","ARD_INCOME_BEFORE_XO_ITEMS","FQ2 2023","FQ2 2023","Currency=USD","Period=FQ","BEST_FPERIOD_OVERRIDE=FQ","FILING_STATUS=MR","SCALING_FORMAT=MLN","Sort=A","Dates=H","DateFormat=P","Fill=—","Direction=H","UseDPDF=Y")</f>
        <v>-62.789000000000001</v>
      </c>
      <c r="X36" s="13">
        <f>_xll.BDH("BLUE US Equity","ARD_INCOME_BEFORE_XO_ITEMS","FQ3 2023","FQ3 2023","Currency=USD","Period=FQ","BEST_FPERIOD_OVERRIDE=FQ","FILING_STATUS=MR","SCALING_FORMAT=MLN","Sort=A","Dates=H","DateFormat=P","Fill=—","Direction=H","UseDPDF=Y")</f>
        <v>-87.231999999999999</v>
      </c>
      <c r="Y36" s="13">
        <f>_xll.BDH("BLUE US Equity","ARD_INCOME_BEFORE_XO_ITEMS","FQ1 2024","FQ1 2024","Currency=USD","Period=FQ","BEST_FPERIOD_OVERRIDE=FQ","FILING_STATUS=MR","SCALING_FORMAT=MLN","Sort=A","Dates=H","DateFormat=P","Fill=—","Direction=H","UseDPDF=Y")</f>
        <v>-69.804000000000002</v>
      </c>
      <c r="Z36" s="13">
        <f>_xll.BDH("BLUE US Equity","ARD_INCOME_BEFORE_XO_ITEMS","FQ2 2024","FQ2 2024","Currency=USD","Period=FQ","BEST_FPERIOD_OVERRIDE=FQ","FILING_STATUS=MR","SCALING_FORMAT=MLN","Sort=A","Dates=H","DateFormat=P","Fill=—","Direction=H","UseDPDF=Y")</f>
        <v>-81.393000000000001</v>
      </c>
      <c r="AA36" s="13">
        <f>_xll.BDH("BLUE US Equity","ARD_INCOME_BEFORE_XO_ITEMS","FQ3 2024","FQ3 2024","Currency=USD","Period=FQ","BEST_FPERIOD_OVERRIDE=FQ","FILING_STATUS=MR","SCALING_FORMAT=MLN","Sort=A","Dates=H","DateFormat=P","Fill=—","Direction=H","UseDPDF=Y")</f>
        <v>-60.808</v>
      </c>
    </row>
    <row r="37" spans="1:27" x14ac:dyDescent="0.25">
      <c r="A37" s="10" t="s">
        <v>440</v>
      </c>
      <c r="B37" s="10" t="s">
        <v>441</v>
      </c>
      <c r="C37" s="13">
        <f>_xll.BDH("BLUE US Equity","ARD_OTH_NON_OPER_INC_EXP_NET","FQ2 2018","FQ2 2018","Currency=USD","Period=FQ","BEST_FPERIOD_OVERRIDE=FQ","FILING_STATUS=MR","SCALING_FORMAT=MLN","Sort=A","Dates=H","DateFormat=P","Fill=—","Direction=H","UseDPDF=Y")</f>
        <v>-0.182</v>
      </c>
      <c r="D37" s="13">
        <f>_xll.BDH("BLUE US Equity","ARD_OTH_NON_OPER_INC_EXP_NET","FQ3 2018","FQ3 2018","Currency=USD","Period=FQ","BEST_FPERIOD_OVERRIDE=FQ","FILING_STATUS=MR","SCALING_FORMAT=MLN","Sort=A","Dates=H","DateFormat=P","Fill=—","Direction=H","UseDPDF=Y")</f>
        <v>0.252</v>
      </c>
      <c r="E37" s="13">
        <f>_xll.BDH("BLUE US Equity","ARD_OTH_NON_OPER_INC_EXP_NET","FQ4 2018","FQ4 2018","Currency=USD","Period=FQ","BEST_FPERIOD_OVERRIDE=FQ","FILING_STATUS=MR","SCALING_FORMAT=MLN","Sort=A","Dates=H","DateFormat=P","Fill=—","Direction=H","UseDPDF=Y")</f>
        <v>-1.9159999999999999</v>
      </c>
      <c r="F37" s="13">
        <f>_xll.BDH("BLUE US Equity","ARD_OTH_NON_OPER_INC_EXP_NET","FQ1 2019","FQ1 2019","Currency=USD","Period=FQ","BEST_FPERIOD_OVERRIDE=FQ","FILING_STATUS=MR","SCALING_FORMAT=MLN","Sort=A","Dates=H","DateFormat=P","Fill=—","Direction=H","UseDPDF=Y")</f>
        <v>3.3889999999999998</v>
      </c>
      <c r="G37" s="13">
        <f>_xll.BDH("BLUE US Equity","ARD_OTH_NON_OPER_INC_EXP_NET","FQ2 2019","FQ2 2019","Currency=USD","Period=FQ","BEST_FPERIOD_OVERRIDE=FQ","FILING_STATUS=MR","SCALING_FORMAT=MLN","Sort=A","Dates=H","DateFormat=P","Fill=—","Direction=H","UseDPDF=Y")</f>
        <v>2.9359999999999999</v>
      </c>
      <c r="H37" s="13" t="str">
        <f>_xll.BDH("BLUE US Equity","ARD_OTH_NON_OPER_INC_EXP_NET","FQ3 2019","FQ3 2019","Currency=USD","Period=FQ","BEST_FPERIOD_OVERRIDE=FQ","FILING_STATUS=MR","SCALING_FORMAT=MLN","Sort=A","Dates=H","DateFormat=P","Fill=—","Direction=H","UseDPDF=Y")</f>
        <v>—</v>
      </c>
      <c r="I37" s="13" t="str">
        <f>_xll.BDH("BLUE US Equity","ARD_OTH_NON_OPER_INC_EXP_NET","FQ4 2019","FQ4 2019","Currency=USD","Period=FQ","BEST_FPERIOD_OVERRIDE=FQ","FILING_STATUS=MR","SCALING_FORMAT=MLN","Sort=A","Dates=H","DateFormat=P","Fill=—","Direction=H","UseDPDF=Y")</f>
        <v>—</v>
      </c>
      <c r="J37" s="13">
        <f>_xll.BDH("BLUE US Equity","ARD_OTH_NON_OPER_INC_EXP_NET","FQ1 2020","FQ1 2020","Currency=USD","Period=FQ","BEST_FPERIOD_OVERRIDE=FQ","FILING_STATUS=MR","SCALING_FORMAT=MLN","Sort=A","Dates=H","DateFormat=P","Fill=—","Direction=H","UseDPDF=Y")</f>
        <v>4.4470000000000001</v>
      </c>
      <c r="K37" s="13">
        <f>_xll.BDH("BLUE US Equity","ARD_OTH_NON_OPER_INC_EXP_NET","FQ2 2020","FQ2 2020","Currency=USD","Period=FQ","BEST_FPERIOD_OVERRIDE=FQ","FILING_STATUS=MR","SCALING_FORMAT=MLN","Sort=A","Dates=H","DateFormat=P","Fill=—","Direction=H","UseDPDF=Y")</f>
        <v>-1.5509999999999999</v>
      </c>
      <c r="L37" s="13">
        <f>_xll.BDH("BLUE US Equity","ARD_OTH_NON_OPER_INC_EXP_NET","FQ3 2020","FQ3 2020","Currency=USD","Period=FQ","BEST_FPERIOD_OVERRIDE=FQ","FILING_STATUS=MR","SCALING_FORMAT=MLN","Sort=A","Dates=H","DateFormat=P","Fill=—","Direction=H","UseDPDF=Y")</f>
        <v>6.6859999999999999</v>
      </c>
      <c r="M37" s="13">
        <f>_xll.BDH("BLUE US Equity","ARD_OTH_NON_OPER_INC_EXP_NET","FQ4 2020","FQ4 2020","Currency=USD","Period=FQ","BEST_FPERIOD_OVERRIDE=FQ","FILING_STATUS=MR","SCALING_FORMAT=MLN","Sort=A","Dates=H","DateFormat=P","Fill=—","Direction=H","UseDPDF=Y")</f>
        <v>-2.6779999999999999</v>
      </c>
      <c r="N37" s="13">
        <f>_xll.BDH("BLUE US Equity","ARD_OTH_NON_OPER_INC_EXP_NET","FQ1 2021","FQ1 2021","Currency=USD","Period=FQ","BEST_FPERIOD_OVERRIDE=FQ","FILING_STATUS=MR","SCALING_FORMAT=MLN","Sort=A","Dates=H","DateFormat=P","Fill=—","Direction=H","UseDPDF=Y")</f>
        <v>-24.300999999999998</v>
      </c>
      <c r="O37" s="13">
        <f>_xll.BDH("BLUE US Equity","ARD_OTH_NON_OPER_INC_EXP_NET","FQ2 2021","FQ2 2021","Currency=USD","Period=FQ","BEST_FPERIOD_OVERRIDE=FQ","FILING_STATUS=MR","SCALING_FORMAT=MLN","Sort=A","Dates=H","DateFormat=P","Fill=—","Direction=H","UseDPDF=Y")</f>
        <v>1.087</v>
      </c>
      <c r="P37" s="13">
        <f>_xll.BDH("BLUE US Equity","ARD_OTH_NON_OPER_INC_EXP_NET","FQ3 2021","FQ3 2021","Currency=USD","Period=FQ","BEST_FPERIOD_OVERRIDE=FQ","FILING_STATUS=MR","SCALING_FORMAT=MLN","Sort=A","Dates=H","DateFormat=P","Fill=—","Direction=H","UseDPDF=Y")</f>
        <v>-1.3420000000000001</v>
      </c>
      <c r="Q37" s="13">
        <f>_xll.BDH("BLUE US Equity","ARD_OTH_NON_OPER_INC_EXP_NET","FQ4 2021","FQ4 2021","Currency=USD","Period=FQ","BEST_FPERIOD_OVERRIDE=FQ","FILING_STATUS=MR","SCALING_FORMAT=MLN","Sort=A","Dates=H","DateFormat=P","Fill=—","Direction=H","UseDPDF=Y")</f>
        <v>-3.2829999999999999</v>
      </c>
      <c r="R37" s="13">
        <f>_xll.BDH("BLUE US Equity","ARD_OTH_NON_OPER_INC_EXP_NET","FQ1 2022","FQ1 2022","Currency=USD","Period=FQ","BEST_FPERIOD_OVERRIDE=FQ","FILING_STATUS=MR","SCALING_FORMAT=MLN","Sort=A","Dates=H","DateFormat=P","Fill=—","Direction=H","UseDPDF=Y")</f>
        <v>1.9119999999999999</v>
      </c>
      <c r="S37" s="13">
        <f>_xll.BDH("BLUE US Equity","ARD_OTH_NON_OPER_INC_EXP_NET","FQ2 2022","FQ2 2022","Currency=USD","Period=FQ","BEST_FPERIOD_OVERRIDE=FQ","FILING_STATUS=MR","SCALING_FORMAT=MLN","Sort=A","Dates=H","DateFormat=P","Fill=—","Direction=H","UseDPDF=Y")</f>
        <v>-7.0880000000000001</v>
      </c>
      <c r="T37" s="13">
        <f>_xll.BDH("BLUE US Equity","ARD_OTH_NON_OPER_INC_EXP_NET","FQ3 2022","FQ3 2022","Currency=USD","Period=FQ","BEST_FPERIOD_OVERRIDE=FQ","FILING_STATUS=MR","SCALING_FORMAT=MLN","Sort=A","Dates=H","DateFormat=P","Fill=—","Direction=H","UseDPDF=Y")</f>
        <v>-7.8849999999999998</v>
      </c>
      <c r="U37" s="13">
        <f>_xll.BDH("BLUE US Equity","ARD_OTH_NON_OPER_INC_EXP_NET","FQ4 2022","FQ4 2022","Currency=USD","Period=FQ","BEST_FPERIOD_OVERRIDE=FQ","FILING_STATUS=MR","SCALING_FORMAT=MLN","Sort=A","Dates=H","DateFormat=P","Fill=—","Direction=H","UseDPDF=Y")</f>
        <v>-6.5380000000000003</v>
      </c>
      <c r="V37" s="13">
        <f>_xll.BDH("BLUE US Equity","ARD_OTH_NON_OPER_INC_EXP_NET","FQ1 2023","FQ1 2023","Currency=USD","Period=FQ","BEST_FPERIOD_OVERRIDE=FQ","FILING_STATUS=MR","SCALING_FORMAT=MLN","Sort=A","Dates=H","DateFormat=P","Fill=—","Direction=H","UseDPDF=Y")</f>
        <v>-9.6270000000000007</v>
      </c>
      <c r="W37" s="13">
        <f>_xll.BDH("BLUE US Equity","ARD_OTH_NON_OPER_INC_EXP_NET","FQ2 2023","FQ2 2023","Currency=USD","Period=FQ","BEST_FPERIOD_OVERRIDE=FQ","FILING_STATUS=MR","SCALING_FORMAT=MLN","Sort=A","Dates=H","DateFormat=P","Fill=—","Direction=H","UseDPDF=Y")</f>
        <v>-9.9190000000000005</v>
      </c>
      <c r="X37" s="13">
        <f>_xll.BDH("BLUE US Equity","ARD_OTH_NON_OPER_INC_EXP_NET","FQ3 2023","FQ3 2023","Currency=USD","Period=FQ","BEST_FPERIOD_OVERRIDE=FQ","FILING_STATUS=MR","SCALING_FORMAT=MLN","Sort=A","Dates=H","DateFormat=P","Fill=—","Direction=H","UseDPDF=Y")</f>
        <v>-10.631</v>
      </c>
      <c r="Y37" s="13">
        <f>_xll.BDH("BLUE US Equity","ARD_OTH_NON_OPER_INC_EXP_NET","FQ1 2024","FQ1 2024","Currency=USD","Period=FQ","BEST_FPERIOD_OVERRIDE=FQ","FILING_STATUS=MR","SCALING_FORMAT=MLN","Sort=A","Dates=H","DateFormat=P","Fill=—","Direction=H","UseDPDF=Y")</f>
        <v>-11.164999999999999</v>
      </c>
      <c r="Z37" s="13">
        <f>_xll.BDH("BLUE US Equity","ARD_OTH_NON_OPER_INC_EXP_NET","FQ2 2024","FQ2 2024","Currency=USD","Period=FQ","BEST_FPERIOD_OVERRIDE=FQ","FILING_STATUS=MR","SCALING_FORMAT=MLN","Sort=A","Dates=H","DateFormat=P","Fill=—","Direction=H","UseDPDF=Y")</f>
        <v>-9.6359999999999992</v>
      </c>
      <c r="AA37" s="13">
        <f>_xll.BDH("BLUE US Equity","ARD_OTH_NON_OPER_INC_EXP_NET","FQ3 2024","FQ3 2024","Currency=USD","Period=FQ","BEST_FPERIOD_OVERRIDE=FQ","FILING_STATUS=MR","SCALING_FORMAT=MLN","Sort=A","Dates=H","DateFormat=P","Fill=—","Direction=H","UseDPDF=Y")</f>
        <v>-10.191000000000001</v>
      </c>
    </row>
    <row r="38" spans="1:27" x14ac:dyDescent="0.25">
      <c r="A38" s="10" t="s">
        <v>442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0" t="s">
        <v>443</v>
      </c>
      <c r="B39" s="10" t="s">
        <v>444</v>
      </c>
      <c r="C39" s="13" t="str">
        <f>_xll.BDH("BLUE US Equity","ARD_DISC_OPS_LOSS_BEN_NET","FQ2 2018","FQ2 2018","Currency=USD","Period=FQ","BEST_FPERIOD_OVERRIDE=FQ","FILING_STATUS=MR","SCALING_FORMAT=MLN","Sort=A","Dates=H","DateFormat=P","Fill=—","Direction=H","UseDPDF=Y")</f>
        <v>—</v>
      </c>
      <c r="D39" s="13" t="str">
        <f>_xll.BDH("BLUE US Equity","ARD_DISC_OPS_LOSS_BEN_NET","FQ3 2018","FQ3 2018","Currency=USD","Period=FQ","BEST_FPERIOD_OVERRIDE=FQ","FILING_STATUS=MR","SCALING_FORMAT=MLN","Sort=A","Dates=H","DateFormat=P","Fill=—","Direction=H","UseDPDF=Y")</f>
        <v>—</v>
      </c>
      <c r="E39" s="13" t="str">
        <f>_xll.BDH("BLUE US Equity","ARD_DISC_OPS_LOSS_BEN_NET","FQ4 2018","FQ4 2018","Currency=USD","Period=FQ","BEST_FPERIOD_OVERRIDE=FQ","FILING_STATUS=MR","SCALING_FORMAT=MLN","Sort=A","Dates=H","DateFormat=P","Fill=—","Direction=H","UseDPDF=Y")</f>
        <v>—</v>
      </c>
      <c r="F39" s="13" t="str">
        <f>_xll.BDH("BLUE US Equity","ARD_DISC_OPS_LOSS_BEN_NET","FQ1 2019","FQ1 2019","Currency=USD","Period=FQ","BEST_FPERIOD_OVERRIDE=FQ","FILING_STATUS=MR","SCALING_FORMAT=MLN","Sort=A","Dates=H","DateFormat=P","Fill=—","Direction=H","UseDPDF=Y")</f>
        <v>—</v>
      </c>
      <c r="G39" s="13" t="str">
        <f>_xll.BDH("BLUE US Equity","ARD_DISC_OPS_LOSS_BEN_NET","FQ2 2019","FQ2 2019","Currency=USD","Period=FQ","BEST_FPERIOD_OVERRIDE=FQ","FILING_STATUS=MR","SCALING_FORMAT=MLN","Sort=A","Dates=H","DateFormat=P","Fill=—","Direction=H","UseDPDF=Y")</f>
        <v>—</v>
      </c>
      <c r="H39" s="13" t="str">
        <f>_xll.BDH("BLUE US Equity","ARD_DISC_OPS_LOSS_BEN_NET","FQ3 2019","FQ3 2019","Currency=USD","Period=FQ","BEST_FPERIOD_OVERRIDE=FQ","FILING_STATUS=MR","SCALING_FORMAT=MLN","Sort=A","Dates=H","DateFormat=P","Fill=—","Direction=H","UseDPDF=Y")</f>
        <v>—</v>
      </c>
      <c r="I39" s="13" t="str">
        <f>_xll.BDH("BLUE US Equity","ARD_DISC_OPS_LOSS_BEN_NET","FQ4 2019","FQ4 2019","Currency=USD","Period=FQ","BEST_FPERIOD_OVERRIDE=FQ","FILING_STATUS=MR","SCALING_FORMAT=MLN","Sort=A","Dates=H","DateFormat=P","Fill=—","Direction=H","UseDPDF=Y")</f>
        <v>—</v>
      </c>
      <c r="J39" s="13" t="str">
        <f>_xll.BDH("BLUE US Equity","ARD_DISC_OPS_LOSS_BEN_NET","FQ1 2020","FQ1 2020","Currency=USD","Period=FQ","BEST_FPERIOD_OVERRIDE=FQ","FILING_STATUS=MR","SCALING_FORMAT=MLN","Sort=A","Dates=H","DateFormat=P","Fill=—","Direction=H","UseDPDF=Y")</f>
        <v>—</v>
      </c>
      <c r="K39" s="13" t="str">
        <f>_xll.BDH("BLUE US Equity","ARD_DISC_OPS_LOSS_BEN_NET","FQ2 2020","FQ2 2020","Currency=USD","Period=FQ","BEST_FPERIOD_OVERRIDE=FQ","FILING_STATUS=MR","SCALING_FORMAT=MLN","Sort=A","Dates=H","DateFormat=P","Fill=—","Direction=H","UseDPDF=Y")</f>
        <v>—</v>
      </c>
      <c r="L39" s="13" t="str">
        <f>_xll.BDH("BLUE US Equity","ARD_DISC_OPS_LOSS_BEN_NET","FQ3 2020","FQ3 2020","Currency=USD","Period=FQ","BEST_FPERIOD_OVERRIDE=FQ","FILING_STATUS=MR","SCALING_FORMAT=MLN","Sort=A","Dates=H","DateFormat=P","Fill=—","Direction=H","UseDPDF=Y")</f>
        <v>—</v>
      </c>
      <c r="M39" s="13">
        <f>_xll.BDH("BLUE US Equity","ARD_DISC_OPS_LOSS_BEN_NET","FQ4 2020","FQ4 2020","Currency=USD","Period=FQ","BEST_FPERIOD_OVERRIDE=FQ","FILING_STATUS=MR","SCALING_FORMAT=MLN","Sort=A","Dates=H","DateFormat=P","Fill=—","Direction=H","UseDPDF=Y")</f>
        <v>63.552999999999997</v>
      </c>
      <c r="N39" s="13">
        <f>_xll.BDH("BLUE US Equity","ARD_DISC_OPS_LOSS_BEN_NET","FQ1 2021","FQ1 2021","Currency=USD","Period=FQ","BEST_FPERIOD_OVERRIDE=FQ","FILING_STATUS=MR","SCALING_FORMAT=MLN","Sort=A","Dates=H","DateFormat=P","Fill=—","Direction=H","UseDPDF=Y")</f>
        <v>84.304000000000002</v>
      </c>
      <c r="O39" s="13" t="str">
        <f>_xll.BDH("BLUE US Equity","ARD_DISC_OPS_LOSS_BEN_NET","FQ2 2021","FQ2 2021","Currency=USD","Period=FQ","BEST_FPERIOD_OVERRIDE=FQ","FILING_STATUS=MR","SCALING_FORMAT=MLN","Sort=A","Dates=H","DateFormat=P","Fill=—","Direction=H","UseDPDF=Y")</f>
        <v>—</v>
      </c>
      <c r="P39" s="13">
        <f>_xll.BDH("BLUE US Equity","ARD_DISC_OPS_LOSS_BEN_NET","FQ3 2021","FQ3 2021","Currency=USD","Period=FQ","BEST_FPERIOD_OVERRIDE=FQ","FILING_STATUS=MR","SCALING_FORMAT=MLN","Sort=A","Dates=H","DateFormat=P","Fill=—","Direction=H","UseDPDF=Y")</f>
        <v>63.981999999999999</v>
      </c>
      <c r="Q39" s="13">
        <f>_xll.BDH("BLUE US Equity","ARD_DISC_OPS_LOSS_BEN_NET","FQ4 2021","FQ4 2021","Currency=USD","Period=FQ","BEST_FPERIOD_OVERRIDE=FQ","FILING_STATUS=MR","SCALING_FORMAT=MLN","Sort=A","Dates=H","DateFormat=P","Fill=—","Direction=H","UseDPDF=Y")</f>
        <v>22.725000000000001</v>
      </c>
      <c r="R39" s="13">
        <f>_xll.BDH("BLUE US Equity","ARD_DISC_OPS_LOSS_BEN_NET","FQ1 2022","FQ1 2022","Currency=USD","Period=FQ","BEST_FPERIOD_OVERRIDE=FQ","FILING_STATUS=MR","SCALING_FORMAT=MLN","Sort=A","Dates=H","DateFormat=P","Fill=—","Direction=H","UseDPDF=Y")</f>
        <v>0</v>
      </c>
      <c r="S39" s="13">
        <f>_xll.BDH("BLUE US Equity","ARD_DISC_OPS_LOSS_BEN_NET","FQ2 2022","FQ2 2022","Currency=USD","Period=FQ","BEST_FPERIOD_OVERRIDE=FQ","FILING_STATUS=MR","SCALING_FORMAT=MLN","Sort=A","Dates=H","DateFormat=P","Fill=—","Direction=H","UseDPDF=Y")</f>
        <v>0</v>
      </c>
      <c r="T39" s="13">
        <f>_xll.BDH("BLUE US Equity","ARD_DISC_OPS_LOSS_BEN_NET","FQ3 2022","FQ3 2022","Currency=USD","Period=FQ","BEST_FPERIOD_OVERRIDE=FQ","FILING_STATUS=MR","SCALING_FORMAT=MLN","Sort=A","Dates=H","DateFormat=P","Fill=—","Direction=H","UseDPDF=Y")</f>
        <v>0</v>
      </c>
      <c r="U39" s="13">
        <f>_xll.BDH("BLUE US Equity","ARD_DISC_OPS_LOSS_BEN_NET","FQ4 2022","FQ4 2022","Currency=USD","Period=FQ","BEST_FPERIOD_OVERRIDE=FQ","FILING_STATUS=MR","SCALING_FORMAT=MLN","Sort=A","Dates=H","DateFormat=P","Fill=—","Direction=H","UseDPDF=Y")</f>
        <v>0</v>
      </c>
      <c r="V39" s="13" t="str">
        <f>_xll.BDH("BLUE US Equity","ARD_DISC_OPS_LOSS_BEN_NET","FQ1 2023","FQ1 2023","Currency=USD","Period=FQ","BEST_FPERIOD_OVERRIDE=FQ","FILING_STATUS=MR","SCALING_FORMAT=MLN","Sort=A","Dates=H","DateFormat=P","Fill=—","Direction=H","UseDPDF=Y")</f>
        <v>—</v>
      </c>
      <c r="W39" s="13" t="str">
        <f>_xll.BDH("BLUE US Equity","ARD_DISC_OPS_LOSS_BEN_NET","FQ2 2023","FQ2 2023","Currency=USD","Period=FQ","BEST_FPERIOD_OVERRIDE=FQ","FILING_STATUS=MR","SCALING_FORMAT=MLN","Sort=A","Dates=H","DateFormat=P","Fill=—","Direction=H","UseDPDF=Y")</f>
        <v>—</v>
      </c>
      <c r="X39" s="13" t="str">
        <f>_xll.BDH("BLUE US Equity","ARD_DISC_OPS_LOSS_BEN_NET","FQ3 2023","FQ3 2023","Currency=USD","Period=FQ","BEST_FPERIOD_OVERRIDE=FQ","FILING_STATUS=MR","SCALING_FORMAT=MLN","Sort=A","Dates=H","DateFormat=P","Fill=—","Direction=H","UseDPDF=Y")</f>
        <v>—</v>
      </c>
      <c r="Y39" s="13" t="str">
        <f>_xll.BDH("BLUE US Equity","ARD_DISC_OPS_LOSS_BEN_NET","FQ1 2024","FQ1 2024","Currency=USD","Period=FQ","BEST_FPERIOD_OVERRIDE=FQ","FILING_STATUS=MR","SCALING_FORMAT=MLN","Sort=A","Dates=H","DateFormat=P","Fill=—","Direction=H","UseDPDF=Y")</f>
        <v>—</v>
      </c>
      <c r="Z39" s="13" t="str">
        <f>_xll.BDH("BLUE US Equity","ARD_DISC_OPS_LOSS_BEN_NET","FQ2 2024","FQ2 2024","Currency=USD","Period=FQ","BEST_FPERIOD_OVERRIDE=FQ","FILING_STATUS=MR","SCALING_FORMAT=MLN","Sort=A","Dates=H","DateFormat=P","Fill=—","Direction=H","UseDPDF=Y")</f>
        <v>—</v>
      </c>
      <c r="AA39" s="13" t="str">
        <f>_xll.BDH("BLUE US Equity","ARD_DISC_OPS_LOSS_BEN_NET","FQ3 2024","FQ3 2024","Currency=USD","Period=FQ","BEST_FPERIOD_OVERRIDE=FQ","FILING_STATUS=MR","SCALING_FORMAT=MLN","Sort=A","Dates=H","DateFormat=P","Fill=—","Direction=H","UseDPDF=Y")</f>
        <v>—</v>
      </c>
    </row>
    <row r="40" spans="1:27" x14ac:dyDescent="0.25">
      <c r="A40" s="10" t="s">
        <v>445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10" t="s">
        <v>446</v>
      </c>
      <c r="B41" s="10" t="s">
        <v>447</v>
      </c>
      <c r="C41" s="14" t="str">
        <f>_xll.BDH("BLUE US Equity","ARD_BASIC_EPS","FQ2 2018","FQ2 2018","Currency=USD","Period=FQ","BEST_FPERIOD_OVERRIDE=FQ","FILING_STATUS=MR","Sort=A","Dates=H","DateFormat=P","Fill=—","Direction=H","UseDPDF=Y")</f>
        <v>—</v>
      </c>
      <c r="D41" s="14" t="str">
        <f>_xll.BDH("BLUE US Equity","ARD_BASIC_EPS","FQ3 2018","FQ3 2018","Currency=USD","Period=FQ","BEST_FPERIOD_OVERRIDE=FQ","FILING_STATUS=MR","Sort=A","Dates=H","DateFormat=P","Fill=—","Direction=H","UseDPDF=Y")</f>
        <v>—</v>
      </c>
      <c r="E41" s="14" t="str">
        <f>_xll.BDH("BLUE US Equity","ARD_BASIC_EPS","FQ4 2018","FQ4 2018","Currency=USD","Period=FQ","BEST_FPERIOD_OVERRIDE=FQ","FILING_STATUS=MR","Sort=A","Dates=H","DateFormat=P","Fill=—","Direction=H","UseDPDF=Y")</f>
        <v>—</v>
      </c>
      <c r="F41" s="14" t="str">
        <f>_xll.BDH("BLUE US Equity","ARD_BASIC_EPS","FQ1 2019","FQ1 2019","Currency=USD","Period=FQ","BEST_FPERIOD_OVERRIDE=FQ","FILING_STATUS=MR","Sort=A","Dates=H","DateFormat=P","Fill=—","Direction=H","UseDPDF=Y")</f>
        <v>—</v>
      </c>
      <c r="G41" s="14" t="str">
        <f>_xll.BDH("BLUE US Equity","ARD_BASIC_EPS","FQ2 2019","FQ2 2019","Currency=USD","Period=FQ","BEST_FPERIOD_OVERRIDE=FQ","FILING_STATUS=MR","Sort=A","Dates=H","DateFormat=P","Fill=—","Direction=H","UseDPDF=Y")</f>
        <v>—</v>
      </c>
      <c r="H41" s="14" t="str">
        <f>_xll.BDH("BLUE US Equity","ARD_BASIC_EPS","FQ3 2019","FQ3 2019","Currency=USD","Period=FQ","BEST_FPERIOD_OVERRIDE=FQ","FILING_STATUS=MR","Sort=A","Dates=H","DateFormat=P","Fill=—","Direction=H","UseDPDF=Y")</f>
        <v>—</v>
      </c>
      <c r="I41" s="14" t="str">
        <f>_xll.BDH("BLUE US Equity","ARD_BASIC_EPS","FQ4 2019","FQ4 2019","Currency=USD","Period=FQ","BEST_FPERIOD_OVERRIDE=FQ","FILING_STATUS=MR","Sort=A","Dates=H","DateFormat=P","Fill=—","Direction=H","UseDPDF=Y")</f>
        <v>—</v>
      </c>
      <c r="J41" s="14" t="str">
        <f>_xll.BDH("BLUE US Equity","ARD_BASIC_EPS","FQ1 2020","FQ1 2020","Currency=USD","Period=FQ","BEST_FPERIOD_OVERRIDE=FQ","FILING_STATUS=MR","Sort=A","Dates=H","DateFormat=P","Fill=—","Direction=H","UseDPDF=Y")</f>
        <v>—</v>
      </c>
      <c r="K41" s="14" t="str">
        <f>_xll.BDH("BLUE US Equity","ARD_BASIC_EPS","FQ2 2020","FQ2 2020","Currency=USD","Period=FQ","BEST_FPERIOD_OVERRIDE=FQ","FILING_STATUS=MR","Sort=A","Dates=H","DateFormat=P","Fill=—","Direction=H","UseDPDF=Y")</f>
        <v>—</v>
      </c>
      <c r="L41" s="14" t="str">
        <f>_xll.BDH("BLUE US Equity","ARD_BASIC_EPS","FQ3 2020","FQ3 2020","Currency=USD","Period=FQ","BEST_FPERIOD_OVERRIDE=FQ","FILING_STATUS=MR","Sort=A","Dates=H","DateFormat=P","Fill=—","Direction=H","UseDPDF=Y")</f>
        <v>—</v>
      </c>
      <c r="M41" s="14" t="str">
        <f>_xll.BDH("BLUE US Equity","ARD_BASIC_EPS","FQ4 2020","FQ4 2020","Currency=USD","Period=FQ","BEST_FPERIOD_OVERRIDE=FQ","FILING_STATUS=MR","Sort=A","Dates=H","DateFormat=P","Fill=—","Direction=H","UseDPDF=Y")</f>
        <v>—</v>
      </c>
      <c r="N41" s="14" t="str">
        <f>_xll.BDH("BLUE US Equity","ARD_BASIC_EPS","FQ1 2021","FQ1 2021","Currency=USD","Period=FQ","BEST_FPERIOD_OVERRIDE=FQ","FILING_STATUS=MR","Sort=A","Dates=H","DateFormat=P","Fill=—","Direction=H","UseDPDF=Y")</f>
        <v>—</v>
      </c>
      <c r="O41" s="14" t="str">
        <f>_xll.BDH("BLUE US Equity","ARD_BASIC_EPS","FQ2 2021","FQ2 2021","Currency=USD","Period=FQ","BEST_FPERIOD_OVERRIDE=FQ","FILING_STATUS=MR","Sort=A","Dates=H","DateFormat=P","Fill=—","Direction=H","UseDPDF=Y")</f>
        <v>—</v>
      </c>
      <c r="P41" s="14" t="str">
        <f>_xll.BDH("BLUE US Equity","ARD_BASIC_EPS","FQ3 2021","FQ3 2021","Currency=USD","Period=FQ","BEST_FPERIOD_OVERRIDE=FQ","FILING_STATUS=MR","Sort=A","Dates=H","DateFormat=P","Fill=—","Direction=H","UseDPDF=Y")</f>
        <v>—</v>
      </c>
      <c r="Q41" s="14" t="str">
        <f>_xll.BDH("BLUE US Equity","ARD_BASIC_EPS","FQ4 2021","FQ4 2021","Currency=USD","Period=FQ","BEST_FPERIOD_OVERRIDE=FQ","FILING_STATUS=MR","Sort=A","Dates=H","DateFormat=P","Fill=—","Direction=H","UseDPDF=Y")</f>
        <v>—</v>
      </c>
      <c r="R41" s="14" t="str">
        <f>_xll.BDH("BLUE US Equity","ARD_BASIC_EPS","FQ1 2022","FQ1 2022","Currency=USD","Period=FQ","BEST_FPERIOD_OVERRIDE=FQ","FILING_STATUS=MR","Sort=A","Dates=H","DateFormat=P","Fill=—","Direction=H","UseDPDF=Y")</f>
        <v>—</v>
      </c>
      <c r="S41" s="14" t="str">
        <f>_xll.BDH("BLUE US Equity","ARD_BASIC_EPS","FQ2 2022","FQ2 2022","Currency=USD","Period=FQ","BEST_FPERIOD_OVERRIDE=FQ","FILING_STATUS=MR","Sort=A","Dates=H","DateFormat=P","Fill=—","Direction=H","UseDPDF=Y")</f>
        <v>—</v>
      </c>
      <c r="T41" s="14" t="str">
        <f>_xll.BDH("BLUE US Equity","ARD_BASIC_EPS","FQ3 2022","FQ3 2022","Currency=USD","Period=FQ","BEST_FPERIOD_OVERRIDE=FQ","FILING_STATUS=MR","Sort=A","Dates=H","DateFormat=P","Fill=—","Direction=H","UseDPDF=Y")</f>
        <v>—</v>
      </c>
      <c r="U41" s="14" t="str">
        <f>_xll.BDH("BLUE US Equity","ARD_BASIC_EPS","FQ4 2022","FQ4 2022","Currency=USD","Period=FQ","BEST_FPERIOD_OVERRIDE=FQ","FILING_STATUS=MR","Sort=A","Dates=H","DateFormat=P","Fill=—","Direction=H","UseDPDF=Y")</f>
        <v>—</v>
      </c>
      <c r="V41" s="14">
        <f>_xll.BDH("BLUE US Equity","ARD_BASIC_EPS","FQ1 2023","FQ1 2023","Currency=USD","Period=FQ","BEST_FPERIOD_OVERRIDE=FQ","FILING_STATUS=MR","Sort=A","Dates=H","DateFormat=P","Fill=—","Direction=H","UseDPDF=Y")</f>
        <v>0.18</v>
      </c>
      <c r="W41" s="14">
        <f>_xll.BDH("BLUE US Equity","ARD_BASIC_EPS","FQ2 2023","FQ2 2023","Currency=USD","Period=FQ","BEST_FPERIOD_OVERRIDE=FQ","FILING_STATUS=MR","Sort=A","Dates=H","DateFormat=P","Fill=—","Direction=H","UseDPDF=Y")</f>
        <v>-0.57999999999999996</v>
      </c>
      <c r="X41" s="14">
        <f>_xll.BDH("BLUE US Equity","ARD_BASIC_EPS","FQ3 2023","FQ3 2023","Currency=USD","Period=FQ","BEST_FPERIOD_OVERRIDE=FQ","FILING_STATUS=MR","Sort=A","Dates=H","DateFormat=P","Fill=—","Direction=H","UseDPDF=Y")</f>
        <v>-0.8</v>
      </c>
      <c r="Y41" s="14">
        <f>_xll.BDH("BLUE US Equity","ARD_BASIC_EPS","FQ1 2024","FQ1 2024","Currency=USD","Period=FQ","BEST_FPERIOD_OVERRIDE=FQ","FILING_STATUS=MR","Sort=A","Dates=H","DateFormat=P","Fill=—","Direction=H","UseDPDF=Y")</f>
        <v>-0.36</v>
      </c>
      <c r="Z41" s="14">
        <f>_xll.BDH("BLUE US Equity","ARD_BASIC_EPS","FQ2 2024","FQ2 2024","Currency=USD","Period=FQ","BEST_FPERIOD_OVERRIDE=FQ","FILING_STATUS=MR","Sort=A","Dates=H","DateFormat=P","Fill=—","Direction=H","UseDPDF=Y")</f>
        <v>-0.42</v>
      </c>
      <c r="AA41" s="14">
        <f>_xll.BDH("BLUE US Equity","ARD_BASIC_EPS","FQ3 2024","FQ3 2024","Currency=USD","Period=FQ","BEST_FPERIOD_OVERRIDE=FQ","FILING_STATUS=MR","Sort=A","Dates=H","DateFormat=P","Fill=—","Direction=H","UseDPDF=Y")</f>
        <v>-0.31</v>
      </c>
    </row>
    <row r="42" spans="1:27" x14ac:dyDescent="0.25">
      <c r="A42" s="10" t="s">
        <v>448</v>
      </c>
      <c r="B42" s="10" t="s">
        <v>449</v>
      </c>
      <c r="C42" s="13" t="str">
        <f>_xll.BDH("BLUE US Equity","ARD_WEIGHTED_AVG_SHARES_BASIC","FQ2 2018","FQ2 2018","Currency=USD","Period=FQ","BEST_FPERIOD_OVERRIDE=FQ","FILING_STATUS=MR","Sort=A","Dates=H","DateFormat=P","Fill=—","Direction=H","UseDPDF=Y")</f>
        <v>—</v>
      </c>
      <c r="D42" s="13" t="str">
        <f>_xll.BDH("BLUE US Equity","ARD_WEIGHTED_AVG_SHARES_BASIC","FQ3 2018","FQ3 2018","Currency=USD","Period=FQ","BEST_FPERIOD_OVERRIDE=FQ","FILING_STATUS=MR","Sort=A","Dates=H","DateFormat=P","Fill=—","Direction=H","UseDPDF=Y")</f>
        <v>—</v>
      </c>
      <c r="E42" s="13" t="str">
        <f>_xll.BDH("BLUE US Equity","ARD_WEIGHTED_AVG_SHARES_BASIC","FQ4 2018","FQ4 2018","Currency=USD","Period=FQ","BEST_FPERIOD_OVERRIDE=FQ","FILING_STATUS=MR","Sort=A","Dates=H","DateFormat=P","Fill=—","Direction=H","UseDPDF=Y")</f>
        <v>—</v>
      </c>
      <c r="F42" s="13" t="str">
        <f>_xll.BDH("BLUE US Equity","ARD_WEIGHTED_AVG_SHARES_BASIC","FQ1 2019","FQ1 2019","Currency=USD","Period=FQ","BEST_FPERIOD_OVERRIDE=FQ","FILING_STATUS=MR","Sort=A","Dates=H","DateFormat=P","Fill=—","Direction=H","UseDPDF=Y")</f>
        <v>—</v>
      </c>
      <c r="G42" s="13" t="str">
        <f>_xll.BDH("BLUE US Equity","ARD_WEIGHTED_AVG_SHARES_BASIC","FQ2 2019","FQ2 2019","Currency=USD","Period=FQ","BEST_FPERIOD_OVERRIDE=FQ","FILING_STATUS=MR","Sort=A","Dates=H","DateFormat=P","Fill=—","Direction=H","UseDPDF=Y")</f>
        <v>—</v>
      </c>
      <c r="H42" s="13" t="str">
        <f>_xll.BDH("BLUE US Equity","ARD_WEIGHTED_AVG_SHARES_BASIC","FQ3 2019","FQ3 2019","Currency=USD","Period=FQ","BEST_FPERIOD_OVERRIDE=FQ","FILING_STATUS=MR","Sort=A","Dates=H","DateFormat=P","Fill=—","Direction=H","UseDPDF=Y")</f>
        <v>—</v>
      </c>
      <c r="I42" s="13" t="str">
        <f>_xll.BDH("BLUE US Equity","ARD_WEIGHTED_AVG_SHARES_BASIC","FQ4 2019","FQ4 2019","Currency=USD","Period=FQ","BEST_FPERIOD_OVERRIDE=FQ","FILING_STATUS=MR","Sort=A","Dates=H","DateFormat=P","Fill=—","Direction=H","UseDPDF=Y")</f>
        <v>—</v>
      </c>
      <c r="J42" s="13" t="str">
        <f>_xll.BDH("BLUE US Equity","ARD_WEIGHTED_AVG_SHARES_BASIC","FQ1 2020","FQ1 2020","Currency=USD","Period=FQ","BEST_FPERIOD_OVERRIDE=FQ","FILING_STATUS=MR","Sort=A","Dates=H","DateFormat=P","Fill=—","Direction=H","UseDPDF=Y")</f>
        <v>—</v>
      </c>
      <c r="K42" s="13" t="str">
        <f>_xll.BDH("BLUE US Equity","ARD_WEIGHTED_AVG_SHARES_BASIC","FQ2 2020","FQ2 2020","Currency=USD","Period=FQ","BEST_FPERIOD_OVERRIDE=FQ","FILING_STATUS=MR","Sort=A","Dates=H","DateFormat=P","Fill=—","Direction=H","UseDPDF=Y")</f>
        <v>—</v>
      </c>
      <c r="L42" s="13" t="str">
        <f>_xll.BDH("BLUE US Equity","ARD_WEIGHTED_AVG_SHARES_BASIC","FQ3 2020","FQ3 2020","Currency=USD","Period=FQ","BEST_FPERIOD_OVERRIDE=FQ","FILING_STATUS=MR","Sort=A","Dates=H","DateFormat=P","Fill=—","Direction=H","UseDPDF=Y")</f>
        <v>—</v>
      </c>
      <c r="M42" s="13" t="str">
        <f>_xll.BDH("BLUE US Equity","ARD_WEIGHTED_AVG_SHARES_BASIC","FQ4 2020","FQ4 2020","Currency=USD","Period=FQ","BEST_FPERIOD_OVERRIDE=FQ","FILING_STATUS=MR","Sort=A","Dates=H","DateFormat=P","Fill=—","Direction=H","UseDPDF=Y")</f>
        <v>—</v>
      </c>
      <c r="N42" s="13" t="str">
        <f>_xll.BDH("BLUE US Equity","ARD_WEIGHTED_AVG_SHARES_BASIC","FQ1 2021","FQ1 2021","Currency=USD","Period=FQ","BEST_FPERIOD_OVERRIDE=FQ","FILING_STATUS=MR","Sort=A","Dates=H","DateFormat=P","Fill=—","Direction=H","UseDPDF=Y")</f>
        <v>—</v>
      </c>
      <c r="O42" s="13" t="str">
        <f>_xll.BDH("BLUE US Equity","ARD_WEIGHTED_AVG_SHARES_BASIC","FQ2 2021","FQ2 2021","Currency=USD","Period=FQ","BEST_FPERIOD_OVERRIDE=FQ","FILING_STATUS=MR","Sort=A","Dates=H","DateFormat=P","Fill=—","Direction=H","UseDPDF=Y")</f>
        <v>—</v>
      </c>
      <c r="P42" s="13" t="str">
        <f>_xll.BDH("BLUE US Equity","ARD_WEIGHTED_AVG_SHARES_BASIC","FQ3 2021","FQ3 2021","Currency=USD","Period=FQ","BEST_FPERIOD_OVERRIDE=FQ","FILING_STATUS=MR","Sort=A","Dates=H","DateFormat=P","Fill=—","Direction=H","UseDPDF=Y")</f>
        <v>—</v>
      </c>
      <c r="Q42" s="13" t="str">
        <f>_xll.BDH("BLUE US Equity","ARD_WEIGHTED_AVG_SHARES_BASIC","FQ4 2021","FQ4 2021","Currency=USD","Period=FQ","BEST_FPERIOD_OVERRIDE=FQ","FILING_STATUS=MR","Sort=A","Dates=H","DateFormat=P","Fill=—","Direction=H","UseDPDF=Y")</f>
        <v>—</v>
      </c>
      <c r="R42" s="13" t="str">
        <f>_xll.BDH("BLUE US Equity","ARD_WEIGHTED_AVG_SHARES_BASIC","FQ1 2022","FQ1 2022","Currency=USD","Period=FQ","BEST_FPERIOD_OVERRIDE=FQ","FILING_STATUS=MR","Sort=A","Dates=H","DateFormat=P","Fill=—","Direction=H","UseDPDF=Y")</f>
        <v>—</v>
      </c>
      <c r="S42" s="13" t="str">
        <f>_xll.BDH("BLUE US Equity","ARD_WEIGHTED_AVG_SHARES_BASIC","FQ2 2022","FQ2 2022","Currency=USD","Period=FQ","BEST_FPERIOD_OVERRIDE=FQ","FILING_STATUS=MR","Sort=A","Dates=H","DateFormat=P","Fill=—","Direction=H","UseDPDF=Y")</f>
        <v>—</v>
      </c>
      <c r="T42" s="13" t="str">
        <f>_xll.BDH("BLUE US Equity","ARD_WEIGHTED_AVG_SHARES_BASIC","FQ3 2022","FQ3 2022","Currency=USD","Period=FQ","BEST_FPERIOD_OVERRIDE=FQ","FILING_STATUS=MR","Sort=A","Dates=H","DateFormat=P","Fill=—","Direction=H","UseDPDF=Y")</f>
        <v>—</v>
      </c>
      <c r="U42" s="13" t="str">
        <f>_xll.BDH("BLUE US Equity","ARD_WEIGHTED_AVG_SHARES_BASIC","FQ4 2022","FQ4 2022","Currency=USD","Period=FQ","BEST_FPERIOD_OVERRIDE=FQ","FILING_STATUS=MR","Sort=A","Dates=H","DateFormat=P","Fill=—","Direction=H","UseDPDF=Y")</f>
        <v>—</v>
      </c>
      <c r="V42" s="13">
        <f>_xll.BDH("BLUE US Equity","ARD_WEIGHTED_AVG_SHARES_BASIC","FQ1 2023","FQ1 2023","Currency=USD","Period=FQ","BEST_FPERIOD_OVERRIDE=FQ","FILING_STATUS=MR","Sort=A","Dates=H","DateFormat=P","Fill=—","Direction=H","UseDPDF=Y")</f>
        <v>102.92</v>
      </c>
      <c r="W42" s="13">
        <f>_xll.BDH("BLUE US Equity","ARD_WEIGHTED_AVG_SHARES_BASIC","FQ2 2023","FQ2 2023","Currency=USD","Period=FQ","BEST_FPERIOD_OVERRIDE=FQ","FILING_STATUS=MR","Sort=A","Dates=H","DateFormat=P","Fill=—","Direction=H","UseDPDF=Y")</f>
        <v>108.685</v>
      </c>
      <c r="X42" s="13">
        <f>_xll.BDH("BLUE US Equity","ARD_WEIGHTED_AVG_SHARES_BASIC","FQ3 2023","FQ3 2023","Currency=USD","Period=FQ","BEST_FPERIOD_OVERRIDE=FQ","FILING_STATUS=MR","Sort=A","Dates=H","DateFormat=P","Fill=—","Direction=H","UseDPDF=Y")</f>
        <v>109.098</v>
      </c>
      <c r="Y42" s="13">
        <f>_xll.BDH("BLUE US Equity","ARD_WEIGHTED_AVG_SHARES_BASIC","FQ1 2024","FQ1 2024","Currency=USD","Period=FQ","BEST_FPERIOD_OVERRIDE=FQ","FILING_STATUS=MR","Sort=A","Dates=H","DateFormat=P","Fill=—","Direction=H","UseDPDF=Y")</f>
        <v>193.15100000000001</v>
      </c>
      <c r="Z42" s="13">
        <f>_xll.BDH("BLUE US Equity","ARD_WEIGHTED_AVG_SHARES_BASIC","FQ2 2024","FQ2 2024","Currency=USD","Period=FQ","BEST_FPERIOD_OVERRIDE=FQ","FILING_STATUS=MR","Sort=A","Dates=H","DateFormat=P","Fill=—","Direction=H","UseDPDF=Y")</f>
        <v>193.71600000000001</v>
      </c>
      <c r="AA42" s="13">
        <f>_xll.BDH("BLUE US Equity","ARD_WEIGHTED_AVG_SHARES_BASIC","FQ3 2024","FQ3 2024","Currency=USD","Period=FQ","BEST_FPERIOD_OVERRIDE=FQ","FILING_STATUS=MR","Sort=A","Dates=H","DateFormat=P","Fill=—","Direction=H","UseDPDF=Y")</f>
        <v>193.893</v>
      </c>
    </row>
    <row r="43" spans="1:27" x14ac:dyDescent="0.25">
      <c r="A43" s="10" t="s">
        <v>450</v>
      </c>
      <c r="B43" s="10" t="s">
        <v>451</v>
      </c>
      <c r="C43" s="14" t="str">
        <f>_xll.BDH("BLUE US Equity","ARD_DILUTED_EPS","FQ2 2018","FQ2 2018","Currency=USD","Period=FQ","BEST_FPERIOD_OVERRIDE=FQ","FILING_STATUS=MR","Sort=A","Dates=H","DateFormat=P","Fill=—","Direction=H","UseDPDF=Y")</f>
        <v>—</v>
      </c>
      <c r="D43" s="14" t="str">
        <f>_xll.BDH("BLUE US Equity","ARD_DILUTED_EPS","FQ3 2018","FQ3 2018","Currency=USD","Period=FQ","BEST_FPERIOD_OVERRIDE=FQ","FILING_STATUS=MR","Sort=A","Dates=H","DateFormat=P","Fill=—","Direction=H","UseDPDF=Y")</f>
        <v>—</v>
      </c>
      <c r="E43" s="14" t="str">
        <f>_xll.BDH("BLUE US Equity","ARD_DILUTED_EPS","FQ4 2018","FQ4 2018","Currency=USD","Period=FQ","BEST_FPERIOD_OVERRIDE=FQ","FILING_STATUS=MR","Sort=A","Dates=H","DateFormat=P","Fill=—","Direction=H","UseDPDF=Y")</f>
        <v>—</v>
      </c>
      <c r="F43" s="14" t="str">
        <f>_xll.BDH("BLUE US Equity","ARD_DILUTED_EPS","FQ1 2019","FQ1 2019","Currency=USD","Period=FQ","BEST_FPERIOD_OVERRIDE=FQ","FILING_STATUS=MR","Sort=A","Dates=H","DateFormat=P","Fill=—","Direction=H","UseDPDF=Y")</f>
        <v>—</v>
      </c>
      <c r="G43" s="14" t="str">
        <f>_xll.BDH("BLUE US Equity","ARD_DILUTED_EPS","FQ2 2019","FQ2 2019","Currency=USD","Period=FQ","BEST_FPERIOD_OVERRIDE=FQ","FILING_STATUS=MR","Sort=A","Dates=H","DateFormat=P","Fill=—","Direction=H","UseDPDF=Y")</f>
        <v>—</v>
      </c>
      <c r="H43" s="14" t="str">
        <f>_xll.BDH("BLUE US Equity","ARD_DILUTED_EPS","FQ3 2019","FQ3 2019","Currency=USD","Period=FQ","BEST_FPERIOD_OVERRIDE=FQ","FILING_STATUS=MR","Sort=A","Dates=H","DateFormat=P","Fill=—","Direction=H","UseDPDF=Y")</f>
        <v>—</v>
      </c>
      <c r="I43" s="14" t="str">
        <f>_xll.BDH("BLUE US Equity","ARD_DILUTED_EPS","FQ4 2019","FQ4 2019","Currency=USD","Period=FQ","BEST_FPERIOD_OVERRIDE=FQ","FILING_STATUS=MR","Sort=A","Dates=H","DateFormat=P","Fill=—","Direction=H","UseDPDF=Y")</f>
        <v>—</v>
      </c>
      <c r="J43" s="14" t="str">
        <f>_xll.BDH("BLUE US Equity","ARD_DILUTED_EPS","FQ1 2020","FQ1 2020","Currency=USD","Period=FQ","BEST_FPERIOD_OVERRIDE=FQ","FILING_STATUS=MR","Sort=A","Dates=H","DateFormat=P","Fill=—","Direction=H","UseDPDF=Y")</f>
        <v>—</v>
      </c>
      <c r="K43" s="14" t="str">
        <f>_xll.BDH("BLUE US Equity","ARD_DILUTED_EPS","FQ2 2020","FQ2 2020","Currency=USD","Period=FQ","BEST_FPERIOD_OVERRIDE=FQ","FILING_STATUS=MR","Sort=A","Dates=H","DateFormat=P","Fill=—","Direction=H","UseDPDF=Y")</f>
        <v>—</v>
      </c>
      <c r="L43" s="14" t="str">
        <f>_xll.BDH("BLUE US Equity","ARD_DILUTED_EPS","FQ3 2020","FQ3 2020","Currency=USD","Period=FQ","BEST_FPERIOD_OVERRIDE=FQ","FILING_STATUS=MR","Sort=A","Dates=H","DateFormat=P","Fill=—","Direction=H","UseDPDF=Y")</f>
        <v>—</v>
      </c>
      <c r="M43" s="14" t="str">
        <f>_xll.BDH("BLUE US Equity","ARD_DILUTED_EPS","FQ4 2020","FQ4 2020","Currency=USD","Period=FQ","BEST_FPERIOD_OVERRIDE=FQ","FILING_STATUS=MR","Sort=A","Dates=H","DateFormat=P","Fill=—","Direction=H","UseDPDF=Y")</f>
        <v>—</v>
      </c>
      <c r="N43" s="14" t="str">
        <f>_xll.BDH("BLUE US Equity","ARD_DILUTED_EPS","FQ1 2021","FQ1 2021","Currency=USD","Period=FQ","BEST_FPERIOD_OVERRIDE=FQ","FILING_STATUS=MR","Sort=A","Dates=H","DateFormat=P","Fill=—","Direction=H","UseDPDF=Y")</f>
        <v>—</v>
      </c>
      <c r="O43" s="14" t="str">
        <f>_xll.BDH("BLUE US Equity","ARD_DILUTED_EPS","FQ2 2021","FQ2 2021","Currency=USD","Period=FQ","BEST_FPERIOD_OVERRIDE=FQ","FILING_STATUS=MR","Sort=A","Dates=H","DateFormat=P","Fill=—","Direction=H","UseDPDF=Y")</f>
        <v>—</v>
      </c>
      <c r="P43" s="14" t="str">
        <f>_xll.BDH("BLUE US Equity","ARD_DILUTED_EPS","FQ3 2021","FQ3 2021","Currency=USD","Period=FQ","BEST_FPERIOD_OVERRIDE=FQ","FILING_STATUS=MR","Sort=A","Dates=H","DateFormat=P","Fill=—","Direction=H","UseDPDF=Y")</f>
        <v>—</v>
      </c>
      <c r="Q43" s="14" t="str">
        <f>_xll.BDH("BLUE US Equity","ARD_DILUTED_EPS","FQ4 2021","FQ4 2021","Currency=USD","Period=FQ","BEST_FPERIOD_OVERRIDE=FQ","FILING_STATUS=MR","Sort=A","Dates=H","DateFormat=P","Fill=—","Direction=H","UseDPDF=Y")</f>
        <v>—</v>
      </c>
      <c r="R43" s="14" t="str">
        <f>_xll.BDH("BLUE US Equity","ARD_DILUTED_EPS","FQ1 2022","FQ1 2022","Currency=USD","Period=FQ","BEST_FPERIOD_OVERRIDE=FQ","FILING_STATUS=MR","Sort=A","Dates=H","DateFormat=P","Fill=—","Direction=H","UseDPDF=Y")</f>
        <v>—</v>
      </c>
      <c r="S43" s="14" t="str">
        <f>_xll.BDH("BLUE US Equity","ARD_DILUTED_EPS","FQ2 2022","FQ2 2022","Currency=USD","Period=FQ","BEST_FPERIOD_OVERRIDE=FQ","FILING_STATUS=MR","Sort=A","Dates=H","DateFormat=P","Fill=—","Direction=H","UseDPDF=Y")</f>
        <v>—</v>
      </c>
      <c r="T43" s="14" t="str">
        <f>_xll.BDH("BLUE US Equity","ARD_DILUTED_EPS","FQ3 2022","FQ3 2022","Currency=USD","Period=FQ","BEST_FPERIOD_OVERRIDE=FQ","FILING_STATUS=MR","Sort=A","Dates=H","DateFormat=P","Fill=—","Direction=H","UseDPDF=Y")</f>
        <v>—</v>
      </c>
      <c r="U43" s="14" t="str">
        <f>_xll.BDH("BLUE US Equity","ARD_DILUTED_EPS","FQ4 2022","FQ4 2022","Currency=USD","Period=FQ","BEST_FPERIOD_OVERRIDE=FQ","FILING_STATUS=MR","Sort=A","Dates=H","DateFormat=P","Fill=—","Direction=H","UseDPDF=Y")</f>
        <v>—</v>
      </c>
      <c r="V43" s="14">
        <f>_xll.BDH("BLUE US Equity","ARD_DILUTED_EPS","FQ1 2023","FQ1 2023","Currency=USD","Period=FQ","BEST_FPERIOD_OVERRIDE=FQ","FILING_STATUS=MR","Sort=A","Dates=H","DateFormat=P","Fill=—","Direction=H","UseDPDF=Y")</f>
        <v>0.18</v>
      </c>
      <c r="W43" s="14">
        <f>_xll.BDH("BLUE US Equity","ARD_DILUTED_EPS","FQ2 2023","FQ2 2023","Currency=USD","Period=FQ","BEST_FPERIOD_OVERRIDE=FQ","FILING_STATUS=MR","Sort=A","Dates=H","DateFormat=P","Fill=—","Direction=H","UseDPDF=Y")</f>
        <v>-0.57999999999999996</v>
      </c>
      <c r="X43" s="14">
        <f>_xll.BDH("BLUE US Equity","ARD_DILUTED_EPS","FQ3 2023","FQ3 2023","Currency=USD","Period=FQ","BEST_FPERIOD_OVERRIDE=FQ","FILING_STATUS=MR","Sort=A","Dates=H","DateFormat=P","Fill=—","Direction=H","UseDPDF=Y")</f>
        <v>-0.8</v>
      </c>
      <c r="Y43" s="14">
        <f>_xll.BDH("BLUE US Equity","ARD_DILUTED_EPS","FQ1 2024","FQ1 2024","Currency=USD","Period=FQ","BEST_FPERIOD_OVERRIDE=FQ","FILING_STATUS=MR","Sort=A","Dates=H","DateFormat=P","Fill=—","Direction=H","UseDPDF=Y")</f>
        <v>-0.36</v>
      </c>
      <c r="Z43" s="14">
        <f>_xll.BDH("BLUE US Equity","ARD_DILUTED_EPS","FQ2 2024","FQ2 2024","Currency=USD","Period=FQ","BEST_FPERIOD_OVERRIDE=FQ","FILING_STATUS=MR","Sort=A","Dates=H","DateFormat=P","Fill=—","Direction=H","UseDPDF=Y")</f>
        <v>-0.42</v>
      </c>
      <c r="AA43" s="14">
        <f>_xll.BDH("BLUE US Equity","ARD_DILUTED_EPS","FQ3 2024","FQ3 2024","Currency=USD","Period=FQ","BEST_FPERIOD_OVERRIDE=FQ","FILING_STATUS=MR","Sort=A","Dates=H","DateFormat=P","Fill=—","Direction=H","UseDPDF=Y")</f>
        <v>-0.31</v>
      </c>
    </row>
    <row r="44" spans="1:27" x14ac:dyDescent="0.25">
      <c r="A44" s="10" t="s">
        <v>452</v>
      </c>
      <c r="B44" s="10" t="s">
        <v>453</v>
      </c>
      <c r="C44" s="13" t="str">
        <f>_xll.BDH("BLUE US Equity","ARD_WEIGHTED_AVG_SHARE_DILUTED","FQ2 2018","FQ2 2018","Currency=USD","Period=FQ","BEST_FPERIOD_OVERRIDE=FQ","FILING_STATUS=MR","Sort=A","Dates=H","DateFormat=P","Fill=—","Direction=H","UseDPDF=Y")</f>
        <v>—</v>
      </c>
      <c r="D44" s="13" t="str">
        <f>_xll.BDH("BLUE US Equity","ARD_WEIGHTED_AVG_SHARE_DILUTED","FQ3 2018","FQ3 2018","Currency=USD","Period=FQ","BEST_FPERIOD_OVERRIDE=FQ","FILING_STATUS=MR","Sort=A","Dates=H","DateFormat=P","Fill=—","Direction=H","UseDPDF=Y")</f>
        <v>—</v>
      </c>
      <c r="E44" s="13" t="str">
        <f>_xll.BDH("BLUE US Equity","ARD_WEIGHTED_AVG_SHARE_DILUTED","FQ4 2018","FQ4 2018","Currency=USD","Period=FQ","BEST_FPERIOD_OVERRIDE=FQ","FILING_STATUS=MR","Sort=A","Dates=H","DateFormat=P","Fill=—","Direction=H","UseDPDF=Y")</f>
        <v>—</v>
      </c>
      <c r="F44" s="13" t="str">
        <f>_xll.BDH("BLUE US Equity","ARD_WEIGHTED_AVG_SHARE_DILUTED","FQ1 2019","FQ1 2019","Currency=USD","Period=FQ","BEST_FPERIOD_OVERRIDE=FQ","FILING_STATUS=MR","Sort=A","Dates=H","DateFormat=P","Fill=—","Direction=H","UseDPDF=Y")</f>
        <v>—</v>
      </c>
      <c r="G44" s="13" t="str">
        <f>_xll.BDH("BLUE US Equity","ARD_WEIGHTED_AVG_SHARE_DILUTED","FQ2 2019","FQ2 2019","Currency=USD","Period=FQ","BEST_FPERIOD_OVERRIDE=FQ","FILING_STATUS=MR","Sort=A","Dates=H","DateFormat=P","Fill=—","Direction=H","UseDPDF=Y")</f>
        <v>—</v>
      </c>
      <c r="H44" s="13" t="str">
        <f>_xll.BDH("BLUE US Equity","ARD_WEIGHTED_AVG_SHARE_DILUTED","FQ3 2019","FQ3 2019","Currency=USD","Period=FQ","BEST_FPERIOD_OVERRIDE=FQ","FILING_STATUS=MR","Sort=A","Dates=H","DateFormat=P","Fill=—","Direction=H","UseDPDF=Y")</f>
        <v>—</v>
      </c>
      <c r="I44" s="13" t="str">
        <f>_xll.BDH("BLUE US Equity","ARD_WEIGHTED_AVG_SHARE_DILUTED","FQ4 2019","FQ4 2019","Currency=USD","Period=FQ","BEST_FPERIOD_OVERRIDE=FQ","FILING_STATUS=MR","Sort=A","Dates=H","DateFormat=P","Fill=—","Direction=H","UseDPDF=Y")</f>
        <v>—</v>
      </c>
      <c r="J44" s="13" t="str">
        <f>_xll.BDH("BLUE US Equity","ARD_WEIGHTED_AVG_SHARE_DILUTED","FQ1 2020","FQ1 2020","Currency=USD","Period=FQ","BEST_FPERIOD_OVERRIDE=FQ","FILING_STATUS=MR","Sort=A","Dates=H","DateFormat=P","Fill=—","Direction=H","UseDPDF=Y")</f>
        <v>—</v>
      </c>
      <c r="K44" s="13" t="str">
        <f>_xll.BDH("BLUE US Equity","ARD_WEIGHTED_AVG_SHARE_DILUTED","FQ2 2020","FQ2 2020","Currency=USD","Period=FQ","BEST_FPERIOD_OVERRIDE=FQ","FILING_STATUS=MR","Sort=A","Dates=H","DateFormat=P","Fill=—","Direction=H","UseDPDF=Y")</f>
        <v>—</v>
      </c>
      <c r="L44" s="13" t="str">
        <f>_xll.BDH("BLUE US Equity","ARD_WEIGHTED_AVG_SHARE_DILUTED","FQ3 2020","FQ3 2020","Currency=USD","Period=FQ","BEST_FPERIOD_OVERRIDE=FQ","FILING_STATUS=MR","Sort=A","Dates=H","DateFormat=P","Fill=—","Direction=H","UseDPDF=Y")</f>
        <v>—</v>
      </c>
      <c r="M44" s="13" t="str">
        <f>_xll.BDH("BLUE US Equity","ARD_WEIGHTED_AVG_SHARE_DILUTED","FQ4 2020","FQ4 2020","Currency=USD","Period=FQ","BEST_FPERIOD_OVERRIDE=FQ","FILING_STATUS=MR","Sort=A","Dates=H","DateFormat=P","Fill=—","Direction=H","UseDPDF=Y")</f>
        <v>—</v>
      </c>
      <c r="N44" s="13" t="str">
        <f>_xll.BDH("BLUE US Equity","ARD_WEIGHTED_AVG_SHARE_DILUTED","FQ1 2021","FQ1 2021","Currency=USD","Period=FQ","BEST_FPERIOD_OVERRIDE=FQ","FILING_STATUS=MR","Sort=A","Dates=H","DateFormat=P","Fill=—","Direction=H","UseDPDF=Y")</f>
        <v>—</v>
      </c>
      <c r="O44" s="13" t="str">
        <f>_xll.BDH("BLUE US Equity","ARD_WEIGHTED_AVG_SHARE_DILUTED","FQ2 2021","FQ2 2021","Currency=USD","Period=FQ","BEST_FPERIOD_OVERRIDE=FQ","FILING_STATUS=MR","Sort=A","Dates=H","DateFormat=P","Fill=—","Direction=H","UseDPDF=Y")</f>
        <v>—</v>
      </c>
      <c r="P44" s="13" t="str">
        <f>_xll.BDH("BLUE US Equity","ARD_WEIGHTED_AVG_SHARE_DILUTED","FQ3 2021","FQ3 2021","Currency=USD","Period=FQ","BEST_FPERIOD_OVERRIDE=FQ","FILING_STATUS=MR","Sort=A","Dates=H","DateFormat=P","Fill=—","Direction=H","UseDPDF=Y")</f>
        <v>—</v>
      </c>
      <c r="Q44" s="13" t="str">
        <f>_xll.BDH("BLUE US Equity","ARD_WEIGHTED_AVG_SHARE_DILUTED","FQ4 2021","FQ4 2021","Currency=USD","Period=FQ","BEST_FPERIOD_OVERRIDE=FQ","FILING_STATUS=MR","Sort=A","Dates=H","DateFormat=P","Fill=—","Direction=H","UseDPDF=Y")</f>
        <v>—</v>
      </c>
      <c r="R44" s="13" t="str">
        <f>_xll.BDH("BLUE US Equity","ARD_WEIGHTED_AVG_SHARE_DILUTED","FQ1 2022","FQ1 2022","Currency=USD","Period=FQ","BEST_FPERIOD_OVERRIDE=FQ","FILING_STATUS=MR","Sort=A","Dates=H","DateFormat=P","Fill=—","Direction=H","UseDPDF=Y")</f>
        <v>—</v>
      </c>
      <c r="S44" s="13" t="str">
        <f>_xll.BDH("BLUE US Equity","ARD_WEIGHTED_AVG_SHARE_DILUTED","FQ2 2022","FQ2 2022","Currency=USD","Period=FQ","BEST_FPERIOD_OVERRIDE=FQ","FILING_STATUS=MR","Sort=A","Dates=H","DateFormat=P","Fill=—","Direction=H","UseDPDF=Y")</f>
        <v>—</v>
      </c>
      <c r="T44" s="13" t="str">
        <f>_xll.BDH("BLUE US Equity","ARD_WEIGHTED_AVG_SHARE_DILUTED","FQ3 2022","FQ3 2022","Currency=USD","Period=FQ","BEST_FPERIOD_OVERRIDE=FQ","FILING_STATUS=MR","Sort=A","Dates=H","DateFormat=P","Fill=—","Direction=H","UseDPDF=Y")</f>
        <v>—</v>
      </c>
      <c r="U44" s="13" t="str">
        <f>_xll.BDH("BLUE US Equity","ARD_WEIGHTED_AVG_SHARE_DILUTED","FQ4 2022","FQ4 2022","Currency=USD","Period=FQ","BEST_FPERIOD_OVERRIDE=FQ","FILING_STATUS=MR","Sort=A","Dates=H","DateFormat=P","Fill=—","Direction=H","UseDPDF=Y")</f>
        <v>—</v>
      </c>
      <c r="V44" s="13">
        <f>_xll.BDH("BLUE US Equity","ARD_WEIGHTED_AVG_SHARE_DILUTED","FQ1 2023","FQ1 2023","Currency=USD","Period=FQ","BEST_FPERIOD_OVERRIDE=FQ","FILING_STATUS=MR","Sort=A","Dates=H","DateFormat=P","Fill=—","Direction=H","UseDPDF=Y")</f>
        <v>103.303</v>
      </c>
      <c r="W44" s="13">
        <f>_xll.BDH("BLUE US Equity","ARD_WEIGHTED_AVG_SHARE_DILUTED","FQ2 2023","FQ2 2023","Currency=USD","Period=FQ","BEST_FPERIOD_OVERRIDE=FQ","FILING_STATUS=MR","Sort=A","Dates=H","DateFormat=P","Fill=—","Direction=H","UseDPDF=Y")</f>
        <v>108.685</v>
      </c>
      <c r="X44" s="13">
        <f>_xll.BDH("BLUE US Equity","ARD_WEIGHTED_AVG_SHARE_DILUTED","FQ3 2023","FQ3 2023","Currency=USD","Period=FQ","BEST_FPERIOD_OVERRIDE=FQ","FILING_STATUS=MR","Sort=A","Dates=H","DateFormat=P","Fill=—","Direction=H","UseDPDF=Y")</f>
        <v>109.098</v>
      </c>
      <c r="Y44" s="13">
        <f>_xll.BDH("BLUE US Equity","ARD_WEIGHTED_AVG_SHARE_DILUTED","FQ1 2024","FQ1 2024","Currency=USD","Period=FQ","BEST_FPERIOD_OVERRIDE=FQ","FILING_STATUS=MR","Sort=A","Dates=H","DateFormat=P","Fill=—","Direction=H","UseDPDF=Y")</f>
        <v>193.15100000000001</v>
      </c>
      <c r="Z44" s="13">
        <f>_xll.BDH("BLUE US Equity","ARD_WEIGHTED_AVG_SHARE_DILUTED","FQ2 2024","FQ2 2024","Currency=USD","Period=FQ","BEST_FPERIOD_OVERRIDE=FQ","FILING_STATUS=MR","Sort=A","Dates=H","DateFormat=P","Fill=—","Direction=H","UseDPDF=Y")</f>
        <v>193.71600000000001</v>
      </c>
      <c r="AA44" s="13">
        <f>_xll.BDH("BLUE US Equity","ARD_WEIGHTED_AVG_SHARE_DILUTED","FQ3 2024","FQ3 2024","Currency=USD","Period=FQ","BEST_FPERIOD_OVERRIDE=FQ","FILING_STATUS=MR","Sort=A","Dates=H","DateFormat=P","Fill=—","Direction=H","UseDPDF=Y")</f>
        <v>193.893</v>
      </c>
    </row>
    <row r="45" spans="1:27" x14ac:dyDescent="0.25">
      <c r="A45" s="10" t="s">
        <v>454</v>
      </c>
      <c r="B45" s="10" t="s">
        <v>455</v>
      </c>
      <c r="C45" s="14">
        <f>_xll.BDH("BLUE US Equity","ARD_BASIC_AND_DILUTED_EPS","FQ2 2018","FQ2 2018","Currency=USD","Period=FQ","BEST_FPERIOD_OVERRIDE=FQ","FILING_STATUS=MR","Sort=A","Dates=H","DateFormat=P","Fill=—","Direction=H","UseDPDF=Y")</f>
        <v>-2.91</v>
      </c>
      <c r="D45" s="14">
        <f>_xll.BDH("BLUE US Equity","ARD_BASIC_AND_DILUTED_EPS","FQ3 2018","FQ3 2018","Currency=USD","Period=FQ","BEST_FPERIOD_OVERRIDE=FQ","FILING_STATUS=MR","Sort=A","Dates=H","DateFormat=P","Fill=—","Direction=H","UseDPDF=Y")</f>
        <v>-2.73</v>
      </c>
      <c r="E45" s="14">
        <f>_xll.BDH("BLUE US Equity","ARD_BASIC_AND_DILUTED_EPS","FQ4 2018","FQ4 2018","Currency=USD","Period=FQ","BEST_FPERIOD_OVERRIDE=FQ","FILING_STATUS=MR","Sort=A","Dates=H","DateFormat=P","Fill=—","Direction=H","UseDPDF=Y")</f>
        <v>-2.72</v>
      </c>
      <c r="F45" s="14">
        <f>_xll.BDH("BLUE US Equity","ARD_BASIC_AND_DILUTED_EPS","FQ1 2019","FQ1 2019","Currency=USD","Period=FQ","BEST_FPERIOD_OVERRIDE=FQ","FILING_STATUS=MR","Sort=A","Dates=H","DateFormat=P","Fill=—","Direction=H","UseDPDF=Y")</f>
        <v>-2.99</v>
      </c>
      <c r="G45" s="14">
        <f>_xll.BDH("BLUE US Equity","ARD_BASIC_AND_DILUTED_EPS","FQ2 2019","FQ2 2019","Currency=USD","Period=FQ","BEST_FPERIOD_OVERRIDE=FQ","FILING_STATUS=MR","Sort=A","Dates=H","DateFormat=P","Fill=—","Direction=H","UseDPDF=Y")</f>
        <v>-3.55</v>
      </c>
      <c r="H45" s="14">
        <f>_xll.BDH("BLUE US Equity","ARD_BASIC_AND_DILUTED_EPS","FQ3 2019","FQ3 2019","Currency=USD","Period=FQ","BEST_FPERIOD_OVERRIDE=FQ","FILING_STATUS=MR","Sort=A","Dates=H","DateFormat=P","Fill=—","Direction=H","UseDPDF=Y")</f>
        <v>-3.73</v>
      </c>
      <c r="I45" s="14">
        <f>_xll.BDH("BLUE US Equity","ARD_BASIC_AND_DILUTED_EPS","FQ4 2019","FQ4 2019","Currency=USD","Period=FQ","BEST_FPERIOD_OVERRIDE=FQ","FILING_STATUS=MR","Sort=A","Dates=H","DateFormat=P","Fill=—","Direction=H","UseDPDF=Y")</f>
        <v>-4.04</v>
      </c>
      <c r="J45" s="14">
        <f>_xll.BDH("BLUE US Equity","ARD_BASIC_AND_DILUTED_EPS","FQ1 2020","FQ1 2020","Currency=USD","Period=FQ","BEST_FPERIOD_OVERRIDE=FQ","FILING_STATUS=MR","Sort=A","Dates=H","DateFormat=P","Fill=—","Direction=H","UseDPDF=Y")</f>
        <v>-3.64</v>
      </c>
      <c r="K45" s="14">
        <f>_xll.BDH("BLUE US Equity","ARD_BASIC_AND_DILUTED_EPS","FQ2 2020","FQ2 2020","Currency=USD","Period=FQ","BEST_FPERIOD_OVERRIDE=FQ","FILING_STATUS=MR","Sort=A","Dates=H","DateFormat=P","Fill=—","Direction=H","UseDPDF=Y")</f>
        <v>-0.36</v>
      </c>
      <c r="L45" s="14">
        <f>_xll.BDH("BLUE US Equity","ARD_BASIC_AND_DILUTED_EPS","FQ3 2020","FQ3 2020","Currency=USD","Period=FQ","BEST_FPERIOD_OVERRIDE=FQ","FILING_STATUS=MR","Sort=A","Dates=H","DateFormat=P","Fill=—","Direction=H","UseDPDF=Y")</f>
        <v>-2.94</v>
      </c>
      <c r="M45" s="14">
        <f>_xll.BDH("BLUE US Equity","ARD_BASIC_AND_DILUTED_EPS","FQ4 2020","FQ4 2020","Currency=USD","Period=FQ","BEST_FPERIOD_OVERRIDE=FQ","FILING_STATUS=MR","Sort=A","Dates=H","DateFormat=P","Fill=—","Direction=H","UseDPDF=Y")</f>
        <v>-3.01</v>
      </c>
      <c r="N45" s="14">
        <f>_xll.BDH("BLUE US Equity","ARD_BASIC_AND_DILUTED_EPS","FQ1 2021","FQ1 2021","Currency=USD","Period=FQ","BEST_FPERIOD_OVERRIDE=FQ","FILING_STATUS=MR","Sort=A","Dates=H","DateFormat=P","Fill=—","Direction=H","UseDPDF=Y")</f>
        <v>-3.07</v>
      </c>
      <c r="O45" s="14">
        <f>_xll.BDH("BLUE US Equity","ARD_BASIC_AND_DILUTED_EPS","FQ2 2021","FQ2 2021","Currency=USD","Period=FQ","BEST_FPERIOD_OVERRIDE=FQ","FILING_STATUS=MR","Sort=A","Dates=H","DateFormat=P","Fill=—","Direction=H","UseDPDF=Y")</f>
        <v>-3.58</v>
      </c>
      <c r="P45" s="14">
        <f>_xll.BDH("BLUE US Equity","ARD_BASIC_AND_DILUTED_EPS","FQ3 2021","FQ3 2021","Currency=USD","Period=FQ","BEST_FPERIOD_OVERRIDE=FQ","FILING_STATUS=MR","Sort=A","Dates=H","DateFormat=P","Fill=—","Direction=H","UseDPDF=Y")</f>
        <v>-3.16</v>
      </c>
      <c r="Q45" s="14">
        <f>_xll.BDH("BLUE US Equity","ARD_BASIC_AND_DILUTED_EPS","FQ4 2021","FQ4 2021","Currency=USD","Period=FQ","BEST_FPERIOD_OVERRIDE=FQ","FILING_STATUS=MR","Sort=A","Dates=H","DateFormat=P","Fill=—","Direction=H","UseDPDF=Y")</f>
        <v>-2.14</v>
      </c>
      <c r="R45" s="14">
        <f>_xll.BDH("BLUE US Equity","ARD_BASIC_AND_DILUTED_EPS","FQ1 2022","FQ1 2022","Currency=USD","Period=FQ","BEST_FPERIOD_OVERRIDE=FQ","FILING_STATUS=MR","Sort=A","Dates=H","DateFormat=P","Fill=—","Direction=H","UseDPDF=Y")</f>
        <v>-1.66</v>
      </c>
      <c r="S45" s="14">
        <f>_xll.BDH("BLUE US Equity","ARD_BASIC_AND_DILUTED_EPS","FQ2 2022","FQ2 2022","Currency=USD","Period=FQ","BEST_FPERIOD_OVERRIDE=FQ","FILING_STATUS=MR","Sort=A","Dates=H","DateFormat=P","Fill=—","Direction=H","UseDPDF=Y")</f>
        <v>-1.36</v>
      </c>
      <c r="T45" s="14">
        <f>_xll.BDH("BLUE US Equity","ARD_BASIC_AND_DILUTED_EPS","FQ3 2022","FQ3 2022","Currency=USD","Period=FQ","BEST_FPERIOD_OVERRIDE=FQ","FILING_STATUS=MR","Sort=A","Dates=H","DateFormat=P","Fill=—","Direction=H","UseDPDF=Y")</f>
        <v>-0.94</v>
      </c>
      <c r="U45" s="14">
        <f>_xll.BDH("BLUE US Equity","ARD_BASIC_AND_DILUTED_EPS","FQ4 2022","FQ4 2022","Currency=USD","Period=FQ","BEST_FPERIOD_OVERRIDE=FQ","FILING_STATUS=MR","Sort=A","Dates=H","DateFormat=P","Fill=—","Direction=H","UseDPDF=Y")</f>
        <v>0.38</v>
      </c>
      <c r="V45" s="14" t="str">
        <f>_xll.BDH("BLUE US Equity","ARD_BASIC_AND_DILUTED_EPS","FQ1 2023","FQ1 2023","Currency=USD","Period=FQ","BEST_FPERIOD_OVERRIDE=FQ","FILING_STATUS=MR","Sort=A","Dates=H","DateFormat=P","Fill=—","Direction=H","UseDPDF=Y")</f>
        <v>—</v>
      </c>
      <c r="W45" s="14" t="str">
        <f>_xll.BDH("BLUE US Equity","ARD_BASIC_AND_DILUTED_EPS","FQ2 2023","FQ2 2023","Currency=USD","Period=FQ","BEST_FPERIOD_OVERRIDE=FQ","FILING_STATUS=MR","Sort=A","Dates=H","DateFormat=P","Fill=—","Direction=H","UseDPDF=Y")</f>
        <v>—</v>
      </c>
      <c r="X45" s="14" t="str">
        <f>_xll.BDH("BLUE US Equity","ARD_BASIC_AND_DILUTED_EPS","FQ3 2023","FQ3 2023","Currency=USD","Period=FQ","BEST_FPERIOD_OVERRIDE=FQ","FILING_STATUS=MR","Sort=A","Dates=H","DateFormat=P","Fill=—","Direction=H","UseDPDF=Y")</f>
        <v>—</v>
      </c>
      <c r="Y45" s="14" t="str">
        <f>_xll.BDH("BLUE US Equity","ARD_BASIC_AND_DILUTED_EPS","FQ1 2024","FQ1 2024","Currency=USD","Period=FQ","BEST_FPERIOD_OVERRIDE=FQ","FILING_STATUS=MR","Sort=A","Dates=H","DateFormat=P","Fill=—","Direction=H","UseDPDF=Y")</f>
        <v>—</v>
      </c>
      <c r="Z45" s="14" t="str">
        <f>_xll.BDH("BLUE US Equity","ARD_BASIC_AND_DILUTED_EPS","FQ2 2024","FQ2 2024","Currency=USD","Period=FQ","BEST_FPERIOD_OVERRIDE=FQ","FILING_STATUS=MR","Sort=A","Dates=H","DateFormat=P","Fill=—","Direction=H","UseDPDF=Y")</f>
        <v>—</v>
      </c>
      <c r="AA45" s="14" t="str">
        <f>_xll.BDH("BLUE US Equity","ARD_BASIC_AND_DILUTED_EPS","FQ3 2024","FQ3 2024","Currency=USD","Period=FQ","BEST_FPERIOD_OVERRIDE=FQ","FILING_STATUS=MR","Sort=A","Dates=H","DateFormat=P","Fill=—","Direction=H","UseDPDF=Y")</f>
        <v>—</v>
      </c>
    </row>
    <row r="46" spans="1:27" x14ac:dyDescent="0.25">
      <c r="A46" s="10" t="s">
        <v>456</v>
      </c>
      <c r="B46" s="10" t="s">
        <v>457</v>
      </c>
      <c r="C46" s="13">
        <f>_xll.BDH("BLUE US Equity","ARD_WTD_AVG_SHS_BASIC_DILUTED","FQ2 2018","FQ2 2018","Currency=USD","Period=FQ","BEST_FPERIOD_OVERRIDE=FQ","FILING_STATUS=MR","Sort=A","Dates=H","DateFormat=P","Fill=—","Direction=H","UseDPDF=Y")</f>
        <v>50.152999999999999</v>
      </c>
      <c r="D46" s="13">
        <f>_xll.BDH("BLUE US Equity","ARD_WTD_AVG_SHS_BASIC_DILUTED","FQ3 2018","FQ3 2018","Currency=USD","Period=FQ","BEST_FPERIOD_OVERRIDE=FQ","FILING_STATUS=MR","Sort=A","Dates=H","DateFormat=P","Fill=—","Direction=H","UseDPDF=Y")</f>
        <v>53.277000000000001</v>
      </c>
      <c r="E46" s="13">
        <f>_xll.BDH("BLUE US Equity","ARD_WTD_AVG_SHS_BASIC_DILUTED","FQ4 2018","FQ4 2018","Currency=USD","Period=FQ","BEST_FPERIOD_OVERRIDE=FQ","FILING_STATUS=MR","Sort=A","Dates=H","DateFormat=P","Fill=—","Direction=H","UseDPDF=Y")</f>
        <v>54.710999999999999</v>
      </c>
      <c r="F46" s="13">
        <f>_xll.BDH("BLUE US Equity","ARD_WTD_AVG_SHS_BASIC_DILUTED","FQ1 2019","FQ1 2019","Currency=USD","Period=FQ","BEST_FPERIOD_OVERRIDE=FQ","FILING_STATUS=MR","Sort=A","Dates=H","DateFormat=P","Fill=—","Direction=H","UseDPDF=Y")</f>
        <v>54.957000000000001</v>
      </c>
      <c r="G46" s="13">
        <f>_xll.BDH("BLUE US Equity","ARD_WTD_AVG_SHS_BASIC_DILUTED","FQ2 2019","FQ2 2019","Currency=USD","Period=FQ","BEST_FPERIOD_OVERRIDE=FQ","FILING_STATUS=MR","Sort=A","Dates=H","DateFormat=P","Fill=—","Direction=H","UseDPDF=Y")</f>
        <v>55.164999999999999</v>
      </c>
      <c r="H46" s="13">
        <f>_xll.BDH("BLUE US Equity","ARD_WTD_AVG_SHS_BASIC_DILUTED","FQ3 2019","FQ3 2019","Currency=USD","Period=FQ","BEST_FPERIOD_OVERRIDE=FQ","FILING_STATUS=MR","Sort=A","Dates=H","DateFormat=P","Fill=—","Direction=H","UseDPDF=Y")</f>
        <v>55.292000000000002</v>
      </c>
      <c r="I46" s="13">
        <f>_xll.BDH("BLUE US Equity","ARD_WTD_AVG_SHS_BASIC_DILUTED","FQ4 2019","FQ4 2019","Currency=USD","Period=FQ","BEST_FPERIOD_OVERRIDE=FQ","FILING_STATUS=MR","Sort=A","Dates=H","DateFormat=P","Fill=—","Direction=H","UseDPDF=Y")</f>
        <v>55.344000000000001</v>
      </c>
      <c r="J46" s="13">
        <f>_xll.BDH("BLUE US Equity","ARD_WTD_AVG_SHS_BASIC_DILUTED","FQ1 2020","FQ1 2020","Currency=USD","Period=FQ","BEST_FPERIOD_OVERRIDE=FQ","FILING_STATUS=MR","Sort=A","Dates=H","DateFormat=P","Fill=—","Direction=H","UseDPDF=Y")</f>
        <v>55.59</v>
      </c>
      <c r="K46" s="13">
        <f>_xll.BDH("BLUE US Equity","ARD_WTD_AVG_SHS_BASIC_DILUTED","FQ2 2020","FQ2 2020","Currency=USD","Period=FQ","BEST_FPERIOD_OVERRIDE=FQ","FILING_STATUS=MR","Sort=A","Dates=H","DateFormat=P","Fill=—","Direction=H","UseDPDF=Y")</f>
        <v>60.384</v>
      </c>
      <c r="L46" s="13">
        <f>_xll.BDH("BLUE US Equity","ARD_WTD_AVG_SHS_BASIC_DILUTED","FQ3 2020","FQ3 2020","Currency=USD","Period=FQ","BEST_FPERIOD_OVERRIDE=FQ","FILING_STATUS=MR","Sort=A","Dates=H","DateFormat=P","Fill=—","Direction=H","UseDPDF=Y")</f>
        <v>66.251000000000005</v>
      </c>
      <c r="M46" s="13">
        <f>_xll.BDH("BLUE US Equity","ARD_WTD_AVG_SHS_BASIC_DILUTED","FQ4 2020","FQ4 2020","Currency=USD","Period=FQ","BEST_FPERIOD_OVERRIDE=FQ","FILING_STATUS=MR","Sort=A","Dates=H","DateFormat=P","Fill=—","Direction=H","UseDPDF=Y")</f>
        <v>66.394999999999996</v>
      </c>
      <c r="N46" s="13">
        <f>_xll.BDH("BLUE US Equity","ARD_WTD_AVG_SHS_BASIC_DILUTED","FQ1 2021","FQ1 2021","Currency=USD","Period=FQ","BEST_FPERIOD_OVERRIDE=FQ","FILING_STATUS=MR","Sort=A","Dates=H","DateFormat=P","Fill=—","Direction=H","UseDPDF=Y")</f>
        <v>66.975999999999999</v>
      </c>
      <c r="O46" s="13">
        <f>_xll.BDH("BLUE US Equity","ARD_WTD_AVG_SHS_BASIC_DILUTED","FQ2 2021","FQ2 2021","Currency=USD","Period=FQ","BEST_FPERIOD_OVERRIDE=FQ","FILING_STATUS=MR","Sort=A","Dates=H","DateFormat=P","Fill=—","Direction=H","UseDPDF=Y")</f>
        <v>67.486999999999995</v>
      </c>
      <c r="P46" s="13">
        <f>_xll.BDH("BLUE US Equity","ARD_WTD_AVG_SHS_BASIC_DILUTED","FQ3 2021","FQ3 2021","Currency=USD","Period=FQ","BEST_FPERIOD_OVERRIDE=FQ","FILING_STATUS=MR","Sort=A","Dates=H","DateFormat=P","Fill=—","Direction=H","UseDPDF=Y")</f>
        <v>68.620999999999995</v>
      </c>
      <c r="Q46" s="13">
        <f>_xll.BDH("BLUE US Equity","ARD_WTD_AVG_SHS_BASIC_DILUTED","FQ4 2021","FQ4 2021","Currency=USD","Period=FQ","BEST_FPERIOD_OVERRIDE=FQ","FILING_STATUS=MR","Sort=A","Dates=H","DateFormat=P","Fill=—","Direction=H","UseDPDF=Y")</f>
        <v>72.498000000000005</v>
      </c>
      <c r="R46" s="13">
        <f>_xll.BDH("BLUE US Equity","ARD_WTD_AVG_SHS_BASIC_DILUTED","FQ1 2022","FQ1 2022","Currency=USD","Period=FQ","BEST_FPERIOD_OVERRIDE=FQ","FILING_STATUS=MR","Sort=A","Dates=H","DateFormat=P","Fill=—","Direction=H","UseDPDF=Y")</f>
        <v>73.688000000000002</v>
      </c>
      <c r="S46" s="13">
        <f>_xll.BDH("BLUE US Equity","ARD_WTD_AVG_SHS_BASIC_DILUTED","FQ2 2022","FQ2 2022","Currency=USD","Period=FQ","BEST_FPERIOD_OVERRIDE=FQ","FILING_STATUS=MR","Sort=A","Dates=H","DateFormat=P","Fill=—","Direction=H","UseDPDF=Y")</f>
        <v>73.766999999999996</v>
      </c>
      <c r="T46" s="13">
        <f>_xll.BDH("BLUE US Equity","ARD_WTD_AVG_SHS_BASIC_DILUTED","FQ3 2022","FQ3 2022","Currency=USD","Period=FQ","BEST_FPERIOD_OVERRIDE=FQ","FILING_STATUS=MR","Sort=A","Dates=H","DateFormat=P","Fill=—","Direction=H","UseDPDF=Y")</f>
        <v>81.543000000000006</v>
      </c>
      <c r="U46" s="13">
        <f>_xll.BDH("BLUE US Equity","ARD_WTD_AVG_SHS_BASIC_DILUTED","FQ4 2022","FQ4 2022","Currency=USD","Period=FQ","BEST_FPERIOD_OVERRIDE=FQ","FILING_STATUS=MR","Sort=A","Dates=H","DateFormat=P","Fill=—","Direction=H","UseDPDF=Y")</f>
        <v>85.182000000000002</v>
      </c>
      <c r="V46" s="13" t="str">
        <f>_xll.BDH("BLUE US Equity","ARD_WTD_AVG_SHS_BASIC_DILUTED","FQ1 2023","FQ1 2023","Currency=USD","Period=FQ","BEST_FPERIOD_OVERRIDE=FQ","FILING_STATUS=MR","Sort=A","Dates=H","DateFormat=P","Fill=—","Direction=H","UseDPDF=Y")</f>
        <v>—</v>
      </c>
      <c r="W46" s="13" t="str">
        <f>_xll.BDH("BLUE US Equity","ARD_WTD_AVG_SHS_BASIC_DILUTED","FQ2 2023","FQ2 2023","Currency=USD","Period=FQ","BEST_FPERIOD_OVERRIDE=FQ","FILING_STATUS=MR","Sort=A","Dates=H","DateFormat=P","Fill=—","Direction=H","UseDPDF=Y")</f>
        <v>—</v>
      </c>
      <c r="X46" s="13" t="str">
        <f>_xll.BDH("BLUE US Equity","ARD_WTD_AVG_SHS_BASIC_DILUTED","FQ3 2023","FQ3 2023","Currency=USD","Period=FQ","BEST_FPERIOD_OVERRIDE=FQ","FILING_STATUS=MR","Sort=A","Dates=H","DateFormat=P","Fill=—","Direction=H","UseDPDF=Y")</f>
        <v>—</v>
      </c>
      <c r="Y46" s="13" t="str">
        <f>_xll.BDH("BLUE US Equity","ARD_WTD_AVG_SHS_BASIC_DILUTED","FQ1 2024","FQ1 2024","Currency=USD","Period=FQ","BEST_FPERIOD_OVERRIDE=FQ","FILING_STATUS=MR","Sort=A","Dates=H","DateFormat=P","Fill=—","Direction=H","UseDPDF=Y")</f>
        <v>—</v>
      </c>
      <c r="Z46" s="13" t="str">
        <f>_xll.BDH("BLUE US Equity","ARD_WTD_AVG_SHS_BASIC_DILUTED","FQ2 2024","FQ2 2024","Currency=USD","Period=FQ","BEST_FPERIOD_OVERRIDE=FQ","FILING_STATUS=MR","Sort=A","Dates=H","DateFormat=P","Fill=—","Direction=H","UseDPDF=Y")</f>
        <v>—</v>
      </c>
      <c r="AA46" s="13" t="str">
        <f>_xll.BDH("BLUE US Equity","ARD_WTD_AVG_SHS_BASIC_DILUTED","FQ3 2024","FQ3 2024","Currency=USD","Period=FQ","BEST_FPERIOD_OVERRIDE=FQ","FILING_STATUS=MR","Sort=A","Dates=H","DateFormat=P","Fill=—","Direction=H","UseDPDF=Y")</f>
        <v>—</v>
      </c>
    </row>
    <row r="47" spans="1:27" x14ac:dyDescent="0.25">
      <c r="A47" s="10" t="s">
        <v>458</v>
      </c>
      <c r="B47" s="10" t="s">
        <v>459</v>
      </c>
      <c r="C47" s="13" t="str">
        <f>_xll.BDH("BLUE US Equity","ARD_NET_INC_AVAIL_COM_SHRHLDR","FQ2 2018","FQ2 2018","Currency=USD","Period=FQ","BEST_FPERIOD_OVERRIDE=FQ","FILING_STATUS=MR","SCALING_FORMAT=MLN","Sort=A","Dates=H","DateFormat=P","Fill=—","Direction=H","UseDPDF=Y")</f>
        <v>—</v>
      </c>
      <c r="D47" s="13" t="str">
        <f>_xll.BDH("BLUE US Equity","ARD_NET_INC_AVAIL_COM_SHRHLDR","FQ3 2018","FQ3 2018","Currency=USD","Period=FQ","BEST_FPERIOD_OVERRIDE=FQ","FILING_STATUS=MR","SCALING_FORMAT=MLN","Sort=A","Dates=H","DateFormat=P","Fill=—","Direction=H","UseDPDF=Y")</f>
        <v>—</v>
      </c>
      <c r="E47" s="13" t="str">
        <f>_xll.BDH("BLUE US Equity","ARD_NET_INC_AVAIL_COM_SHRHLDR","FQ4 2018","FQ4 2018","Currency=USD","Period=FQ","BEST_FPERIOD_OVERRIDE=FQ","FILING_STATUS=MR","SCALING_FORMAT=MLN","Sort=A","Dates=H","DateFormat=P","Fill=—","Direction=H","UseDPDF=Y")</f>
        <v>—</v>
      </c>
      <c r="F47" s="13" t="str">
        <f>_xll.BDH("BLUE US Equity","ARD_NET_INC_AVAIL_COM_SHRHLDR","FQ1 2019","FQ1 2019","Currency=USD","Period=FQ","BEST_FPERIOD_OVERRIDE=FQ","FILING_STATUS=MR","SCALING_FORMAT=MLN","Sort=A","Dates=H","DateFormat=P","Fill=—","Direction=H","UseDPDF=Y")</f>
        <v>—</v>
      </c>
      <c r="G47" s="13" t="str">
        <f>_xll.BDH("BLUE US Equity","ARD_NET_INC_AVAIL_COM_SHRHLDR","FQ2 2019","FQ2 2019","Currency=USD","Period=FQ","BEST_FPERIOD_OVERRIDE=FQ","FILING_STATUS=MR","SCALING_FORMAT=MLN","Sort=A","Dates=H","DateFormat=P","Fill=—","Direction=H","UseDPDF=Y")</f>
        <v>—</v>
      </c>
      <c r="H47" s="13">
        <f>_xll.BDH("BLUE US Equity","ARD_NET_INC_AVAIL_COM_SHRHLDR","FQ3 2019","FQ3 2019","Currency=USD","Period=FQ","BEST_FPERIOD_OVERRIDE=FQ","FILING_STATUS=MR","SCALING_FORMAT=MLN","Sort=A","Dates=H","DateFormat=P","Fill=—","Direction=H","UseDPDF=Y")</f>
        <v>-206.03299999999999</v>
      </c>
      <c r="I47" s="13" t="str">
        <f>_xll.BDH("BLUE US Equity","ARD_NET_INC_AVAIL_COM_SHRHLDR","FQ4 2019","FQ4 2019","Currency=USD","Period=FQ","BEST_FPERIOD_OVERRIDE=FQ","FILING_STATUS=MR","SCALING_FORMAT=MLN","Sort=A","Dates=H","DateFormat=P","Fill=—","Direction=H","UseDPDF=Y")</f>
        <v>—</v>
      </c>
      <c r="J47" s="13">
        <f>_xll.BDH("BLUE US Equity","ARD_NET_INC_AVAIL_COM_SHRHLDR","FQ1 2020","FQ1 2020","Currency=USD","Period=FQ","BEST_FPERIOD_OVERRIDE=FQ","FILING_STATUS=MR","SCALING_FORMAT=MLN","Sort=A","Dates=H","DateFormat=P","Fill=—","Direction=H","UseDPDF=Y")</f>
        <v>-202.61099999999999</v>
      </c>
      <c r="K47" s="13">
        <f>_xll.BDH("BLUE US Equity","ARD_NET_INC_AVAIL_COM_SHRHLDR","FQ2 2020","FQ2 2020","Currency=USD","Period=FQ","BEST_FPERIOD_OVERRIDE=FQ","FILING_STATUS=MR","SCALING_FORMAT=MLN","Sort=A","Dates=H","DateFormat=P","Fill=—","Direction=H","UseDPDF=Y")</f>
        <v>-21.465</v>
      </c>
      <c r="L47" s="13">
        <f>_xll.BDH("BLUE US Equity","ARD_NET_INC_AVAIL_COM_SHRHLDR","FQ3 2020","FQ3 2020","Currency=USD","Period=FQ","BEST_FPERIOD_OVERRIDE=FQ","FILING_STATUS=MR","SCALING_FORMAT=MLN","Sort=A","Dates=H","DateFormat=P","Fill=—","Direction=H","UseDPDF=Y")</f>
        <v>-194.745</v>
      </c>
      <c r="M47" s="13">
        <f>_xll.BDH("BLUE US Equity","ARD_NET_INC_AVAIL_COM_SHRHLDR","FQ4 2020","FQ4 2020","Currency=USD","Period=FQ","BEST_FPERIOD_OVERRIDE=FQ","FILING_STATUS=MR","SCALING_FORMAT=MLN","Sort=A","Dates=H","DateFormat=P","Fill=—","Direction=H","UseDPDF=Y")</f>
        <v>-199.874</v>
      </c>
      <c r="N47" s="13">
        <f>_xll.BDH("BLUE US Equity","ARD_NET_INC_AVAIL_COM_SHRHLDR","FQ1 2021","FQ1 2021","Currency=USD","Period=FQ","BEST_FPERIOD_OVERRIDE=FQ","FILING_STATUS=MR","SCALING_FORMAT=MLN","Sort=A","Dates=H","DateFormat=P","Fill=—","Direction=H","UseDPDF=Y")</f>
        <v>-205.80799999999999</v>
      </c>
      <c r="O47" s="13">
        <f>_xll.BDH("BLUE US Equity","ARD_NET_INC_AVAIL_COM_SHRHLDR","FQ2 2021","FQ2 2021","Currency=USD","Period=FQ","BEST_FPERIOD_OVERRIDE=FQ","FILING_STATUS=MR","SCALING_FORMAT=MLN","Sort=A","Dates=H","DateFormat=P","Fill=—","Direction=H","UseDPDF=Y")</f>
        <v>-241.702</v>
      </c>
      <c r="P47" s="13">
        <f>_xll.BDH("BLUE US Equity","ARD_NET_INC_AVAIL_COM_SHRHLDR","FQ3 2021","FQ3 2021","Currency=USD","Period=FQ","BEST_FPERIOD_OVERRIDE=FQ","FILING_STATUS=MR","SCALING_FORMAT=MLN","Sort=A","Dates=H","DateFormat=P","Fill=—","Direction=H","UseDPDF=Y")</f>
        <v>-216.816</v>
      </c>
      <c r="Q47" s="13">
        <f>_xll.BDH("BLUE US Equity","ARD_NET_INC_AVAIL_COM_SHRHLDR","FQ4 2021","FQ4 2021","Currency=USD","Period=FQ","BEST_FPERIOD_OVERRIDE=FQ","FILING_STATUS=MR","SCALING_FORMAT=MLN","Sort=A","Dates=H","DateFormat=P","Fill=—","Direction=H","UseDPDF=Y")</f>
        <v>-155.05199999999999</v>
      </c>
      <c r="R47" s="13">
        <f>_xll.BDH("BLUE US Equity","ARD_NET_INC_AVAIL_COM_SHRHLDR","FQ1 2022","FQ1 2022","Currency=USD","Period=FQ","BEST_FPERIOD_OVERRIDE=FQ","FILING_STATUS=MR","SCALING_FORMAT=MLN","Sort=A","Dates=H","DateFormat=P","Fill=—","Direction=H","UseDPDF=Y")</f>
        <v>-122.152</v>
      </c>
      <c r="S47" s="13">
        <f>_xll.BDH("BLUE US Equity","ARD_NET_INC_AVAIL_COM_SHRHLDR","FQ2 2022","FQ2 2022","Currency=USD","Period=FQ","BEST_FPERIOD_OVERRIDE=FQ","FILING_STATUS=MR","SCALING_FORMAT=MLN","Sort=A","Dates=H","DateFormat=P","Fill=—","Direction=H","UseDPDF=Y")</f>
        <v>-100.13800000000001</v>
      </c>
      <c r="T47" s="13">
        <f>_xll.BDH("BLUE US Equity","ARD_NET_INC_AVAIL_COM_SHRHLDR","FQ3 2022","FQ3 2022","Currency=USD","Period=FQ","BEST_FPERIOD_OVERRIDE=FQ","FILING_STATUS=MR","SCALING_FORMAT=MLN","Sort=A","Dates=H","DateFormat=P","Fill=—","Direction=H","UseDPDF=Y")</f>
        <v>-76.52</v>
      </c>
      <c r="U47" s="13">
        <f>_xll.BDH("BLUE US Equity","ARD_NET_INC_AVAIL_COM_SHRHLDR","FQ4 2022","FQ4 2022","Currency=USD","Period=FQ","BEST_FPERIOD_OVERRIDE=FQ","FILING_STATUS=MR","SCALING_FORMAT=MLN","Sort=A","Dates=H","DateFormat=P","Fill=—","Direction=H","UseDPDF=Y")</f>
        <v>32.231999999999999</v>
      </c>
      <c r="V47" s="13">
        <f>_xll.BDH("BLUE US Equity","ARD_NET_INC_AVAIL_COM_SHRHLDR","FQ1 2023","FQ1 2023","Currency=USD","Period=FQ","BEST_FPERIOD_OVERRIDE=FQ","FILING_STATUS=MR","SCALING_FORMAT=MLN","Sort=A","Dates=H","DateFormat=P","Fill=—","Direction=H","UseDPDF=Y")</f>
        <v>18.93</v>
      </c>
      <c r="W47" s="13">
        <f>_xll.BDH("BLUE US Equity","ARD_NET_INC_AVAIL_COM_SHRHLDR","FQ2 2023","FQ2 2023","Currency=USD","Period=FQ","BEST_FPERIOD_OVERRIDE=FQ","FILING_STATUS=MR","SCALING_FORMAT=MLN","Sort=A","Dates=H","DateFormat=P","Fill=—","Direction=H","UseDPDF=Y")</f>
        <v>-62.789000000000001</v>
      </c>
      <c r="X47" s="13">
        <f>_xll.BDH("BLUE US Equity","ARD_NET_INC_AVAIL_COM_SHRHLDR","FQ3 2023","FQ3 2023","Currency=USD","Period=FQ","BEST_FPERIOD_OVERRIDE=FQ","FILING_STATUS=MR","SCALING_FORMAT=MLN","Sort=A","Dates=H","DateFormat=P","Fill=—","Direction=H","UseDPDF=Y")</f>
        <v>-87.231999999999999</v>
      </c>
      <c r="Y47" s="13">
        <f>_xll.BDH("BLUE US Equity","ARD_NET_INC_AVAIL_COM_SHRHLDR","FQ1 2024","FQ1 2024","Currency=USD","Period=FQ","BEST_FPERIOD_OVERRIDE=FQ","FILING_STATUS=MR","SCALING_FORMAT=MLN","Sort=A","Dates=H","DateFormat=P","Fill=—","Direction=H","UseDPDF=Y")</f>
        <v>-69.804000000000002</v>
      </c>
      <c r="Z47" s="13">
        <f>_xll.BDH("BLUE US Equity","ARD_NET_INC_AVAIL_COM_SHRHLDR","FQ2 2024","FQ2 2024","Currency=USD","Period=FQ","BEST_FPERIOD_OVERRIDE=FQ","FILING_STATUS=MR","SCALING_FORMAT=MLN","Sort=A","Dates=H","DateFormat=P","Fill=—","Direction=H","UseDPDF=Y")</f>
        <v>-81.393000000000001</v>
      </c>
      <c r="AA47" s="13">
        <f>_xll.BDH("BLUE US Equity","ARD_NET_INC_AVAIL_COM_SHRHLDR","FQ3 2024","FQ3 2024","Currency=USD","Period=FQ","BEST_FPERIOD_OVERRIDE=FQ","FILING_STATUS=MR","SCALING_FORMAT=MLN","Sort=A","Dates=H","DateFormat=P","Fill=—","Direction=H","UseDPDF=Y")</f>
        <v>-60.808</v>
      </c>
    </row>
    <row r="48" spans="1:27" x14ac:dyDescent="0.25">
      <c r="A48" s="10" t="s">
        <v>460</v>
      </c>
      <c r="B48" s="10" t="s">
        <v>461</v>
      </c>
      <c r="C48" s="14" t="str">
        <f>_xll.BDH("BLUE US Equity","ARD_BASIC_DIL_EPS_BEF_XO_ITEMS","FQ2 2018","FQ2 2018","Currency=USD","Period=FQ","BEST_FPERIOD_OVERRIDE=FQ","FILING_STATUS=MR","Sort=A","Dates=H","DateFormat=P","Fill=—","Direction=H","UseDPDF=Y")</f>
        <v>—</v>
      </c>
      <c r="D48" s="14" t="str">
        <f>_xll.BDH("BLUE US Equity","ARD_BASIC_DIL_EPS_BEF_XO_ITEMS","FQ3 2018","FQ3 2018","Currency=USD","Period=FQ","BEST_FPERIOD_OVERRIDE=FQ","FILING_STATUS=MR","Sort=A","Dates=H","DateFormat=P","Fill=—","Direction=H","UseDPDF=Y")</f>
        <v>—</v>
      </c>
      <c r="E48" s="14" t="str">
        <f>_xll.BDH("BLUE US Equity","ARD_BASIC_DIL_EPS_BEF_XO_ITEMS","FQ4 2018","FQ4 2018","Currency=USD","Period=FQ","BEST_FPERIOD_OVERRIDE=FQ","FILING_STATUS=MR","Sort=A","Dates=H","DateFormat=P","Fill=—","Direction=H","UseDPDF=Y")</f>
        <v>—</v>
      </c>
      <c r="F48" s="14" t="str">
        <f>_xll.BDH("BLUE US Equity","ARD_BASIC_DIL_EPS_BEF_XO_ITEMS","FQ1 2019","FQ1 2019","Currency=USD","Period=FQ","BEST_FPERIOD_OVERRIDE=FQ","FILING_STATUS=MR","Sort=A","Dates=H","DateFormat=P","Fill=—","Direction=H","UseDPDF=Y")</f>
        <v>—</v>
      </c>
      <c r="G48" s="14" t="str">
        <f>_xll.BDH("BLUE US Equity","ARD_BASIC_DIL_EPS_BEF_XO_ITEMS","FQ2 2019","FQ2 2019","Currency=USD","Period=FQ","BEST_FPERIOD_OVERRIDE=FQ","FILING_STATUS=MR","Sort=A","Dates=H","DateFormat=P","Fill=—","Direction=H","UseDPDF=Y")</f>
        <v>—</v>
      </c>
      <c r="H48" s="14" t="str">
        <f>_xll.BDH("BLUE US Equity","ARD_BASIC_DIL_EPS_BEF_XO_ITEMS","FQ3 2019","FQ3 2019","Currency=USD","Period=FQ","BEST_FPERIOD_OVERRIDE=FQ","FILING_STATUS=MR","Sort=A","Dates=H","DateFormat=P","Fill=—","Direction=H","UseDPDF=Y")</f>
        <v>—</v>
      </c>
      <c r="I48" s="14" t="str">
        <f>_xll.BDH("BLUE US Equity","ARD_BASIC_DIL_EPS_BEF_XO_ITEMS","FQ4 2019","FQ4 2019","Currency=USD","Period=FQ","BEST_FPERIOD_OVERRIDE=FQ","FILING_STATUS=MR","Sort=A","Dates=H","DateFormat=P","Fill=—","Direction=H","UseDPDF=Y")</f>
        <v>—</v>
      </c>
      <c r="J48" s="14" t="str">
        <f>_xll.BDH("BLUE US Equity","ARD_BASIC_DIL_EPS_BEF_XO_ITEMS","FQ1 2020","FQ1 2020","Currency=USD","Period=FQ","BEST_FPERIOD_OVERRIDE=FQ","FILING_STATUS=MR","Sort=A","Dates=H","DateFormat=P","Fill=—","Direction=H","UseDPDF=Y")</f>
        <v>—</v>
      </c>
      <c r="K48" s="14" t="str">
        <f>_xll.BDH("BLUE US Equity","ARD_BASIC_DIL_EPS_BEF_XO_ITEMS","FQ2 2020","FQ2 2020","Currency=USD","Period=FQ","BEST_FPERIOD_OVERRIDE=FQ","FILING_STATUS=MR","Sort=A","Dates=H","DateFormat=P","Fill=—","Direction=H","UseDPDF=Y")</f>
        <v>—</v>
      </c>
      <c r="L48" s="14" t="str">
        <f>_xll.BDH("BLUE US Equity","ARD_BASIC_DIL_EPS_BEF_XO_ITEMS","FQ3 2020","FQ3 2020","Currency=USD","Period=FQ","BEST_FPERIOD_OVERRIDE=FQ","FILING_STATUS=MR","Sort=A","Dates=H","DateFormat=P","Fill=—","Direction=H","UseDPDF=Y")</f>
        <v>—</v>
      </c>
      <c r="M48" s="14">
        <f>_xll.BDH("BLUE US Equity","ARD_BASIC_DIL_EPS_BEF_XO_ITEMS","FQ4 2020","FQ4 2020","Currency=USD","Period=FQ","BEST_FPERIOD_OVERRIDE=FQ","FILING_STATUS=MR","Sort=A","Dates=H","DateFormat=P","Fill=—","Direction=H","UseDPDF=Y")</f>
        <v>-2.0499999999999998</v>
      </c>
      <c r="N48" s="14">
        <f>_xll.BDH("BLUE US Equity","ARD_BASIC_DIL_EPS_BEF_XO_ITEMS","FQ1 2021","FQ1 2021","Currency=USD","Period=FQ","BEST_FPERIOD_OVERRIDE=FQ","FILING_STATUS=MR","Sort=A","Dates=H","DateFormat=P","Fill=—","Direction=H","UseDPDF=Y")</f>
        <v>-1.81</v>
      </c>
      <c r="O48" s="14" t="str">
        <f>_xll.BDH("BLUE US Equity","ARD_BASIC_DIL_EPS_BEF_XO_ITEMS","FQ2 2021","FQ2 2021","Currency=USD","Period=FQ","BEST_FPERIOD_OVERRIDE=FQ","FILING_STATUS=MR","Sort=A","Dates=H","DateFormat=P","Fill=—","Direction=H","UseDPDF=Y")</f>
        <v>—</v>
      </c>
      <c r="P48" s="14">
        <f>_xll.BDH("BLUE US Equity","ARD_BASIC_DIL_EPS_BEF_XO_ITEMS","FQ3 2021","FQ3 2021","Currency=USD","Period=FQ","BEST_FPERIOD_OVERRIDE=FQ","FILING_STATUS=MR","Sort=A","Dates=H","DateFormat=P","Fill=—","Direction=H","UseDPDF=Y")</f>
        <v>-2.23</v>
      </c>
      <c r="Q48" s="14">
        <f>_xll.BDH("BLUE US Equity","ARD_BASIC_DIL_EPS_BEF_XO_ITEMS","FQ4 2021","FQ4 2021","Currency=USD","Period=FQ","BEST_FPERIOD_OVERRIDE=FQ","FILING_STATUS=MR","Sort=A","Dates=H","DateFormat=P","Fill=—","Direction=H","UseDPDF=Y")</f>
        <v>-1.83</v>
      </c>
      <c r="R48" s="14">
        <f>_xll.BDH("BLUE US Equity","ARD_BASIC_DIL_EPS_BEF_XO_ITEMS","FQ1 2022","FQ1 2022","Currency=USD","Period=FQ","BEST_FPERIOD_OVERRIDE=FQ","FILING_STATUS=MR","Sort=A","Dates=H","DateFormat=P","Fill=—","Direction=H","UseDPDF=Y")</f>
        <v>-1.66</v>
      </c>
      <c r="S48" s="14">
        <f>_xll.BDH("BLUE US Equity","ARD_BASIC_DIL_EPS_BEF_XO_ITEMS","FQ2 2022","FQ2 2022","Currency=USD","Period=FQ","BEST_FPERIOD_OVERRIDE=FQ","FILING_STATUS=MR","Sort=A","Dates=H","DateFormat=P","Fill=—","Direction=H","UseDPDF=Y")</f>
        <v>-1.36</v>
      </c>
      <c r="T48" s="14" t="str">
        <f>_xll.BDH("BLUE US Equity","ARD_BASIC_DIL_EPS_BEF_XO_ITEMS","FQ3 2022","FQ3 2022","Currency=USD","Period=FQ","BEST_FPERIOD_OVERRIDE=FQ","FILING_STATUS=MR","Sort=A","Dates=H","DateFormat=P","Fill=—","Direction=H","UseDPDF=Y")</f>
        <v>—</v>
      </c>
      <c r="U48" s="14">
        <f>_xll.BDH("BLUE US Equity","ARD_BASIC_DIL_EPS_BEF_XO_ITEMS","FQ4 2022","FQ4 2022","Currency=USD","Period=FQ","BEST_FPERIOD_OVERRIDE=FQ","FILING_STATUS=MR","Sort=A","Dates=H","DateFormat=P","Fill=—","Direction=H","UseDPDF=Y")</f>
        <v>0.38</v>
      </c>
      <c r="V48" s="14" t="str">
        <f>_xll.BDH("BLUE US Equity","ARD_BASIC_DIL_EPS_BEF_XO_ITEMS","FQ1 2023","FQ1 2023","Currency=USD","Period=FQ","BEST_FPERIOD_OVERRIDE=FQ","FILING_STATUS=MR","Sort=A","Dates=H","DateFormat=P","Fill=—","Direction=H","UseDPDF=Y")</f>
        <v>—</v>
      </c>
      <c r="W48" s="14" t="str">
        <f>_xll.BDH("BLUE US Equity","ARD_BASIC_DIL_EPS_BEF_XO_ITEMS","FQ2 2023","FQ2 2023","Currency=USD","Period=FQ","BEST_FPERIOD_OVERRIDE=FQ","FILING_STATUS=MR","Sort=A","Dates=H","DateFormat=P","Fill=—","Direction=H","UseDPDF=Y")</f>
        <v>—</v>
      </c>
      <c r="X48" s="14" t="str">
        <f>_xll.BDH("BLUE US Equity","ARD_BASIC_DIL_EPS_BEF_XO_ITEMS","FQ3 2023","FQ3 2023","Currency=USD","Period=FQ","BEST_FPERIOD_OVERRIDE=FQ","FILING_STATUS=MR","Sort=A","Dates=H","DateFormat=P","Fill=—","Direction=H","UseDPDF=Y")</f>
        <v>—</v>
      </c>
      <c r="Y48" s="14" t="str">
        <f>_xll.BDH("BLUE US Equity","ARD_BASIC_DIL_EPS_BEF_XO_ITEMS","FQ1 2024","FQ1 2024","Currency=USD","Period=FQ","BEST_FPERIOD_OVERRIDE=FQ","FILING_STATUS=MR","Sort=A","Dates=H","DateFormat=P","Fill=—","Direction=H","UseDPDF=Y")</f>
        <v>—</v>
      </c>
      <c r="Z48" s="14" t="str">
        <f>_xll.BDH("BLUE US Equity","ARD_BASIC_DIL_EPS_BEF_XO_ITEMS","FQ2 2024","FQ2 2024","Currency=USD","Period=FQ","BEST_FPERIOD_OVERRIDE=FQ","FILING_STATUS=MR","Sort=A","Dates=H","DateFormat=P","Fill=—","Direction=H","UseDPDF=Y")</f>
        <v>—</v>
      </c>
      <c r="AA48" s="14" t="str">
        <f>_xll.BDH("BLUE US Equity","ARD_BASIC_DIL_EPS_BEF_XO_ITEMS","FQ3 2024","FQ3 2024","Currency=USD","Period=FQ","BEST_FPERIOD_OVERRIDE=FQ","FILING_STATUS=MR","Sort=A","Dates=H","DateFormat=P","Fill=—","Direction=H","UseDPDF=Y")</f>
        <v>—</v>
      </c>
    </row>
    <row r="49" spans="1:27" x14ac:dyDescent="0.25">
      <c r="A49" s="10" t="s">
        <v>462</v>
      </c>
      <c r="B49" s="10" t="s">
        <v>463</v>
      </c>
      <c r="C49" s="14" t="str">
        <f>_xll.BDH("BLUE US Equity","ARD_DISC_OPS_PER_SH_BASIC_DIL","FQ2 2018","FQ2 2018","Currency=USD","Period=FQ","BEST_FPERIOD_OVERRIDE=FQ","FILING_STATUS=MR","Sort=A","Dates=H","DateFormat=P","Fill=—","Direction=H","UseDPDF=Y")</f>
        <v>—</v>
      </c>
      <c r="D49" s="14" t="str">
        <f>_xll.BDH("BLUE US Equity","ARD_DISC_OPS_PER_SH_BASIC_DIL","FQ3 2018","FQ3 2018","Currency=USD","Period=FQ","BEST_FPERIOD_OVERRIDE=FQ","FILING_STATUS=MR","Sort=A","Dates=H","DateFormat=P","Fill=—","Direction=H","UseDPDF=Y")</f>
        <v>—</v>
      </c>
      <c r="E49" s="14" t="str">
        <f>_xll.BDH("BLUE US Equity","ARD_DISC_OPS_PER_SH_BASIC_DIL","FQ4 2018","FQ4 2018","Currency=USD","Period=FQ","BEST_FPERIOD_OVERRIDE=FQ","FILING_STATUS=MR","Sort=A","Dates=H","DateFormat=P","Fill=—","Direction=H","UseDPDF=Y")</f>
        <v>—</v>
      </c>
      <c r="F49" s="14" t="str">
        <f>_xll.BDH("BLUE US Equity","ARD_DISC_OPS_PER_SH_BASIC_DIL","FQ1 2019","FQ1 2019","Currency=USD","Period=FQ","BEST_FPERIOD_OVERRIDE=FQ","FILING_STATUS=MR","Sort=A","Dates=H","DateFormat=P","Fill=—","Direction=H","UseDPDF=Y")</f>
        <v>—</v>
      </c>
      <c r="G49" s="14" t="str">
        <f>_xll.BDH("BLUE US Equity","ARD_DISC_OPS_PER_SH_BASIC_DIL","FQ2 2019","FQ2 2019","Currency=USD","Period=FQ","BEST_FPERIOD_OVERRIDE=FQ","FILING_STATUS=MR","Sort=A","Dates=H","DateFormat=P","Fill=—","Direction=H","UseDPDF=Y")</f>
        <v>—</v>
      </c>
      <c r="H49" s="14" t="str">
        <f>_xll.BDH("BLUE US Equity","ARD_DISC_OPS_PER_SH_BASIC_DIL","FQ3 2019","FQ3 2019","Currency=USD","Period=FQ","BEST_FPERIOD_OVERRIDE=FQ","FILING_STATUS=MR","Sort=A","Dates=H","DateFormat=P","Fill=—","Direction=H","UseDPDF=Y")</f>
        <v>—</v>
      </c>
      <c r="I49" s="14" t="str">
        <f>_xll.BDH("BLUE US Equity","ARD_DISC_OPS_PER_SH_BASIC_DIL","FQ4 2019","FQ4 2019","Currency=USD","Period=FQ","BEST_FPERIOD_OVERRIDE=FQ","FILING_STATUS=MR","Sort=A","Dates=H","DateFormat=P","Fill=—","Direction=H","UseDPDF=Y")</f>
        <v>—</v>
      </c>
      <c r="J49" s="14" t="str">
        <f>_xll.BDH("BLUE US Equity","ARD_DISC_OPS_PER_SH_BASIC_DIL","FQ1 2020","FQ1 2020","Currency=USD","Period=FQ","BEST_FPERIOD_OVERRIDE=FQ","FILING_STATUS=MR","Sort=A","Dates=H","DateFormat=P","Fill=—","Direction=H","UseDPDF=Y")</f>
        <v>—</v>
      </c>
      <c r="K49" s="14" t="str">
        <f>_xll.BDH("BLUE US Equity","ARD_DISC_OPS_PER_SH_BASIC_DIL","FQ2 2020","FQ2 2020","Currency=USD","Period=FQ","BEST_FPERIOD_OVERRIDE=FQ","FILING_STATUS=MR","Sort=A","Dates=H","DateFormat=P","Fill=—","Direction=H","UseDPDF=Y")</f>
        <v>—</v>
      </c>
      <c r="L49" s="14" t="str">
        <f>_xll.BDH("BLUE US Equity","ARD_DISC_OPS_PER_SH_BASIC_DIL","FQ3 2020","FQ3 2020","Currency=USD","Period=FQ","BEST_FPERIOD_OVERRIDE=FQ","FILING_STATUS=MR","Sort=A","Dates=H","DateFormat=P","Fill=—","Direction=H","UseDPDF=Y")</f>
        <v>—</v>
      </c>
      <c r="M49" s="14">
        <f>_xll.BDH("BLUE US Equity","ARD_DISC_OPS_PER_SH_BASIC_DIL","FQ4 2020","FQ4 2020","Currency=USD","Period=FQ","BEST_FPERIOD_OVERRIDE=FQ","FILING_STATUS=MR","Sort=A","Dates=H","DateFormat=P","Fill=—","Direction=H","UseDPDF=Y")</f>
        <v>0.96</v>
      </c>
      <c r="N49" s="14">
        <f>_xll.BDH("BLUE US Equity","ARD_DISC_OPS_PER_SH_BASIC_DIL","FQ1 2021","FQ1 2021","Currency=USD","Period=FQ","BEST_FPERIOD_OVERRIDE=FQ","FILING_STATUS=MR","Sort=A","Dates=H","DateFormat=P","Fill=—","Direction=H","UseDPDF=Y")</f>
        <v>-1.26</v>
      </c>
      <c r="O49" s="14" t="str">
        <f>_xll.BDH("BLUE US Equity","ARD_DISC_OPS_PER_SH_BASIC_DIL","FQ2 2021","FQ2 2021","Currency=USD","Period=FQ","BEST_FPERIOD_OVERRIDE=FQ","FILING_STATUS=MR","Sort=A","Dates=H","DateFormat=P","Fill=—","Direction=H","UseDPDF=Y")</f>
        <v>—</v>
      </c>
      <c r="P49" s="14">
        <f>_xll.BDH("BLUE US Equity","ARD_DISC_OPS_PER_SH_BASIC_DIL","FQ3 2021","FQ3 2021","Currency=USD","Period=FQ","BEST_FPERIOD_OVERRIDE=FQ","FILING_STATUS=MR","Sort=A","Dates=H","DateFormat=P","Fill=—","Direction=H","UseDPDF=Y")</f>
        <v>-0.93</v>
      </c>
      <c r="Q49" s="14">
        <f>_xll.BDH("BLUE US Equity","ARD_DISC_OPS_PER_SH_BASIC_DIL","FQ4 2021","FQ4 2021","Currency=USD","Period=FQ","BEST_FPERIOD_OVERRIDE=FQ","FILING_STATUS=MR","Sort=A","Dates=H","DateFormat=P","Fill=—","Direction=H","UseDPDF=Y")</f>
        <v>0.31</v>
      </c>
      <c r="R49" s="14">
        <f>_xll.BDH("BLUE US Equity","ARD_DISC_OPS_PER_SH_BASIC_DIL","FQ1 2022","FQ1 2022","Currency=USD","Period=FQ","BEST_FPERIOD_OVERRIDE=FQ","FILING_STATUS=MR","Sort=A","Dates=H","DateFormat=P","Fill=—","Direction=H","UseDPDF=Y")</f>
        <v>0</v>
      </c>
      <c r="S49" s="14">
        <f>_xll.BDH("BLUE US Equity","ARD_DISC_OPS_PER_SH_BASIC_DIL","FQ2 2022","FQ2 2022","Currency=USD","Period=FQ","BEST_FPERIOD_OVERRIDE=FQ","FILING_STATUS=MR","Sort=A","Dates=H","DateFormat=P","Fill=—","Direction=H","UseDPDF=Y")</f>
        <v>0</v>
      </c>
      <c r="T49" s="14" t="str">
        <f>_xll.BDH("BLUE US Equity","ARD_DISC_OPS_PER_SH_BASIC_DIL","FQ3 2022","FQ3 2022","Currency=USD","Period=FQ","BEST_FPERIOD_OVERRIDE=FQ","FILING_STATUS=MR","Sort=A","Dates=H","DateFormat=P","Fill=—","Direction=H","UseDPDF=Y")</f>
        <v>—</v>
      </c>
      <c r="U49" s="14">
        <f>_xll.BDH("BLUE US Equity","ARD_DISC_OPS_PER_SH_BASIC_DIL","FQ4 2022","FQ4 2022","Currency=USD","Period=FQ","BEST_FPERIOD_OVERRIDE=FQ","FILING_STATUS=MR","Sort=A","Dates=H","DateFormat=P","Fill=—","Direction=H","UseDPDF=Y")</f>
        <v>0</v>
      </c>
      <c r="V49" s="14" t="str">
        <f>_xll.BDH("BLUE US Equity","ARD_DISC_OPS_PER_SH_BASIC_DIL","FQ1 2023","FQ1 2023","Currency=USD","Period=FQ","BEST_FPERIOD_OVERRIDE=FQ","FILING_STATUS=MR","Sort=A","Dates=H","DateFormat=P","Fill=—","Direction=H","UseDPDF=Y")</f>
        <v>—</v>
      </c>
      <c r="W49" s="14" t="str">
        <f>_xll.BDH("BLUE US Equity","ARD_DISC_OPS_PER_SH_BASIC_DIL","FQ2 2023","FQ2 2023","Currency=USD","Period=FQ","BEST_FPERIOD_OVERRIDE=FQ","FILING_STATUS=MR","Sort=A","Dates=H","DateFormat=P","Fill=—","Direction=H","UseDPDF=Y")</f>
        <v>—</v>
      </c>
      <c r="X49" s="14" t="str">
        <f>_xll.BDH("BLUE US Equity","ARD_DISC_OPS_PER_SH_BASIC_DIL","FQ3 2023","FQ3 2023","Currency=USD","Period=FQ","BEST_FPERIOD_OVERRIDE=FQ","FILING_STATUS=MR","Sort=A","Dates=H","DateFormat=P","Fill=—","Direction=H","UseDPDF=Y")</f>
        <v>—</v>
      </c>
      <c r="Y49" s="14" t="str">
        <f>_xll.BDH("BLUE US Equity","ARD_DISC_OPS_PER_SH_BASIC_DIL","FQ1 2024","FQ1 2024","Currency=USD","Period=FQ","BEST_FPERIOD_OVERRIDE=FQ","FILING_STATUS=MR","Sort=A","Dates=H","DateFormat=P","Fill=—","Direction=H","UseDPDF=Y")</f>
        <v>—</v>
      </c>
      <c r="Z49" s="14" t="str">
        <f>_xll.BDH("BLUE US Equity","ARD_DISC_OPS_PER_SH_BASIC_DIL","FQ2 2024","FQ2 2024","Currency=USD","Period=FQ","BEST_FPERIOD_OVERRIDE=FQ","FILING_STATUS=MR","Sort=A","Dates=H","DateFormat=P","Fill=—","Direction=H","UseDPDF=Y")</f>
        <v>—</v>
      </c>
      <c r="AA49" s="14" t="str">
        <f>_xll.BDH("BLUE US Equity","ARD_DISC_OPS_PER_SH_BASIC_DIL","FQ3 2024","FQ3 2024","Currency=USD","Period=FQ","BEST_FPERIOD_OVERRIDE=FQ","FILING_STATUS=MR","Sort=A","Dates=H","DateFormat=P","Fill=—","Direction=H","UseDPDF=Y")</f>
        <v>—</v>
      </c>
    </row>
    <row r="50" spans="1:27" x14ac:dyDescent="0.25">
      <c r="A50" s="10" t="s">
        <v>464</v>
      </c>
      <c r="B50" s="10" t="s">
        <v>465</v>
      </c>
      <c r="C50" s="13" t="str">
        <f>_xll.BDH("BLUE US Equity","ARD_PROF_AFTER_TAX_BEF_MINORITY","FQ2 2018","FQ2 2018","Currency=USD","Period=FQ","BEST_FPERIOD_OVERRIDE=FQ","FILING_STATUS=MR","SCALING_FORMAT=MLN","Sort=A","Dates=H","DateFormat=P","Fill=—","Direction=H","UseDPDF=Y")</f>
        <v>—</v>
      </c>
      <c r="D50" s="13" t="str">
        <f>_xll.BDH("BLUE US Equity","ARD_PROF_AFTER_TAX_BEF_MINORITY","FQ3 2018","FQ3 2018","Currency=USD","Period=FQ","BEST_FPERIOD_OVERRIDE=FQ","FILING_STATUS=MR","SCALING_FORMAT=MLN","Sort=A","Dates=H","DateFormat=P","Fill=—","Direction=H","UseDPDF=Y")</f>
        <v>—</v>
      </c>
      <c r="E50" s="13" t="str">
        <f>_xll.BDH("BLUE US Equity","ARD_PROF_AFTER_TAX_BEF_MINORITY","FQ4 2018","FQ4 2018","Currency=USD","Period=FQ","BEST_FPERIOD_OVERRIDE=FQ","FILING_STATUS=MR","SCALING_FORMAT=MLN","Sort=A","Dates=H","DateFormat=P","Fill=—","Direction=H","UseDPDF=Y")</f>
        <v>—</v>
      </c>
      <c r="F50" s="13" t="str">
        <f>_xll.BDH("BLUE US Equity","ARD_PROF_AFTER_TAX_BEF_MINORITY","FQ1 2019","FQ1 2019","Currency=USD","Period=FQ","BEST_FPERIOD_OVERRIDE=FQ","FILING_STATUS=MR","SCALING_FORMAT=MLN","Sort=A","Dates=H","DateFormat=P","Fill=—","Direction=H","UseDPDF=Y")</f>
        <v>—</v>
      </c>
      <c r="G50" s="13" t="str">
        <f>_xll.BDH("BLUE US Equity","ARD_PROF_AFTER_TAX_BEF_MINORITY","FQ2 2019","FQ2 2019","Currency=USD","Period=FQ","BEST_FPERIOD_OVERRIDE=FQ","FILING_STATUS=MR","SCALING_FORMAT=MLN","Sort=A","Dates=H","DateFormat=P","Fill=—","Direction=H","UseDPDF=Y")</f>
        <v>—</v>
      </c>
      <c r="H50" s="13" t="str">
        <f>_xll.BDH("BLUE US Equity","ARD_PROF_AFTER_TAX_BEF_MINORITY","FQ3 2019","FQ3 2019","Currency=USD","Period=FQ","BEST_FPERIOD_OVERRIDE=FQ","FILING_STATUS=MR","SCALING_FORMAT=MLN","Sort=A","Dates=H","DateFormat=P","Fill=—","Direction=H","UseDPDF=Y")</f>
        <v>—</v>
      </c>
      <c r="I50" s="13" t="str">
        <f>_xll.BDH("BLUE US Equity","ARD_PROF_AFTER_TAX_BEF_MINORITY","FQ4 2019","FQ4 2019","Currency=USD","Period=FQ","BEST_FPERIOD_OVERRIDE=FQ","FILING_STATUS=MR","SCALING_FORMAT=MLN","Sort=A","Dates=H","DateFormat=P","Fill=—","Direction=H","UseDPDF=Y")</f>
        <v>—</v>
      </c>
      <c r="J50" s="13" t="str">
        <f>_xll.BDH("BLUE US Equity","ARD_PROF_AFTER_TAX_BEF_MINORITY","FQ1 2020","FQ1 2020","Currency=USD","Period=FQ","BEST_FPERIOD_OVERRIDE=FQ","FILING_STATUS=MR","SCALING_FORMAT=MLN","Sort=A","Dates=H","DateFormat=P","Fill=—","Direction=H","UseDPDF=Y")</f>
        <v>—</v>
      </c>
      <c r="K50" s="13" t="str">
        <f>_xll.BDH("BLUE US Equity","ARD_PROF_AFTER_TAX_BEF_MINORITY","FQ2 2020","FQ2 2020","Currency=USD","Period=FQ","BEST_FPERIOD_OVERRIDE=FQ","FILING_STATUS=MR","SCALING_FORMAT=MLN","Sort=A","Dates=H","DateFormat=P","Fill=—","Direction=H","UseDPDF=Y")</f>
        <v>—</v>
      </c>
      <c r="L50" s="13" t="str">
        <f>_xll.BDH("BLUE US Equity","ARD_PROF_AFTER_TAX_BEF_MINORITY","FQ3 2020","FQ3 2020","Currency=USD","Period=FQ","BEST_FPERIOD_OVERRIDE=FQ","FILING_STATUS=MR","SCALING_FORMAT=MLN","Sort=A","Dates=H","DateFormat=P","Fill=—","Direction=H","UseDPDF=Y")</f>
        <v>—</v>
      </c>
      <c r="M50" s="13" t="str">
        <f>_xll.BDH("BLUE US Equity","ARD_PROF_AFTER_TAX_BEF_MINORITY","FQ4 2020","FQ4 2020","Currency=USD","Period=FQ","BEST_FPERIOD_OVERRIDE=FQ","FILING_STATUS=MR","SCALING_FORMAT=MLN","Sort=A","Dates=H","DateFormat=P","Fill=—","Direction=H","UseDPDF=Y")</f>
        <v>—</v>
      </c>
      <c r="N50" s="13">
        <f>_xll.BDH("BLUE US Equity","ARD_PROF_AFTER_TAX_BEF_MINORITY","FQ1 2021","FQ1 2021","Currency=USD","Period=FQ","BEST_FPERIOD_OVERRIDE=FQ","FILING_STATUS=MR","SCALING_FORMAT=MLN","Sort=A","Dates=H","DateFormat=P","Fill=—","Direction=H","UseDPDF=Y")</f>
        <v>-205.80799999999999</v>
      </c>
      <c r="O50" s="13" t="str">
        <f>_xll.BDH("BLUE US Equity","ARD_PROF_AFTER_TAX_BEF_MINORITY","FQ2 2021","FQ2 2021","Currency=USD","Period=FQ","BEST_FPERIOD_OVERRIDE=FQ","FILING_STATUS=MR","SCALING_FORMAT=MLN","Sort=A","Dates=H","DateFormat=P","Fill=—","Direction=H","UseDPDF=Y")</f>
        <v>—</v>
      </c>
      <c r="P50" s="13">
        <f>_xll.BDH("BLUE US Equity","ARD_PROF_AFTER_TAX_BEF_MINORITY","FQ3 2021","FQ3 2021","Currency=USD","Period=FQ","BEST_FPERIOD_OVERRIDE=FQ","FILING_STATUS=MR","SCALING_FORMAT=MLN","Sort=A","Dates=H","DateFormat=P","Fill=—","Direction=H","UseDPDF=Y")</f>
        <v>-216.816</v>
      </c>
      <c r="Q50" s="13" t="str">
        <f>_xll.BDH("BLUE US Equity","ARD_PROF_AFTER_TAX_BEF_MINORITY","FQ4 2021","FQ4 2021","Currency=USD","Period=FQ","BEST_FPERIOD_OVERRIDE=FQ","FILING_STATUS=MR","SCALING_FORMAT=MLN","Sort=A","Dates=H","DateFormat=P","Fill=—","Direction=H","UseDPDF=Y")</f>
        <v>—</v>
      </c>
      <c r="R50" s="13">
        <f>_xll.BDH("BLUE US Equity","ARD_PROF_AFTER_TAX_BEF_MINORITY","FQ1 2022","FQ1 2022","Currency=USD","Period=FQ","BEST_FPERIOD_OVERRIDE=FQ","FILING_STATUS=MR","SCALING_FORMAT=MLN","Sort=A","Dates=H","DateFormat=P","Fill=—","Direction=H","UseDPDF=Y")</f>
        <v>-122.152</v>
      </c>
      <c r="S50" s="13">
        <f>_xll.BDH("BLUE US Equity","ARD_PROF_AFTER_TAX_BEF_MINORITY","FQ2 2022","FQ2 2022","Currency=USD","Period=FQ","BEST_FPERIOD_OVERRIDE=FQ","FILING_STATUS=MR","SCALING_FORMAT=MLN","Sort=A","Dates=H","DateFormat=P","Fill=—","Direction=H","UseDPDF=Y")</f>
        <v>-100.13800000000001</v>
      </c>
      <c r="T50" s="13">
        <f>_xll.BDH("BLUE US Equity","ARD_PROF_AFTER_TAX_BEF_MINORITY","FQ3 2022","FQ3 2022","Currency=USD","Period=FQ","BEST_FPERIOD_OVERRIDE=FQ","FILING_STATUS=MR","SCALING_FORMAT=MLN","Sort=A","Dates=H","DateFormat=P","Fill=—","Direction=H","UseDPDF=Y")</f>
        <v>-76.52</v>
      </c>
      <c r="U50" s="13">
        <f>_xll.BDH("BLUE US Equity","ARD_PROF_AFTER_TAX_BEF_MINORITY","FQ4 2022","FQ4 2022","Currency=USD","Period=FQ","BEST_FPERIOD_OVERRIDE=FQ","FILING_STATUS=MR","SCALING_FORMAT=MLN","Sort=A","Dates=H","DateFormat=P","Fill=—","Direction=H","UseDPDF=Y")</f>
        <v>32.231999999999999</v>
      </c>
      <c r="V50" s="13">
        <f>_xll.BDH("BLUE US Equity","ARD_PROF_AFTER_TAX_BEF_MINORITY","FQ1 2023","FQ1 2023","Currency=USD","Period=FQ","BEST_FPERIOD_OVERRIDE=FQ","FILING_STATUS=MR","SCALING_FORMAT=MLN","Sort=A","Dates=H","DateFormat=P","Fill=—","Direction=H","UseDPDF=Y")</f>
        <v>18.93</v>
      </c>
      <c r="W50" s="13">
        <f>_xll.BDH("BLUE US Equity","ARD_PROF_AFTER_TAX_BEF_MINORITY","FQ2 2023","FQ2 2023","Currency=USD","Period=FQ","BEST_FPERIOD_OVERRIDE=FQ","FILING_STATUS=MR","SCALING_FORMAT=MLN","Sort=A","Dates=H","DateFormat=P","Fill=—","Direction=H","UseDPDF=Y")</f>
        <v>-62.789000000000001</v>
      </c>
      <c r="X50" s="13">
        <f>_xll.BDH("BLUE US Equity","ARD_PROF_AFTER_TAX_BEF_MINORITY","FQ3 2023","FQ3 2023","Currency=USD","Period=FQ","BEST_FPERIOD_OVERRIDE=FQ","FILING_STATUS=MR","SCALING_FORMAT=MLN","Sort=A","Dates=H","DateFormat=P","Fill=—","Direction=H","UseDPDF=Y")</f>
        <v>-87.231999999999999</v>
      </c>
      <c r="Y50" s="13">
        <f>_xll.BDH("BLUE US Equity","ARD_PROF_AFTER_TAX_BEF_MINORITY","FQ1 2024","FQ1 2024","Currency=USD","Period=FQ","BEST_FPERIOD_OVERRIDE=FQ","FILING_STATUS=MR","SCALING_FORMAT=MLN","Sort=A","Dates=H","DateFormat=P","Fill=—","Direction=H","UseDPDF=Y")</f>
        <v>-69.804000000000002</v>
      </c>
      <c r="Z50" s="13">
        <f>_xll.BDH("BLUE US Equity","ARD_PROF_AFTER_TAX_BEF_MINORITY","FQ2 2024","FQ2 2024","Currency=USD","Period=FQ","BEST_FPERIOD_OVERRIDE=FQ","FILING_STATUS=MR","SCALING_FORMAT=MLN","Sort=A","Dates=H","DateFormat=P","Fill=—","Direction=H","UseDPDF=Y")</f>
        <v>-81.393000000000001</v>
      </c>
      <c r="AA50" s="13">
        <f>_xll.BDH("BLUE US Equity","ARD_PROF_AFTER_TAX_BEF_MINORITY","FQ3 2024","FQ3 2024","Currency=USD","Period=FQ","BEST_FPERIOD_OVERRIDE=FQ","FILING_STATUS=MR","SCALING_FORMAT=MLN","Sort=A","Dates=H","DateFormat=P","Fill=—","Direction=H","UseDPDF=Y")</f>
        <v>-60.808</v>
      </c>
    </row>
    <row r="51" spans="1:27" x14ac:dyDescent="0.25">
      <c r="A51" s="10" t="s">
        <v>466</v>
      </c>
      <c r="B51" s="10" t="s">
        <v>467</v>
      </c>
      <c r="C51" s="13">
        <f>_xll.BDH("BLUE US Equity","ARD_CUMULATIVE_NET_INCOME","FQ2 2018","FQ2 2018","Currency=USD","Period=FQ","BEST_FPERIOD_OVERRIDE=FQ","FILING_STATUS=MR","SCALING_FORMAT=MLN","Sort=A","Dates=H","DateFormat=P","Fill=—","Direction=H","UseDPDF=Y")</f>
        <v>-261.12200000000001</v>
      </c>
      <c r="D51" s="13">
        <f>_xll.BDH("BLUE US Equity","ARD_CUMULATIVE_NET_INCOME","FQ3 2018","FQ3 2018","Currency=USD","Period=FQ","BEST_FPERIOD_OVERRIDE=FQ","FILING_STATUS=MR","SCALING_FORMAT=MLN","Sort=A","Dates=H","DateFormat=P","Fill=—","Direction=H","UseDPDF=Y")</f>
        <v>-406.60199999999998</v>
      </c>
      <c r="E51" s="13">
        <f>_xll.BDH("BLUE US Equity","ARD_CUMULATIVE_NET_INCOME","FQ4 2018","FQ4 2018","Currency=USD","Period=FQ","BEST_FPERIOD_OVERRIDE=FQ","FILING_STATUS=MR","SCALING_FORMAT=MLN","Sort=A","Dates=H","DateFormat=P","Fill=—","Direction=H","UseDPDF=Y")</f>
        <v>-555.625</v>
      </c>
      <c r="F51" s="13">
        <f>_xll.BDH("BLUE US Equity","ARD_CUMULATIVE_NET_INCOME","FQ1 2019","FQ1 2019","Currency=USD","Period=FQ","BEST_FPERIOD_OVERRIDE=FQ","FILING_STATUS=MR","SCALING_FORMAT=MLN","Sort=A","Dates=H","DateFormat=P","Fill=—","Direction=H","UseDPDF=Y")</f>
        <v>-164.446</v>
      </c>
      <c r="G51" s="13">
        <f>_xll.BDH("BLUE US Equity","ARD_CUMULATIVE_NET_INCOME","FQ2 2019","FQ2 2019","Currency=USD","Period=FQ","BEST_FPERIOD_OVERRIDE=FQ","FILING_STATUS=MR","SCALING_FORMAT=MLN","Sort=A","Dates=H","DateFormat=P","Fill=—","Direction=H","UseDPDF=Y")</f>
        <v>-360.22800000000001</v>
      </c>
      <c r="H51" s="13">
        <f>_xll.BDH("BLUE US Equity","ARD_CUMULATIVE_NET_INCOME","FQ3 2019","FQ3 2019","Currency=USD","Period=FQ","BEST_FPERIOD_OVERRIDE=FQ","FILING_STATUS=MR","SCALING_FORMAT=MLN","Sort=A","Dates=H","DateFormat=P","Fill=—","Direction=H","UseDPDF=Y")</f>
        <v>-566.26099999999997</v>
      </c>
      <c r="I51" s="13">
        <f>_xll.BDH("BLUE US Equity","ARD_CUMULATIVE_NET_INCOME","FQ4 2019","FQ4 2019","Currency=USD","Period=FQ","BEST_FPERIOD_OVERRIDE=FQ","FILING_STATUS=MR","SCALING_FORMAT=MLN","Sort=A","Dates=H","DateFormat=P","Fill=—","Direction=H","UseDPDF=Y")</f>
        <v>-789.60799999999995</v>
      </c>
      <c r="J51" s="13">
        <f>_xll.BDH("BLUE US Equity","ARD_CUMULATIVE_NET_INCOME","FQ1 2020","FQ1 2020","Currency=USD","Period=FQ","BEST_FPERIOD_OVERRIDE=FQ","FILING_STATUS=MR","SCALING_FORMAT=MLN","Sort=A","Dates=H","DateFormat=P","Fill=—","Direction=H","UseDPDF=Y")</f>
        <v>-202.61099999999999</v>
      </c>
      <c r="K51" s="13">
        <f>_xll.BDH("BLUE US Equity","ARD_CUMULATIVE_NET_INCOME","FQ2 2020","FQ2 2020","Currency=USD","Period=FQ","BEST_FPERIOD_OVERRIDE=FQ","FILING_STATUS=MR","SCALING_FORMAT=MLN","Sort=A","Dates=H","DateFormat=P","Fill=—","Direction=H","UseDPDF=Y")</f>
        <v>-224.07599999999999</v>
      </c>
      <c r="L51" s="13">
        <f>_xll.BDH("BLUE US Equity","ARD_CUMULATIVE_NET_INCOME","FQ3 2020","FQ3 2020","Currency=USD","Period=FQ","BEST_FPERIOD_OVERRIDE=FQ","FILING_STATUS=MR","SCALING_FORMAT=MLN","Sort=A","Dates=H","DateFormat=P","Fill=—","Direction=H","UseDPDF=Y")</f>
        <v>-418.82100000000003</v>
      </c>
      <c r="M51" s="13">
        <f>_xll.BDH("BLUE US Equity","ARD_CUMULATIVE_NET_INCOME","FQ4 2020","FQ4 2020","Currency=USD","Period=FQ","BEST_FPERIOD_OVERRIDE=FQ","FILING_STATUS=MR","SCALING_FORMAT=MLN","Sort=A","Dates=H","DateFormat=P","Fill=—","Direction=H","UseDPDF=Y")</f>
        <v>-618.69500000000005</v>
      </c>
      <c r="N51" s="13">
        <f>_xll.BDH("BLUE US Equity","ARD_CUMULATIVE_NET_INCOME","FQ1 2021","FQ1 2021","Currency=USD","Period=FQ","BEST_FPERIOD_OVERRIDE=FQ","FILING_STATUS=MR","SCALING_FORMAT=MLN","Sort=A","Dates=H","DateFormat=P","Fill=—","Direction=H","UseDPDF=Y")</f>
        <v>-205.80799999999999</v>
      </c>
      <c r="O51" s="13">
        <f>_xll.BDH("BLUE US Equity","ARD_CUMULATIVE_NET_INCOME","FQ2 2021","FQ2 2021","Currency=USD","Period=FQ","BEST_FPERIOD_OVERRIDE=FQ","FILING_STATUS=MR","SCALING_FORMAT=MLN","Sort=A","Dates=H","DateFormat=P","Fill=—","Direction=H","UseDPDF=Y")</f>
        <v>-447.51</v>
      </c>
      <c r="P51" s="13">
        <f>_xll.BDH("BLUE US Equity","ARD_CUMULATIVE_NET_INCOME","FQ3 2021","FQ3 2021","Currency=USD","Period=FQ","BEST_FPERIOD_OVERRIDE=FQ","FILING_STATUS=MR","SCALING_FORMAT=MLN","Sort=A","Dates=H","DateFormat=P","Fill=—","Direction=H","UseDPDF=Y")</f>
        <v>-664.32600000000002</v>
      </c>
      <c r="Q51" s="13">
        <f>_xll.BDH("BLUE US Equity","ARD_CUMULATIVE_NET_INCOME","FQ4 2021","FQ4 2021","Currency=USD","Period=FQ","BEST_FPERIOD_OVERRIDE=FQ","FILING_STATUS=MR","SCALING_FORMAT=MLN","Sort=A","Dates=H","DateFormat=P","Fill=—","Direction=H","UseDPDF=Y")</f>
        <v>-819.37800000000004</v>
      </c>
      <c r="R51" s="13">
        <f>_xll.BDH("BLUE US Equity","ARD_CUMULATIVE_NET_INCOME","FQ1 2022","FQ1 2022","Currency=USD","Period=FQ","BEST_FPERIOD_OVERRIDE=FQ","FILING_STATUS=MR","SCALING_FORMAT=MLN","Sort=A","Dates=H","DateFormat=P","Fill=—","Direction=H","UseDPDF=Y")</f>
        <v>-122.152</v>
      </c>
      <c r="S51" s="13">
        <f>_xll.BDH("BLUE US Equity","ARD_CUMULATIVE_NET_INCOME","FQ2 2022","FQ2 2022","Currency=USD","Period=FQ","BEST_FPERIOD_OVERRIDE=FQ","FILING_STATUS=MR","SCALING_FORMAT=MLN","Sort=A","Dates=H","DateFormat=P","Fill=—","Direction=H","UseDPDF=Y")</f>
        <v>-222.29</v>
      </c>
      <c r="T51" s="13">
        <f>_xll.BDH("BLUE US Equity","ARD_CUMULATIVE_NET_INCOME","FQ3 2022","FQ3 2022","Currency=USD","Period=FQ","BEST_FPERIOD_OVERRIDE=FQ","FILING_STATUS=MR","SCALING_FORMAT=MLN","Sort=A","Dates=H","DateFormat=P","Fill=—","Direction=H","UseDPDF=Y")</f>
        <v>-298.81</v>
      </c>
      <c r="U51" s="13">
        <f>_xll.BDH("BLUE US Equity","ARD_CUMULATIVE_NET_INCOME","FQ4 2022","FQ4 2022","Currency=USD","Period=FQ","BEST_FPERIOD_OVERRIDE=FQ","FILING_STATUS=MR","SCALING_FORMAT=MLN","Sort=A","Dates=H","DateFormat=P","Fill=—","Direction=H","UseDPDF=Y")</f>
        <v>-266.57799999999997</v>
      </c>
      <c r="V51" s="13">
        <f>_xll.BDH("BLUE US Equity","ARD_CUMULATIVE_NET_INCOME","FQ1 2023","FQ1 2023","Currency=USD","Period=FQ","BEST_FPERIOD_OVERRIDE=FQ","FILING_STATUS=MR","SCALING_FORMAT=MLN","Sort=A","Dates=H","DateFormat=P","Fill=—","Direction=H","UseDPDF=Y")</f>
        <v>18.93</v>
      </c>
      <c r="W51" s="13">
        <f>_xll.BDH("BLUE US Equity","ARD_CUMULATIVE_NET_INCOME","FQ2 2023","FQ2 2023","Currency=USD","Period=FQ","BEST_FPERIOD_OVERRIDE=FQ","FILING_STATUS=MR","SCALING_FORMAT=MLN","Sort=A","Dates=H","DateFormat=P","Fill=—","Direction=H","UseDPDF=Y")</f>
        <v>-43.859000000000002</v>
      </c>
      <c r="X51" s="13">
        <f>_xll.BDH("BLUE US Equity","ARD_CUMULATIVE_NET_INCOME","FQ3 2023","FQ3 2023","Currency=USD","Period=FQ","BEST_FPERIOD_OVERRIDE=FQ","FILING_STATUS=MR","SCALING_FORMAT=MLN","Sort=A","Dates=H","DateFormat=P","Fill=—","Direction=H","UseDPDF=Y")</f>
        <v>-131.09100000000001</v>
      </c>
      <c r="Y51" s="13">
        <f>_xll.BDH("BLUE US Equity","ARD_CUMULATIVE_NET_INCOME","FQ1 2024","FQ1 2024","Currency=USD","Period=FQ","BEST_FPERIOD_OVERRIDE=FQ","FILING_STATUS=MR","SCALING_FORMAT=MLN","Sort=A","Dates=H","DateFormat=P","Fill=—","Direction=H","UseDPDF=Y")</f>
        <v>-69.804000000000002</v>
      </c>
      <c r="Z51" s="13">
        <f>_xll.BDH("BLUE US Equity","ARD_CUMULATIVE_NET_INCOME","FQ2 2024","FQ2 2024","Currency=USD","Period=FQ","BEST_FPERIOD_OVERRIDE=FQ","FILING_STATUS=MR","SCALING_FORMAT=MLN","Sort=A","Dates=H","DateFormat=P","Fill=—","Direction=H","UseDPDF=Y")</f>
        <v>-151.197</v>
      </c>
      <c r="AA51" s="13">
        <f>_xll.BDH("BLUE US Equity","ARD_CUMULATIVE_NET_INCOME","FQ3 2024","FQ3 2024","Currency=USD","Period=FQ","BEST_FPERIOD_OVERRIDE=FQ","FILING_STATUS=MR","SCALING_FORMAT=MLN","Sort=A","Dates=H","DateFormat=P","Fill=—","Direction=H","UseDPDF=Y")</f>
        <v>-212.00299999999999</v>
      </c>
    </row>
    <row r="52" spans="1:27" x14ac:dyDescent="0.25">
      <c r="A52" s="6" t="s">
        <v>158</v>
      </c>
      <c r="B52" s="6" t="s">
        <v>468</v>
      </c>
      <c r="C52" s="19">
        <f>_xll.BDH("BLUE US Equity","ARD_NET_INC","FQ2 2018","FQ2 2018","Currency=USD","Period=FQ","BEST_FPERIOD_OVERRIDE=FQ","FILING_STATUS=MR","SCALING_FORMAT=MLN","Sort=A","Dates=H","DateFormat=P","Fill=—","Direction=H","UseDPDF=Y")</f>
        <v>-145.99600000000001</v>
      </c>
      <c r="D52" s="19">
        <f>_xll.BDH("BLUE US Equity","ARD_NET_INC","FQ3 2018","FQ3 2018","Currency=USD","Period=FQ","BEST_FPERIOD_OVERRIDE=FQ","FILING_STATUS=MR","SCALING_FORMAT=MLN","Sort=A","Dates=H","DateFormat=P","Fill=—","Direction=H","UseDPDF=Y")</f>
        <v>-145.47999999999999</v>
      </c>
      <c r="E52" s="19">
        <f>_xll.BDH("BLUE US Equity","ARD_NET_INC","FQ4 2018","FQ4 2018","Currency=USD","Period=FQ","BEST_FPERIOD_OVERRIDE=FQ","FILING_STATUS=MR","SCALING_FORMAT=MLN","Sort=A","Dates=H","DateFormat=P","Fill=—","Direction=H","UseDPDF=Y")</f>
        <v>-149.023</v>
      </c>
      <c r="F52" s="19">
        <f>_xll.BDH("BLUE US Equity","ARD_NET_INC","FQ1 2019","FQ1 2019","Currency=USD","Period=FQ","BEST_FPERIOD_OVERRIDE=FQ","FILING_STATUS=MR","SCALING_FORMAT=MLN","Sort=A","Dates=H","DateFormat=P","Fill=—","Direction=H","UseDPDF=Y")</f>
        <v>-164.446</v>
      </c>
      <c r="G52" s="19">
        <f>_xll.BDH("BLUE US Equity","ARD_NET_INC","FQ2 2019","FQ2 2019","Currency=USD","Period=FQ","BEST_FPERIOD_OVERRIDE=FQ","FILING_STATUS=MR","SCALING_FORMAT=MLN","Sort=A","Dates=H","DateFormat=P","Fill=—","Direction=H","UseDPDF=Y")</f>
        <v>-195.78200000000001</v>
      </c>
      <c r="H52" s="19">
        <f>_xll.BDH("BLUE US Equity","ARD_NET_INC","FQ3 2019","FQ3 2019","Currency=USD","Period=FQ","BEST_FPERIOD_OVERRIDE=FQ","FILING_STATUS=MR","SCALING_FORMAT=MLN","Sort=A","Dates=H","DateFormat=P","Fill=—","Direction=H","UseDPDF=Y")</f>
        <v>-206.03299999999999</v>
      </c>
      <c r="I52" s="19">
        <f>_xll.BDH("BLUE US Equity","ARD_NET_INC","FQ4 2019","FQ4 2019","Currency=USD","Period=FQ","BEST_FPERIOD_OVERRIDE=FQ","FILING_STATUS=MR","SCALING_FORMAT=MLN","Sort=A","Dates=H","DateFormat=P","Fill=—","Direction=H","UseDPDF=Y")</f>
        <v>-223.34700000000001</v>
      </c>
      <c r="J52" s="19">
        <f>_xll.BDH("BLUE US Equity","ARD_NET_INC","FQ1 2020","FQ1 2020","Currency=USD","Period=FQ","BEST_FPERIOD_OVERRIDE=FQ","FILING_STATUS=MR","SCALING_FORMAT=MLN","Sort=A","Dates=H","DateFormat=P","Fill=—","Direction=H","UseDPDF=Y")</f>
        <v>-202.61099999999999</v>
      </c>
      <c r="K52" s="19">
        <f>_xll.BDH("BLUE US Equity","ARD_NET_INC","FQ2 2020","FQ2 2020","Currency=USD","Period=FQ","BEST_FPERIOD_OVERRIDE=FQ","FILING_STATUS=MR","SCALING_FORMAT=MLN","Sort=A","Dates=H","DateFormat=P","Fill=—","Direction=H","UseDPDF=Y")</f>
        <v>-21.465</v>
      </c>
      <c r="L52" s="19">
        <f>_xll.BDH("BLUE US Equity","ARD_NET_INC","FQ3 2020","FQ3 2020","Currency=USD","Period=FQ","BEST_FPERIOD_OVERRIDE=FQ","FILING_STATUS=MR","SCALING_FORMAT=MLN","Sort=A","Dates=H","DateFormat=P","Fill=—","Direction=H","UseDPDF=Y")</f>
        <v>-194.745</v>
      </c>
      <c r="M52" s="19">
        <f>_xll.BDH("BLUE US Equity","ARD_NET_INC","FQ4 2020","FQ4 2020","Currency=USD","Period=FQ","BEST_FPERIOD_OVERRIDE=FQ","FILING_STATUS=MR","SCALING_FORMAT=MLN","Sort=A","Dates=H","DateFormat=P","Fill=—","Direction=H","UseDPDF=Y")</f>
        <v>-199.874</v>
      </c>
      <c r="N52" s="19">
        <f>_xll.BDH("BLUE US Equity","ARD_NET_INC","FQ1 2021","FQ1 2021","Currency=USD","Period=FQ","BEST_FPERIOD_OVERRIDE=FQ","FILING_STATUS=MR","SCALING_FORMAT=MLN","Sort=A","Dates=H","DateFormat=P","Fill=—","Direction=H","UseDPDF=Y")</f>
        <v>-205.80799999999999</v>
      </c>
      <c r="O52" s="19">
        <f>_xll.BDH("BLUE US Equity","ARD_NET_INC","FQ2 2021","FQ2 2021","Currency=USD","Period=FQ","BEST_FPERIOD_OVERRIDE=FQ","FILING_STATUS=MR","SCALING_FORMAT=MLN","Sort=A","Dates=H","DateFormat=P","Fill=—","Direction=H","UseDPDF=Y")</f>
        <v>-241.702</v>
      </c>
      <c r="P52" s="19">
        <f>_xll.BDH("BLUE US Equity","ARD_NET_INC","FQ3 2021","FQ3 2021","Currency=USD","Period=FQ","BEST_FPERIOD_OVERRIDE=FQ","FILING_STATUS=MR","SCALING_FORMAT=MLN","Sort=A","Dates=H","DateFormat=P","Fill=—","Direction=H","UseDPDF=Y")</f>
        <v>-216.816</v>
      </c>
      <c r="Q52" s="19">
        <f>_xll.BDH("BLUE US Equity","ARD_NET_INC","FQ4 2021","FQ4 2021","Currency=USD","Period=FQ","BEST_FPERIOD_OVERRIDE=FQ","FILING_STATUS=MR","SCALING_FORMAT=MLN","Sort=A","Dates=H","DateFormat=P","Fill=—","Direction=H","UseDPDF=Y")</f>
        <v>-155.05199999999999</v>
      </c>
      <c r="R52" s="19">
        <f>_xll.BDH("BLUE US Equity","ARD_NET_INC","FQ1 2022","FQ1 2022","Currency=USD","Period=FQ","BEST_FPERIOD_OVERRIDE=FQ","FILING_STATUS=MR","SCALING_FORMAT=MLN","Sort=A","Dates=H","DateFormat=P","Fill=—","Direction=H","UseDPDF=Y")</f>
        <v>-122.152</v>
      </c>
      <c r="S52" s="19">
        <f>_xll.BDH("BLUE US Equity","ARD_NET_INC","FQ2 2022","FQ2 2022","Currency=USD","Period=FQ","BEST_FPERIOD_OVERRIDE=FQ","FILING_STATUS=MR","SCALING_FORMAT=MLN","Sort=A","Dates=H","DateFormat=P","Fill=—","Direction=H","UseDPDF=Y")</f>
        <v>-100.13800000000001</v>
      </c>
      <c r="T52" s="19">
        <f>_xll.BDH("BLUE US Equity","ARD_NET_INC","FQ3 2022","FQ3 2022","Currency=USD","Period=FQ","BEST_FPERIOD_OVERRIDE=FQ","FILING_STATUS=MR","SCALING_FORMAT=MLN","Sort=A","Dates=H","DateFormat=P","Fill=—","Direction=H","UseDPDF=Y")</f>
        <v>-76.52</v>
      </c>
      <c r="U52" s="19">
        <f>_xll.BDH("BLUE US Equity","ARD_NET_INC","FQ4 2022","FQ4 2022","Currency=USD","Period=FQ","BEST_FPERIOD_OVERRIDE=FQ","FILING_STATUS=MR","SCALING_FORMAT=MLN","Sort=A","Dates=H","DateFormat=P","Fill=—","Direction=H","UseDPDF=Y")</f>
        <v>32.231999999999999</v>
      </c>
      <c r="V52" s="19">
        <f>_xll.BDH("BLUE US Equity","ARD_NET_INC","FQ1 2023","FQ1 2023","Currency=USD","Period=FQ","BEST_FPERIOD_OVERRIDE=FQ","FILING_STATUS=MR","SCALING_FORMAT=MLN","Sort=A","Dates=H","DateFormat=P","Fill=—","Direction=H","UseDPDF=Y")</f>
        <v>18.93</v>
      </c>
      <c r="W52" s="19">
        <f>_xll.BDH("BLUE US Equity","ARD_NET_INC","FQ2 2023","FQ2 2023","Currency=USD","Period=FQ","BEST_FPERIOD_OVERRIDE=FQ","FILING_STATUS=MR","SCALING_FORMAT=MLN","Sort=A","Dates=H","DateFormat=P","Fill=—","Direction=H","UseDPDF=Y")</f>
        <v>-62.789000000000001</v>
      </c>
      <c r="X52" s="19">
        <f>_xll.BDH("BLUE US Equity","ARD_NET_INC","FQ3 2023","FQ3 2023","Currency=USD","Period=FQ","BEST_FPERIOD_OVERRIDE=FQ","FILING_STATUS=MR","SCALING_FORMAT=MLN","Sort=A","Dates=H","DateFormat=P","Fill=—","Direction=H","UseDPDF=Y")</f>
        <v>-87.231999999999999</v>
      </c>
      <c r="Y52" s="19">
        <f>_xll.BDH("BLUE US Equity","ARD_NET_INC","FQ1 2024","FQ1 2024","Currency=USD","Period=FQ","BEST_FPERIOD_OVERRIDE=FQ","FILING_STATUS=MR","SCALING_FORMAT=MLN","Sort=A","Dates=H","DateFormat=P","Fill=—","Direction=H","UseDPDF=Y")</f>
        <v>-69.804000000000002</v>
      </c>
      <c r="Z52" s="19">
        <f>_xll.BDH("BLUE US Equity","ARD_NET_INC","FQ2 2024","FQ2 2024","Currency=USD","Period=FQ","BEST_FPERIOD_OVERRIDE=FQ","FILING_STATUS=MR","SCALING_FORMAT=MLN","Sort=A","Dates=H","DateFormat=P","Fill=—","Direction=H","UseDPDF=Y")</f>
        <v>-81.393000000000001</v>
      </c>
      <c r="AA52" s="19">
        <f>_xll.BDH("BLUE US Equity","ARD_NET_INC","FQ3 2024","FQ3 2024","Currency=USD","Period=FQ","BEST_FPERIOD_OVERRIDE=FQ","FILING_STATUS=MR","SCALING_FORMAT=MLN","Sort=A","Dates=H","DateFormat=P","Fill=—","Direction=H","UseDPDF=Y")</f>
        <v>-60.808</v>
      </c>
    </row>
    <row r="53" spans="1:27" x14ac:dyDescent="0.25">
      <c r="A53" s="10" t="s">
        <v>469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10" t="s">
        <v>470</v>
      </c>
      <c r="B54" s="10" t="s">
        <v>471</v>
      </c>
      <c r="C54" s="13">
        <f>_xll.BDH("BLUE US Equity","ARD_UNREALIZED_GL_ON_SECS","FQ2 2018","FQ2 2018","Currency=USD","Period=FQ","BEST_FPERIOD_OVERRIDE=FQ","FILING_STATUS=MR","SCALING_FORMAT=MLN","Sort=A","Dates=H","DateFormat=P","Fill=—","Direction=H","UseDPDF=Y")</f>
        <v>-0.34499999999999997</v>
      </c>
      <c r="D54" s="13">
        <f>_xll.BDH("BLUE US Equity","ARD_UNREALIZED_GL_ON_SECS","FQ3 2018","FQ3 2018","Currency=USD","Period=FQ","BEST_FPERIOD_OVERRIDE=FQ","FILING_STATUS=MR","SCALING_FORMAT=MLN","Sort=A","Dates=H","DateFormat=P","Fill=—","Direction=H","UseDPDF=Y")</f>
        <v>-6.6000000000000003E-2</v>
      </c>
      <c r="E54" s="13">
        <f>_xll.BDH("BLUE US Equity","ARD_UNREALIZED_GL_ON_SECS","FQ4 2018","FQ4 2018","Currency=USD","Period=FQ","BEST_FPERIOD_OVERRIDE=FQ","FILING_STATUS=MR","SCALING_FORMAT=MLN","Sort=A","Dates=H","DateFormat=P","Fill=—","Direction=H","UseDPDF=Y")</f>
        <v>1.833</v>
      </c>
      <c r="F54" s="13" t="str">
        <f>_xll.BDH("BLUE US Equity","ARD_UNREALIZED_GL_ON_SECS","FQ1 2019","FQ1 2019","Currency=USD","Period=FQ","BEST_FPERIOD_OVERRIDE=FQ","FILING_STATUS=MR","SCALING_FORMAT=MLN","Sort=A","Dates=H","DateFormat=P","Fill=—","Direction=H","UseDPDF=Y")</f>
        <v>—</v>
      </c>
      <c r="G54" s="13">
        <f>_xll.BDH("BLUE US Equity","ARD_UNREALIZED_GL_ON_SECS","FQ2 2019","FQ2 2019","Currency=USD","Period=FQ","BEST_FPERIOD_OVERRIDE=FQ","FILING_STATUS=MR","SCALING_FORMAT=MLN","Sort=A","Dates=H","DateFormat=P","Fill=—","Direction=H","UseDPDF=Y")</f>
        <v>0.97299999999999998</v>
      </c>
      <c r="H54" s="13">
        <f>_xll.BDH("BLUE US Equity","ARD_UNREALIZED_GL_ON_SECS","FQ3 2019","FQ3 2019","Currency=USD","Period=FQ","BEST_FPERIOD_OVERRIDE=FQ","FILING_STATUS=MR","SCALING_FORMAT=MLN","Sort=A","Dates=H","DateFormat=P","Fill=—","Direction=H","UseDPDF=Y")</f>
        <v>-2.032</v>
      </c>
      <c r="I54" s="13" t="str">
        <f>_xll.BDH("BLUE US Equity","ARD_UNREALIZED_GL_ON_SECS","FQ4 2019","FQ4 2019","Currency=USD","Period=FQ","BEST_FPERIOD_OVERRIDE=FQ","FILING_STATUS=MR","SCALING_FORMAT=MLN","Sort=A","Dates=H","DateFormat=P","Fill=—","Direction=H","UseDPDF=Y")</f>
        <v>—</v>
      </c>
      <c r="J54" s="13" t="str">
        <f>_xll.BDH("BLUE US Equity","ARD_UNREALIZED_GL_ON_SECS","FQ1 2020","FQ1 2020","Currency=USD","Period=FQ","BEST_FPERIOD_OVERRIDE=FQ","FILING_STATUS=MR","SCALING_FORMAT=MLN","Sort=A","Dates=H","DateFormat=P","Fill=—","Direction=H","UseDPDF=Y")</f>
        <v>—</v>
      </c>
      <c r="K54" s="13">
        <f>_xll.BDH("BLUE US Equity","ARD_UNREALIZED_GL_ON_SECS","FQ2 2020","FQ2 2020","Currency=USD","Period=FQ","BEST_FPERIOD_OVERRIDE=FQ","FILING_STATUS=MR","SCALING_FORMAT=MLN","Sort=A","Dates=H","DateFormat=P","Fill=—","Direction=H","UseDPDF=Y")</f>
        <v>0.39900000000000002</v>
      </c>
      <c r="L54" s="13">
        <f>_xll.BDH("BLUE US Equity","ARD_UNREALIZED_GL_ON_SECS","FQ3 2020","FQ3 2020","Currency=USD","Period=FQ","BEST_FPERIOD_OVERRIDE=FQ","FILING_STATUS=MR","SCALING_FORMAT=MLN","Sort=A","Dates=H","DateFormat=P","Fill=—","Direction=H","UseDPDF=Y")</f>
        <v>-1.823</v>
      </c>
      <c r="M54" s="13" t="str">
        <f>_xll.BDH("BLUE US Equity","ARD_UNREALIZED_GL_ON_SECS","FQ4 2020","FQ4 2020","Currency=USD","Period=FQ","BEST_FPERIOD_OVERRIDE=FQ","FILING_STATUS=MR","SCALING_FORMAT=MLN","Sort=A","Dates=H","DateFormat=P","Fill=—","Direction=H","UseDPDF=Y")</f>
        <v>—</v>
      </c>
      <c r="N54" s="13" t="str">
        <f>_xll.BDH("BLUE US Equity","ARD_UNREALIZED_GL_ON_SECS","FQ1 2021","FQ1 2021","Currency=USD","Period=FQ","BEST_FPERIOD_OVERRIDE=FQ","FILING_STATUS=MR","SCALING_FORMAT=MLN","Sort=A","Dates=H","DateFormat=P","Fill=—","Direction=H","UseDPDF=Y")</f>
        <v>—</v>
      </c>
      <c r="O54" s="13">
        <f>_xll.BDH("BLUE US Equity","ARD_UNREALIZED_GL_ON_SECS","FQ2 2021","FQ2 2021","Currency=USD","Period=FQ","BEST_FPERIOD_OVERRIDE=FQ","FILING_STATUS=MR","SCALING_FORMAT=MLN","Sort=A","Dates=H","DateFormat=P","Fill=—","Direction=H","UseDPDF=Y")</f>
        <v>-0.32800000000000001</v>
      </c>
      <c r="P54" s="13" t="str">
        <f>_xll.BDH("BLUE US Equity","ARD_UNREALIZED_GL_ON_SECS","FQ3 2021","FQ3 2021","Currency=USD","Period=FQ","BEST_FPERIOD_OVERRIDE=FQ","FILING_STATUS=MR","SCALING_FORMAT=MLN","Sort=A","Dates=H","DateFormat=P","Fill=—","Direction=H","UseDPDF=Y")</f>
        <v>—</v>
      </c>
      <c r="Q54" s="13" t="str">
        <f>_xll.BDH("BLUE US Equity","ARD_UNREALIZED_GL_ON_SECS","FQ4 2021","FQ4 2021","Currency=USD","Period=FQ","BEST_FPERIOD_OVERRIDE=FQ","FILING_STATUS=MR","SCALING_FORMAT=MLN","Sort=A","Dates=H","DateFormat=P","Fill=—","Direction=H","UseDPDF=Y")</f>
        <v>—</v>
      </c>
      <c r="R54" s="13" t="str">
        <f>_xll.BDH("BLUE US Equity","ARD_UNREALIZED_GL_ON_SECS","FQ1 2022","FQ1 2022","Currency=USD","Period=FQ","BEST_FPERIOD_OVERRIDE=FQ","FILING_STATUS=MR","SCALING_FORMAT=MLN","Sort=A","Dates=H","DateFormat=P","Fill=—","Direction=H","UseDPDF=Y")</f>
        <v>—</v>
      </c>
      <c r="S54" s="13" t="str">
        <f>_xll.BDH("BLUE US Equity","ARD_UNREALIZED_GL_ON_SECS","FQ2 2022","FQ2 2022","Currency=USD","Period=FQ","BEST_FPERIOD_OVERRIDE=FQ","FILING_STATUS=MR","SCALING_FORMAT=MLN","Sort=A","Dates=H","DateFormat=P","Fill=—","Direction=H","UseDPDF=Y")</f>
        <v>—</v>
      </c>
      <c r="T54" s="13" t="str">
        <f>_xll.BDH("BLUE US Equity","ARD_UNREALIZED_GL_ON_SECS","FQ3 2022","FQ3 2022","Currency=USD","Period=FQ","BEST_FPERIOD_OVERRIDE=FQ","FILING_STATUS=MR","SCALING_FORMAT=MLN","Sort=A","Dates=H","DateFormat=P","Fill=—","Direction=H","UseDPDF=Y")</f>
        <v>—</v>
      </c>
      <c r="U54" s="13" t="str">
        <f>_xll.BDH("BLUE US Equity","ARD_UNREALIZED_GL_ON_SECS","FQ4 2022","FQ4 2022","Currency=USD","Period=FQ","BEST_FPERIOD_OVERRIDE=FQ","FILING_STATUS=MR","SCALING_FORMAT=MLN","Sort=A","Dates=H","DateFormat=P","Fill=—","Direction=H","UseDPDF=Y")</f>
        <v>—</v>
      </c>
      <c r="V54" s="13" t="str">
        <f>_xll.BDH("BLUE US Equity","ARD_UNREALIZED_GL_ON_SECS","FQ1 2023","FQ1 2023","Currency=USD","Period=FQ","BEST_FPERIOD_OVERRIDE=FQ","FILING_STATUS=MR","SCALING_FORMAT=MLN","Sort=A","Dates=H","DateFormat=P","Fill=—","Direction=H","UseDPDF=Y")</f>
        <v>—</v>
      </c>
      <c r="W54" s="13" t="str">
        <f>_xll.BDH("BLUE US Equity","ARD_UNREALIZED_GL_ON_SECS","FQ2 2023","FQ2 2023","Currency=USD","Period=FQ","BEST_FPERIOD_OVERRIDE=FQ","FILING_STATUS=MR","SCALING_FORMAT=MLN","Sort=A","Dates=H","DateFormat=P","Fill=—","Direction=H","UseDPDF=Y")</f>
        <v>—</v>
      </c>
      <c r="X54" s="13" t="str">
        <f>_xll.BDH("BLUE US Equity","ARD_UNREALIZED_GL_ON_SECS","FQ3 2023","FQ3 2023","Currency=USD","Period=FQ","BEST_FPERIOD_OVERRIDE=FQ","FILING_STATUS=MR","SCALING_FORMAT=MLN","Sort=A","Dates=H","DateFormat=P","Fill=—","Direction=H","UseDPDF=Y")</f>
        <v>—</v>
      </c>
      <c r="Y54" s="13" t="str">
        <f>_xll.BDH("BLUE US Equity","ARD_UNREALIZED_GL_ON_SECS","FQ1 2024","FQ1 2024","Currency=USD","Period=FQ","BEST_FPERIOD_OVERRIDE=FQ","FILING_STATUS=MR","SCALING_FORMAT=MLN","Sort=A","Dates=H","DateFormat=P","Fill=—","Direction=H","UseDPDF=Y")</f>
        <v>—</v>
      </c>
      <c r="Z54" s="13" t="str">
        <f>_xll.BDH("BLUE US Equity","ARD_UNREALIZED_GL_ON_SECS","FQ2 2024","FQ2 2024","Currency=USD","Period=FQ","BEST_FPERIOD_OVERRIDE=FQ","FILING_STATUS=MR","SCALING_FORMAT=MLN","Sort=A","Dates=H","DateFormat=P","Fill=—","Direction=H","UseDPDF=Y")</f>
        <v>—</v>
      </c>
      <c r="AA54" s="13" t="str">
        <f>_xll.BDH("BLUE US Equity","ARD_UNREALIZED_GL_ON_SECS","FQ3 2024","FQ3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472</v>
      </c>
      <c r="B55" s="10" t="s">
        <v>473</v>
      </c>
      <c r="C55" s="13" t="str">
        <f>_xll.BDH("BLUE US Equity","ARD_OTHER_COMPREHENSIVE_INCOME","FQ2 2018","FQ2 2018","Currency=USD","Period=FQ","BEST_FPERIOD_OVERRIDE=FQ","FILING_STATUS=MR","SCALING_FORMAT=MLN","Sort=A","Dates=H","DateFormat=P","Fill=—","Direction=H","UseDPDF=Y")</f>
        <v>—</v>
      </c>
      <c r="D55" s="13" t="str">
        <f>_xll.BDH("BLUE US Equity","ARD_OTHER_COMPREHENSIVE_INCOME","FQ3 2018","FQ3 2018","Currency=USD","Period=FQ","BEST_FPERIOD_OVERRIDE=FQ","FILING_STATUS=MR","SCALING_FORMAT=MLN","Sort=A","Dates=H","DateFormat=P","Fill=—","Direction=H","UseDPDF=Y")</f>
        <v>—</v>
      </c>
      <c r="E55" s="13">
        <f>_xll.BDH("BLUE US Equity","ARD_OTHER_COMPREHENSIVE_INCOME","FQ4 2018","FQ4 2018","Currency=USD","Period=FQ","BEST_FPERIOD_OVERRIDE=FQ","FILING_STATUS=MR","SCALING_FORMAT=MLN","Sort=A","Dates=H","DateFormat=P","Fill=—","Direction=H","UseDPDF=Y")</f>
        <v>1.833</v>
      </c>
      <c r="F55" s="13">
        <f>_xll.BDH("BLUE US Equity","ARD_OTHER_COMPREHENSIVE_INCOME","FQ1 2019","FQ1 2019","Currency=USD","Period=FQ","BEST_FPERIOD_OVERRIDE=FQ","FILING_STATUS=MR","SCALING_FORMAT=MLN","Sort=A","Dates=H","DateFormat=P","Fill=—","Direction=H","UseDPDF=Y")</f>
        <v>1.835</v>
      </c>
      <c r="G55" s="13" t="str">
        <f>_xll.BDH("BLUE US Equity","ARD_OTHER_COMPREHENSIVE_INCOME","FQ2 2019","FQ2 2019","Currency=USD","Period=FQ","BEST_FPERIOD_OVERRIDE=FQ","FILING_STATUS=MR","SCALING_FORMAT=MLN","Sort=A","Dates=H","DateFormat=P","Fill=—","Direction=H","UseDPDF=Y")</f>
        <v>—</v>
      </c>
      <c r="H55" s="13" t="str">
        <f>_xll.BDH("BLUE US Equity","ARD_OTHER_COMPREHENSIVE_INCOME","FQ3 2019","FQ3 2019","Currency=USD","Period=FQ","BEST_FPERIOD_OVERRIDE=FQ","FILING_STATUS=MR","SCALING_FORMAT=MLN","Sort=A","Dates=H","DateFormat=P","Fill=—","Direction=H","UseDPDF=Y")</f>
        <v>—</v>
      </c>
      <c r="I55" s="13">
        <f>_xll.BDH("BLUE US Equity","ARD_OTHER_COMPREHENSIVE_INCOME","FQ4 2019","FQ4 2019","Currency=USD","Period=FQ","BEST_FPERIOD_OVERRIDE=FQ","FILING_STATUS=MR","SCALING_FORMAT=MLN","Sort=A","Dates=H","DateFormat=P","Fill=—","Direction=H","UseDPDF=Y")</f>
        <v>0.95799999999999996</v>
      </c>
      <c r="J55" s="13">
        <f>_xll.BDH("BLUE US Equity","ARD_OTHER_COMPREHENSIVE_INCOME","FQ1 2020","FQ1 2020","Currency=USD","Period=FQ","BEST_FPERIOD_OVERRIDE=FQ","FILING_STATUS=MR","SCALING_FORMAT=MLN","Sort=A","Dates=H","DateFormat=P","Fill=—","Direction=H","UseDPDF=Y")</f>
        <v>-0.90600000000000003</v>
      </c>
      <c r="K55" s="13" t="str">
        <f>_xll.BDH("BLUE US Equity","ARD_OTHER_COMPREHENSIVE_INCOME","FQ2 2020","FQ2 2020","Currency=USD","Period=FQ","BEST_FPERIOD_OVERRIDE=FQ","FILING_STATUS=MR","SCALING_FORMAT=MLN","Sort=A","Dates=H","DateFormat=P","Fill=—","Direction=H","UseDPDF=Y")</f>
        <v>—</v>
      </c>
      <c r="L55" s="13" t="str">
        <f>_xll.BDH("BLUE US Equity","ARD_OTHER_COMPREHENSIVE_INCOME","FQ3 2020","FQ3 2020","Currency=USD","Period=FQ","BEST_FPERIOD_OVERRIDE=FQ","FILING_STATUS=MR","SCALING_FORMAT=MLN","Sort=A","Dates=H","DateFormat=P","Fill=—","Direction=H","UseDPDF=Y")</f>
        <v>—</v>
      </c>
      <c r="M55" s="13">
        <f>_xll.BDH("BLUE US Equity","ARD_OTHER_COMPREHENSIVE_INCOME","FQ4 2020","FQ4 2020","Currency=USD","Period=FQ","BEST_FPERIOD_OVERRIDE=FQ","FILING_STATUS=MR","SCALING_FORMAT=MLN","Sort=A","Dates=H","DateFormat=P","Fill=—","Direction=H","UseDPDF=Y")</f>
        <v>-1.282</v>
      </c>
      <c r="N55" s="13">
        <f>_xll.BDH("BLUE US Equity","ARD_OTHER_COMPREHENSIVE_INCOME","FQ1 2021","FQ1 2021","Currency=USD","Period=FQ","BEST_FPERIOD_OVERRIDE=FQ","FILING_STATUS=MR","SCALING_FORMAT=MLN","Sort=A","Dates=H","DateFormat=P","Fill=—","Direction=H","UseDPDF=Y")</f>
        <v>5.6000000000000001E-2</v>
      </c>
      <c r="O55" s="13" t="str">
        <f>_xll.BDH("BLUE US Equity","ARD_OTHER_COMPREHENSIVE_INCOME","FQ2 2021","FQ2 2021","Currency=USD","Period=FQ","BEST_FPERIOD_OVERRIDE=FQ","FILING_STATUS=MR","SCALING_FORMAT=MLN","Sort=A","Dates=H","DateFormat=P","Fill=—","Direction=H","UseDPDF=Y")</f>
        <v>—</v>
      </c>
      <c r="P55" s="13">
        <f>_xll.BDH("BLUE US Equity","ARD_OTHER_COMPREHENSIVE_INCOME","FQ3 2021","FQ3 2021","Currency=USD","Period=FQ","BEST_FPERIOD_OVERRIDE=FQ","FILING_STATUS=MR","SCALING_FORMAT=MLN","Sort=A","Dates=H","DateFormat=P","Fill=—","Direction=H","UseDPDF=Y")</f>
        <v>-0.129</v>
      </c>
      <c r="Q55" s="13">
        <f>_xll.BDH("BLUE US Equity","ARD_OTHER_COMPREHENSIVE_INCOME","FQ4 2021","FQ4 2021","Currency=USD","Period=FQ","BEST_FPERIOD_OVERRIDE=FQ","FILING_STATUS=MR","SCALING_FORMAT=MLN","Sort=A","Dates=H","DateFormat=P","Fill=—","Direction=H","UseDPDF=Y")</f>
        <v>2.7650000000000001</v>
      </c>
      <c r="R55" s="13">
        <f>_xll.BDH("BLUE US Equity","ARD_OTHER_COMPREHENSIVE_INCOME","FQ1 2022","FQ1 2022","Currency=USD","Period=FQ","BEST_FPERIOD_OVERRIDE=FQ","FILING_STATUS=MR","SCALING_FORMAT=MLN","Sort=A","Dates=H","DateFormat=P","Fill=—","Direction=H","UseDPDF=Y")</f>
        <v>-1.548</v>
      </c>
      <c r="S55" s="13">
        <f>_xll.BDH("BLUE US Equity","ARD_OTHER_COMPREHENSIVE_INCOME","FQ2 2022","FQ2 2022","Currency=USD","Period=FQ","BEST_FPERIOD_OVERRIDE=FQ","FILING_STATUS=MR","SCALING_FORMAT=MLN","Sort=A","Dates=H","DateFormat=P","Fill=—","Direction=H","UseDPDF=Y")</f>
        <v>4.2999999999999997E-2</v>
      </c>
      <c r="T55" s="13">
        <f>_xll.BDH("BLUE US Equity","ARD_OTHER_COMPREHENSIVE_INCOME","FQ3 2022","FQ3 2022","Currency=USD","Period=FQ","BEST_FPERIOD_OVERRIDE=FQ","FILING_STATUS=MR","SCALING_FORMAT=MLN","Sort=A","Dates=H","DateFormat=P","Fill=—","Direction=H","UseDPDF=Y")</f>
        <v>-0.214</v>
      </c>
      <c r="U55" s="13">
        <f>_xll.BDH("BLUE US Equity","ARD_OTHER_COMPREHENSIVE_INCOME","FQ4 2022","FQ4 2022","Currency=USD","Period=FQ","BEST_FPERIOD_OVERRIDE=FQ","FILING_STATUS=MR","SCALING_FORMAT=MLN","Sort=A","Dates=H","DateFormat=P","Fill=—","Direction=H","UseDPDF=Y")</f>
        <v>0.56000000000000005</v>
      </c>
      <c r="V55" s="13">
        <f>_xll.BDH("BLUE US Equity","ARD_OTHER_COMPREHENSIVE_INCOME","FQ1 2023","FQ1 2023","Currency=USD","Period=FQ","BEST_FPERIOD_OVERRIDE=FQ","FILING_STATUS=MR","SCALING_FORMAT=MLN","Sort=A","Dates=H","DateFormat=P","Fill=—","Direction=H","UseDPDF=Y")</f>
        <v>0.98399999999999999</v>
      </c>
      <c r="W55" s="13">
        <f>_xll.BDH("BLUE US Equity","ARD_OTHER_COMPREHENSIVE_INCOME","FQ2 2023","FQ2 2023","Currency=USD","Period=FQ","BEST_FPERIOD_OVERRIDE=FQ","FILING_STATUS=MR","SCALING_FORMAT=MLN","Sort=A","Dates=H","DateFormat=P","Fill=—","Direction=H","UseDPDF=Y")</f>
        <v>0.72199999999999998</v>
      </c>
      <c r="X55" s="13">
        <f>_xll.BDH("BLUE US Equity","ARD_OTHER_COMPREHENSIVE_INCOME","FQ3 2023","FQ3 2023","Currency=USD","Period=FQ","BEST_FPERIOD_OVERRIDE=FQ","FILING_STATUS=MR","SCALING_FORMAT=MLN","Sort=A","Dates=H","DateFormat=P","Fill=—","Direction=H","UseDPDF=Y")</f>
        <v>0.13700000000000001</v>
      </c>
      <c r="Y55" s="13">
        <f>_xll.BDH("BLUE US Equity","ARD_OTHER_COMPREHENSIVE_INCOME","FQ1 2024","FQ1 2024","Currency=USD","Period=FQ","BEST_FPERIOD_OVERRIDE=FQ","FILING_STATUS=MR","SCALING_FORMAT=MLN","Sort=A","Dates=H","DateFormat=P","Fill=—","Direction=H","UseDPDF=Y")</f>
        <v>-0.312</v>
      </c>
      <c r="Z55" s="13">
        <f>_xll.BDH("BLUE US Equity","ARD_OTHER_COMPREHENSIVE_INCOME","FQ2 2024","FQ2 2024","Currency=USD","Period=FQ","BEST_FPERIOD_OVERRIDE=FQ","FILING_STATUS=MR","SCALING_FORMAT=MLN","Sort=A","Dates=H","DateFormat=P","Fill=—","Direction=H","UseDPDF=Y")</f>
        <v>-1.4E-2</v>
      </c>
      <c r="AA55" s="13">
        <f>_xll.BDH("BLUE US Equity","ARD_OTHER_COMPREHENSIVE_INCOME","FQ3 2024","FQ3 2024","Currency=USD","Period=FQ","BEST_FPERIOD_OVERRIDE=FQ","FILING_STATUS=MR","SCALING_FORMAT=MLN","Sort=A","Dates=H","DateFormat=P","Fill=—","Direction=H","UseDPDF=Y")</f>
        <v>0.61099999999999999</v>
      </c>
    </row>
    <row r="56" spans="1:27" x14ac:dyDescent="0.25">
      <c r="A56" s="10" t="s">
        <v>474</v>
      </c>
      <c r="B56" s="10" t="s">
        <v>475</v>
      </c>
      <c r="C56" s="13">
        <f>_xll.BDH("BLUE US Equity","ARD_TOTAL_COMPREHENSIVE_INCOME","FQ2 2018","FQ2 2018","Currency=USD","Period=FQ","BEST_FPERIOD_OVERRIDE=FQ","FILING_STATUS=MR","SCALING_FORMAT=MLN","Sort=A","Dates=H","DateFormat=P","Fill=—","Direction=H","UseDPDF=Y")</f>
        <v>-146.34100000000001</v>
      </c>
      <c r="D56" s="13">
        <f>_xll.BDH("BLUE US Equity","ARD_TOTAL_COMPREHENSIVE_INCOME","FQ3 2018","FQ3 2018","Currency=USD","Period=FQ","BEST_FPERIOD_OVERRIDE=FQ","FILING_STATUS=MR","SCALING_FORMAT=MLN","Sort=A","Dates=H","DateFormat=P","Fill=—","Direction=H","UseDPDF=Y")</f>
        <v>-145.54599999999999</v>
      </c>
      <c r="E56" s="13">
        <f>_xll.BDH("BLUE US Equity","ARD_TOTAL_COMPREHENSIVE_INCOME","FQ4 2018","FQ4 2018","Currency=USD","Period=FQ","BEST_FPERIOD_OVERRIDE=FQ","FILING_STATUS=MR","SCALING_FORMAT=MLN","Sort=A","Dates=H","DateFormat=P","Fill=—","Direction=H","UseDPDF=Y")</f>
        <v>-147.19</v>
      </c>
      <c r="F56" s="13">
        <f>_xll.BDH("BLUE US Equity","ARD_TOTAL_COMPREHENSIVE_INCOME","FQ1 2019","FQ1 2019","Currency=USD","Period=FQ","BEST_FPERIOD_OVERRIDE=FQ","FILING_STATUS=MR","SCALING_FORMAT=MLN","Sort=A","Dates=H","DateFormat=P","Fill=—","Direction=H","UseDPDF=Y")</f>
        <v>-162.61099999999999</v>
      </c>
      <c r="G56" s="13">
        <f>_xll.BDH("BLUE US Equity","ARD_TOTAL_COMPREHENSIVE_INCOME","FQ2 2019","FQ2 2019","Currency=USD","Period=FQ","BEST_FPERIOD_OVERRIDE=FQ","FILING_STATUS=MR","SCALING_FORMAT=MLN","Sort=A","Dates=H","DateFormat=P","Fill=—","Direction=H","UseDPDF=Y")</f>
        <v>-194.809</v>
      </c>
      <c r="H56" s="13">
        <f>_xll.BDH("BLUE US Equity","ARD_TOTAL_COMPREHENSIVE_INCOME","FQ3 2019","FQ3 2019","Currency=USD","Period=FQ","BEST_FPERIOD_OVERRIDE=FQ","FILING_STATUS=MR","SCALING_FORMAT=MLN","Sort=A","Dates=H","DateFormat=P","Fill=—","Direction=H","UseDPDF=Y")</f>
        <v>-208.065</v>
      </c>
      <c r="I56" s="13">
        <f>_xll.BDH("BLUE US Equity","ARD_TOTAL_COMPREHENSIVE_INCOME","FQ4 2019","FQ4 2019","Currency=USD","Period=FQ","BEST_FPERIOD_OVERRIDE=FQ","FILING_STATUS=MR","SCALING_FORMAT=MLN","Sort=A","Dates=H","DateFormat=P","Fill=—","Direction=H","UseDPDF=Y")</f>
        <v>-222.38900000000001</v>
      </c>
      <c r="J56" s="13">
        <f>_xll.BDH("BLUE US Equity","ARD_TOTAL_COMPREHENSIVE_INCOME","FQ1 2020","FQ1 2020","Currency=USD","Period=FQ","BEST_FPERIOD_OVERRIDE=FQ","FILING_STATUS=MR","SCALING_FORMAT=MLN","Sort=A","Dates=H","DateFormat=P","Fill=—","Direction=H","UseDPDF=Y")</f>
        <v>-203.517</v>
      </c>
      <c r="K56" s="13">
        <f>_xll.BDH("BLUE US Equity","ARD_TOTAL_COMPREHENSIVE_INCOME","FQ2 2020","FQ2 2020","Currency=USD","Period=FQ","BEST_FPERIOD_OVERRIDE=FQ","FILING_STATUS=MR","SCALING_FORMAT=MLN","Sort=A","Dates=H","DateFormat=P","Fill=—","Direction=H","UseDPDF=Y")</f>
        <v>-21.065999999999999</v>
      </c>
      <c r="L56" s="13">
        <f>_xll.BDH("BLUE US Equity","ARD_TOTAL_COMPREHENSIVE_INCOME","FQ3 2020","FQ3 2020","Currency=USD","Period=FQ","BEST_FPERIOD_OVERRIDE=FQ","FILING_STATUS=MR","SCALING_FORMAT=MLN","Sort=A","Dates=H","DateFormat=P","Fill=—","Direction=H","UseDPDF=Y")</f>
        <v>-196.56800000000001</v>
      </c>
      <c r="M56" s="13">
        <f>_xll.BDH("BLUE US Equity","ARD_TOTAL_COMPREHENSIVE_INCOME","FQ4 2020","FQ4 2020","Currency=USD","Period=FQ","BEST_FPERIOD_OVERRIDE=FQ","FILING_STATUS=MR","SCALING_FORMAT=MLN","Sort=A","Dates=H","DateFormat=P","Fill=—","Direction=H","UseDPDF=Y")</f>
        <v>-201.15600000000001</v>
      </c>
      <c r="N56" s="13">
        <f>_xll.BDH("BLUE US Equity","ARD_TOTAL_COMPREHENSIVE_INCOME","FQ1 2021","FQ1 2021","Currency=USD","Period=FQ","BEST_FPERIOD_OVERRIDE=FQ","FILING_STATUS=MR","SCALING_FORMAT=MLN","Sort=A","Dates=H","DateFormat=P","Fill=—","Direction=H","UseDPDF=Y")</f>
        <v>-205.75200000000001</v>
      </c>
      <c r="O56" s="13">
        <f>_xll.BDH("BLUE US Equity","ARD_TOTAL_COMPREHENSIVE_INCOME","FQ2 2021","FQ2 2021","Currency=USD","Period=FQ","BEST_FPERIOD_OVERRIDE=FQ","FILING_STATUS=MR","SCALING_FORMAT=MLN","Sort=A","Dates=H","DateFormat=P","Fill=—","Direction=H","UseDPDF=Y")</f>
        <v>-242.03</v>
      </c>
      <c r="P56" s="13">
        <f>_xll.BDH("BLUE US Equity","ARD_TOTAL_COMPREHENSIVE_INCOME","FQ3 2021","FQ3 2021","Currency=USD","Period=FQ","BEST_FPERIOD_OVERRIDE=FQ","FILING_STATUS=MR","SCALING_FORMAT=MLN","Sort=A","Dates=H","DateFormat=P","Fill=—","Direction=H","UseDPDF=Y")</f>
        <v>-216.94499999999999</v>
      </c>
      <c r="Q56" s="13">
        <f>_xll.BDH("BLUE US Equity","ARD_TOTAL_COMPREHENSIVE_INCOME","FQ4 2021","FQ4 2021","Currency=USD","Period=FQ","BEST_FPERIOD_OVERRIDE=FQ","FILING_STATUS=MR","SCALING_FORMAT=MLN","Sort=A","Dates=H","DateFormat=P","Fill=—","Direction=H","UseDPDF=Y")</f>
        <v>-152.28700000000001</v>
      </c>
      <c r="R56" s="13">
        <f>_xll.BDH("BLUE US Equity","ARD_TOTAL_COMPREHENSIVE_INCOME","FQ1 2022","FQ1 2022","Currency=USD","Period=FQ","BEST_FPERIOD_OVERRIDE=FQ","FILING_STATUS=MR","SCALING_FORMAT=MLN","Sort=A","Dates=H","DateFormat=P","Fill=—","Direction=H","UseDPDF=Y")</f>
        <v>-123.7</v>
      </c>
      <c r="S56" s="13">
        <f>_xll.BDH("BLUE US Equity","ARD_TOTAL_COMPREHENSIVE_INCOME","FQ2 2022","FQ2 2022","Currency=USD","Period=FQ","BEST_FPERIOD_OVERRIDE=FQ","FILING_STATUS=MR","SCALING_FORMAT=MLN","Sort=A","Dates=H","DateFormat=P","Fill=—","Direction=H","UseDPDF=Y")</f>
        <v>-100.095</v>
      </c>
      <c r="T56" s="13">
        <f>_xll.BDH("BLUE US Equity","ARD_TOTAL_COMPREHENSIVE_INCOME","FQ3 2022","FQ3 2022","Currency=USD","Period=FQ","BEST_FPERIOD_OVERRIDE=FQ","FILING_STATUS=MR","SCALING_FORMAT=MLN","Sort=A","Dates=H","DateFormat=P","Fill=—","Direction=H","UseDPDF=Y")</f>
        <v>-76.733999999999995</v>
      </c>
      <c r="U56" s="13">
        <f>_xll.BDH("BLUE US Equity","ARD_TOTAL_COMPREHENSIVE_INCOME","FQ4 2022","FQ4 2022","Currency=USD","Period=FQ","BEST_FPERIOD_OVERRIDE=FQ","FILING_STATUS=MR","SCALING_FORMAT=MLN","Sort=A","Dates=H","DateFormat=P","Fill=—","Direction=H","UseDPDF=Y")</f>
        <v>32.792000000000002</v>
      </c>
      <c r="V56" s="13">
        <f>_xll.BDH("BLUE US Equity","ARD_TOTAL_COMPREHENSIVE_INCOME","FQ1 2023","FQ1 2023","Currency=USD","Period=FQ","BEST_FPERIOD_OVERRIDE=FQ","FILING_STATUS=MR","SCALING_FORMAT=MLN","Sort=A","Dates=H","DateFormat=P","Fill=—","Direction=H","UseDPDF=Y")</f>
        <v>19.914000000000001</v>
      </c>
      <c r="W56" s="13">
        <f>_xll.BDH("BLUE US Equity","ARD_TOTAL_COMPREHENSIVE_INCOME","FQ2 2023","FQ2 2023","Currency=USD","Period=FQ","BEST_FPERIOD_OVERRIDE=FQ","FILING_STATUS=MR","SCALING_FORMAT=MLN","Sort=A","Dates=H","DateFormat=P","Fill=—","Direction=H","UseDPDF=Y")</f>
        <v>-62.067</v>
      </c>
      <c r="X56" s="13">
        <f>_xll.BDH("BLUE US Equity","ARD_TOTAL_COMPREHENSIVE_INCOME","FQ3 2023","FQ3 2023","Currency=USD","Period=FQ","BEST_FPERIOD_OVERRIDE=FQ","FILING_STATUS=MR","SCALING_FORMAT=MLN","Sort=A","Dates=H","DateFormat=P","Fill=—","Direction=H","UseDPDF=Y")</f>
        <v>-87.094999999999999</v>
      </c>
      <c r="Y56" s="13">
        <f>_xll.BDH("BLUE US Equity","ARD_TOTAL_COMPREHENSIVE_INCOME","FQ1 2024","FQ1 2024","Currency=USD","Period=FQ","BEST_FPERIOD_OVERRIDE=FQ","FILING_STATUS=MR","SCALING_FORMAT=MLN","Sort=A","Dates=H","DateFormat=P","Fill=—","Direction=H","UseDPDF=Y")</f>
        <v>-70.116</v>
      </c>
      <c r="Z56" s="13">
        <f>_xll.BDH("BLUE US Equity","ARD_TOTAL_COMPREHENSIVE_INCOME","FQ2 2024","FQ2 2024","Currency=USD","Period=FQ","BEST_FPERIOD_OVERRIDE=FQ","FILING_STATUS=MR","SCALING_FORMAT=MLN","Sort=A","Dates=H","DateFormat=P","Fill=—","Direction=H","UseDPDF=Y")</f>
        <v>-81.406999999999996</v>
      </c>
      <c r="AA56" s="13">
        <f>_xll.BDH("BLUE US Equity","ARD_TOTAL_COMPREHENSIVE_INCOME","FQ3 2024","FQ3 2024","Currency=USD","Period=FQ","BEST_FPERIOD_OVERRIDE=FQ","FILING_STATUS=MR","SCALING_FORMAT=MLN","Sort=A","Dates=H","DateFormat=P","Fill=—","Direction=H","UseDPDF=Y")</f>
        <v>-60.197000000000003</v>
      </c>
    </row>
    <row r="57" spans="1:27" x14ac:dyDescent="0.25">
      <c r="A57" s="10" t="s">
        <v>476</v>
      </c>
      <c r="B57" s="10" t="s">
        <v>477</v>
      </c>
      <c r="C57" s="13" t="str">
        <f>_xll.BDH("BLUE US Equity","ARD_COMPREHENSIVE_INCOME_NET_INC","FQ2 2018","FQ2 2018","Currency=USD","Period=FQ","BEST_FPERIOD_OVERRIDE=FQ","FILING_STATUS=MR","SCALING_FORMAT=MLN","Sort=A","Dates=H","DateFormat=P","Fill=—","Direction=H","UseDPDF=Y")</f>
        <v>—</v>
      </c>
      <c r="D57" s="13" t="str">
        <f>_xll.BDH("BLUE US Equity","ARD_COMPREHENSIVE_INCOME_NET_INC","FQ3 2018","FQ3 2018","Currency=USD","Period=FQ","BEST_FPERIOD_OVERRIDE=FQ","FILING_STATUS=MR","SCALING_FORMAT=MLN","Sort=A","Dates=H","DateFormat=P","Fill=—","Direction=H","UseDPDF=Y")</f>
        <v>—</v>
      </c>
      <c r="E57" s="13" t="str">
        <f>_xll.BDH("BLUE US Equity","ARD_COMPREHENSIVE_INCOME_NET_INC","FQ4 2018","FQ4 2018","Currency=USD","Period=FQ","BEST_FPERIOD_OVERRIDE=FQ","FILING_STATUS=MR","SCALING_FORMAT=MLN","Sort=A","Dates=H","DateFormat=P","Fill=—","Direction=H","UseDPDF=Y")</f>
        <v>—</v>
      </c>
      <c r="F57" s="13" t="str">
        <f>_xll.BDH("BLUE US Equity","ARD_COMPREHENSIVE_INCOME_NET_INC","FQ1 2019","FQ1 2019","Currency=USD","Period=FQ","BEST_FPERIOD_OVERRIDE=FQ","FILING_STATUS=MR","SCALING_FORMAT=MLN","Sort=A","Dates=H","DateFormat=P","Fill=—","Direction=H","UseDPDF=Y")</f>
        <v>—</v>
      </c>
      <c r="G57" s="13" t="str">
        <f>_xll.BDH("BLUE US Equity","ARD_COMPREHENSIVE_INCOME_NET_INC","FQ2 2019","FQ2 2019","Currency=USD","Period=FQ","BEST_FPERIOD_OVERRIDE=FQ","FILING_STATUS=MR","SCALING_FORMAT=MLN","Sort=A","Dates=H","DateFormat=P","Fill=—","Direction=H","UseDPDF=Y")</f>
        <v>—</v>
      </c>
      <c r="H57" s="13" t="str">
        <f>_xll.BDH("BLUE US Equity","ARD_COMPREHENSIVE_INCOME_NET_INC","FQ3 2019","FQ3 2019","Currency=USD","Period=FQ","BEST_FPERIOD_OVERRIDE=FQ","FILING_STATUS=MR","SCALING_FORMAT=MLN","Sort=A","Dates=H","DateFormat=P","Fill=—","Direction=H","UseDPDF=Y")</f>
        <v>—</v>
      </c>
      <c r="I57" s="13" t="str">
        <f>_xll.BDH("BLUE US Equity","ARD_COMPREHENSIVE_INCOME_NET_INC","FQ4 2019","FQ4 2019","Currency=USD","Period=FQ","BEST_FPERIOD_OVERRIDE=FQ","FILING_STATUS=MR","SCALING_FORMAT=MLN","Sort=A","Dates=H","DateFormat=P","Fill=—","Direction=H","UseDPDF=Y")</f>
        <v>—</v>
      </c>
      <c r="J57" s="13" t="str">
        <f>_xll.BDH("BLUE US Equity","ARD_COMPREHENSIVE_INCOME_NET_INC","FQ1 2020","FQ1 2020","Currency=USD","Period=FQ","BEST_FPERIOD_OVERRIDE=FQ","FILING_STATUS=MR","SCALING_FORMAT=MLN","Sort=A","Dates=H","DateFormat=P","Fill=—","Direction=H","UseDPDF=Y")</f>
        <v>—</v>
      </c>
      <c r="K57" s="13" t="str">
        <f>_xll.BDH("BLUE US Equity","ARD_COMPREHENSIVE_INCOME_NET_INC","FQ2 2020","FQ2 2020","Currency=USD","Period=FQ","BEST_FPERIOD_OVERRIDE=FQ","FILING_STATUS=MR","SCALING_FORMAT=MLN","Sort=A","Dates=H","DateFormat=P","Fill=—","Direction=H","UseDPDF=Y")</f>
        <v>—</v>
      </c>
      <c r="L57" s="13" t="str">
        <f>_xll.BDH("BLUE US Equity","ARD_COMPREHENSIVE_INCOME_NET_INC","FQ3 2020","FQ3 2020","Currency=USD","Period=FQ","BEST_FPERIOD_OVERRIDE=FQ","FILING_STATUS=MR","SCALING_FORMAT=MLN","Sort=A","Dates=H","DateFormat=P","Fill=—","Direction=H","UseDPDF=Y")</f>
        <v>—</v>
      </c>
      <c r="M57" s="13" t="str">
        <f>_xll.BDH("BLUE US Equity","ARD_COMPREHENSIVE_INCOME_NET_INC","FQ4 2020","FQ4 2020","Currency=USD","Period=FQ","BEST_FPERIOD_OVERRIDE=FQ","FILING_STATUS=MR","SCALING_FORMAT=MLN","Sort=A","Dates=H","DateFormat=P","Fill=—","Direction=H","UseDPDF=Y")</f>
        <v>—</v>
      </c>
      <c r="N57" s="13">
        <f>_xll.BDH("BLUE US Equity","ARD_COMPREHENSIVE_INCOME_NET_INC","FQ1 2021","FQ1 2021","Currency=USD","Period=FQ","BEST_FPERIOD_OVERRIDE=FQ","FILING_STATUS=MR","SCALING_FORMAT=MLN","Sort=A","Dates=H","DateFormat=P","Fill=—","Direction=H","UseDPDF=Y")</f>
        <v>-205.80799999999999</v>
      </c>
      <c r="O57" s="13" t="str">
        <f>_xll.BDH("BLUE US Equity","ARD_COMPREHENSIVE_INCOME_NET_INC","FQ2 2021","FQ2 2021","Currency=USD","Period=FQ","BEST_FPERIOD_OVERRIDE=FQ","FILING_STATUS=MR","SCALING_FORMAT=MLN","Sort=A","Dates=H","DateFormat=P","Fill=—","Direction=H","UseDPDF=Y")</f>
        <v>—</v>
      </c>
      <c r="P57" s="13">
        <f>_xll.BDH("BLUE US Equity","ARD_COMPREHENSIVE_INCOME_NET_INC","FQ3 2021","FQ3 2021","Currency=USD","Period=FQ","BEST_FPERIOD_OVERRIDE=FQ","FILING_STATUS=MR","SCALING_FORMAT=MLN","Sort=A","Dates=H","DateFormat=P","Fill=—","Direction=H","UseDPDF=Y")</f>
        <v>-216.816</v>
      </c>
      <c r="Q57" s="13" t="str">
        <f>_xll.BDH("BLUE US Equity","ARD_COMPREHENSIVE_INCOME_NET_INC","FQ4 2021","FQ4 2021","Currency=USD","Period=FQ","BEST_FPERIOD_OVERRIDE=FQ","FILING_STATUS=MR","SCALING_FORMAT=MLN","Sort=A","Dates=H","DateFormat=P","Fill=—","Direction=H","UseDPDF=Y")</f>
        <v>—</v>
      </c>
      <c r="R57" s="13">
        <f>_xll.BDH("BLUE US Equity","ARD_COMPREHENSIVE_INCOME_NET_INC","FQ1 2022","FQ1 2022","Currency=USD","Period=FQ","BEST_FPERIOD_OVERRIDE=FQ","FILING_STATUS=MR","SCALING_FORMAT=MLN","Sort=A","Dates=H","DateFormat=P","Fill=—","Direction=H","UseDPDF=Y")</f>
        <v>-122.152</v>
      </c>
      <c r="S57" s="13">
        <f>_xll.BDH("BLUE US Equity","ARD_COMPREHENSIVE_INCOME_NET_INC","FQ2 2022","FQ2 2022","Currency=USD","Period=FQ","BEST_FPERIOD_OVERRIDE=FQ","FILING_STATUS=MR","SCALING_FORMAT=MLN","Sort=A","Dates=H","DateFormat=P","Fill=—","Direction=H","UseDPDF=Y")</f>
        <v>-100.13800000000001</v>
      </c>
      <c r="T57" s="13">
        <f>_xll.BDH("BLUE US Equity","ARD_COMPREHENSIVE_INCOME_NET_INC","FQ3 2022","FQ3 2022","Currency=USD","Period=FQ","BEST_FPERIOD_OVERRIDE=FQ","FILING_STATUS=MR","SCALING_FORMAT=MLN","Sort=A","Dates=H","DateFormat=P","Fill=—","Direction=H","UseDPDF=Y")</f>
        <v>-76.52</v>
      </c>
      <c r="U57" s="13">
        <f>_xll.BDH("BLUE US Equity","ARD_COMPREHENSIVE_INCOME_NET_INC","FQ4 2022","FQ4 2022","Currency=USD","Period=FQ","BEST_FPERIOD_OVERRIDE=FQ","FILING_STATUS=MR","SCALING_FORMAT=MLN","Sort=A","Dates=H","DateFormat=P","Fill=—","Direction=H","UseDPDF=Y")</f>
        <v>32.231999999999999</v>
      </c>
      <c r="V57" s="13">
        <f>_xll.BDH("BLUE US Equity","ARD_COMPREHENSIVE_INCOME_NET_INC","FQ1 2023","FQ1 2023","Currency=USD","Period=FQ","BEST_FPERIOD_OVERRIDE=FQ","FILING_STATUS=MR","SCALING_FORMAT=MLN","Sort=A","Dates=H","DateFormat=P","Fill=—","Direction=H","UseDPDF=Y")</f>
        <v>18.93</v>
      </c>
      <c r="W57" s="13">
        <f>_xll.BDH("BLUE US Equity","ARD_COMPREHENSIVE_INCOME_NET_INC","FQ2 2023","FQ2 2023","Currency=USD","Period=FQ","BEST_FPERIOD_OVERRIDE=FQ","FILING_STATUS=MR","SCALING_FORMAT=MLN","Sort=A","Dates=H","DateFormat=P","Fill=—","Direction=H","UseDPDF=Y")</f>
        <v>-62.789000000000001</v>
      </c>
      <c r="X57" s="13">
        <f>_xll.BDH("BLUE US Equity","ARD_COMPREHENSIVE_INCOME_NET_INC","FQ3 2023","FQ3 2023","Currency=USD","Period=FQ","BEST_FPERIOD_OVERRIDE=FQ","FILING_STATUS=MR","SCALING_FORMAT=MLN","Sort=A","Dates=H","DateFormat=P","Fill=—","Direction=H","UseDPDF=Y")</f>
        <v>-87.231999999999999</v>
      </c>
      <c r="Y57" s="13">
        <f>_xll.BDH("BLUE US Equity","ARD_COMPREHENSIVE_INCOME_NET_INC","FQ1 2024","FQ1 2024","Currency=USD","Period=FQ","BEST_FPERIOD_OVERRIDE=FQ","FILING_STATUS=MR","SCALING_FORMAT=MLN","Sort=A","Dates=H","DateFormat=P","Fill=—","Direction=H","UseDPDF=Y")</f>
        <v>-69.804000000000002</v>
      </c>
      <c r="Z57" s="13">
        <f>_xll.BDH("BLUE US Equity","ARD_COMPREHENSIVE_INCOME_NET_INC","FQ2 2024","FQ2 2024","Currency=USD","Period=FQ","BEST_FPERIOD_OVERRIDE=FQ","FILING_STATUS=MR","SCALING_FORMAT=MLN","Sort=A","Dates=H","DateFormat=P","Fill=—","Direction=H","UseDPDF=Y")</f>
        <v>-81.393000000000001</v>
      </c>
      <c r="AA57" s="13">
        <f>_xll.BDH("BLUE US Equity","ARD_COMPREHENSIVE_INCOME_NET_INC","FQ3 2024","FQ3 2024","Currency=USD","Period=FQ","BEST_FPERIOD_OVERRIDE=FQ","FILING_STATUS=MR","SCALING_FORMAT=MLN","Sort=A","Dates=H","DateFormat=P","Fill=—","Direction=H","UseDPDF=Y")</f>
        <v>-60.808</v>
      </c>
    </row>
    <row r="58" spans="1:27" x14ac:dyDescent="0.25">
      <c r="A58" s="10" t="s">
        <v>478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5">
      <c r="A59" s="10" t="s">
        <v>401</v>
      </c>
      <c r="B59" s="10" t="s">
        <v>479</v>
      </c>
      <c r="C59" s="13">
        <f>_xll.BDH("BLUE US Equity","ARDR_R&amp;D_EXPENDITURES","FQ2 2018","FQ2 2018","Currency=USD","Period=FQ","BEST_FPERIOD_OVERRIDE=FQ","FILING_STATUS=MR","SCALING_FORMAT=MLN","Sort=A","Dates=H","DateFormat=P","Fill=—","Direction=H","UseDPDF=Y")</f>
        <v>115.014</v>
      </c>
      <c r="D59" s="13">
        <f>_xll.BDH("BLUE US Equity","ARDR_R&amp;D_EXPENDITURES","FQ3 2018","FQ3 2018","Currency=USD","Period=FQ","BEST_FPERIOD_OVERRIDE=FQ","FILING_STATUS=MR","SCALING_FORMAT=MLN","Sort=A","Dates=H","DateFormat=P","Fill=—","Direction=H","UseDPDF=Y")</f>
        <v>116.744</v>
      </c>
      <c r="E59" s="13">
        <f>_xll.BDH("BLUE US Equity","ARDR_R&amp;D_EXPENDITURES","FQ4 2018","FQ4 2018","Currency=USD","Period=FQ","BEST_FPERIOD_OVERRIDE=FQ","FILING_STATUS=MR","SCALING_FORMAT=MLN","Sort=A","Dates=H","DateFormat=P","Fill=—","Direction=H","UseDPDF=Y")</f>
        <v>119.72199999999999</v>
      </c>
      <c r="F59" s="13">
        <f>_xll.BDH("BLUE US Equity","ARDR_R&amp;D_EXPENDITURES","FQ1 2019","FQ1 2019","Currency=USD","Period=FQ","BEST_FPERIOD_OVERRIDE=FQ","FILING_STATUS=MR","SCALING_FORMAT=MLN","Sort=A","Dates=H","DateFormat=P","Fill=—","Direction=H","UseDPDF=Y")</f>
        <v>122.64</v>
      </c>
      <c r="G59" s="13">
        <f>_xll.BDH("BLUE US Equity","ARDR_R&amp;D_EXPENDITURES","FQ2 2019","FQ2 2019","Currency=USD","Period=FQ","BEST_FPERIOD_OVERRIDE=FQ","FILING_STATUS=MR","SCALING_FORMAT=MLN","Sort=A","Dates=H","DateFormat=P","Fill=—","Direction=H","UseDPDF=Y")</f>
        <v>146.54</v>
      </c>
      <c r="H59" s="13">
        <f>_xll.BDH("BLUE US Equity","ARDR_R&amp;D_EXPENDITURES","FQ3 2019","FQ3 2019","Currency=USD","Period=FQ","BEST_FPERIOD_OVERRIDE=FQ","FILING_STATUS=MR","SCALING_FORMAT=MLN","Sort=A","Dates=H","DateFormat=P","Fill=—","Direction=H","UseDPDF=Y")</f>
        <v>151.41200000000001</v>
      </c>
      <c r="I59" s="13">
        <f>_xll.BDH("BLUE US Equity","ARDR_R&amp;D_EXPENDITURES","FQ4 2019","FQ4 2019","Currency=USD","Period=FQ","BEST_FPERIOD_OVERRIDE=FQ","FILING_STATUS=MR","SCALING_FORMAT=MLN","Sort=A","Dates=H","DateFormat=P","Fill=—","Direction=H","UseDPDF=Y")</f>
        <v>161.821</v>
      </c>
      <c r="J59" s="13">
        <f>_xll.BDH("BLUE US Equity","ARDR_R&amp;D_EXPENDITURES","FQ1 2020","FQ1 2020","Currency=USD","Period=FQ","BEST_FPERIOD_OVERRIDE=FQ","FILING_STATUS=MR","SCALING_FORMAT=MLN","Sort=A","Dates=H","DateFormat=P","Fill=—","Direction=H","UseDPDF=Y")</f>
        <v>154.12299999999999</v>
      </c>
      <c r="K59" s="13">
        <f>_xll.BDH("BLUE US Equity","ARDR_R&amp;D_EXPENDITURES","FQ2 2020","FQ2 2020","Currency=USD","Period=FQ","BEST_FPERIOD_OVERRIDE=FQ","FILING_STATUS=MR","SCALING_FORMAT=MLN","Sort=A","Dates=H","DateFormat=P","Fill=—","Direction=H","UseDPDF=Y")</f>
        <v>156.30799999999999</v>
      </c>
      <c r="L59" s="13">
        <f>_xll.BDH("BLUE US Equity","ARDR_R&amp;D_EXPENDITURES","FQ3 2020","FQ3 2020","Currency=USD","Period=FQ","BEST_FPERIOD_OVERRIDE=FQ","FILING_STATUS=MR","SCALING_FORMAT=MLN","Sort=A","Dates=H","DateFormat=P","Fill=—","Direction=H","UseDPDF=Y")</f>
        <v>140.43100000000001</v>
      </c>
      <c r="M59" s="13">
        <f>_xll.BDH("BLUE US Equity","ARDR_R&amp;D_EXPENDITURES","FQ4 2020","FQ4 2020","Currency=USD","Period=FQ","BEST_FPERIOD_OVERRIDE=FQ","FILING_STATUS=MR","SCALING_FORMAT=MLN","Sort=A","Dates=H","DateFormat=P","Fill=—","Direction=H","UseDPDF=Y")</f>
        <v>58.814999999999998</v>
      </c>
      <c r="N59" s="13">
        <f>_xll.BDH("BLUE US Equity","ARDR_R&amp;D_EXPENDITURES","FQ1 2021","FQ1 2021","Currency=USD","Period=FQ","BEST_FPERIOD_OVERRIDE=FQ","FILING_STATUS=MR","SCALING_FORMAT=MLN","Sort=A","Dates=H","DateFormat=P","Fill=—","Direction=H","UseDPDF=Y")</f>
        <v>82.843000000000004</v>
      </c>
      <c r="O59" s="13">
        <f>_xll.BDH("BLUE US Equity","ARDR_R&amp;D_EXPENDITURES","FQ2 2021","FQ2 2021","Currency=USD","Period=FQ","BEST_FPERIOD_OVERRIDE=FQ","FILING_STATUS=MR","SCALING_FORMAT=MLN","Sort=A","Dates=H","DateFormat=P","Fill=—","Direction=H","UseDPDF=Y")</f>
        <v>144.315</v>
      </c>
      <c r="P59" s="13">
        <f>_xll.BDH("BLUE US Equity","ARDR_R&amp;D_EXPENDITURES","FQ3 2021","FQ3 2021","Currency=USD","Period=FQ","BEST_FPERIOD_OVERRIDE=FQ","FILING_STATUS=MR","SCALING_FORMAT=MLN","Sort=A","Dates=H","DateFormat=P","Fill=—","Direction=H","UseDPDF=Y")</f>
        <v>73.679000000000002</v>
      </c>
      <c r="Q59" s="13">
        <f>_xll.BDH("BLUE US Equity","ARDR_R&amp;D_EXPENDITURES","FQ4 2021","FQ4 2021","Currency=USD","Period=FQ","BEST_FPERIOD_OVERRIDE=FQ","FILING_STATUS=MR","SCALING_FORMAT=MLN","Sort=A","Dates=H","DateFormat=P","Fill=—","Direction=H","UseDPDF=Y")</f>
        <v>79.384</v>
      </c>
      <c r="R59" s="13">
        <f>_xll.BDH("BLUE US Equity","ARDR_R&amp;D_EXPENDITURES","FQ1 2022","FQ1 2022","Currency=USD","Period=FQ","BEST_FPERIOD_OVERRIDE=FQ","FILING_STATUS=MR","SCALING_FORMAT=MLN","Sort=A","Dates=H","DateFormat=P","Fill=—","Direction=H","UseDPDF=Y")</f>
        <v>77.875</v>
      </c>
      <c r="S59" s="13">
        <f>_xll.BDH("BLUE US Equity","ARDR_R&amp;D_EXPENDITURES","FQ2 2022","FQ2 2022","Currency=USD","Period=FQ","BEST_FPERIOD_OVERRIDE=FQ","FILING_STATUS=MR","SCALING_FORMAT=MLN","Sort=A","Dates=H","DateFormat=P","Fill=—","Direction=H","UseDPDF=Y")</f>
        <v>63.841000000000001</v>
      </c>
      <c r="T59" s="13">
        <f>_xll.BDH("BLUE US Equity","ARDR_R&amp;D_EXPENDITURES","FQ3 2022","FQ3 2022","Currency=USD","Period=FQ","BEST_FPERIOD_OVERRIDE=FQ","FILING_STATUS=MR","SCALING_FORMAT=MLN","Sort=A","Dates=H","DateFormat=P","Fill=—","Direction=H","UseDPDF=Y")</f>
        <v>53.149000000000001</v>
      </c>
      <c r="U59" s="13">
        <f>_xll.BDH("BLUE US Equity","ARDR_R&amp;D_EXPENDITURES","FQ4 2022","FQ4 2022","Currency=USD","Period=FQ","BEST_FPERIOD_OVERRIDE=FQ","FILING_STATUS=MR","SCALING_FORMAT=MLN","Sort=A","Dates=H","DateFormat=P","Fill=—","Direction=H","UseDPDF=Y")</f>
        <v>45.899000000000001</v>
      </c>
      <c r="V59" s="13">
        <f>_xll.BDH("BLUE US Equity","ARDR_R&amp;D_EXPENDITURES","FQ1 2023","FQ1 2023","Currency=USD","Period=FQ","BEST_FPERIOD_OVERRIDE=FQ","FILING_STATUS=MR","SCALING_FORMAT=MLN","Sort=A","Dates=H","DateFormat=P","Fill=—","Direction=H","UseDPDF=Y")</f>
        <v>41.587000000000003</v>
      </c>
      <c r="W59" s="13">
        <f>_xll.BDH("BLUE US Equity","ARDR_R&amp;D_EXPENDITURES","FQ2 2023","FQ2 2023","Currency=USD","Period=FQ","BEST_FPERIOD_OVERRIDE=FQ","FILING_STATUS=MR","SCALING_FORMAT=MLN","Sort=A","Dates=H","DateFormat=P","Fill=—","Direction=H","UseDPDF=Y")</f>
        <v>31.448</v>
      </c>
      <c r="X59" s="13">
        <f>_xll.BDH("BLUE US Equity","ARDR_R&amp;D_EXPENDITURES","FQ3 2023","FQ3 2023","Currency=USD","Period=FQ","BEST_FPERIOD_OVERRIDE=FQ","FILING_STATUS=MR","SCALING_FORMAT=MLN","Sort=A","Dates=H","DateFormat=P","Fill=—","Direction=H","UseDPDF=Y")</f>
        <v>58.500999999999998</v>
      </c>
      <c r="Y59" s="13">
        <f>_xll.BDH("BLUE US Equity","ARDR_R&amp;D_EXPENDITURES","FQ1 2024","FQ1 2024","Currency=USD","Period=FQ","BEST_FPERIOD_OVERRIDE=FQ","FILING_STATUS=MR","SCALING_FORMAT=MLN","Sort=A","Dates=H","DateFormat=P","Fill=—","Direction=H","UseDPDF=Y")</f>
        <v>25.071999999999999</v>
      </c>
      <c r="Z59" s="13">
        <f>_xll.BDH("BLUE US Equity","ARDR_R&amp;D_EXPENDITURES","FQ2 2024","FQ2 2024","Currency=USD","Period=FQ","BEST_FPERIOD_OVERRIDE=FQ","FILING_STATUS=MR","SCALING_FORMAT=MLN","Sort=A","Dates=H","DateFormat=P","Fill=—","Direction=H","UseDPDF=Y")</f>
        <v>25.161999999999999</v>
      </c>
      <c r="AA59" s="13">
        <f>_xll.BDH("BLUE US Equity","ARDR_R&amp;D_EXPENDITURES","FQ3 2024","FQ3 2024","Currency=USD","Period=FQ","BEST_FPERIOD_OVERRIDE=FQ","FILING_STATUS=MR","SCALING_FORMAT=MLN","Sort=A","Dates=H","DateFormat=P","Fill=—","Direction=H","UseDPDF=Y")</f>
        <v>23.173999999999999</v>
      </c>
    </row>
    <row r="60" spans="1:27" x14ac:dyDescent="0.25">
      <c r="A60" s="10" t="s">
        <v>370</v>
      </c>
      <c r="B60" s="10" t="s">
        <v>480</v>
      </c>
      <c r="C60" s="13" t="str">
        <f>_xll.BDH("BLUE US Equity","ARDR_DEPRECIATION_EXP","FQ2 2018","FQ2 2018","Currency=USD","Period=FQ","BEST_FPERIOD_OVERRIDE=FQ","FILING_STATUS=MR","SCALING_FORMAT=MLN","Sort=A","Dates=H","DateFormat=P","Fill=—","Direction=H","UseDPDF=Y")</f>
        <v>—</v>
      </c>
      <c r="D60" s="13" t="str">
        <f>_xll.BDH("BLUE US Equity","ARDR_DEPRECIATION_EXP","FQ3 2018","FQ3 2018","Currency=USD","Period=FQ","BEST_FPERIOD_OVERRIDE=FQ","FILING_STATUS=MR","SCALING_FORMAT=MLN","Sort=A","Dates=H","DateFormat=P","Fill=—","Direction=H","UseDPDF=Y")</f>
        <v>—</v>
      </c>
      <c r="E60" s="13" t="str">
        <f>_xll.BDH("BLUE US Equity","ARDR_DEPRECIATION_EXP","FQ4 2018","FQ4 2018","Currency=USD","Period=FQ","BEST_FPERIOD_OVERRIDE=FQ","FILING_STATUS=MR","SCALING_FORMAT=MLN","Sort=A","Dates=H","DateFormat=P","Fill=—","Direction=H","UseDPDF=Y")</f>
        <v>—</v>
      </c>
      <c r="F60" s="13" t="str">
        <f>_xll.BDH("BLUE US Equity","ARDR_DEPRECIATION_EXP","FQ1 2019","FQ1 2019","Currency=USD","Period=FQ","BEST_FPERIOD_OVERRIDE=FQ","FILING_STATUS=MR","SCALING_FORMAT=MLN","Sort=A","Dates=H","DateFormat=P","Fill=—","Direction=H","UseDPDF=Y")</f>
        <v>—</v>
      </c>
      <c r="G60" s="13" t="str">
        <f>_xll.BDH("BLUE US Equity","ARDR_DEPRECIATION_EXP","FQ2 2019","FQ2 2019","Currency=USD","Period=FQ","BEST_FPERIOD_OVERRIDE=FQ","FILING_STATUS=MR","SCALING_FORMAT=MLN","Sort=A","Dates=H","DateFormat=P","Fill=—","Direction=H","UseDPDF=Y")</f>
        <v>—</v>
      </c>
      <c r="H60" s="13" t="str">
        <f>_xll.BDH("BLUE US Equity","ARDR_DEPRECIATION_EXP","FQ3 2019","FQ3 2019","Currency=USD","Period=FQ","BEST_FPERIOD_OVERRIDE=FQ","FILING_STATUS=MR","SCALING_FORMAT=MLN","Sort=A","Dates=H","DateFormat=P","Fill=—","Direction=H","UseDPDF=Y")</f>
        <v>—</v>
      </c>
      <c r="I60" s="13" t="str">
        <f>_xll.BDH("BLUE US Equity","ARDR_DEPRECIATION_EXP","FQ4 2019","FQ4 2019","Currency=USD","Period=FQ","BEST_FPERIOD_OVERRIDE=FQ","FILING_STATUS=MR","SCALING_FORMAT=MLN","Sort=A","Dates=H","DateFormat=P","Fill=—","Direction=H","UseDPDF=Y")</f>
        <v>—</v>
      </c>
      <c r="J60" s="13" t="str">
        <f>_xll.BDH("BLUE US Equity","ARDR_DEPRECIATION_EXP","FQ1 2020","FQ1 2020","Currency=USD","Period=FQ","BEST_FPERIOD_OVERRIDE=FQ","FILING_STATUS=MR","SCALING_FORMAT=MLN","Sort=A","Dates=H","DateFormat=P","Fill=—","Direction=H","UseDPDF=Y")</f>
        <v>—</v>
      </c>
      <c r="K60" s="13" t="str">
        <f>_xll.BDH("BLUE US Equity","ARDR_DEPRECIATION_EXP","FQ2 2020","FQ2 2020","Currency=USD","Period=FQ","BEST_FPERIOD_OVERRIDE=FQ","FILING_STATUS=MR","SCALING_FORMAT=MLN","Sort=A","Dates=H","DateFormat=P","Fill=—","Direction=H","UseDPDF=Y")</f>
        <v>—</v>
      </c>
      <c r="L60" s="13" t="str">
        <f>_xll.BDH("BLUE US Equity","ARDR_DEPRECIATION_EXP","FQ3 2020","FQ3 2020","Currency=USD","Period=FQ","BEST_FPERIOD_OVERRIDE=FQ","FILING_STATUS=MR","SCALING_FORMAT=MLN","Sort=A","Dates=H","DateFormat=P","Fill=—","Direction=H","UseDPDF=Y")</f>
        <v>—</v>
      </c>
      <c r="M60" s="13" t="str">
        <f>_xll.BDH("BLUE US Equity","ARDR_DEPRECIATION_EXP","FQ4 2020","FQ4 2020","Currency=USD","Period=FQ","BEST_FPERIOD_OVERRIDE=FQ","FILING_STATUS=MR","SCALING_FORMAT=MLN","Sort=A","Dates=H","DateFormat=P","Fill=—","Direction=H","UseDPDF=Y")</f>
        <v>—</v>
      </c>
      <c r="N60" s="13" t="str">
        <f>_xll.BDH("BLUE US Equity","ARDR_DEPRECIATION_EXP","FQ1 2021","FQ1 2021","Currency=USD","Period=FQ","BEST_FPERIOD_OVERRIDE=FQ","FILING_STATUS=MR","SCALING_FORMAT=MLN","Sort=A","Dates=H","DateFormat=P","Fill=—","Direction=H","UseDPDF=Y")</f>
        <v>—</v>
      </c>
      <c r="O60" s="13" t="str">
        <f>_xll.BDH("BLUE US Equity","ARDR_DEPRECIATION_EXP","FQ2 2021","FQ2 2021","Currency=USD","Period=FQ","BEST_FPERIOD_OVERRIDE=FQ","FILING_STATUS=MR","SCALING_FORMAT=MLN","Sort=A","Dates=H","DateFormat=P","Fill=—","Direction=H","UseDPDF=Y")</f>
        <v>—</v>
      </c>
      <c r="P60" s="13">
        <f>_xll.BDH("BLUE US Equity","ARDR_DEPRECIATION_EXP","FQ3 2021","FQ3 2021","Currency=USD","Period=FQ","BEST_FPERIOD_OVERRIDE=FQ","FILING_STATUS=MR","SCALING_FORMAT=MLN","Sort=A","Dates=H","DateFormat=P","Fill=—","Direction=H","UseDPDF=Y")</f>
        <v>5.9820000000000002</v>
      </c>
      <c r="Q60" s="13" t="str">
        <f>_xll.BDH("BLUE US Equity","ARDR_DEPRECIATION_EXP","FQ4 2021","FQ4 2021","Currency=USD","Period=FQ","BEST_FPERIOD_OVERRIDE=FQ","FILING_STATUS=MR","SCALING_FORMAT=MLN","Sort=A","Dates=H","DateFormat=P","Fill=—","Direction=H","UseDPDF=Y")</f>
        <v>—</v>
      </c>
      <c r="R60" s="13" t="str">
        <f>_xll.BDH("BLUE US Equity","ARDR_DEPRECIATION_EXP","FQ1 2022","FQ1 2022","Currency=USD","Period=FQ","BEST_FPERIOD_OVERRIDE=FQ","FILING_STATUS=MR","SCALING_FORMAT=MLN","Sort=A","Dates=H","DateFormat=P","Fill=—","Direction=H","UseDPDF=Y")</f>
        <v>—</v>
      </c>
      <c r="S60" s="13" t="str">
        <f>_xll.BDH("BLUE US Equity","ARDR_DEPRECIATION_EXP","FQ2 2022","FQ2 2022","Currency=USD","Period=FQ","BEST_FPERIOD_OVERRIDE=FQ","FILING_STATUS=MR","SCALING_FORMAT=MLN","Sort=A","Dates=H","DateFormat=P","Fill=—","Direction=H","UseDPDF=Y")</f>
        <v>—</v>
      </c>
      <c r="T60" s="13">
        <f>_xll.BDH("BLUE US Equity","ARDR_DEPRECIATION_EXP","FQ3 2022","FQ3 2022","Currency=USD","Period=FQ","BEST_FPERIOD_OVERRIDE=FQ","FILING_STATUS=MR","SCALING_FORMAT=MLN","Sort=A","Dates=H","DateFormat=P","Fill=—","Direction=H","UseDPDF=Y")</f>
        <v>1.387</v>
      </c>
      <c r="U60" s="13" t="str">
        <f>_xll.BDH("BLUE US Equity","ARDR_DEPRECIATION_EXP","FQ4 2022","FQ4 2022","Currency=USD","Period=FQ","BEST_FPERIOD_OVERRIDE=FQ","FILING_STATUS=MR","SCALING_FORMAT=MLN","Sort=A","Dates=H","DateFormat=P","Fill=—","Direction=H","UseDPDF=Y")</f>
        <v>—</v>
      </c>
      <c r="V60" s="13" t="str">
        <f>_xll.BDH("BLUE US Equity","ARDR_DEPRECIATION_EXP","FQ1 2023","FQ1 2023","Currency=USD","Period=FQ","BEST_FPERIOD_OVERRIDE=FQ","FILING_STATUS=MR","SCALING_FORMAT=MLN","Sort=A","Dates=H","DateFormat=P","Fill=—","Direction=H","UseDPDF=Y")</f>
        <v>—</v>
      </c>
      <c r="W60" s="13" t="str">
        <f>_xll.BDH("BLUE US Equity","ARDR_DEPRECIATION_EXP","FQ2 2023","FQ2 2023","Currency=USD","Period=FQ","BEST_FPERIOD_OVERRIDE=FQ","FILING_STATUS=MR","SCALING_FORMAT=MLN","Sort=A","Dates=H","DateFormat=P","Fill=—","Direction=H","UseDPDF=Y")</f>
        <v>—</v>
      </c>
      <c r="X60" s="13" t="str">
        <f>_xll.BDH("BLUE US Equity","ARDR_DEPRECIATION_EXP","FQ3 2023","FQ3 2023","Currency=USD","Period=FQ","BEST_FPERIOD_OVERRIDE=FQ","FILING_STATUS=MR","SCALING_FORMAT=MLN","Sort=A","Dates=H","DateFormat=P","Fill=—","Direction=H","UseDPDF=Y")</f>
        <v>—</v>
      </c>
      <c r="Y60" s="13" t="str">
        <f>_xll.BDH("BLUE US Equity","ARDR_DEPRECIATION_EXP","FQ1 2024","FQ1 2024","Currency=USD","Period=FQ","BEST_FPERIOD_OVERRIDE=FQ","FILING_STATUS=MR","SCALING_FORMAT=MLN","Sort=A","Dates=H","DateFormat=P","Fill=—","Direction=H","UseDPDF=Y")</f>
        <v>—</v>
      </c>
      <c r="Z60" s="13" t="str">
        <f>_xll.BDH("BLUE US Equity","ARDR_DEPRECIATION_EXP","FQ2 2024","FQ2 2024","Currency=USD","Period=FQ","BEST_FPERIOD_OVERRIDE=FQ","FILING_STATUS=MR","SCALING_FORMAT=MLN","Sort=A","Dates=H","DateFormat=P","Fill=—","Direction=H","UseDPDF=Y")</f>
        <v>—</v>
      </c>
      <c r="AA60" s="13" t="str">
        <f>_xll.BDH("BLUE US Equity","ARDR_DEPRECIATION_EXP","FQ3 2024","FQ3 2024","Currency=USD","Period=FQ","BEST_FPERIOD_OVERRIDE=FQ","FILING_STATUS=MR","SCALING_FORMAT=MLN","Sort=A","Dates=H","DateFormat=P","Fill=—","Direction=H","UseDPDF=Y")</f>
        <v>—</v>
      </c>
    </row>
    <row r="61" spans="1:27" x14ac:dyDescent="0.25">
      <c r="A61" s="10" t="s">
        <v>481</v>
      </c>
      <c r="B61" s="10" t="s">
        <v>482</v>
      </c>
      <c r="C61" s="13" t="str">
        <f>_xll.BDH("BLUE US Equity","ARDR_SELLING_GENERAL_ADMIN_EXP","FQ2 2018","FQ2 2018","Currency=USD","Period=FQ","BEST_FPERIOD_OVERRIDE=FQ","FILING_STATUS=MR","SCALING_FORMAT=MLN","Sort=A","Dates=H","DateFormat=P","Fill=—","Direction=H","UseDPDF=Y")</f>
        <v>—</v>
      </c>
      <c r="D61" s="13" t="str">
        <f>_xll.BDH("BLUE US Equity","ARDR_SELLING_GENERAL_ADMIN_EXP","FQ3 2018","FQ3 2018","Currency=USD","Period=FQ","BEST_FPERIOD_OVERRIDE=FQ","FILING_STATUS=MR","SCALING_FORMAT=MLN","Sort=A","Dates=H","DateFormat=P","Fill=—","Direction=H","UseDPDF=Y")</f>
        <v>—</v>
      </c>
      <c r="E61" s="13" t="str">
        <f>_xll.BDH("BLUE US Equity","ARDR_SELLING_GENERAL_ADMIN_EXP","FQ4 2018","FQ4 2018","Currency=USD","Period=FQ","BEST_FPERIOD_OVERRIDE=FQ","FILING_STATUS=MR","SCALING_FORMAT=MLN","Sort=A","Dates=H","DateFormat=P","Fill=—","Direction=H","UseDPDF=Y")</f>
        <v>—</v>
      </c>
      <c r="F61" s="13" t="str">
        <f>_xll.BDH("BLUE US Equity","ARDR_SELLING_GENERAL_ADMIN_EXP","FQ1 2019","FQ1 2019","Currency=USD","Period=FQ","BEST_FPERIOD_OVERRIDE=FQ","FILING_STATUS=MR","SCALING_FORMAT=MLN","Sort=A","Dates=H","DateFormat=P","Fill=—","Direction=H","UseDPDF=Y")</f>
        <v>—</v>
      </c>
      <c r="G61" s="13" t="str">
        <f>_xll.BDH("BLUE US Equity","ARDR_SELLING_GENERAL_ADMIN_EXP","FQ2 2019","FQ2 2019","Currency=USD","Period=FQ","BEST_FPERIOD_OVERRIDE=FQ","FILING_STATUS=MR","SCALING_FORMAT=MLN","Sort=A","Dates=H","DateFormat=P","Fill=—","Direction=H","UseDPDF=Y")</f>
        <v>—</v>
      </c>
      <c r="H61" s="13" t="str">
        <f>_xll.BDH("BLUE US Equity","ARDR_SELLING_GENERAL_ADMIN_EXP","FQ3 2019","FQ3 2019","Currency=USD","Period=FQ","BEST_FPERIOD_OVERRIDE=FQ","FILING_STATUS=MR","SCALING_FORMAT=MLN","Sort=A","Dates=H","DateFormat=P","Fill=—","Direction=H","UseDPDF=Y")</f>
        <v>—</v>
      </c>
      <c r="I61" s="13" t="str">
        <f>_xll.BDH("BLUE US Equity","ARDR_SELLING_GENERAL_ADMIN_EXP","FQ4 2019","FQ4 2019","Currency=USD","Period=FQ","BEST_FPERIOD_OVERRIDE=FQ","FILING_STATUS=MR","SCALING_FORMAT=MLN","Sort=A","Dates=H","DateFormat=P","Fill=—","Direction=H","UseDPDF=Y")</f>
        <v>—</v>
      </c>
      <c r="J61" s="13" t="str">
        <f>_xll.BDH("BLUE US Equity","ARDR_SELLING_GENERAL_ADMIN_EXP","FQ1 2020","FQ1 2020","Currency=USD","Period=FQ","BEST_FPERIOD_OVERRIDE=FQ","FILING_STATUS=MR","SCALING_FORMAT=MLN","Sort=A","Dates=H","DateFormat=P","Fill=—","Direction=H","UseDPDF=Y")</f>
        <v>—</v>
      </c>
      <c r="K61" s="13" t="str">
        <f>_xll.BDH("BLUE US Equity","ARDR_SELLING_GENERAL_ADMIN_EXP","FQ2 2020","FQ2 2020","Currency=USD","Period=FQ","BEST_FPERIOD_OVERRIDE=FQ","FILING_STATUS=MR","SCALING_FORMAT=MLN","Sort=A","Dates=H","DateFormat=P","Fill=—","Direction=H","UseDPDF=Y")</f>
        <v>—</v>
      </c>
      <c r="L61" s="13" t="str">
        <f>_xll.BDH("BLUE US Equity","ARDR_SELLING_GENERAL_ADMIN_EXP","FQ3 2020","FQ3 2020","Currency=USD","Period=FQ","BEST_FPERIOD_OVERRIDE=FQ","FILING_STATUS=MR","SCALING_FORMAT=MLN","Sort=A","Dates=H","DateFormat=P","Fill=—","Direction=H","UseDPDF=Y")</f>
        <v>—</v>
      </c>
      <c r="M61" s="13">
        <f>_xll.BDH("BLUE US Equity","ARDR_SELLING_GENERAL_ADMIN_EXP","FQ4 2020","FQ4 2020","Currency=USD","Period=FQ","BEST_FPERIOD_OVERRIDE=FQ","FILING_STATUS=MR","SCALING_FORMAT=MLN","Sort=A","Dates=H","DateFormat=P","Fill=—","Direction=H","UseDPDF=Y")</f>
        <v>80.572000000000003</v>
      </c>
      <c r="N61" s="13">
        <f>_xll.BDH("BLUE US Equity","ARDR_SELLING_GENERAL_ADMIN_EXP","FQ1 2021","FQ1 2021","Currency=USD","Period=FQ","BEST_FPERIOD_OVERRIDE=FQ","FILING_STATUS=MR","SCALING_FORMAT=MLN","Sort=A","Dates=H","DateFormat=P","Fill=—","Direction=H","UseDPDF=Y")</f>
        <v>63.569000000000003</v>
      </c>
      <c r="O61" s="13" t="str">
        <f>_xll.BDH("BLUE US Equity","ARDR_SELLING_GENERAL_ADMIN_EXP","FQ2 2021","FQ2 2021","Currency=USD","Period=FQ","BEST_FPERIOD_OVERRIDE=FQ","FILING_STATUS=MR","SCALING_FORMAT=MLN","Sort=A","Dates=H","DateFormat=P","Fill=—","Direction=H","UseDPDF=Y")</f>
        <v>—</v>
      </c>
      <c r="P61" s="13" t="str">
        <f>_xll.BDH("BLUE US Equity","ARDR_SELLING_GENERAL_ADMIN_EXP","FQ3 2021","FQ3 2021","Currency=USD","Period=FQ","BEST_FPERIOD_OVERRIDE=FQ","FILING_STATUS=MR","SCALING_FORMAT=MLN","Sort=A","Dates=H","DateFormat=P","Fill=—","Direction=H","UseDPDF=Y")</f>
        <v>—</v>
      </c>
      <c r="Q61" s="13">
        <f>_xll.BDH("BLUE US Equity","ARDR_SELLING_GENERAL_ADMIN_EXP","FQ4 2021","FQ4 2021","Currency=USD","Period=FQ","BEST_FPERIOD_OVERRIDE=FQ","FILING_STATUS=MR","SCALING_FORMAT=MLN","Sort=A","Dates=H","DateFormat=P","Fill=—","Direction=H","UseDPDF=Y")</f>
        <v>53.206000000000003</v>
      </c>
      <c r="R61" s="13">
        <f>_xll.BDH("BLUE US Equity","ARDR_SELLING_GENERAL_ADMIN_EXP","FQ1 2022","FQ1 2022","Currency=USD","Period=FQ","BEST_FPERIOD_OVERRIDE=FQ","FILING_STATUS=MR","SCALING_FORMAT=MLN","Sort=A","Dates=H","DateFormat=P","Fill=—","Direction=H","UseDPDF=Y")</f>
        <v>36.106000000000002</v>
      </c>
      <c r="S61" s="13">
        <f>_xll.BDH("BLUE US Equity","ARDR_SELLING_GENERAL_ADMIN_EXP","FQ2 2022","FQ2 2022","Currency=USD","Period=FQ","BEST_FPERIOD_OVERRIDE=FQ","FILING_STATUS=MR","SCALING_FORMAT=MLN","Sort=A","Dates=H","DateFormat=P","Fill=—","Direction=H","UseDPDF=Y")</f>
        <v>36.694000000000003</v>
      </c>
      <c r="T61" s="13">
        <f>_xll.BDH("BLUE US Equity","ARDR_SELLING_GENERAL_ADMIN_EXP","FQ3 2022","FQ3 2022","Currency=USD","Period=FQ","BEST_FPERIOD_OVERRIDE=FQ","FILING_STATUS=MR","SCALING_FORMAT=MLN","Sort=A","Dates=H","DateFormat=P","Fill=—","Direction=H","UseDPDF=Y")</f>
        <v>33.402000000000001</v>
      </c>
      <c r="U61" s="13">
        <f>_xll.BDH("BLUE US Equity","ARDR_SELLING_GENERAL_ADMIN_EXP","FQ4 2022","FQ4 2022","Currency=USD","Period=FQ","BEST_FPERIOD_OVERRIDE=FQ","FILING_STATUS=MR","SCALING_FORMAT=MLN","Sort=A","Dates=H","DateFormat=P","Fill=—","Direction=H","UseDPDF=Y")</f>
        <v>30.706</v>
      </c>
      <c r="V61" s="13">
        <f>_xll.BDH("BLUE US Equity","ARDR_SELLING_GENERAL_ADMIN_EXP","FQ1 2023","FQ1 2023","Currency=USD","Period=FQ","BEST_FPERIOD_OVERRIDE=FQ","FILING_STATUS=MR","SCALING_FORMAT=MLN","Sort=A","Dates=H","DateFormat=P","Fill=—","Direction=H","UseDPDF=Y")</f>
        <v>37.466999999999999</v>
      </c>
      <c r="W61" s="13">
        <f>_xll.BDH("BLUE US Equity","ARDR_SELLING_GENERAL_ADMIN_EXP","FQ2 2023","FQ2 2023","Currency=USD","Period=FQ","BEST_FPERIOD_OVERRIDE=FQ","FILING_STATUS=MR","SCALING_FORMAT=MLN","Sort=A","Dates=H","DateFormat=P","Fill=—","Direction=H","UseDPDF=Y")</f>
        <v>40.462000000000003</v>
      </c>
      <c r="X61" s="13">
        <f>_xll.BDH("BLUE US Equity","ARDR_SELLING_GENERAL_ADMIN_EXP","FQ3 2023","FQ3 2023","Currency=USD","Period=FQ","BEST_FPERIOD_OVERRIDE=FQ","FILING_STATUS=MR","SCALING_FORMAT=MLN","Sort=A","Dates=H","DateFormat=P","Fill=—","Direction=H","UseDPDF=Y")</f>
        <v>40.771000000000001</v>
      </c>
      <c r="Y61" s="13">
        <f>_xll.BDH("BLUE US Equity","ARDR_SELLING_GENERAL_ADMIN_EXP","FQ1 2024","FQ1 2024","Currency=USD","Period=FQ","BEST_FPERIOD_OVERRIDE=FQ","FILING_STATUS=MR","SCALING_FORMAT=MLN","Sort=A","Dates=H","DateFormat=P","Fill=—","Direction=H","UseDPDF=Y")</f>
        <v>46.329000000000001</v>
      </c>
      <c r="Z61" s="13">
        <f>_xll.BDH("BLUE US Equity","ARDR_SELLING_GENERAL_ADMIN_EXP","FQ2 2024","FQ2 2024","Currency=USD","Period=FQ","BEST_FPERIOD_OVERRIDE=FQ","FILING_STATUS=MR","SCALING_FORMAT=MLN","Sort=A","Dates=H","DateFormat=P","Fill=—","Direction=H","UseDPDF=Y")</f>
        <v>50.384999999999998</v>
      </c>
      <c r="AA61" s="13">
        <f>_xll.BDH("BLUE US Equity","ARDR_SELLING_GENERAL_ADMIN_EXP","FQ3 2024","FQ3 2024","Currency=USD","Period=FQ","BEST_FPERIOD_OVERRIDE=FQ","FILING_STATUS=MR","SCALING_FORMAT=MLN","Sort=A","Dates=H","DateFormat=P","Fill=—","Direction=H","UseDPDF=Y")</f>
        <v>39.765000000000001</v>
      </c>
    </row>
    <row r="62" spans="1:27" x14ac:dyDescent="0.25">
      <c r="A62" s="10" t="s">
        <v>483</v>
      </c>
      <c r="B62" s="10" t="s">
        <v>484</v>
      </c>
      <c r="C62" s="13">
        <f>_xll.BDH("BLUE US Equity","ARDR_DEPRECIATION_AMORTIZATION","FQ2 2018","FQ2 2018","Currency=USD","Period=FQ","BEST_FPERIOD_OVERRIDE=FQ","FILING_STATUS=MR","SCALING_FORMAT=MLN","Sort=A","Dates=H","DateFormat=P","Fill=—","Direction=H","UseDPDF=Y")</f>
        <v>4.1790000000000003</v>
      </c>
      <c r="D62" s="13">
        <f>_xll.BDH("BLUE US Equity","ARDR_DEPRECIATION_AMORTIZATION","FQ3 2018","FQ3 2018","Currency=USD","Period=FQ","BEST_FPERIOD_OVERRIDE=FQ","FILING_STATUS=MR","SCALING_FORMAT=MLN","Sort=A","Dates=H","DateFormat=P","Fill=—","Direction=H","UseDPDF=Y")</f>
        <v>4.4139999999999997</v>
      </c>
      <c r="E62" s="13">
        <f>_xll.BDH("BLUE US Equity","ARDR_DEPRECIATION_AMORTIZATION","FQ4 2018","FQ4 2018","Currency=USD","Period=FQ","BEST_FPERIOD_OVERRIDE=FQ","FILING_STATUS=MR","SCALING_FORMAT=MLN","Sort=A","Dates=H","DateFormat=P","Fill=—","Direction=H","UseDPDF=Y")</f>
        <v>4.5449999999999999</v>
      </c>
      <c r="F62" s="13">
        <f>_xll.BDH("BLUE US Equity","ARDR_DEPRECIATION_AMORTIZATION","FQ1 2019","FQ1 2019","Currency=USD","Period=FQ","BEST_FPERIOD_OVERRIDE=FQ","FILING_STATUS=MR","SCALING_FORMAT=MLN","Sort=A","Dates=H","DateFormat=P","Fill=—","Direction=H","UseDPDF=Y")</f>
        <v>3.7829999999999999</v>
      </c>
      <c r="G62" s="13">
        <f>_xll.BDH("BLUE US Equity","ARDR_DEPRECIATION_AMORTIZATION","FQ2 2019","FQ2 2019","Currency=USD","Period=FQ","BEST_FPERIOD_OVERRIDE=FQ","FILING_STATUS=MR","SCALING_FORMAT=MLN","Sort=A","Dates=H","DateFormat=P","Fill=—","Direction=H","UseDPDF=Y")</f>
        <v>4.048</v>
      </c>
      <c r="H62" s="13">
        <f>_xll.BDH("BLUE US Equity","ARDR_DEPRECIATION_AMORTIZATION","FQ3 2019","FQ3 2019","Currency=USD","Period=FQ","BEST_FPERIOD_OVERRIDE=FQ","FILING_STATUS=MR","SCALING_FORMAT=MLN","Sort=A","Dates=H","DateFormat=P","Fill=—","Direction=H","UseDPDF=Y")</f>
        <v>4.5469999999999997</v>
      </c>
      <c r="I62" s="13">
        <f>_xll.BDH("BLUE US Equity","ARDR_DEPRECIATION_AMORTIZATION","FQ4 2019","FQ4 2019","Currency=USD","Period=FQ","BEST_FPERIOD_OVERRIDE=FQ","FILING_STATUS=MR","SCALING_FORMAT=MLN","Sort=A","Dates=H","DateFormat=P","Fill=—","Direction=H","UseDPDF=Y")</f>
        <v>5.056</v>
      </c>
      <c r="J62" s="13">
        <f>_xll.BDH("BLUE US Equity","ARDR_DEPRECIATION_AMORTIZATION","FQ1 2020","FQ1 2020","Currency=USD","Period=FQ","BEST_FPERIOD_OVERRIDE=FQ","FILING_STATUS=MR","SCALING_FORMAT=MLN","Sort=A","Dates=H","DateFormat=P","Fill=—","Direction=H","UseDPDF=Y")</f>
        <v>4.88</v>
      </c>
      <c r="K62" s="13">
        <f>_xll.BDH("BLUE US Equity","ARDR_DEPRECIATION_AMORTIZATION","FQ2 2020","FQ2 2020","Currency=USD","Period=FQ","BEST_FPERIOD_OVERRIDE=FQ","FILING_STATUS=MR","SCALING_FORMAT=MLN","Sort=A","Dates=H","DateFormat=P","Fill=—","Direction=H","UseDPDF=Y")</f>
        <v>4.55</v>
      </c>
      <c r="L62" s="13">
        <f>_xll.BDH("BLUE US Equity","ARDR_DEPRECIATION_AMORTIZATION","FQ3 2020","FQ3 2020","Currency=USD","Period=FQ","BEST_FPERIOD_OVERRIDE=FQ","FILING_STATUS=MR","SCALING_FORMAT=MLN","Sort=A","Dates=H","DateFormat=P","Fill=—","Direction=H","UseDPDF=Y")</f>
        <v>4.9480000000000004</v>
      </c>
      <c r="M62" s="13">
        <f>_xll.BDH("BLUE US Equity","ARDR_DEPRECIATION_AMORTIZATION","FQ4 2020","FQ4 2020","Currency=USD","Period=FQ","BEST_FPERIOD_OVERRIDE=FQ","FILING_STATUS=MR","SCALING_FORMAT=MLN","Sort=A","Dates=H","DateFormat=P","Fill=—","Direction=H","UseDPDF=Y")</f>
        <v>4.9779999999999998</v>
      </c>
      <c r="N62" s="13">
        <f>_xll.BDH("BLUE US Equity","ARDR_DEPRECIATION_AMORTIZATION","FQ1 2021","FQ1 2021","Currency=USD","Period=FQ","BEST_FPERIOD_OVERRIDE=FQ","FILING_STATUS=MR","SCALING_FORMAT=MLN","Sort=A","Dates=H","DateFormat=P","Fill=—","Direction=H","UseDPDF=Y")</f>
        <v>5.36</v>
      </c>
      <c r="O62" s="13">
        <f>_xll.BDH("BLUE US Equity","ARDR_DEPRECIATION_AMORTIZATION","FQ2 2021","FQ2 2021","Currency=USD","Period=FQ","BEST_FPERIOD_OVERRIDE=FQ","FILING_STATUS=MR","SCALING_FORMAT=MLN","Sort=A","Dates=H","DateFormat=P","Fill=—","Direction=H","UseDPDF=Y")</f>
        <v>5.9930000000000003</v>
      </c>
      <c r="P62" s="13">
        <f>_xll.BDH("BLUE US Equity","ARDR_DEPRECIATION_AMORTIZATION","FQ3 2021","FQ3 2021","Currency=USD","Period=FQ","BEST_FPERIOD_OVERRIDE=FQ","FILING_STATUS=MR","SCALING_FORMAT=MLN","Sort=A","Dates=H","DateFormat=P","Fill=—","Direction=H","UseDPDF=Y")</f>
        <v>5.9820000000000002</v>
      </c>
      <c r="Q62" s="13">
        <f>_xll.BDH("BLUE US Equity","ARDR_DEPRECIATION_AMORTIZATION","FQ4 2021","FQ4 2021","Currency=USD","Period=FQ","BEST_FPERIOD_OVERRIDE=FQ","FILING_STATUS=MR","SCALING_FORMAT=MLN","Sort=A","Dates=H","DateFormat=P","Fill=—","Direction=H","UseDPDF=Y")</f>
        <v>2.3140000000000001</v>
      </c>
      <c r="R62" s="13">
        <f>_xll.BDH("BLUE US Equity","ARDR_DEPRECIATION_AMORTIZATION","FQ1 2022","FQ1 2022","Currency=USD","Period=FQ","BEST_FPERIOD_OVERRIDE=FQ","FILING_STATUS=MR","SCALING_FORMAT=MLN","Sort=A","Dates=H","DateFormat=P","Fill=—","Direction=H","UseDPDF=Y")</f>
        <v>1.014</v>
      </c>
      <c r="S62" s="13">
        <f>_xll.BDH("BLUE US Equity","ARDR_DEPRECIATION_AMORTIZATION","FQ2 2022","FQ2 2022","Currency=USD","Period=FQ","BEST_FPERIOD_OVERRIDE=FQ","FILING_STATUS=MR","SCALING_FORMAT=MLN","Sort=A","Dates=H","DateFormat=P","Fill=—","Direction=H","UseDPDF=Y")</f>
        <v>1.3440000000000001</v>
      </c>
      <c r="T62" s="13">
        <f>_xll.BDH("BLUE US Equity","ARDR_DEPRECIATION_AMORTIZATION","FQ3 2022","FQ3 2022","Currency=USD","Period=FQ","BEST_FPERIOD_OVERRIDE=FQ","FILING_STATUS=MR","SCALING_FORMAT=MLN","Sort=A","Dates=H","DateFormat=P","Fill=—","Direction=H","UseDPDF=Y")</f>
        <v>1.387</v>
      </c>
      <c r="U62" s="13">
        <f>_xll.BDH("BLUE US Equity","ARDR_DEPRECIATION_AMORTIZATION","FQ4 2022","FQ4 2022","Currency=USD","Period=FQ","BEST_FPERIOD_OVERRIDE=FQ","FILING_STATUS=MR","SCALING_FORMAT=MLN","Sort=A","Dates=H","DateFormat=P","Fill=—","Direction=H","UseDPDF=Y")</f>
        <v>1.256</v>
      </c>
      <c r="V62" s="13">
        <f>_xll.BDH("BLUE US Equity","ARDR_DEPRECIATION_AMORTIZATION","FQ1 2023","FQ1 2023","Currency=USD","Period=FQ","BEST_FPERIOD_OVERRIDE=FQ","FILING_STATUS=MR","SCALING_FORMAT=MLN","Sort=A","Dates=H","DateFormat=P","Fill=—","Direction=H","UseDPDF=Y")</f>
        <v>6.1719999999999997</v>
      </c>
      <c r="W62" s="13">
        <f>_xll.BDH("BLUE US Equity","ARDR_DEPRECIATION_AMORTIZATION","FQ2 2023","FQ2 2023","Currency=USD","Period=FQ","BEST_FPERIOD_OVERRIDE=FQ","FILING_STATUS=MR","SCALING_FORMAT=MLN","Sort=A","Dates=H","DateFormat=P","Fill=—","Direction=H","UseDPDF=Y")</f>
        <v>6.0780000000000003</v>
      </c>
      <c r="X62" s="13">
        <f>_xll.BDH("BLUE US Equity","ARDR_DEPRECIATION_AMORTIZATION","FQ3 2023","FQ3 2023","Currency=USD","Period=FQ","BEST_FPERIOD_OVERRIDE=FQ","FILING_STATUS=MR","SCALING_FORMAT=MLN","Sort=A","Dates=H","DateFormat=P","Fill=—","Direction=H","UseDPDF=Y")</f>
        <v>7.41</v>
      </c>
      <c r="Y62" s="13">
        <f>_xll.BDH("BLUE US Equity","ARDR_DEPRECIATION_AMORTIZATION","FQ1 2024","FQ1 2024","Currency=USD","Period=FQ","BEST_FPERIOD_OVERRIDE=FQ","FILING_STATUS=MR","SCALING_FORMAT=MLN","Sort=A","Dates=H","DateFormat=P","Fill=—","Direction=H","UseDPDF=Y")</f>
        <v>15.468999999999999</v>
      </c>
      <c r="Z62" s="13">
        <f>_xll.BDH("BLUE US Equity","ARDR_DEPRECIATION_AMORTIZATION","FQ2 2024","FQ2 2024","Currency=USD","Period=FQ","BEST_FPERIOD_OVERRIDE=FQ","FILING_STATUS=MR","SCALING_FORMAT=MLN","Sort=A","Dates=H","DateFormat=P","Fill=—","Direction=H","UseDPDF=Y")</f>
        <v>16.526</v>
      </c>
      <c r="AA62" s="13">
        <f>_xll.BDH("BLUE US Equity","ARDR_DEPRECIATION_AMORTIZATION","FQ3 2024","FQ3 2024","Currency=USD","Period=FQ","BEST_FPERIOD_OVERRIDE=FQ","FILING_STATUS=MR","SCALING_FORMAT=MLN","Sort=A","Dates=H","DateFormat=P","Fill=—","Direction=H","UseDPDF=Y")</f>
        <v>15.343999999999999</v>
      </c>
    </row>
    <row r="63" spans="1:27" x14ac:dyDescent="0.25">
      <c r="A63" s="10" t="s">
        <v>407</v>
      </c>
      <c r="B63" s="10" t="s">
        <v>485</v>
      </c>
      <c r="C63" s="13" t="str">
        <f>_xll.BDH("BLUE US Equity","ARDR_RESTRUCTURING_CHARGES","FQ2 2018","FQ2 2018","Currency=USD","Period=FQ","BEST_FPERIOD_OVERRIDE=FQ","FILING_STATUS=MR","SCALING_FORMAT=MLN","Sort=A","Dates=H","DateFormat=P","Fill=—","Direction=H","UseDPDF=Y")</f>
        <v>—</v>
      </c>
      <c r="D63" s="13" t="str">
        <f>_xll.BDH("BLUE US Equity","ARDR_RESTRUCTURING_CHARGES","FQ3 2018","FQ3 2018","Currency=USD","Period=FQ","BEST_FPERIOD_OVERRIDE=FQ","FILING_STATUS=MR","SCALING_FORMAT=MLN","Sort=A","Dates=H","DateFormat=P","Fill=—","Direction=H","UseDPDF=Y")</f>
        <v>—</v>
      </c>
      <c r="E63" s="13" t="str">
        <f>_xll.BDH("BLUE US Equity","ARDR_RESTRUCTURING_CHARGES","FQ4 2018","FQ4 2018","Currency=USD","Period=FQ","BEST_FPERIOD_OVERRIDE=FQ","FILING_STATUS=MR","SCALING_FORMAT=MLN","Sort=A","Dates=H","DateFormat=P","Fill=—","Direction=H","UseDPDF=Y")</f>
        <v>—</v>
      </c>
      <c r="F63" s="13" t="str">
        <f>_xll.BDH("BLUE US Equity","ARDR_RESTRUCTURING_CHARGES","FQ1 2019","FQ1 2019","Currency=USD","Period=FQ","BEST_FPERIOD_OVERRIDE=FQ","FILING_STATUS=MR","SCALING_FORMAT=MLN","Sort=A","Dates=H","DateFormat=P","Fill=—","Direction=H","UseDPDF=Y")</f>
        <v>—</v>
      </c>
      <c r="G63" s="13" t="str">
        <f>_xll.BDH("BLUE US Equity","ARDR_RESTRUCTURING_CHARGES","FQ2 2019","FQ2 2019","Currency=USD","Period=FQ","BEST_FPERIOD_OVERRIDE=FQ","FILING_STATUS=MR","SCALING_FORMAT=MLN","Sort=A","Dates=H","DateFormat=P","Fill=—","Direction=H","UseDPDF=Y")</f>
        <v>—</v>
      </c>
      <c r="H63" s="13" t="str">
        <f>_xll.BDH("BLUE US Equity","ARDR_RESTRUCTURING_CHARGES","FQ3 2019","FQ3 2019","Currency=USD","Period=FQ","BEST_FPERIOD_OVERRIDE=FQ","FILING_STATUS=MR","SCALING_FORMAT=MLN","Sort=A","Dates=H","DateFormat=P","Fill=—","Direction=H","UseDPDF=Y")</f>
        <v>—</v>
      </c>
      <c r="I63" s="13" t="str">
        <f>_xll.BDH("BLUE US Equity","ARDR_RESTRUCTURING_CHARGES","FQ4 2019","FQ4 2019","Currency=USD","Period=FQ","BEST_FPERIOD_OVERRIDE=FQ","FILING_STATUS=MR","SCALING_FORMAT=MLN","Sort=A","Dates=H","DateFormat=P","Fill=—","Direction=H","UseDPDF=Y")</f>
        <v>—</v>
      </c>
      <c r="J63" s="13" t="str">
        <f>_xll.BDH("BLUE US Equity","ARDR_RESTRUCTURING_CHARGES","FQ1 2020","FQ1 2020","Currency=USD","Period=FQ","BEST_FPERIOD_OVERRIDE=FQ","FILING_STATUS=MR","SCALING_FORMAT=MLN","Sort=A","Dates=H","DateFormat=P","Fill=—","Direction=H","UseDPDF=Y")</f>
        <v>—</v>
      </c>
      <c r="K63" s="13" t="str">
        <f>_xll.BDH("BLUE US Equity","ARDR_RESTRUCTURING_CHARGES","FQ2 2020","FQ2 2020","Currency=USD","Period=FQ","BEST_FPERIOD_OVERRIDE=FQ","FILING_STATUS=MR","SCALING_FORMAT=MLN","Sort=A","Dates=H","DateFormat=P","Fill=—","Direction=H","UseDPDF=Y")</f>
        <v>—</v>
      </c>
      <c r="L63" s="13" t="str">
        <f>_xll.BDH("BLUE US Equity","ARDR_RESTRUCTURING_CHARGES","FQ3 2020","FQ3 2020","Currency=USD","Period=FQ","BEST_FPERIOD_OVERRIDE=FQ","FILING_STATUS=MR","SCALING_FORMAT=MLN","Sort=A","Dates=H","DateFormat=P","Fill=—","Direction=H","UseDPDF=Y")</f>
        <v>—</v>
      </c>
      <c r="M63" s="13" t="str">
        <f>_xll.BDH("BLUE US Equity","ARDR_RESTRUCTURING_CHARGES","FQ4 2020","FQ4 2020","Currency=USD","Period=FQ","BEST_FPERIOD_OVERRIDE=FQ","FILING_STATUS=MR","SCALING_FORMAT=MLN","Sort=A","Dates=H","DateFormat=P","Fill=—","Direction=H","UseDPDF=Y")</f>
        <v>—</v>
      </c>
      <c r="N63" s="13" t="str">
        <f>_xll.BDH("BLUE US Equity","ARDR_RESTRUCTURING_CHARGES","FQ1 2021","FQ1 2021","Currency=USD","Period=FQ","BEST_FPERIOD_OVERRIDE=FQ","FILING_STATUS=MR","SCALING_FORMAT=MLN","Sort=A","Dates=H","DateFormat=P","Fill=—","Direction=H","UseDPDF=Y")</f>
        <v>—</v>
      </c>
      <c r="O63" s="13" t="str">
        <f>_xll.BDH("BLUE US Equity","ARDR_RESTRUCTURING_CHARGES","FQ2 2021","FQ2 2021","Currency=USD","Period=FQ","BEST_FPERIOD_OVERRIDE=FQ","FILING_STATUS=MR","SCALING_FORMAT=MLN","Sort=A","Dates=H","DateFormat=P","Fill=—","Direction=H","UseDPDF=Y")</f>
        <v>—</v>
      </c>
      <c r="P63" s="13">
        <f>_xll.BDH("BLUE US Equity","ARDR_RESTRUCTURING_CHARGES","FQ3 2021","FQ3 2021","Currency=USD","Period=FQ","BEST_FPERIOD_OVERRIDE=FQ","FILING_STATUS=MR","SCALING_FORMAT=MLN","Sort=A","Dates=H","DateFormat=P","Fill=—","Direction=H","UseDPDF=Y")</f>
        <v>20.175000000000001</v>
      </c>
      <c r="Q63" s="13">
        <f>_xll.BDH("BLUE US Equity","ARDR_RESTRUCTURING_CHARGES","FQ4 2021","FQ4 2021","Currency=USD","Period=FQ","BEST_FPERIOD_OVERRIDE=FQ","FILING_STATUS=MR","SCALING_FORMAT=MLN","Sort=A","Dates=H","DateFormat=P","Fill=—","Direction=H","UseDPDF=Y")</f>
        <v>1.0009999999999999</v>
      </c>
      <c r="R63" s="13" t="str">
        <f>_xll.BDH("BLUE US Equity","ARDR_RESTRUCTURING_CHARGES","FQ1 2022","FQ1 2022","Currency=USD","Period=FQ","BEST_FPERIOD_OVERRIDE=FQ","FILING_STATUS=MR","SCALING_FORMAT=MLN","Sort=A","Dates=H","DateFormat=P","Fill=—","Direction=H","UseDPDF=Y")</f>
        <v>—</v>
      </c>
      <c r="S63" s="13">
        <f>_xll.BDH("BLUE US Equity","ARDR_RESTRUCTURING_CHARGES","FQ2 2022","FQ2 2022","Currency=USD","Period=FQ","BEST_FPERIOD_OVERRIDE=FQ","FILING_STATUS=MR","SCALING_FORMAT=MLN","Sort=A","Dates=H","DateFormat=P","Fill=—","Direction=H","UseDPDF=Y")</f>
        <v>6.6390000000000002</v>
      </c>
      <c r="T63" s="13">
        <f>_xll.BDH("BLUE US Equity","ARDR_RESTRUCTURING_CHARGES","FQ3 2022","FQ3 2022","Currency=USD","Period=FQ","BEST_FPERIOD_OVERRIDE=FQ","FILING_STATUS=MR","SCALING_FORMAT=MLN","Sort=A","Dates=H","DateFormat=P","Fill=—","Direction=H","UseDPDF=Y")</f>
        <v>-1.6990000000000001</v>
      </c>
      <c r="U63" s="13">
        <f>_xll.BDH("BLUE US Equity","ARDR_RESTRUCTURING_CHARGES","FQ4 2022","FQ4 2022","Currency=USD","Period=FQ","BEST_FPERIOD_OVERRIDE=FQ","FILING_STATUS=MR","SCALING_FORMAT=MLN","Sort=A","Dates=H","DateFormat=P","Fill=—","Direction=H","UseDPDF=Y")</f>
        <v>0</v>
      </c>
      <c r="V63" s="13" t="str">
        <f>_xll.BDH("BLUE US Equity","ARDR_RESTRUCTURING_CHARGES","FQ1 2023","FQ1 2023","Currency=USD","Period=FQ","BEST_FPERIOD_OVERRIDE=FQ","FILING_STATUS=MR","SCALING_FORMAT=MLN","Sort=A","Dates=H","DateFormat=P","Fill=—","Direction=H","UseDPDF=Y")</f>
        <v>—</v>
      </c>
      <c r="W63" s="13" t="str">
        <f>_xll.BDH("BLUE US Equity","ARDR_RESTRUCTURING_CHARGES","FQ2 2023","FQ2 2023","Currency=USD","Period=FQ","BEST_FPERIOD_OVERRIDE=FQ","FILING_STATUS=MR","SCALING_FORMAT=MLN","Sort=A","Dates=H","DateFormat=P","Fill=—","Direction=H","UseDPDF=Y")</f>
        <v>—</v>
      </c>
      <c r="X63" s="13" t="str">
        <f>_xll.BDH("BLUE US Equity","ARDR_RESTRUCTURING_CHARGES","FQ3 2023","FQ3 2023","Currency=USD","Period=FQ","BEST_FPERIOD_OVERRIDE=FQ","FILING_STATUS=MR","SCALING_FORMAT=MLN","Sort=A","Dates=H","DateFormat=P","Fill=—","Direction=H","UseDPDF=Y")</f>
        <v>—</v>
      </c>
      <c r="Y63" s="13" t="str">
        <f>_xll.BDH("BLUE US Equity","ARDR_RESTRUCTURING_CHARGES","FQ1 2024","FQ1 2024","Currency=USD","Period=FQ","BEST_FPERIOD_OVERRIDE=FQ","FILING_STATUS=MR","SCALING_FORMAT=MLN","Sort=A","Dates=H","DateFormat=P","Fill=—","Direction=H","UseDPDF=Y")</f>
        <v>—</v>
      </c>
      <c r="Z63" s="13" t="str">
        <f>_xll.BDH("BLUE US Equity","ARDR_RESTRUCTURING_CHARGES","FQ2 2024","FQ2 2024","Currency=USD","Period=FQ","BEST_FPERIOD_OVERRIDE=FQ","FILING_STATUS=MR","SCALING_FORMAT=MLN","Sort=A","Dates=H","DateFormat=P","Fill=—","Direction=H","UseDPDF=Y")</f>
        <v>—</v>
      </c>
      <c r="AA63" s="13">
        <f>_xll.BDH("BLUE US Equity","ARDR_RESTRUCTURING_CHARGES","FQ3 2024","FQ3 2024","Currency=USD","Period=FQ","BEST_FPERIOD_OVERRIDE=FQ","FILING_STATUS=MR","SCALING_FORMAT=MLN","Sort=A","Dates=H","DateFormat=P","Fill=—","Direction=H","UseDPDF=Y")</f>
        <v>2.8109999999999999</v>
      </c>
    </row>
    <row r="64" spans="1:27" x14ac:dyDescent="0.25">
      <c r="A64" s="10" t="s">
        <v>409</v>
      </c>
      <c r="B64" s="10" t="s">
        <v>486</v>
      </c>
      <c r="C64" s="13" t="str">
        <f>_xll.BDH("BLUE US Equity","ARDR_OTHER_ONE_TIME_CHARGES","FQ2 2018","FQ2 2018","Currency=USD","Period=FQ","BEST_FPERIOD_OVERRIDE=FQ","FILING_STATUS=MR","SCALING_FORMAT=MLN","Sort=A","Dates=H","DateFormat=P","Fill=—","Direction=H","UseDPDF=Y")</f>
        <v>—</v>
      </c>
      <c r="D64" s="13" t="str">
        <f>_xll.BDH("BLUE US Equity","ARDR_OTHER_ONE_TIME_CHARGES","FQ3 2018","FQ3 2018","Currency=USD","Period=FQ","BEST_FPERIOD_OVERRIDE=FQ","FILING_STATUS=MR","SCALING_FORMAT=MLN","Sort=A","Dates=H","DateFormat=P","Fill=—","Direction=H","UseDPDF=Y")</f>
        <v>—</v>
      </c>
      <c r="E64" s="13" t="str">
        <f>_xll.BDH("BLUE US Equity","ARDR_OTHER_ONE_TIME_CHARGES","FQ4 2018","FQ4 2018","Currency=USD","Period=FQ","BEST_FPERIOD_OVERRIDE=FQ","FILING_STATUS=MR","SCALING_FORMAT=MLN","Sort=A","Dates=H","DateFormat=P","Fill=—","Direction=H","UseDPDF=Y")</f>
        <v>—</v>
      </c>
      <c r="F64" s="13" t="str">
        <f>_xll.BDH("BLUE US Equity","ARDR_OTHER_ONE_TIME_CHARGES","FQ1 2019","FQ1 2019","Currency=USD","Period=FQ","BEST_FPERIOD_OVERRIDE=FQ","FILING_STATUS=MR","SCALING_FORMAT=MLN","Sort=A","Dates=H","DateFormat=P","Fill=—","Direction=H","UseDPDF=Y")</f>
        <v>—</v>
      </c>
      <c r="G64" s="13" t="str">
        <f>_xll.BDH("BLUE US Equity","ARDR_OTHER_ONE_TIME_CHARGES","FQ2 2019","FQ2 2019","Currency=USD","Period=FQ","BEST_FPERIOD_OVERRIDE=FQ","FILING_STATUS=MR","SCALING_FORMAT=MLN","Sort=A","Dates=H","DateFormat=P","Fill=—","Direction=H","UseDPDF=Y")</f>
        <v>—</v>
      </c>
      <c r="H64" s="13" t="str">
        <f>_xll.BDH("BLUE US Equity","ARDR_OTHER_ONE_TIME_CHARGES","FQ3 2019","FQ3 2019","Currency=USD","Period=FQ","BEST_FPERIOD_OVERRIDE=FQ","FILING_STATUS=MR","SCALING_FORMAT=MLN","Sort=A","Dates=H","DateFormat=P","Fill=—","Direction=H","UseDPDF=Y")</f>
        <v>—</v>
      </c>
      <c r="I64" s="13" t="str">
        <f>_xll.BDH("BLUE US Equity","ARDR_OTHER_ONE_TIME_CHARGES","FQ4 2019","FQ4 2019","Currency=USD","Period=FQ","BEST_FPERIOD_OVERRIDE=FQ","FILING_STATUS=MR","SCALING_FORMAT=MLN","Sort=A","Dates=H","DateFormat=P","Fill=—","Direction=H","UseDPDF=Y")</f>
        <v>—</v>
      </c>
      <c r="J64" s="13" t="str">
        <f>_xll.BDH("BLUE US Equity","ARDR_OTHER_ONE_TIME_CHARGES","FQ1 2020","FQ1 2020","Currency=USD","Period=FQ","BEST_FPERIOD_OVERRIDE=FQ","FILING_STATUS=MR","SCALING_FORMAT=MLN","Sort=A","Dates=H","DateFormat=P","Fill=—","Direction=H","UseDPDF=Y")</f>
        <v>—</v>
      </c>
      <c r="K64" s="13" t="str">
        <f>_xll.BDH("BLUE US Equity","ARDR_OTHER_ONE_TIME_CHARGES","FQ2 2020","FQ2 2020","Currency=USD","Period=FQ","BEST_FPERIOD_OVERRIDE=FQ","FILING_STATUS=MR","SCALING_FORMAT=MLN","Sort=A","Dates=H","DateFormat=P","Fill=—","Direction=H","UseDPDF=Y")</f>
        <v>—</v>
      </c>
      <c r="L64" s="13" t="str">
        <f>_xll.BDH("BLUE US Equity","ARDR_OTHER_ONE_TIME_CHARGES","FQ3 2020","FQ3 2020","Currency=USD","Period=FQ","BEST_FPERIOD_OVERRIDE=FQ","FILING_STATUS=MR","SCALING_FORMAT=MLN","Sort=A","Dates=H","DateFormat=P","Fill=—","Direction=H","UseDPDF=Y")</f>
        <v>—</v>
      </c>
      <c r="M64" s="13" t="str">
        <f>_xll.BDH("BLUE US Equity","ARDR_OTHER_ONE_TIME_CHARGES","FQ4 2020","FQ4 2020","Currency=USD","Period=FQ","BEST_FPERIOD_OVERRIDE=FQ","FILING_STATUS=MR","SCALING_FORMAT=MLN","Sort=A","Dates=H","DateFormat=P","Fill=—","Direction=H","UseDPDF=Y")</f>
        <v>—</v>
      </c>
      <c r="N64" s="13" t="str">
        <f>_xll.BDH("BLUE US Equity","ARDR_OTHER_ONE_TIME_CHARGES","FQ1 2021","FQ1 2021","Currency=USD","Period=FQ","BEST_FPERIOD_OVERRIDE=FQ","FILING_STATUS=MR","SCALING_FORMAT=MLN","Sort=A","Dates=H","DateFormat=P","Fill=—","Direction=H","UseDPDF=Y")</f>
        <v>—</v>
      </c>
      <c r="O64" s="13" t="str">
        <f>_xll.BDH("BLUE US Equity","ARDR_OTHER_ONE_TIME_CHARGES","FQ2 2021","FQ2 2021","Currency=USD","Period=FQ","BEST_FPERIOD_OVERRIDE=FQ","FILING_STATUS=MR","SCALING_FORMAT=MLN","Sort=A","Dates=H","DateFormat=P","Fill=—","Direction=H","UseDPDF=Y")</f>
        <v>—</v>
      </c>
      <c r="P64" s="13" t="str">
        <f>_xll.BDH("BLUE US Equity","ARDR_OTHER_ONE_TIME_CHARGES","FQ3 2021","FQ3 2021","Currency=USD","Period=FQ","BEST_FPERIOD_OVERRIDE=FQ","FILING_STATUS=MR","SCALING_FORMAT=MLN","Sort=A","Dates=H","DateFormat=P","Fill=—","Direction=H","UseDPDF=Y")</f>
        <v>—</v>
      </c>
      <c r="Q64" s="13" t="str">
        <f>_xll.BDH("BLUE US Equity","ARDR_OTHER_ONE_TIME_CHARGES","FQ4 2021","FQ4 2021","Currency=USD","Period=FQ","BEST_FPERIOD_OVERRIDE=FQ","FILING_STATUS=MR","SCALING_FORMAT=MLN","Sort=A","Dates=H","DateFormat=P","Fill=—","Direction=H","UseDPDF=Y")</f>
        <v>—</v>
      </c>
      <c r="R64" s="13" t="str">
        <f>_xll.BDH("BLUE US Equity","ARDR_OTHER_ONE_TIME_CHARGES","FQ1 2022","FQ1 2022","Currency=USD","Period=FQ","BEST_FPERIOD_OVERRIDE=FQ","FILING_STATUS=MR","SCALING_FORMAT=MLN","Sort=A","Dates=H","DateFormat=P","Fill=—","Direction=H","UseDPDF=Y")</f>
        <v>—</v>
      </c>
      <c r="S64" s="13" t="str">
        <f>_xll.BDH("BLUE US Equity","ARDR_OTHER_ONE_TIME_CHARGES","FQ2 2022","FQ2 2022","Currency=USD","Period=FQ","BEST_FPERIOD_OVERRIDE=FQ","FILING_STATUS=MR","SCALING_FORMAT=MLN","Sort=A","Dates=H","DateFormat=P","Fill=—","Direction=H","UseDPDF=Y")</f>
        <v>—</v>
      </c>
      <c r="T64" s="13" t="str">
        <f>_xll.BDH("BLUE US Equity","ARDR_OTHER_ONE_TIME_CHARGES","FQ3 2022","FQ3 2022","Currency=USD","Period=FQ","BEST_FPERIOD_OVERRIDE=FQ","FILING_STATUS=MR","SCALING_FORMAT=MLN","Sort=A","Dates=H","DateFormat=P","Fill=—","Direction=H","UseDPDF=Y")</f>
        <v>—</v>
      </c>
      <c r="U64" s="13">
        <f>_xll.BDH("BLUE US Equity","ARDR_OTHER_ONE_TIME_CHARGES","FQ4 2022","FQ4 2022","Currency=USD","Period=FQ","BEST_FPERIOD_OVERRIDE=FQ","FILING_STATUS=MR","SCALING_FORMAT=MLN","Sort=A","Dates=H","DateFormat=P","Fill=—","Direction=H","UseDPDF=Y")</f>
        <v>-102</v>
      </c>
      <c r="V64" s="13">
        <f>_xll.BDH("BLUE US Equity","ARDR_OTHER_ONE_TIME_CHARGES","FQ1 2023","FQ1 2023","Currency=USD","Period=FQ","BEST_FPERIOD_OVERRIDE=FQ","FILING_STATUS=MR","SCALING_FORMAT=MLN","Sort=A","Dates=H","DateFormat=P","Fill=—","Direction=H","UseDPDF=Y")</f>
        <v>-92.93</v>
      </c>
      <c r="W64" s="13" t="str">
        <f>_xll.BDH("BLUE US Equity","ARDR_OTHER_ONE_TIME_CHARGES","FQ2 2023","FQ2 2023","Currency=USD","Period=FQ","BEST_FPERIOD_OVERRIDE=FQ","FILING_STATUS=MR","SCALING_FORMAT=MLN","Sort=A","Dates=H","DateFormat=P","Fill=—","Direction=H","UseDPDF=Y")</f>
        <v>—</v>
      </c>
      <c r="X64" s="13" t="str">
        <f>_xll.BDH("BLUE US Equity","ARDR_OTHER_ONE_TIME_CHARGES","FQ3 2023","FQ3 2023","Currency=USD","Period=FQ","BEST_FPERIOD_OVERRIDE=FQ","FILING_STATUS=MR","SCALING_FORMAT=MLN","Sort=A","Dates=H","DateFormat=P","Fill=—","Direction=H","UseDPDF=Y")</f>
        <v>—</v>
      </c>
      <c r="Y64" s="13" t="str">
        <f>_xll.BDH("BLUE US Equity","ARDR_OTHER_ONE_TIME_CHARGES","FQ1 2024","FQ1 2024","Currency=USD","Period=FQ","BEST_FPERIOD_OVERRIDE=FQ","FILING_STATUS=MR","SCALING_FORMAT=MLN","Sort=A","Dates=H","DateFormat=P","Fill=—","Direction=H","UseDPDF=Y")</f>
        <v>—</v>
      </c>
      <c r="Z64" s="13" t="str">
        <f>_xll.BDH("BLUE US Equity","ARDR_OTHER_ONE_TIME_CHARGES","FQ2 2024","FQ2 2024","Currency=USD","Period=FQ","BEST_FPERIOD_OVERRIDE=FQ","FILING_STATUS=MR","SCALING_FORMAT=MLN","Sort=A","Dates=H","DateFormat=P","Fill=—","Direction=H","UseDPDF=Y")</f>
        <v>—</v>
      </c>
      <c r="AA64" s="13" t="str">
        <f>_xll.BDH("BLUE US Equity","ARDR_OTHER_ONE_TIME_CHARGES","FQ3 2024","FQ3 2024","Currency=USD","Period=FQ","BEST_FPERIOD_OVERRIDE=FQ","FILING_STATUS=MR","SCALING_FORMAT=MLN","Sort=A","Dates=H","DateFormat=P","Fill=—","Direction=H","UseDPDF=Y")</f>
        <v>—</v>
      </c>
    </row>
    <row r="65" spans="1:27" x14ac:dyDescent="0.25">
      <c r="A65" s="10" t="s">
        <v>387</v>
      </c>
      <c r="B65" s="10" t="s">
        <v>487</v>
      </c>
      <c r="C65" s="13" t="str">
        <f>_xll.BDH("BLUE US Equity","ARDR_OTHER_REV","FQ2 2018","FQ2 2018","Currency=USD","Period=FQ","BEST_FPERIOD_OVERRIDE=FQ","FILING_STATUS=MR","SCALING_FORMAT=MLN","Sort=A","Dates=H","DateFormat=P","Fill=—","Direction=H","UseDPDF=Y")</f>
        <v>—</v>
      </c>
      <c r="D65" s="13" t="str">
        <f>_xll.BDH("BLUE US Equity","ARDR_OTHER_REV","FQ3 2018","FQ3 2018","Currency=USD","Period=FQ","BEST_FPERIOD_OVERRIDE=FQ","FILING_STATUS=MR","SCALING_FORMAT=MLN","Sort=A","Dates=H","DateFormat=P","Fill=—","Direction=H","UseDPDF=Y")</f>
        <v>—</v>
      </c>
      <c r="E65" s="13" t="str">
        <f>_xll.BDH("BLUE US Equity","ARDR_OTHER_REV","FQ4 2018","FQ4 2018","Currency=USD","Period=FQ","BEST_FPERIOD_OVERRIDE=FQ","FILING_STATUS=MR","SCALING_FORMAT=MLN","Sort=A","Dates=H","DateFormat=P","Fill=—","Direction=H","UseDPDF=Y")</f>
        <v>—</v>
      </c>
      <c r="F65" s="13" t="str">
        <f>_xll.BDH("BLUE US Equity","ARDR_OTHER_REV","FQ1 2019","FQ1 2019","Currency=USD","Period=FQ","BEST_FPERIOD_OVERRIDE=FQ","FILING_STATUS=MR","SCALING_FORMAT=MLN","Sort=A","Dates=H","DateFormat=P","Fill=—","Direction=H","UseDPDF=Y")</f>
        <v>—</v>
      </c>
      <c r="G65" s="13" t="str">
        <f>_xll.BDH("BLUE US Equity","ARDR_OTHER_REV","FQ2 2019","FQ2 2019","Currency=USD","Period=FQ","BEST_FPERIOD_OVERRIDE=FQ","FILING_STATUS=MR","SCALING_FORMAT=MLN","Sort=A","Dates=H","DateFormat=P","Fill=—","Direction=H","UseDPDF=Y")</f>
        <v>—</v>
      </c>
      <c r="H65" s="13" t="str">
        <f>_xll.BDH("BLUE US Equity","ARDR_OTHER_REV","FQ3 2019","FQ3 2019","Currency=USD","Period=FQ","BEST_FPERIOD_OVERRIDE=FQ","FILING_STATUS=MR","SCALING_FORMAT=MLN","Sort=A","Dates=H","DateFormat=P","Fill=—","Direction=H","UseDPDF=Y")</f>
        <v>—</v>
      </c>
      <c r="I65" s="13" t="str">
        <f>_xll.BDH("BLUE US Equity","ARDR_OTHER_REV","FQ4 2019","FQ4 2019","Currency=USD","Period=FQ","BEST_FPERIOD_OVERRIDE=FQ","FILING_STATUS=MR","SCALING_FORMAT=MLN","Sort=A","Dates=H","DateFormat=P","Fill=—","Direction=H","UseDPDF=Y")</f>
        <v>—</v>
      </c>
      <c r="J65" s="13" t="str">
        <f>_xll.BDH("BLUE US Equity","ARDR_OTHER_REV","FQ1 2020","FQ1 2020","Currency=USD","Period=FQ","BEST_FPERIOD_OVERRIDE=FQ","FILING_STATUS=MR","SCALING_FORMAT=MLN","Sort=A","Dates=H","DateFormat=P","Fill=—","Direction=H","UseDPDF=Y")</f>
        <v>—</v>
      </c>
      <c r="K65" s="13" t="str">
        <f>_xll.BDH("BLUE US Equity","ARDR_OTHER_REV","FQ2 2020","FQ2 2020","Currency=USD","Period=FQ","BEST_FPERIOD_OVERRIDE=FQ","FILING_STATUS=MR","SCALING_FORMAT=MLN","Sort=A","Dates=H","DateFormat=P","Fill=—","Direction=H","UseDPDF=Y")</f>
        <v>—</v>
      </c>
      <c r="L65" s="13" t="str">
        <f>_xll.BDH("BLUE US Equity","ARDR_OTHER_REV","FQ3 2020","FQ3 2020","Currency=USD","Period=FQ","BEST_FPERIOD_OVERRIDE=FQ","FILING_STATUS=MR","SCALING_FORMAT=MLN","Sort=A","Dates=H","DateFormat=P","Fill=—","Direction=H","UseDPDF=Y")</f>
        <v>—</v>
      </c>
      <c r="M65" s="13" t="str">
        <f>_xll.BDH("BLUE US Equity","ARDR_OTHER_REV","FQ4 2020","FQ4 2020","Currency=USD","Period=FQ","BEST_FPERIOD_OVERRIDE=FQ","FILING_STATUS=MR","SCALING_FORMAT=MLN","Sort=A","Dates=H","DateFormat=P","Fill=—","Direction=H","UseDPDF=Y")</f>
        <v>—</v>
      </c>
      <c r="N65" s="13" t="str">
        <f>_xll.BDH("BLUE US Equity","ARDR_OTHER_REV","FQ1 2021","FQ1 2021","Currency=USD","Period=FQ","BEST_FPERIOD_OVERRIDE=FQ","FILING_STATUS=MR","SCALING_FORMAT=MLN","Sort=A","Dates=H","DateFormat=P","Fill=—","Direction=H","UseDPDF=Y")</f>
        <v>—</v>
      </c>
      <c r="O65" s="13" t="str">
        <f>_xll.BDH("BLUE US Equity","ARDR_OTHER_REV","FQ2 2021","FQ2 2021","Currency=USD","Period=FQ","BEST_FPERIOD_OVERRIDE=FQ","FILING_STATUS=MR","SCALING_FORMAT=MLN","Sort=A","Dates=H","DateFormat=P","Fill=—","Direction=H","UseDPDF=Y")</f>
        <v>—</v>
      </c>
      <c r="P65" s="13" t="str">
        <f>_xll.BDH("BLUE US Equity","ARDR_OTHER_REV","FQ3 2021","FQ3 2021","Currency=USD","Period=FQ","BEST_FPERIOD_OVERRIDE=FQ","FILING_STATUS=MR","SCALING_FORMAT=MLN","Sort=A","Dates=H","DateFormat=P","Fill=—","Direction=H","UseDPDF=Y")</f>
        <v>—</v>
      </c>
      <c r="Q65" s="13" t="str">
        <f>_xll.BDH("BLUE US Equity","ARDR_OTHER_REV","FQ4 2021","FQ4 2021","Currency=USD","Period=FQ","BEST_FPERIOD_OVERRIDE=FQ","FILING_STATUS=MR","SCALING_FORMAT=MLN","Sort=A","Dates=H","DateFormat=P","Fill=—","Direction=H","UseDPDF=Y")</f>
        <v>—</v>
      </c>
      <c r="R65" s="13" t="str">
        <f>_xll.BDH("BLUE US Equity","ARDR_OTHER_REV","FQ1 2022","FQ1 2022","Currency=USD","Period=FQ","BEST_FPERIOD_OVERRIDE=FQ","FILING_STATUS=MR","SCALING_FORMAT=MLN","Sort=A","Dates=H","DateFormat=P","Fill=—","Direction=H","UseDPDF=Y")</f>
        <v>—</v>
      </c>
      <c r="S65" s="13" t="str">
        <f>_xll.BDH("BLUE US Equity","ARDR_OTHER_REV","FQ2 2022","FQ2 2022","Currency=USD","Period=FQ","BEST_FPERIOD_OVERRIDE=FQ","FILING_STATUS=MR","SCALING_FORMAT=MLN","Sort=A","Dates=H","DateFormat=P","Fill=—","Direction=H","UseDPDF=Y")</f>
        <v>—</v>
      </c>
      <c r="T65" s="13" t="str">
        <f>_xll.BDH("BLUE US Equity","ARDR_OTHER_REV","FQ3 2022","FQ3 2022","Currency=USD","Period=FQ","BEST_FPERIOD_OVERRIDE=FQ","FILING_STATUS=MR","SCALING_FORMAT=MLN","Sort=A","Dates=H","DateFormat=P","Fill=—","Direction=H","UseDPDF=Y")</f>
        <v>—</v>
      </c>
      <c r="U65" s="13" t="str">
        <f>_xll.BDH("BLUE US Equity","ARDR_OTHER_REV","FQ4 2022","FQ4 2022","Currency=USD","Period=FQ","BEST_FPERIOD_OVERRIDE=FQ","FILING_STATUS=MR","SCALING_FORMAT=MLN","Sort=A","Dates=H","DateFormat=P","Fill=—","Direction=H","UseDPDF=Y")</f>
        <v>—</v>
      </c>
      <c r="V65" s="13">
        <f>_xll.BDH("BLUE US Equity","ARDR_OTHER_REV","FQ1 2023","FQ1 2023","Currency=USD","Period=FQ","BEST_FPERIOD_OVERRIDE=FQ","FILING_STATUS=MR","SCALING_FORMAT=MLN","Sort=A","Dates=H","DateFormat=P","Fill=—","Direction=H","UseDPDF=Y")</f>
        <v>8.5000000000000006E-2</v>
      </c>
      <c r="W65" s="13">
        <f>_xll.BDH("BLUE US Equity","ARDR_OTHER_REV","FQ2 2023","FQ2 2023","Currency=USD","Period=FQ","BEST_FPERIOD_OVERRIDE=FQ","FILING_STATUS=MR","SCALING_FORMAT=MLN","Sort=A","Dates=H","DateFormat=P","Fill=—","Direction=H","UseDPDF=Y")</f>
        <v>5.2999999999999999E-2</v>
      </c>
      <c r="X65" s="13">
        <f>_xll.BDH("BLUE US Equity","ARDR_OTHER_REV","FQ3 2023","FQ3 2023","Currency=USD","Period=FQ","BEST_FPERIOD_OVERRIDE=FQ","FILING_STATUS=MR","SCALING_FORMAT=MLN","Sort=A","Dates=H","DateFormat=P","Fill=—","Direction=H","UseDPDF=Y")</f>
        <v>0.111</v>
      </c>
      <c r="Y65" s="13">
        <f>_xll.BDH("BLUE US Equity","ARDR_OTHER_REV","FQ1 2024","FQ1 2024","Currency=USD","Period=FQ","BEST_FPERIOD_OVERRIDE=FQ","FILING_STATUS=MR","SCALING_FORMAT=MLN","Sort=A","Dates=H","DateFormat=P","Fill=—","Direction=H","UseDPDF=Y")</f>
        <v>1.2E-2</v>
      </c>
      <c r="Z65" s="13" t="str">
        <f>_xll.BDH("BLUE US Equity","ARDR_OTHER_REV","FQ2 2024","FQ2 2024","Currency=USD","Period=FQ","BEST_FPERIOD_OVERRIDE=FQ","FILING_STATUS=MR","SCALING_FORMAT=MLN","Sort=A","Dates=H","DateFormat=P","Fill=—","Direction=H","UseDPDF=Y")</f>
        <v>—</v>
      </c>
      <c r="AA65" s="13">
        <f>_xll.BDH("BLUE US Equity","ARDR_OTHER_REV","FQ3 2024","FQ3 2024","Currency=USD","Period=FQ","BEST_FPERIOD_OVERRIDE=FQ","FILING_STATUS=MR","SCALING_FORMAT=MLN","Sort=A","Dates=H","DateFormat=P","Fill=—","Direction=H","UseDPDF=Y")</f>
        <v>0</v>
      </c>
    </row>
    <row r="66" spans="1:27" x14ac:dyDescent="0.25">
      <c r="A66" s="10" t="s">
        <v>488</v>
      </c>
      <c r="B66" s="10" t="s">
        <v>489</v>
      </c>
      <c r="C66" s="13" t="str">
        <f>_xll.BDH("BLUE US Equity","ARDR_CURRENT_RENTAL_EXP","FQ2 2018","FQ2 2018","Currency=USD","Period=FQ","BEST_FPERIOD_OVERRIDE=FQ","FILING_STATUS=MR","SCALING_FORMAT=MLN","Sort=A","Dates=H","DateFormat=P","Fill=—","Direction=H","UseDPDF=Y")</f>
        <v>—</v>
      </c>
      <c r="D66" s="13" t="str">
        <f>_xll.BDH("BLUE US Equity","ARDR_CURRENT_RENTAL_EXP","FQ3 2018","FQ3 2018","Currency=USD","Period=FQ","BEST_FPERIOD_OVERRIDE=FQ","FILING_STATUS=MR","SCALING_FORMAT=MLN","Sort=A","Dates=H","DateFormat=P","Fill=—","Direction=H","UseDPDF=Y")</f>
        <v>—</v>
      </c>
      <c r="E66" s="13" t="str">
        <f>_xll.BDH("BLUE US Equity","ARDR_CURRENT_RENTAL_EXP","FQ4 2018","FQ4 2018","Currency=USD","Period=FQ","BEST_FPERIOD_OVERRIDE=FQ","FILING_STATUS=MR","SCALING_FORMAT=MLN","Sort=A","Dates=H","DateFormat=P","Fill=—","Direction=H","UseDPDF=Y")</f>
        <v>—</v>
      </c>
      <c r="F66" s="13">
        <f>_xll.BDH("BLUE US Equity","ARDR_CURRENT_RENTAL_EXP","FQ1 2019","FQ1 2019","Currency=USD","Period=FQ","BEST_FPERIOD_OVERRIDE=FQ","FILING_STATUS=MR","SCALING_FORMAT=MLN","Sort=A","Dates=H","DateFormat=P","Fill=—","Direction=H","UseDPDF=Y")</f>
        <v>8.4830000000000005</v>
      </c>
      <c r="G66" s="13">
        <f>_xll.BDH("BLUE US Equity","ARDR_CURRENT_RENTAL_EXP","FQ2 2019","FQ2 2019","Currency=USD","Period=FQ","BEST_FPERIOD_OVERRIDE=FQ","FILING_STATUS=MR","SCALING_FORMAT=MLN","Sort=A","Dates=H","DateFormat=P","Fill=—","Direction=H","UseDPDF=Y")</f>
        <v>8.9169999999999998</v>
      </c>
      <c r="H66" s="13">
        <f>_xll.BDH("BLUE US Equity","ARDR_CURRENT_RENTAL_EXP","FQ3 2019","FQ3 2019","Currency=USD","Period=FQ","BEST_FPERIOD_OVERRIDE=FQ","FILING_STATUS=MR","SCALING_FORMAT=MLN","Sort=A","Dates=H","DateFormat=P","Fill=—","Direction=H","UseDPDF=Y")</f>
        <v>8.843</v>
      </c>
      <c r="I66" s="13">
        <f>_xll.BDH("BLUE US Equity","ARDR_CURRENT_RENTAL_EXP","FQ4 2019","FQ4 2019","Currency=USD","Period=FQ","BEST_FPERIOD_OVERRIDE=FQ","FILING_STATUS=MR","SCALING_FORMAT=MLN","Sort=A","Dates=H","DateFormat=P","Fill=—","Direction=H","UseDPDF=Y")</f>
        <v>9.1020000000000003</v>
      </c>
      <c r="J66" s="13" t="str">
        <f>_xll.BDH("BLUE US Equity","ARDR_CURRENT_RENTAL_EXP","FQ1 2020","FQ1 2020","Currency=USD","Period=FQ","BEST_FPERIOD_OVERRIDE=FQ","FILING_STATUS=MR","SCALING_FORMAT=MLN","Sort=A","Dates=H","DateFormat=P","Fill=—","Direction=H","UseDPDF=Y")</f>
        <v>—</v>
      </c>
      <c r="K66" s="13" t="str">
        <f>_xll.BDH("BLUE US Equity","ARDR_CURRENT_RENTAL_EXP","FQ2 2020","FQ2 2020","Currency=USD","Period=FQ","BEST_FPERIOD_OVERRIDE=FQ","FILING_STATUS=MR","SCALING_FORMAT=MLN","Sort=A","Dates=H","DateFormat=P","Fill=—","Direction=H","UseDPDF=Y")</f>
        <v>—</v>
      </c>
      <c r="L66" s="13" t="str">
        <f>_xll.BDH("BLUE US Equity","ARDR_CURRENT_RENTAL_EXP","FQ3 2020","FQ3 2020","Currency=USD","Period=FQ","BEST_FPERIOD_OVERRIDE=FQ","FILING_STATUS=MR","SCALING_FORMAT=MLN","Sort=A","Dates=H","DateFormat=P","Fill=—","Direction=H","UseDPDF=Y")</f>
        <v>—</v>
      </c>
      <c r="M66" s="13" t="str">
        <f>_xll.BDH("BLUE US Equity","ARDR_CURRENT_RENTAL_EXP","FQ4 2020","FQ4 2020","Currency=USD","Period=FQ","BEST_FPERIOD_OVERRIDE=FQ","FILING_STATUS=MR","SCALING_FORMAT=MLN","Sort=A","Dates=H","DateFormat=P","Fill=—","Direction=H","UseDPDF=Y")</f>
        <v>—</v>
      </c>
      <c r="N66" s="13" t="str">
        <f>_xll.BDH("BLUE US Equity","ARDR_CURRENT_RENTAL_EXP","FQ1 2021","FQ1 2021","Currency=USD","Period=FQ","BEST_FPERIOD_OVERRIDE=FQ","FILING_STATUS=MR","SCALING_FORMAT=MLN","Sort=A","Dates=H","DateFormat=P","Fill=—","Direction=H","UseDPDF=Y")</f>
        <v>—</v>
      </c>
      <c r="O66" s="13" t="str">
        <f>_xll.BDH("BLUE US Equity","ARDR_CURRENT_RENTAL_EXP","FQ2 2021","FQ2 2021","Currency=USD","Period=FQ","BEST_FPERIOD_OVERRIDE=FQ","FILING_STATUS=MR","SCALING_FORMAT=MLN","Sort=A","Dates=H","DateFormat=P","Fill=—","Direction=H","UseDPDF=Y")</f>
        <v>—</v>
      </c>
      <c r="P66" s="13" t="str">
        <f>_xll.BDH("BLUE US Equity","ARDR_CURRENT_RENTAL_EXP","FQ3 2021","FQ3 2021","Currency=USD","Period=FQ","BEST_FPERIOD_OVERRIDE=FQ","FILING_STATUS=MR","SCALING_FORMAT=MLN","Sort=A","Dates=H","DateFormat=P","Fill=—","Direction=H","UseDPDF=Y")</f>
        <v>—</v>
      </c>
      <c r="Q66" s="13" t="str">
        <f>_xll.BDH("BLUE US Equity","ARDR_CURRENT_RENTAL_EXP","FQ4 2021","FQ4 2021","Currency=USD","Period=FQ","BEST_FPERIOD_OVERRIDE=FQ","FILING_STATUS=MR","SCALING_FORMAT=MLN","Sort=A","Dates=H","DateFormat=P","Fill=—","Direction=H","UseDPDF=Y")</f>
        <v>—</v>
      </c>
      <c r="R66" s="13" t="str">
        <f>_xll.BDH("BLUE US Equity","ARDR_CURRENT_RENTAL_EXP","FQ1 2022","FQ1 2022","Currency=USD","Period=FQ","BEST_FPERIOD_OVERRIDE=FQ","FILING_STATUS=MR","SCALING_FORMAT=MLN","Sort=A","Dates=H","DateFormat=P","Fill=—","Direction=H","UseDPDF=Y")</f>
        <v>—</v>
      </c>
      <c r="S66" s="13" t="str">
        <f>_xll.BDH("BLUE US Equity","ARDR_CURRENT_RENTAL_EXP","FQ2 2022","FQ2 2022","Currency=USD","Period=FQ","BEST_FPERIOD_OVERRIDE=FQ","FILING_STATUS=MR","SCALING_FORMAT=MLN","Sort=A","Dates=H","DateFormat=P","Fill=—","Direction=H","UseDPDF=Y")</f>
        <v>—</v>
      </c>
      <c r="T66" s="13" t="str">
        <f>_xll.BDH("BLUE US Equity","ARDR_CURRENT_RENTAL_EXP","FQ3 2022","FQ3 2022","Currency=USD","Period=FQ","BEST_FPERIOD_OVERRIDE=FQ","FILING_STATUS=MR","SCALING_FORMAT=MLN","Sort=A","Dates=H","DateFormat=P","Fill=—","Direction=H","UseDPDF=Y")</f>
        <v>—</v>
      </c>
      <c r="U66" s="13" t="str">
        <f>_xll.BDH("BLUE US Equity","ARDR_CURRENT_RENTAL_EXP","FQ4 2022","FQ4 2022","Currency=USD","Period=FQ","BEST_FPERIOD_OVERRIDE=FQ","FILING_STATUS=MR","SCALING_FORMAT=MLN","Sort=A","Dates=H","DateFormat=P","Fill=—","Direction=H","UseDPDF=Y")</f>
        <v>—</v>
      </c>
      <c r="V66" s="13" t="str">
        <f>_xll.BDH("BLUE US Equity","ARDR_CURRENT_RENTAL_EXP","FQ1 2023","FQ1 2023","Currency=USD","Period=FQ","BEST_FPERIOD_OVERRIDE=FQ","FILING_STATUS=MR","SCALING_FORMAT=MLN","Sort=A","Dates=H","DateFormat=P","Fill=—","Direction=H","UseDPDF=Y")</f>
        <v>—</v>
      </c>
      <c r="W66" s="13" t="str">
        <f>_xll.BDH("BLUE US Equity","ARDR_CURRENT_RENTAL_EXP","FQ2 2023","FQ2 2023","Currency=USD","Period=FQ","BEST_FPERIOD_OVERRIDE=FQ","FILING_STATUS=MR","SCALING_FORMAT=MLN","Sort=A","Dates=H","DateFormat=P","Fill=—","Direction=H","UseDPDF=Y")</f>
        <v>—</v>
      </c>
      <c r="X66" s="13" t="str">
        <f>_xll.BDH("BLUE US Equity","ARDR_CURRENT_RENTAL_EXP","FQ3 2023","FQ3 2023","Currency=USD","Period=FQ","BEST_FPERIOD_OVERRIDE=FQ","FILING_STATUS=MR","SCALING_FORMAT=MLN","Sort=A","Dates=H","DateFormat=P","Fill=—","Direction=H","UseDPDF=Y")</f>
        <v>—</v>
      </c>
      <c r="Y66" s="13" t="str">
        <f>_xll.BDH("BLUE US Equity","ARDR_CURRENT_RENTAL_EXP","FQ1 2024","FQ1 2024","Currency=USD","Period=FQ","BEST_FPERIOD_OVERRIDE=FQ","FILING_STATUS=MR","SCALING_FORMAT=MLN","Sort=A","Dates=H","DateFormat=P","Fill=—","Direction=H","UseDPDF=Y")</f>
        <v>—</v>
      </c>
      <c r="Z66" s="13" t="str">
        <f>_xll.BDH("BLUE US Equity","ARDR_CURRENT_RENTAL_EXP","FQ2 2024","FQ2 2024","Currency=USD","Period=FQ","BEST_FPERIOD_OVERRIDE=FQ","FILING_STATUS=MR","SCALING_FORMAT=MLN","Sort=A","Dates=H","DateFormat=P","Fill=—","Direction=H","UseDPDF=Y")</f>
        <v>—</v>
      </c>
      <c r="AA66" s="13" t="str">
        <f>_xll.BDH("BLUE US Equity","ARDR_CURRENT_RENTAL_EXP","FQ3 2024","FQ3 2024","Currency=USD","Period=FQ","BEST_FPERIOD_OVERRIDE=FQ","FILING_STATUS=MR","SCALING_FORMAT=MLN","Sort=A","Dates=H","DateFormat=P","Fill=—","Direction=H","UseDPDF=Y")</f>
        <v>—</v>
      </c>
    </row>
    <row r="67" spans="1:27" x14ac:dyDescent="0.25">
      <c r="A67" s="10" t="s">
        <v>490</v>
      </c>
      <c r="B67" s="10" t="s">
        <v>491</v>
      </c>
      <c r="C67" s="13">
        <f>_xll.BDH("BLUE US Equity","ARDR_STK_BASED_COMPENSATION_EXP","FQ2 2018","FQ2 2018","Currency=USD","Period=FQ","BEST_FPERIOD_OVERRIDE=FQ","FILING_STATUS=MR","SCALING_FORMAT=MLN","Sort=A","Dates=H","DateFormat=P","Fill=—","Direction=H","UseDPDF=Y")</f>
        <v>28.056000000000001</v>
      </c>
      <c r="D67" s="13">
        <f>_xll.BDH("BLUE US Equity","ARDR_STK_BASED_COMPENSATION_EXP","FQ3 2018","FQ3 2018","Currency=USD","Period=FQ","BEST_FPERIOD_OVERRIDE=FQ","FILING_STATUS=MR","SCALING_FORMAT=MLN","Sort=A","Dates=H","DateFormat=P","Fill=—","Direction=H","UseDPDF=Y")</f>
        <v>29.797000000000001</v>
      </c>
      <c r="E67" s="13">
        <f>_xll.BDH("BLUE US Equity","ARDR_STK_BASED_COMPENSATION_EXP","FQ4 2018","FQ4 2018","Currency=USD","Period=FQ","BEST_FPERIOD_OVERRIDE=FQ","FILING_STATUS=MR","SCALING_FORMAT=MLN","Sort=A","Dates=H","DateFormat=P","Fill=—","Direction=H","UseDPDF=Y")</f>
        <v>29.986999999999998</v>
      </c>
      <c r="F67" s="13">
        <f>_xll.BDH("BLUE US Equity","ARDR_STK_BASED_COMPENSATION_EXP","FQ1 2019","FQ1 2019","Currency=USD","Period=FQ","BEST_FPERIOD_OVERRIDE=FQ","FILING_STATUS=MR","SCALING_FORMAT=MLN","Sort=A","Dates=H","DateFormat=P","Fill=—","Direction=H","UseDPDF=Y")</f>
        <v>32.341000000000001</v>
      </c>
      <c r="G67" s="13">
        <f>_xll.BDH("BLUE US Equity","ARDR_STK_BASED_COMPENSATION_EXP","FQ2 2019","FQ2 2019","Currency=USD","Period=FQ","BEST_FPERIOD_OVERRIDE=FQ","FILING_STATUS=MR","SCALING_FORMAT=MLN","Sort=A","Dates=H","DateFormat=P","Fill=—","Direction=H","UseDPDF=Y")</f>
        <v>55.110999999999997</v>
      </c>
      <c r="H67" s="13">
        <f>_xll.BDH("BLUE US Equity","ARDR_STK_BASED_COMPENSATION_EXP","FQ3 2019","FQ3 2019","Currency=USD","Period=FQ","BEST_FPERIOD_OVERRIDE=FQ","FILING_STATUS=MR","SCALING_FORMAT=MLN","Sort=A","Dates=H","DateFormat=P","Fill=—","Direction=H","UseDPDF=Y")</f>
        <v>38.545999999999999</v>
      </c>
      <c r="I67" s="13">
        <f>_xll.BDH("BLUE US Equity","ARDR_STK_BASED_COMPENSATION_EXP","FQ4 2019","FQ4 2019","Currency=USD","Period=FQ","BEST_FPERIOD_OVERRIDE=FQ","FILING_STATUS=MR","SCALING_FORMAT=MLN","Sort=A","Dates=H","DateFormat=P","Fill=—","Direction=H","UseDPDF=Y")</f>
        <v>34.631</v>
      </c>
      <c r="J67" s="13">
        <f>_xll.BDH("BLUE US Equity","ARDR_STK_BASED_COMPENSATION_EXP","FQ1 2020","FQ1 2020","Currency=USD","Period=FQ","BEST_FPERIOD_OVERRIDE=FQ","FILING_STATUS=MR","SCALING_FORMAT=MLN","Sort=A","Dates=H","DateFormat=P","Fill=—","Direction=H","UseDPDF=Y")</f>
        <v>36.292999999999999</v>
      </c>
      <c r="K67" s="13">
        <f>_xll.BDH("BLUE US Equity","ARDR_STK_BASED_COMPENSATION_EXP","FQ2 2020","FQ2 2020","Currency=USD","Period=FQ","BEST_FPERIOD_OVERRIDE=FQ","FILING_STATUS=MR","SCALING_FORMAT=MLN","Sort=A","Dates=H","DateFormat=P","Fill=—","Direction=H","UseDPDF=Y")</f>
        <v>48.529000000000003</v>
      </c>
      <c r="L67" s="13">
        <f>_xll.BDH("BLUE US Equity","ARDR_STK_BASED_COMPENSATION_EXP","FQ3 2020","FQ3 2020","Currency=USD","Period=FQ","BEST_FPERIOD_OVERRIDE=FQ","FILING_STATUS=MR","SCALING_FORMAT=MLN","Sort=A","Dates=H","DateFormat=P","Fill=—","Direction=H","UseDPDF=Y")</f>
        <v>38.817999999999998</v>
      </c>
      <c r="M67" s="13">
        <f>_xll.BDH("BLUE US Equity","ARDR_STK_BASED_COMPENSATION_EXP","FQ4 2020","FQ4 2020","Currency=USD","Period=FQ","BEST_FPERIOD_OVERRIDE=FQ","FILING_STATUS=MR","SCALING_FORMAT=MLN","Sort=A","Dates=H","DateFormat=P","Fill=—","Direction=H","UseDPDF=Y")</f>
        <v>-1.044</v>
      </c>
      <c r="N67" s="13">
        <f>_xll.BDH("BLUE US Equity","ARDR_STK_BASED_COMPENSATION_EXP","FQ1 2021","FQ1 2021","Currency=USD","Period=FQ","BEST_FPERIOD_OVERRIDE=FQ","FILING_STATUS=MR","SCALING_FORMAT=MLN","Sort=A","Dates=H","DateFormat=P","Fill=—","Direction=H","UseDPDF=Y")</f>
        <v>31.294</v>
      </c>
      <c r="O67" s="13">
        <f>_xll.BDH("BLUE US Equity","ARDR_STK_BASED_COMPENSATION_EXP","FQ2 2021","FQ2 2021","Currency=USD","Period=FQ","BEST_FPERIOD_OVERRIDE=FQ","FILING_STATUS=MR","SCALING_FORMAT=MLN","Sort=A","Dates=H","DateFormat=P","Fill=—","Direction=H","UseDPDF=Y")</f>
        <v>31.050999999999998</v>
      </c>
      <c r="P67" s="13">
        <f>_xll.BDH("BLUE US Equity","ARDR_STK_BASED_COMPENSATION_EXP","FQ3 2021","FQ3 2021","Currency=USD","Period=FQ","BEST_FPERIOD_OVERRIDE=FQ","FILING_STATUS=MR","SCALING_FORMAT=MLN","Sort=A","Dates=H","DateFormat=P","Fill=—","Direction=H","UseDPDF=Y")</f>
        <v>21.254000000000001</v>
      </c>
      <c r="Q67" s="13">
        <f>_xll.BDH("BLUE US Equity","ARDR_STK_BASED_COMPENSATION_EXP","FQ4 2021","FQ4 2021","Currency=USD","Period=FQ","BEST_FPERIOD_OVERRIDE=FQ","FILING_STATUS=MR","SCALING_FORMAT=MLN","Sort=A","Dates=H","DateFormat=P","Fill=—","Direction=H","UseDPDF=Y")</f>
        <v>-3.1230000000000002</v>
      </c>
      <c r="R67" s="13">
        <f>_xll.BDH("BLUE US Equity","ARDR_STK_BASED_COMPENSATION_EXP","FQ1 2022","FQ1 2022","Currency=USD","Period=FQ","BEST_FPERIOD_OVERRIDE=FQ","FILING_STATUS=MR","SCALING_FORMAT=MLN","Sort=A","Dates=H","DateFormat=P","Fill=—","Direction=H","UseDPDF=Y")</f>
        <v>12.39</v>
      </c>
      <c r="S67" s="13">
        <f>_xll.BDH("BLUE US Equity","ARDR_STK_BASED_COMPENSATION_EXP","FQ2 2022","FQ2 2022","Currency=USD","Period=FQ","BEST_FPERIOD_OVERRIDE=FQ","FILING_STATUS=MR","SCALING_FORMAT=MLN","Sort=A","Dates=H","DateFormat=P","Fill=—","Direction=H","UseDPDF=Y")</f>
        <v>8.907</v>
      </c>
      <c r="T67" s="13">
        <f>_xll.BDH("BLUE US Equity","ARDR_STK_BASED_COMPENSATION_EXP","FQ3 2022","FQ3 2022","Currency=USD","Period=FQ","BEST_FPERIOD_OVERRIDE=FQ","FILING_STATUS=MR","SCALING_FORMAT=MLN","Sort=A","Dates=H","DateFormat=P","Fill=—","Direction=H","UseDPDF=Y")</f>
        <v>9.2119999999999997</v>
      </c>
      <c r="U67" s="13">
        <f>_xll.BDH("BLUE US Equity","ARDR_STK_BASED_COMPENSATION_EXP","FQ4 2022","FQ4 2022","Currency=USD","Period=FQ","BEST_FPERIOD_OVERRIDE=FQ","FILING_STATUS=MR","SCALING_FORMAT=MLN","Sort=A","Dates=H","DateFormat=P","Fill=—","Direction=H","UseDPDF=Y")</f>
        <v>4.6790000000000003</v>
      </c>
      <c r="V67" s="13">
        <f>_xll.BDH("BLUE US Equity","ARDR_STK_BASED_COMPENSATION_EXP","FQ1 2023","FQ1 2023","Currency=USD","Period=FQ","BEST_FPERIOD_OVERRIDE=FQ","FILING_STATUS=MR","SCALING_FORMAT=MLN","Sort=A","Dates=H","DateFormat=P","Fill=—","Direction=H","UseDPDF=Y")</f>
        <v>5.391</v>
      </c>
      <c r="W67" s="13">
        <f>_xll.BDH("BLUE US Equity","ARDR_STK_BASED_COMPENSATION_EXP","FQ2 2023","FQ2 2023","Currency=USD","Period=FQ","BEST_FPERIOD_OVERRIDE=FQ","FILING_STATUS=MR","SCALING_FORMAT=MLN","Sort=A","Dates=H","DateFormat=P","Fill=—","Direction=H","UseDPDF=Y")</f>
        <v>5.7539999999999996</v>
      </c>
      <c r="X67" s="13">
        <f>_xll.BDH("BLUE US Equity","ARDR_STK_BASED_COMPENSATION_EXP","FQ3 2023","FQ3 2023","Currency=USD","Period=FQ","BEST_FPERIOD_OVERRIDE=FQ","FILING_STATUS=MR","SCALING_FORMAT=MLN","Sort=A","Dates=H","DateFormat=P","Fill=—","Direction=H","UseDPDF=Y")</f>
        <v>4.8680000000000003</v>
      </c>
      <c r="Y67" s="13">
        <f>_xll.BDH("BLUE US Equity","ARDR_STK_BASED_COMPENSATION_EXP","FQ1 2024","FQ1 2024","Currency=USD","Period=FQ","BEST_FPERIOD_OVERRIDE=FQ","FILING_STATUS=MR","SCALING_FORMAT=MLN","Sort=A","Dates=H","DateFormat=P","Fill=—","Direction=H","UseDPDF=Y")</f>
        <v>3.7610000000000001</v>
      </c>
      <c r="Z67" s="13">
        <f>_xll.BDH("BLUE US Equity","ARDR_STK_BASED_COMPENSATION_EXP","FQ2 2024","FQ2 2024","Currency=USD","Period=FQ","BEST_FPERIOD_OVERRIDE=FQ","FILING_STATUS=MR","SCALING_FORMAT=MLN","Sort=A","Dates=H","DateFormat=P","Fill=—","Direction=H","UseDPDF=Y")</f>
        <v>3.206</v>
      </c>
      <c r="AA67" s="13">
        <f>_xll.BDH("BLUE US Equity","ARDR_STK_BASED_COMPENSATION_EXP","FQ3 2024","FQ3 2024","Currency=USD","Period=FQ","BEST_FPERIOD_OVERRIDE=FQ","FILING_STATUS=MR","SCALING_FORMAT=MLN","Sort=A","Dates=H","DateFormat=P","Fill=—","Direction=H","UseDPDF=Y")</f>
        <v>2.7010000000000001</v>
      </c>
    </row>
    <row r="68" spans="1:27" x14ac:dyDescent="0.25">
      <c r="A68" s="10" t="s">
        <v>413</v>
      </c>
      <c r="B68" s="10" t="s">
        <v>492</v>
      </c>
      <c r="C68" s="13">
        <f>_xll.BDH("BLUE US Equity","ARDR_MERGER_ACQUISITION_EXPENSE","FQ2 2018","FQ2 2018","Currency=USD","Period=FQ","BEST_FPERIOD_OVERRIDE=FQ","FILING_STATUS=MR","SCALING_FORMAT=MLN","Sort=A","Dates=H","DateFormat=P","Fill=—","Direction=H","UseDPDF=Y")</f>
        <v>0.26200000000000001</v>
      </c>
      <c r="D68" s="13">
        <f>_xll.BDH("BLUE US Equity","ARDR_MERGER_ACQUISITION_EXPENSE","FQ3 2018","FQ3 2018","Currency=USD","Period=FQ","BEST_FPERIOD_OVERRIDE=FQ","FILING_STATUS=MR","SCALING_FORMAT=MLN","Sort=A","Dates=H","DateFormat=P","Fill=—","Direction=H","UseDPDF=Y")</f>
        <v>4.7E-2</v>
      </c>
      <c r="E68" s="13">
        <f>_xll.BDH("BLUE US Equity","ARDR_MERGER_ACQUISITION_EXPENSE","FQ4 2018","FQ4 2018","Currency=USD","Period=FQ","BEST_FPERIOD_OVERRIDE=FQ","FILING_STATUS=MR","SCALING_FORMAT=MLN","Sort=A","Dates=H","DateFormat=P","Fill=—","Direction=H","UseDPDF=Y")</f>
        <v>2.1560000000000001</v>
      </c>
      <c r="F68" s="13">
        <f>_xll.BDH("BLUE US Equity","ARDR_MERGER_ACQUISITION_EXPENSE","FQ1 2019","FQ1 2019","Currency=USD","Period=FQ","BEST_FPERIOD_OVERRIDE=FQ","FILING_STATUS=MR","SCALING_FORMAT=MLN","Sort=A","Dates=H","DateFormat=P","Fill=—","Direction=H","UseDPDF=Y")</f>
        <v>0.29599999999999999</v>
      </c>
      <c r="G68" s="13">
        <f>_xll.BDH("BLUE US Equity","ARDR_MERGER_ACQUISITION_EXPENSE","FQ2 2019","FQ2 2019","Currency=USD","Period=FQ","BEST_FPERIOD_OVERRIDE=FQ","FILING_STATUS=MR","SCALING_FORMAT=MLN","Sort=A","Dates=H","DateFormat=P","Fill=—","Direction=H","UseDPDF=Y")</f>
        <v>0.214</v>
      </c>
      <c r="H68" s="13">
        <f>_xll.BDH("BLUE US Equity","ARDR_MERGER_ACQUISITION_EXPENSE","FQ3 2019","FQ3 2019","Currency=USD","Period=FQ","BEST_FPERIOD_OVERRIDE=FQ","FILING_STATUS=MR","SCALING_FORMAT=MLN","Sort=A","Dates=H","DateFormat=P","Fill=—","Direction=H","UseDPDF=Y")</f>
        <v>0.80200000000000005</v>
      </c>
      <c r="I68" s="13">
        <f>_xll.BDH("BLUE US Equity","ARDR_MERGER_ACQUISITION_EXPENSE","FQ4 2019","FQ4 2019","Currency=USD","Period=FQ","BEST_FPERIOD_OVERRIDE=FQ","FILING_STATUS=MR","SCALING_FORMAT=MLN","Sort=A","Dates=H","DateFormat=P","Fill=—","Direction=H","UseDPDF=Y")</f>
        <v>1.4350000000000001</v>
      </c>
      <c r="J68" s="13">
        <f>_xll.BDH("BLUE US Equity","ARDR_MERGER_ACQUISITION_EXPENSE","FQ1 2020","FQ1 2020","Currency=USD","Period=FQ","BEST_FPERIOD_OVERRIDE=FQ","FILING_STATUS=MR","SCALING_FORMAT=MLN","Sort=A","Dates=H","DateFormat=P","Fill=—","Direction=H","UseDPDF=Y")</f>
        <v>-3.1080000000000001</v>
      </c>
      <c r="K68" s="13">
        <f>_xll.BDH("BLUE US Equity","ARDR_MERGER_ACQUISITION_EXPENSE","FQ2 2020","FQ2 2020","Currency=USD","Period=FQ","BEST_FPERIOD_OVERRIDE=FQ","FILING_STATUS=MR","SCALING_FORMAT=MLN","Sort=A","Dates=H","DateFormat=P","Fill=—","Direction=H","UseDPDF=Y")</f>
        <v>-1.655</v>
      </c>
      <c r="L68" s="13">
        <f>_xll.BDH("BLUE US Equity","ARDR_MERGER_ACQUISITION_EXPENSE","FQ3 2020","FQ3 2020","Currency=USD","Period=FQ","BEST_FPERIOD_OVERRIDE=FQ","FILING_STATUS=MR","SCALING_FORMAT=MLN","Sort=A","Dates=H","DateFormat=P","Fill=—","Direction=H","UseDPDF=Y")</f>
        <v>-0.82799999999999996</v>
      </c>
      <c r="M68" s="13" t="str">
        <f>_xll.BDH("BLUE US Equity","ARDR_MERGER_ACQUISITION_EXPENSE","FQ4 2020","FQ4 2020","Currency=USD","Period=FQ","BEST_FPERIOD_OVERRIDE=FQ","FILING_STATUS=MR","SCALING_FORMAT=MLN","Sort=A","Dates=H","DateFormat=P","Fill=—","Direction=H","UseDPDF=Y")</f>
        <v>—</v>
      </c>
      <c r="N68" s="13">
        <f>_xll.BDH("BLUE US Equity","ARDR_MERGER_ACQUISITION_EXPENSE","FQ1 2021","FQ1 2021","Currency=USD","Period=FQ","BEST_FPERIOD_OVERRIDE=FQ","FILING_STATUS=MR","SCALING_FORMAT=MLN","Sort=A","Dates=H","DateFormat=P","Fill=—","Direction=H","UseDPDF=Y")</f>
        <v>0.36899999999999999</v>
      </c>
      <c r="O68" s="13">
        <f>_xll.BDH("BLUE US Equity","ARDR_MERGER_ACQUISITION_EXPENSE","FQ2 2021","FQ2 2021","Currency=USD","Period=FQ","BEST_FPERIOD_OVERRIDE=FQ","FILING_STATUS=MR","SCALING_FORMAT=MLN","Sort=A","Dates=H","DateFormat=P","Fill=—","Direction=H","UseDPDF=Y")</f>
        <v>4.7E-2</v>
      </c>
      <c r="P68" s="13" t="str">
        <f>_xll.BDH("BLUE US Equity","ARDR_MERGER_ACQUISITION_EXPENSE","FQ3 2021","FQ3 2021","Currency=USD","Period=FQ","BEST_FPERIOD_OVERRIDE=FQ","FILING_STATUS=MR","SCALING_FORMAT=MLN","Sort=A","Dates=H","DateFormat=P","Fill=—","Direction=H","UseDPDF=Y")</f>
        <v>—</v>
      </c>
      <c r="Q68" s="13">
        <f>_xll.BDH("BLUE US Equity","ARDR_MERGER_ACQUISITION_EXPENSE","FQ4 2021","FQ4 2021","Currency=USD","Period=FQ","BEST_FPERIOD_OVERRIDE=FQ","FILING_STATUS=MR","SCALING_FORMAT=MLN","Sort=A","Dates=H","DateFormat=P","Fill=—","Direction=H","UseDPDF=Y")</f>
        <v>-7.6999999999999999E-2</v>
      </c>
      <c r="R68" s="13" t="str">
        <f>_xll.BDH("BLUE US Equity","ARDR_MERGER_ACQUISITION_EXPENSE","FQ1 2022","FQ1 2022","Currency=USD","Period=FQ","BEST_FPERIOD_OVERRIDE=FQ","FILING_STATUS=MR","SCALING_FORMAT=MLN","Sort=A","Dates=H","DateFormat=P","Fill=—","Direction=H","UseDPDF=Y")</f>
        <v>—</v>
      </c>
      <c r="S68" s="13" t="str">
        <f>_xll.BDH("BLUE US Equity","ARDR_MERGER_ACQUISITION_EXPENSE","FQ2 2022","FQ2 2022","Currency=USD","Period=FQ","BEST_FPERIOD_OVERRIDE=FQ","FILING_STATUS=MR","SCALING_FORMAT=MLN","Sort=A","Dates=H","DateFormat=P","Fill=—","Direction=H","UseDPDF=Y")</f>
        <v>—</v>
      </c>
      <c r="T68" s="13" t="str">
        <f>_xll.BDH("BLUE US Equity","ARDR_MERGER_ACQUISITION_EXPENSE","FQ3 2022","FQ3 2022","Currency=USD","Period=FQ","BEST_FPERIOD_OVERRIDE=FQ","FILING_STATUS=MR","SCALING_FORMAT=MLN","Sort=A","Dates=H","DateFormat=P","Fill=—","Direction=H","UseDPDF=Y")</f>
        <v>—</v>
      </c>
      <c r="U68" s="13" t="str">
        <f>_xll.BDH("BLUE US Equity","ARDR_MERGER_ACQUISITION_EXPENSE","FQ4 2022","FQ4 2022","Currency=USD","Period=FQ","BEST_FPERIOD_OVERRIDE=FQ","FILING_STATUS=MR","SCALING_FORMAT=MLN","Sort=A","Dates=H","DateFormat=P","Fill=—","Direction=H","UseDPDF=Y")</f>
        <v>—</v>
      </c>
      <c r="V68" s="13" t="str">
        <f>_xll.BDH("BLUE US Equity","ARDR_MERGER_ACQUISITION_EXPENSE","FQ1 2023","FQ1 2023","Currency=USD","Period=FQ","BEST_FPERIOD_OVERRIDE=FQ","FILING_STATUS=MR","SCALING_FORMAT=MLN","Sort=A","Dates=H","DateFormat=P","Fill=—","Direction=H","UseDPDF=Y")</f>
        <v>—</v>
      </c>
      <c r="W68" s="13" t="str">
        <f>_xll.BDH("BLUE US Equity","ARDR_MERGER_ACQUISITION_EXPENSE","FQ2 2023","FQ2 2023","Currency=USD","Period=FQ","BEST_FPERIOD_OVERRIDE=FQ","FILING_STATUS=MR","SCALING_FORMAT=MLN","Sort=A","Dates=H","DateFormat=P","Fill=—","Direction=H","UseDPDF=Y")</f>
        <v>—</v>
      </c>
      <c r="X68" s="13" t="str">
        <f>_xll.BDH("BLUE US Equity","ARDR_MERGER_ACQUISITION_EXPENSE","FQ3 2023","FQ3 2023","Currency=USD","Period=FQ","BEST_FPERIOD_OVERRIDE=FQ","FILING_STATUS=MR","SCALING_FORMAT=MLN","Sort=A","Dates=H","DateFormat=P","Fill=—","Direction=H","UseDPDF=Y")</f>
        <v>—</v>
      </c>
      <c r="Y68" s="13" t="str">
        <f>_xll.BDH("BLUE US Equity","ARDR_MERGER_ACQUISITION_EXPENSE","FQ1 2024","FQ1 2024","Currency=USD","Period=FQ","BEST_FPERIOD_OVERRIDE=FQ","FILING_STATUS=MR","SCALING_FORMAT=MLN","Sort=A","Dates=H","DateFormat=P","Fill=—","Direction=H","UseDPDF=Y")</f>
        <v>—</v>
      </c>
      <c r="Z68" s="13" t="str">
        <f>_xll.BDH("BLUE US Equity","ARDR_MERGER_ACQUISITION_EXPENSE","FQ2 2024","FQ2 2024","Currency=USD","Period=FQ","BEST_FPERIOD_OVERRIDE=FQ","FILING_STATUS=MR","SCALING_FORMAT=MLN","Sort=A","Dates=H","DateFormat=P","Fill=—","Direction=H","UseDPDF=Y")</f>
        <v>—</v>
      </c>
      <c r="AA68" s="13" t="str">
        <f>_xll.BDH("BLUE US Equity","ARDR_MERGER_ACQUISITION_EXPENSE","FQ3 2024","FQ3 2024","Currency=USD","Period=FQ","BEST_FPERIOD_OVERRIDE=FQ","FILING_STATUS=MR","SCALING_FORMAT=MLN","Sort=A","Dates=H","DateFormat=P","Fill=—","Direction=H","UseDPDF=Y")</f>
        <v>—</v>
      </c>
    </row>
    <row r="69" spans="1:27" x14ac:dyDescent="0.25">
      <c r="A69" s="10" t="s">
        <v>1</v>
      </c>
      <c r="B69" s="10" t="s">
        <v>493</v>
      </c>
      <c r="C69" s="13" t="str">
        <f>_xll.BDH("BLUE US Equity","ARDR_TOTAL_REVENUES","FQ2 2018","FQ2 2018","Currency=USD","Period=FQ","BEST_FPERIOD_OVERRIDE=FQ","FILING_STATUS=MR","SCALING_FORMAT=MLN","Sort=A","Dates=H","DateFormat=P","Fill=—","Direction=H","UseDPDF=Y")</f>
        <v>—</v>
      </c>
      <c r="D69" s="13" t="str">
        <f>_xll.BDH("BLUE US Equity","ARDR_TOTAL_REVENUES","FQ3 2018","FQ3 2018","Currency=USD","Period=FQ","BEST_FPERIOD_OVERRIDE=FQ","FILING_STATUS=MR","SCALING_FORMAT=MLN","Sort=A","Dates=H","DateFormat=P","Fill=—","Direction=H","UseDPDF=Y")</f>
        <v>—</v>
      </c>
      <c r="E69" s="13" t="str">
        <f>_xll.BDH("BLUE US Equity","ARDR_TOTAL_REVENUES","FQ4 2018","FQ4 2018","Currency=USD","Period=FQ","BEST_FPERIOD_OVERRIDE=FQ","FILING_STATUS=MR","SCALING_FORMAT=MLN","Sort=A","Dates=H","DateFormat=P","Fill=—","Direction=H","UseDPDF=Y")</f>
        <v>—</v>
      </c>
      <c r="F69" s="13" t="str">
        <f>_xll.BDH("BLUE US Equity","ARDR_TOTAL_REVENUES","FQ1 2019","FQ1 2019","Currency=USD","Period=FQ","BEST_FPERIOD_OVERRIDE=FQ","FILING_STATUS=MR","SCALING_FORMAT=MLN","Sort=A","Dates=H","DateFormat=P","Fill=—","Direction=H","UseDPDF=Y")</f>
        <v>—</v>
      </c>
      <c r="G69" s="13" t="str">
        <f>_xll.BDH("BLUE US Equity","ARDR_TOTAL_REVENUES","FQ2 2019","FQ2 2019","Currency=USD","Period=FQ","BEST_FPERIOD_OVERRIDE=FQ","FILING_STATUS=MR","SCALING_FORMAT=MLN","Sort=A","Dates=H","DateFormat=P","Fill=—","Direction=H","UseDPDF=Y")</f>
        <v>—</v>
      </c>
      <c r="H69" s="13" t="str">
        <f>_xll.BDH("BLUE US Equity","ARDR_TOTAL_REVENUES","FQ3 2019","FQ3 2019","Currency=USD","Period=FQ","BEST_FPERIOD_OVERRIDE=FQ","FILING_STATUS=MR","SCALING_FORMAT=MLN","Sort=A","Dates=H","DateFormat=P","Fill=—","Direction=H","UseDPDF=Y")</f>
        <v>—</v>
      </c>
      <c r="I69" s="13" t="str">
        <f>_xll.BDH("BLUE US Equity","ARDR_TOTAL_REVENUES","FQ4 2019","FQ4 2019","Currency=USD","Period=FQ","BEST_FPERIOD_OVERRIDE=FQ","FILING_STATUS=MR","SCALING_FORMAT=MLN","Sort=A","Dates=H","DateFormat=P","Fill=—","Direction=H","UseDPDF=Y")</f>
        <v>—</v>
      </c>
      <c r="J69" s="13" t="str">
        <f>_xll.BDH("BLUE US Equity","ARDR_TOTAL_REVENUES","FQ1 2020","FQ1 2020","Currency=USD","Period=FQ","BEST_FPERIOD_OVERRIDE=FQ","FILING_STATUS=MR","SCALING_FORMAT=MLN","Sort=A","Dates=H","DateFormat=P","Fill=—","Direction=H","UseDPDF=Y")</f>
        <v>—</v>
      </c>
      <c r="K69" s="13" t="str">
        <f>_xll.BDH("BLUE US Equity","ARDR_TOTAL_REVENUES","FQ2 2020","FQ2 2020","Currency=USD","Period=FQ","BEST_FPERIOD_OVERRIDE=FQ","FILING_STATUS=MR","SCALING_FORMAT=MLN","Sort=A","Dates=H","DateFormat=P","Fill=—","Direction=H","UseDPDF=Y")</f>
        <v>—</v>
      </c>
      <c r="L69" s="13" t="str">
        <f>_xll.BDH("BLUE US Equity","ARDR_TOTAL_REVENUES","FQ3 2020","FQ3 2020","Currency=USD","Period=FQ","BEST_FPERIOD_OVERRIDE=FQ","FILING_STATUS=MR","SCALING_FORMAT=MLN","Sort=A","Dates=H","DateFormat=P","Fill=—","Direction=H","UseDPDF=Y")</f>
        <v>—</v>
      </c>
      <c r="M69" s="13" t="str">
        <f>_xll.BDH("BLUE US Equity","ARDR_TOTAL_REVENUES","FQ4 2020","FQ4 2020","Currency=USD","Period=FQ","BEST_FPERIOD_OVERRIDE=FQ","FILING_STATUS=MR","SCALING_FORMAT=MLN","Sort=A","Dates=H","DateFormat=P","Fill=—","Direction=H","UseDPDF=Y")</f>
        <v>—</v>
      </c>
      <c r="N69" s="13">
        <f>_xll.BDH("BLUE US Equity","ARDR_TOTAL_REVENUES","FQ1 2021","FQ1 2021","Currency=USD","Period=FQ","BEST_FPERIOD_OVERRIDE=FQ","FILING_STATUS=MR","SCALING_FORMAT=MLN","Sort=A","Dates=H","DateFormat=P","Fill=—","Direction=H","UseDPDF=Y")</f>
        <v>0.89400000000000002</v>
      </c>
      <c r="O69" s="13">
        <f>_xll.BDH("BLUE US Equity","ARDR_TOTAL_REVENUES","FQ2 2021","FQ2 2021","Currency=USD","Period=FQ","BEST_FPERIOD_OVERRIDE=FQ","FILING_STATUS=MR","SCALING_FORMAT=MLN","Sort=A","Dates=H","DateFormat=P","Fill=—","Direction=H","UseDPDF=Y")</f>
        <v>7.4720000000000004</v>
      </c>
      <c r="P69" s="13">
        <f>_xll.BDH("BLUE US Equity","ARDR_TOTAL_REVENUES","FQ3 2021","FQ3 2021","Currency=USD","Period=FQ","BEST_FPERIOD_OVERRIDE=FQ","FILING_STATUS=MR","SCALING_FORMAT=MLN","Sort=A","Dates=H","DateFormat=P","Fill=—","Direction=H","UseDPDF=Y")</f>
        <v>1.0189999999999999</v>
      </c>
      <c r="Q69" s="13" t="str">
        <f>_xll.BDH("BLUE US Equity","ARDR_TOTAL_REVENUES","FQ4 2021","FQ4 2021","Currency=USD","Period=FQ","BEST_FPERIOD_OVERRIDE=FQ","FILING_STATUS=MR","SCALING_FORMAT=MLN","Sort=A","Dates=H","DateFormat=P","Fill=—","Direction=H","UseDPDF=Y")</f>
        <v>—</v>
      </c>
      <c r="R69" s="13">
        <f>_xll.BDH("BLUE US Equity","ARDR_TOTAL_REVENUES","FQ1 2022","FQ1 2022","Currency=USD","Period=FQ","BEST_FPERIOD_OVERRIDE=FQ","FILING_STATUS=MR","SCALING_FORMAT=MLN","Sort=A","Dates=H","DateFormat=P","Fill=—","Direction=H","UseDPDF=Y")</f>
        <v>1.9450000000000001</v>
      </c>
      <c r="S69" s="13">
        <f>_xll.BDH("BLUE US Equity","ARDR_TOTAL_REVENUES","FQ2 2022","FQ2 2022","Currency=USD","Period=FQ","BEST_FPERIOD_OVERRIDE=FQ","FILING_STATUS=MR","SCALING_FORMAT=MLN","Sort=A","Dates=H","DateFormat=P","Fill=—","Direction=H","UseDPDF=Y")</f>
        <v>1.5189999999999999</v>
      </c>
      <c r="T69" s="13">
        <f>_xll.BDH("BLUE US Equity","ARDR_TOTAL_REVENUES","FQ3 2022","FQ3 2022","Currency=USD","Period=FQ","BEST_FPERIOD_OVERRIDE=FQ","FILING_STATUS=MR","SCALING_FORMAT=MLN","Sort=A","Dates=H","DateFormat=P","Fill=—","Direction=H","UseDPDF=Y")</f>
        <v>7.0999999999999994E-2</v>
      </c>
      <c r="U69" s="13" t="str">
        <f>_xll.BDH("BLUE US Equity","ARDR_TOTAL_REVENUES","FQ4 2022","FQ4 2022","Currency=USD","Period=FQ","BEST_FPERIOD_OVERRIDE=FQ","FILING_STATUS=MR","SCALING_FORMAT=MLN","Sort=A","Dates=H","DateFormat=P","Fill=—","Direction=H","UseDPDF=Y")</f>
        <v>—</v>
      </c>
      <c r="V69" s="13">
        <f>_xll.BDH("BLUE US Equity","ARDR_TOTAL_REVENUES","FQ1 2023","FQ1 2023","Currency=USD","Period=FQ","BEST_FPERIOD_OVERRIDE=FQ","FILING_STATUS=MR","SCALING_FORMAT=MLN","Sort=A","Dates=H","DateFormat=P","Fill=—","Direction=H","UseDPDF=Y")</f>
        <v>2.3809999999999998</v>
      </c>
      <c r="W69" s="13">
        <f>_xll.BDH("BLUE US Equity","ARDR_TOTAL_REVENUES","FQ2 2023","FQ2 2023","Currency=USD","Period=FQ","BEST_FPERIOD_OVERRIDE=FQ","FILING_STATUS=MR","SCALING_FORMAT=MLN","Sort=A","Dates=H","DateFormat=P","Fill=—","Direction=H","UseDPDF=Y")</f>
        <v>6.89</v>
      </c>
      <c r="X69" s="13">
        <f>_xll.BDH("BLUE US Equity","ARDR_TOTAL_REVENUES","FQ3 2023","FQ3 2023","Currency=USD","Period=FQ","BEST_FPERIOD_OVERRIDE=FQ","FILING_STATUS=MR","SCALING_FORMAT=MLN","Sort=A","Dates=H","DateFormat=P","Fill=—","Direction=H","UseDPDF=Y")</f>
        <v>12.391999999999999</v>
      </c>
      <c r="Y69" s="13">
        <f>_xll.BDH("BLUE US Equity","ARDR_TOTAL_REVENUES","FQ1 2024","FQ1 2024","Currency=USD","Period=FQ","BEST_FPERIOD_OVERRIDE=FQ","FILING_STATUS=MR","SCALING_FORMAT=MLN","Sort=A","Dates=H","DateFormat=P","Fill=—","Direction=H","UseDPDF=Y")</f>
        <v>18.573</v>
      </c>
      <c r="Z69" s="13">
        <f>_xll.BDH("BLUE US Equity","ARDR_TOTAL_REVENUES","FQ2 2024","FQ2 2024","Currency=USD","Period=FQ","BEST_FPERIOD_OVERRIDE=FQ","FILING_STATUS=MR","SCALING_FORMAT=MLN","Sort=A","Dates=H","DateFormat=P","Fill=—","Direction=H","UseDPDF=Y")</f>
        <v>16.100999999999999</v>
      </c>
      <c r="AA69" s="13">
        <f>_xll.BDH("BLUE US Equity","ARDR_TOTAL_REVENUES","FQ3 2024","FQ3 2024","Currency=USD","Period=FQ","BEST_FPERIOD_OVERRIDE=FQ","FILING_STATUS=MR","SCALING_FORMAT=MLN","Sort=A","Dates=H","DateFormat=P","Fill=—","Direction=H","UseDPDF=Y")</f>
        <v>10.612</v>
      </c>
    </row>
    <row r="70" spans="1:27" x14ac:dyDescent="0.25">
      <c r="A70" s="10" t="s">
        <v>391</v>
      </c>
      <c r="B70" s="10" t="s">
        <v>494</v>
      </c>
      <c r="C70" s="13" t="str">
        <f>_xll.BDH("BLUE US Equity","ARDR_PRODUCT_REVENUE","FQ2 2018","FQ2 2018","Currency=USD","Period=FQ","BEST_FPERIOD_OVERRIDE=FQ","FILING_STATUS=MR","SCALING_FORMAT=MLN","Sort=A","Dates=H","DateFormat=P","Fill=—","Direction=H","UseDPDF=Y")</f>
        <v>—</v>
      </c>
      <c r="D70" s="13" t="str">
        <f>_xll.BDH("BLUE US Equity","ARDR_PRODUCT_REVENUE","FQ3 2018","FQ3 2018","Currency=USD","Period=FQ","BEST_FPERIOD_OVERRIDE=FQ","FILING_STATUS=MR","SCALING_FORMAT=MLN","Sort=A","Dates=H","DateFormat=P","Fill=—","Direction=H","UseDPDF=Y")</f>
        <v>—</v>
      </c>
      <c r="E70" s="13" t="str">
        <f>_xll.BDH("BLUE US Equity","ARDR_PRODUCT_REVENUE","FQ4 2018","FQ4 2018","Currency=USD","Period=FQ","BEST_FPERIOD_OVERRIDE=FQ","FILING_STATUS=MR","SCALING_FORMAT=MLN","Sort=A","Dates=H","DateFormat=P","Fill=—","Direction=H","UseDPDF=Y")</f>
        <v>—</v>
      </c>
      <c r="F70" s="13" t="str">
        <f>_xll.BDH("BLUE US Equity","ARDR_PRODUCT_REVENUE","FQ1 2019","FQ1 2019","Currency=USD","Period=FQ","BEST_FPERIOD_OVERRIDE=FQ","FILING_STATUS=MR","SCALING_FORMAT=MLN","Sort=A","Dates=H","DateFormat=P","Fill=—","Direction=H","UseDPDF=Y")</f>
        <v>—</v>
      </c>
      <c r="G70" s="13" t="str">
        <f>_xll.BDH("BLUE US Equity","ARDR_PRODUCT_REVENUE","FQ2 2019","FQ2 2019","Currency=USD","Period=FQ","BEST_FPERIOD_OVERRIDE=FQ","FILING_STATUS=MR","SCALING_FORMAT=MLN","Sort=A","Dates=H","DateFormat=P","Fill=—","Direction=H","UseDPDF=Y")</f>
        <v>—</v>
      </c>
      <c r="H70" s="13" t="str">
        <f>_xll.BDH("BLUE US Equity","ARDR_PRODUCT_REVENUE","FQ3 2019","FQ3 2019","Currency=USD","Period=FQ","BEST_FPERIOD_OVERRIDE=FQ","FILING_STATUS=MR","SCALING_FORMAT=MLN","Sort=A","Dates=H","DateFormat=P","Fill=—","Direction=H","UseDPDF=Y")</f>
        <v>—</v>
      </c>
      <c r="I70" s="13" t="str">
        <f>_xll.BDH("BLUE US Equity","ARDR_PRODUCT_REVENUE","FQ4 2019","FQ4 2019","Currency=USD","Period=FQ","BEST_FPERIOD_OVERRIDE=FQ","FILING_STATUS=MR","SCALING_FORMAT=MLN","Sort=A","Dates=H","DateFormat=P","Fill=—","Direction=H","UseDPDF=Y")</f>
        <v>—</v>
      </c>
      <c r="J70" s="13" t="str">
        <f>_xll.BDH("BLUE US Equity","ARDR_PRODUCT_REVENUE","FQ1 2020","FQ1 2020","Currency=USD","Period=FQ","BEST_FPERIOD_OVERRIDE=FQ","FILING_STATUS=MR","SCALING_FORMAT=MLN","Sort=A","Dates=H","DateFormat=P","Fill=—","Direction=H","UseDPDF=Y")</f>
        <v>—</v>
      </c>
      <c r="K70" s="13" t="str">
        <f>_xll.BDH("BLUE US Equity","ARDR_PRODUCT_REVENUE","FQ2 2020","FQ2 2020","Currency=USD","Period=FQ","BEST_FPERIOD_OVERRIDE=FQ","FILING_STATUS=MR","SCALING_FORMAT=MLN","Sort=A","Dates=H","DateFormat=P","Fill=—","Direction=H","UseDPDF=Y")</f>
        <v>—</v>
      </c>
      <c r="L70" s="13" t="str">
        <f>_xll.BDH("BLUE US Equity","ARDR_PRODUCT_REVENUE","FQ3 2020","FQ3 2020","Currency=USD","Period=FQ","BEST_FPERIOD_OVERRIDE=FQ","FILING_STATUS=MR","SCALING_FORMAT=MLN","Sort=A","Dates=H","DateFormat=P","Fill=—","Direction=H","UseDPDF=Y")</f>
        <v>—</v>
      </c>
      <c r="M70" s="13" t="str">
        <f>_xll.BDH("BLUE US Equity","ARDR_PRODUCT_REVENUE","FQ4 2020","FQ4 2020","Currency=USD","Period=FQ","BEST_FPERIOD_OVERRIDE=FQ","FILING_STATUS=MR","SCALING_FORMAT=MLN","Sort=A","Dates=H","DateFormat=P","Fill=—","Direction=H","UseDPDF=Y")</f>
        <v>—</v>
      </c>
      <c r="N70" s="13" t="str">
        <f>_xll.BDH("BLUE US Equity","ARDR_PRODUCT_REVENUE","FQ1 2021","FQ1 2021","Currency=USD","Period=FQ","BEST_FPERIOD_OVERRIDE=FQ","FILING_STATUS=MR","SCALING_FORMAT=MLN","Sort=A","Dates=H","DateFormat=P","Fill=—","Direction=H","UseDPDF=Y")</f>
        <v>—</v>
      </c>
      <c r="O70" s="13" t="str">
        <f>_xll.BDH("BLUE US Equity","ARDR_PRODUCT_REVENUE","FQ2 2021","FQ2 2021","Currency=USD","Period=FQ","BEST_FPERIOD_OVERRIDE=FQ","FILING_STATUS=MR","SCALING_FORMAT=MLN","Sort=A","Dates=H","DateFormat=P","Fill=—","Direction=H","UseDPDF=Y")</f>
        <v>—</v>
      </c>
      <c r="P70" s="13" t="str">
        <f>_xll.BDH("BLUE US Equity","ARDR_PRODUCT_REVENUE","FQ3 2021","FQ3 2021","Currency=USD","Period=FQ","BEST_FPERIOD_OVERRIDE=FQ","FILING_STATUS=MR","SCALING_FORMAT=MLN","Sort=A","Dates=H","DateFormat=P","Fill=—","Direction=H","UseDPDF=Y")</f>
        <v>—</v>
      </c>
      <c r="Q70" s="13" t="str">
        <f>_xll.BDH("BLUE US Equity","ARDR_PRODUCT_REVENUE","FQ4 2021","FQ4 2021","Currency=USD","Period=FQ","BEST_FPERIOD_OVERRIDE=FQ","FILING_STATUS=MR","SCALING_FORMAT=MLN","Sort=A","Dates=H","DateFormat=P","Fill=—","Direction=H","UseDPDF=Y")</f>
        <v>—</v>
      </c>
      <c r="R70" s="13" t="str">
        <f>_xll.BDH("BLUE US Equity","ARDR_PRODUCT_REVENUE","FQ1 2022","FQ1 2022","Currency=USD","Period=FQ","BEST_FPERIOD_OVERRIDE=FQ","FILING_STATUS=MR","SCALING_FORMAT=MLN","Sort=A","Dates=H","DateFormat=P","Fill=—","Direction=H","UseDPDF=Y")</f>
        <v>—</v>
      </c>
      <c r="S70" s="13" t="str">
        <f>_xll.BDH("BLUE US Equity","ARDR_PRODUCT_REVENUE","FQ2 2022","FQ2 2022","Currency=USD","Period=FQ","BEST_FPERIOD_OVERRIDE=FQ","FILING_STATUS=MR","SCALING_FORMAT=MLN","Sort=A","Dates=H","DateFormat=P","Fill=—","Direction=H","UseDPDF=Y")</f>
        <v>—</v>
      </c>
      <c r="T70" s="13" t="str">
        <f>_xll.BDH("BLUE US Equity","ARDR_PRODUCT_REVENUE","FQ3 2022","FQ3 2022","Currency=USD","Period=FQ","BEST_FPERIOD_OVERRIDE=FQ","FILING_STATUS=MR","SCALING_FORMAT=MLN","Sort=A","Dates=H","DateFormat=P","Fill=—","Direction=H","UseDPDF=Y")</f>
        <v>—</v>
      </c>
      <c r="U70" s="13" t="str">
        <f>_xll.BDH("BLUE US Equity","ARDR_PRODUCT_REVENUE","FQ4 2022","FQ4 2022","Currency=USD","Period=FQ","BEST_FPERIOD_OVERRIDE=FQ","FILING_STATUS=MR","SCALING_FORMAT=MLN","Sort=A","Dates=H","DateFormat=P","Fill=—","Direction=H","UseDPDF=Y")</f>
        <v>—</v>
      </c>
      <c r="V70" s="13">
        <f>_xll.BDH("BLUE US Equity","ARDR_PRODUCT_REVENUE","FQ1 2023","FQ1 2023","Currency=USD","Period=FQ","BEST_FPERIOD_OVERRIDE=FQ","FILING_STATUS=MR","SCALING_FORMAT=MLN","Sort=A","Dates=H","DateFormat=P","Fill=—","Direction=H","UseDPDF=Y")</f>
        <v>2.2959999999999998</v>
      </c>
      <c r="W70" s="13">
        <f>_xll.BDH("BLUE US Equity","ARDR_PRODUCT_REVENUE","FQ2 2023","FQ2 2023","Currency=USD","Period=FQ","BEST_FPERIOD_OVERRIDE=FQ","FILING_STATUS=MR","SCALING_FORMAT=MLN","Sort=A","Dates=H","DateFormat=P","Fill=—","Direction=H","UseDPDF=Y")</f>
        <v>6.8369999999999997</v>
      </c>
      <c r="X70" s="13">
        <f>_xll.BDH("BLUE US Equity","ARDR_PRODUCT_REVENUE","FQ3 2023","FQ3 2023","Currency=USD","Period=FQ","BEST_FPERIOD_OVERRIDE=FQ","FILING_STATUS=MR","SCALING_FORMAT=MLN","Sort=A","Dates=H","DateFormat=P","Fill=—","Direction=H","UseDPDF=Y")</f>
        <v>12.281000000000001</v>
      </c>
      <c r="Y70" s="13">
        <f>_xll.BDH("BLUE US Equity","ARDR_PRODUCT_REVENUE","FQ1 2024","FQ1 2024","Currency=USD","Period=FQ","BEST_FPERIOD_OVERRIDE=FQ","FILING_STATUS=MR","SCALING_FORMAT=MLN","Sort=A","Dates=H","DateFormat=P","Fill=—","Direction=H","UseDPDF=Y")</f>
        <v>18.561</v>
      </c>
      <c r="Z70" s="13">
        <f>_xll.BDH("BLUE US Equity","ARDR_PRODUCT_REVENUE","FQ2 2024","FQ2 2024","Currency=USD","Period=FQ","BEST_FPERIOD_OVERRIDE=FQ","FILING_STATUS=MR","SCALING_FORMAT=MLN","Sort=A","Dates=H","DateFormat=P","Fill=—","Direction=H","UseDPDF=Y")</f>
        <v>16.100999999999999</v>
      </c>
      <c r="AA70" s="13">
        <f>_xll.BDH("BLUE US Equity","ARDR_PRODUCT_REVENUE","FQ3 2024","FQ3 2024","Currency=USD","Period=FQ","BEST_FPERIOD_OVERRIDE=FQ","FILING_STATUS=MR","SCALING_FORMAT=MLN","Sort=A","Dates=H","DateFormat=P","Fill=—","Direction=H","UseDPDF=Y")</f>
        <v>10.612</v>
      </c>
    </row>
    <row r="71" spans="1:27" x14ac:dyDescent="0.25">
      <c r="A71" s="10" t="s">
        <v>495</v>
      </c>
      <c r="B71" s="10" t="s">
        <v>496</v>
      </c>
      <c r="C71" s="13" t="str">
        <f>_xll.BDH("BLUE US Equity","ARDR_GL_ON_SALE_OF_INVESTMENTS","FQ2 2018","FQ2 2018","Currency=USD","Period=FQ","BEST_FPERIOD_OVERRIDE=FQ","FILING_STATUS=MR","SCALING_FORMAT=MLN","Sort=A","Dates=H","DateFormat=P","Fill=—","Direction=H","UseDPDF=Y")</f>
        <v>—</v>
      </c>
      <c r="D71" s="13" t="str">
        <f>_xll.BDH("BLUE US Equity","ARDR_GL_ON_SALE_OF_INVESTMENTS","FQ3 2018","FQ3 2018","Currency=USD","Period=FQ","BEST_FPERIOD_OVERRIDE=FQ","FILING_STATUS=MR","SCALING_FORMAT=MLN","Sort=A","Dates=H","DateFormat=P","Fill=—","Direction=H","UseDPDF=Y")</f>
        <v>—</v>
      </c>
      <c r="E71" s="13" t="str">
        <f>_xll.BDH("BLUE US Equity","ARDR_GL_ON_SALE_OF_INVESTMENTS","FQ4 2018","FQ4 2018","Currency=USD","Period=FQ","BEST_FPERIOD_OVERRIDE=FQ","FILING_STATUS=MR","SCALING_FORMAT=MLN","Sort=A","Dates=H","DateFormat=P","Fill=—","Direction=H","UseDPDF=Y")</f>
        <v>—</v>
      </c>
      <c r="F71" s="13" t="str">
        <f>_xll.BDH("BLUE US Equity","ARDR_GL_ON_SALE_OF_INVESTMENTS","FQ1 2019","FQ1 2019","Currency=USD","Period=FQ","BEST_FPERIOD_OVERRIDE=FQ","FILING_STATUS=MR","SCALING_FORMAT=MLN","Sort=A","Dates=H","DateFormat=P","Fill=—","Direction=H","UseDPDF=Y")</f>
        <v>—</v>
      </c>
      <c r="G71" s="13" t="str">
        <f>_xll.BDH("BLUE US Equity","ARDR_GL_ON_SALE_OF_INVESTMENTS","FQ2 2019","FQ2 2019","Currency=USD","Period=FQ","BEST_FPERIOD_OVERRIDE=FQ","FILING_STATUS=MR","SCALING_FORMAT=MLN","Sort=A","Dates=H","DateFormat=P","Fill=—","Direction=H","UseDPDF=Y")</f>
        <v>—</v>
      </c>
      <c r="H71" s="13" t="str">
        <f>_xll.BDH("BLUE US Equity","ARDR_GL_ON_SALE_OF_INVESTMENTS","FQ3 2019","FQ3 2019","Currency=USD","Period=FQ","BEST_FPERIOD_OVERRIDE=FQ","FILING_STATUS=MR","SCALING_FORMAT=MLN","Sort=A","Dates=H","DateFormat=P","Fill=—","Direction=H","UseDPDF=Y")</f>
        <v>—</v>
      </c>
      <c r="I71" s="13" t="str">
        <f>_xll.BDH("BLUE US Equity","ARDR_GL_ON_SALE_OF_INVESTMENTS","FQ4 2019","FQ4 2019","Currency=USD","Period=FQ","BEST_FPERIOD_OVERRIDE=FQ","FILING_STATUS=MR","SCALING_FORMAT=MLN","Sort=A","Dates=H","DateFormat=P","Fill=—","Direction=H","UseDPDF=Y")</f>
        <v>—</v>
      </c>
      <c r="J71" s="13" t="str">
        <f>_xll.BDH("BLUE US Equity","ARDR_GL_ON_SALE_OF_INVESTMENTS","FQ1 2020","FQ1 2020","Currency=USD","Period=FQ","BEST_FPERIOD_OVERRIDE=FQ","FILING_STATUS=MR","SCALING_FORMAT=MLN","Sort=A","Dates=H","DateFormat=P","Fill=—","Direction=H","UseDPDF=Y")</f>
        <v>—</v>
      </c>
      <c r="K71" s="13" t="str">
        <f>_xll.BDH("BLUE US Equity","ARDR_GL_ON_SALE_OF_INVESTMENTS","FQ2 2020","FQ2 2020","Currency=USD","Period=FQ","BEST_FPERIOD_OVERRIDE=FQ","FILING_STATUS=MR","SCALING_FORMAT=MLN","Sort=A","Dates=H","DateFormat=P","Fill=—","Direction=H","UseDPDF=Y")</f>
        <v>—</v>
      </c>
      <c r="L71" s="13" t="str">
        <f>_xll.BDH("BLUE US Equity","ARDR_GL_ON_SALE_OF_INVESTMENTS","FQ3 2020","FQ3 2020","Currency=USD","Period=FQ","BEST_FPERIOD_OVERRIDE=FQ","FILING_STATUS=MR","SCALING_FORMAT=MLN","Sort=A","Dates=H","DateFormat=P","Fill=—","Direction=H","UseDPDF=Y")</f>
        <v>—</v>
      </c>
      <c r="M71" s="13" t="str">
        <f>_xll.BDH("BLUE US Equity","ARDR_GL_ON_SALE_OF_INVESTMENTS","FQ4 2020","FQ4 2020","Currency=USD","Period=FQ","BEST_FPERIOD_OVERRIDE=FQ","FILING_STATUS=MR","SCALING_FORMAT=MLN","Sort=A","Dates=H","DateFormat=P","Fill=—","Direction=H","UseDPDF=Y")</f>
        <v>—</v>
      </c>
      <c r="N71" s="13" t="str">
        <f>_xll.BDH("BLUE US Equity","ARDR_GL_ON_SALE_OF_INVESTMENTS","FQ1 2021","FQ1 2021","Currency=USD","Period=FQ","BEST_FPERIOD_OVERRIDE=FQ","FILING_STATUS=MR","SCALING_FORMAT=MLN","Sort=A","Dates=H","DateFormat=P","Fill=—","Direction=H","UseDPDF=Y")</f>
        <v>—</v>
      </c>
      <c r="O71" s="13" t="str">
        <f>_xll.BDH("BLUE US Equity","ARDR_GL_ON_SALE_OF_INVESTMENTS","FQ2 2021","FQ2 2021","Currency=USD","Period=FQ","BEST_FPERIOD_OVERRIDE=FQ","FILING_STATUS=MR","SCALING_FORMAT=MLN","Sort=A","Dates=H","DateFormat=P","Fill=—","Direction=H","UseDPDF=Y")</f>
        <v>—</v>
      </c>
      <c r="P71" s="13">
        <f>_xll.BDH("BLUE US Equity","ARDR_GL_ON_SALE_OF_INVESTMENTS","FQ3 2021","FQ3 2021","Currency=USD","Period=FQ","BEST_FPERIOD_OVERRIDE=FQ","FILING_STATUS=MR","SCALING_FORMAT=MLN","Sort=A","Dates=H","DateFormat=P","Fill=—","Direction=H","UseDPDF=Y")</f>
        <v>-28.765000000000001</v>
      </c>
      <c r="Q71" s="13" t="str">
        <f>_xll.BDH("BLUE US Equity","ARDR_GL_ON_SALE_OF_INVESTMENTS","FQ4 2021","FQ4 2021","Currency=USD","Period=FQ","BEST_FPERIOD_OVERRIDE=FQ","FILING_STATUS=MR","SCALING_FORMAT=MLN","Sort=A","Dates=H","DateFormat=P","Fill=—","Direction=H","UseDPDF=Y")</f>
        <v>—</v>
      </c>
      <c r="R71" s="13" t="str">
        <f>_xll.BDH("BLUE US Equity","ARDR_GL_ON_SALE_OF_INVESTMENTS","FQ1 2022","FQ1 2022","Currency=USD","Period=FQ","BEST_FPERIOD_OVERRIDE=FQ","FILING_STATUS=MR","SCALING_FORMAT=MLN","Sort=A","Dates=H","DateFormat=P","Fill=—","Direction=H","UseDPDF=Y")</f>
        <v>—</v>
      </c>
      <c r="S71" s="13" t="str">
        <f>_xll.BDH("BLUE US Equity","ARDR_GL_ON_SALE_OF_INVESTMENTS","FQ2 2022","FQ2 2022","Currency=USD","Period=FQ","BEST_FPERIOD_OVERRIDE=FQ","FILING_STATUS=MR","SCALING_FORMAT=MLN","Sort=A","Dates=H","DateFormat=P","Fill=—","Direction=H","UseDPDF=Y")</f>
        <v>—</v>
      </c>
      <c r="T71" s="13">
        <f>_xll.BDH("BLUE US Equity","ARDR_GL_ON_SALE_OF_INVESTMENTS","FQ3 2022","FQ3 2022","Currency=USD","Period=FQ","BEST_FPERIOD_OVERRIDE=FQ","FILING_STATUS=MR","SCALING_FORMAT=MLN","Sort=A","Dates=H","DateFormat=P","Fill=—","Direction=H","UseDPDF=Y")</f>
        <v>3.1349999999999998</v>
      </c>
      <c r="U71" s="13" t="str">
        <f>_xll.BDH("BLUE US Equity","ARDR_GL_ON_SALE_OF_INVESTMENTS","FQ4 2022","FQ4 2022","Currency=USD","Period=FQ","BEST_FPERIOD_OVERRIDE=FQ","FILING_STATUS=MR","SCALING_FORMAT=MLN","Sort=A","Dates=H","DateFormat=P","Fill=—","Direction=H","UseDPDF=Y")</f>
        <v>—</v>
      </c>
      <c r="V71" s="13" t="str">
        <f>_xll.BDH("BLUE US Equity","ARDR_GL_ON_SALE_OF_INVESTMENTS","FQ1 2023","FQ1 2023","Currency=USD","Period=FQ","BEST_FPERIOD_OVERRIDE=FQ","FILING_STATUS=MR","SCALING_FORMAT=MLN","Sort=A","Dates=H","DateFormat=P","Fill=—","Direction=H","UseDPDF=Y")</f>
        <v>—</v>
      </c>
      <c r="W71" s="13" t="str">
        <f>_xll.BDH("BLUE US Equity","ARDR_GL_ON_SALE_OF_INVESTMENTS","FQ2 2023","FQ2 2023","Currency=USD","Period=FQ","BEST_FPERIOD_OVERRIDE=FQ","FILING_STATUS=MR","SCALING_FORMAT=MLN","Sort=A","Dates=H","DateFormat=P","Fill=—","Direction=H","UseDPDF=Y")</f>
        <v>—</v>
      </c>
      <c r="X71" s="13" t="str">
        <f>_xll.BDH("BLUE US Equity","ARDR_GL_ON_SALE_OF_INVESTMENTS","FQ3 2023","FQ3 2023","Currency=USD","Period=FQ","BEST_FPERIOD_OVERRIDE=FQ","FILING_STATUS=MR","SCALING_FORMAT=MLN","Sort=A","Dates=H","DateFormat=P","Fill=—","Direction=H","UseDPDF=Y")</f>
        <v>—</v>
      </c>
      <c r="Y71" s="13" t="str">
        <f>_xll.BDH("BLUE US Equity","ARDR_GL_ON_SALE_OF_INVESTMENTS","FQ1 2024","FQ1 2024","Currency=USD","Period=FQ","BEST_FPERIOD_OVERRIDE=FQ","FILING_STATUS=MR","SCALING_FORMAT=MLN","Sort=A","Dates=H","DateFormat=P","Fill=—","Direction=H","UseDPDF=Y")</f>
        <v>—</v>
      </c>
      <c r="Z71" s="13" t="str">
        <f>_xll.BDH("BLUE US Equity","ARDR_GL_ON_SALE_OF_INVESTMENTS","FQ2 2024","FQ2 2024","Currency=USD","Period=FQ","BEST_FPERIOD_OVERRIDE=FQ","FILING_STATUS=MR","SCALING_FORMAT=MLN","Sort=A","Dates=H","DateFormat=P","Fill=—","Direction=H","UseDPDF=Y")</f>
        <v>—</v>
      </c>
      <c r="AA71" s="13" t="str">
        <f>_xll.BDH("BLUE US Equity","ARDR_GL_ON_SALE_OF_INVESTMENTS","FQ3 2024","FQ3 2024","Currency=USD","Period=FQ","BEST_FPERIOD_OVERRIDE=FQ","FILING_STATUS=MR","SCALING_FORMAT=MLN","Sort=A","Dates=H","DateFormat=P","Fill=—","Direction=H","UseDPDF=Y")</f>
        <v>—</v>
      </c>
    </row>
    <row r="72" spans="1:27" x14ac:dyDescent="0.25">
      <c r="A72" s="10" t="s">
        <v>497</v>
      </c>
      <c r="B72" s="10" t="s">
        <v>498</v>
      </c>
      <c r="C72" s="13" t="str">
        <f>_xll.BDH("BLUE US Equity","ARDR_AMORT_LEASED_ASSETS","FQ2 2018","FQ2 2018","Currency=USD","Period=FQ","BEST_FPERIOD_OVERRIDE=FQ","FILING_STATUS=MR","SCALING_FORMAT=MLN","Sort=A","Dates=H","DateFormat=P","Fill=—","Direction=H","UseDPDF=Y")</f>
        <v>—</v>
      </c>
      <c r="D72" s="13" t="str">
        <f>_xll.BDH("BLUE US Equity","ARDR_AMORT_LEASED_ASSETS","FQ3 2018","FQ3 2018","Currency=USD","Period=FQ","BEST_FPERIOD_OVERRIDE=FQ","FILING_STATUS=MR","SCALING_FORMAT=MLN","Sort=A","Dates=H","DateFormat=P","Fill=—","Direction=H","UseDPDF=Y")</f>
        <v>—</v>
      </c>
      <c r="E72" s="13" t="str">
        <f>_xll.BDH("BLUE US Equity","ARDR_AMORT_LEASED_ASSETS","FQ4 2018","FQ4 2018","Currency=USD","Period=FQ","BEST_FPERIOD_OVERRIDE=FQ","FILING_STATUS=MR","SCALING_FORMAT=MLN","Sort=A","Dates=H","DateFormat=P","Fill=—","Direction=H","UseDPDF=Y")</f>
        <v>—</v>
      </c>
      <c r="F72" s="13" t="str">
        <f>_xll.BDH("BLUE US Equity","ARDR_AMORT_LEASED_ASSETS","FQ1 2019","FQ1 2019","Currency=USD","Period=FQ","BEST_FPERIOD_OVERRIDE=FQ","FILING_STATUS=MR","SCALING_FORMAT=MLN","Sort=A","Dates=H","DateFormat=P","Fill=—","Direction=H","UseDPDF=Y")</f>
        <v>—</v>
      </c>
      <c r="G72" s="13" t="str">
        <f>_xll.BDH("BLUE US Equity","ARDR_AMORT_LEASED_ASSETS","FQ2 2019","FQ2 2019","Currency=USD","Period=FQ","BEST_FPERIOD_OVERRIDE=FQ","FILING_STATUS=MR","SCALING_FORMAT=MLN","Sort=A","Dates=H","DateFormat=P","Fill=—","Direction=H","UseDPDF=Y")</f>
        <v>—</v>
      </c>
      <c r="H72" s="13" t="str">
        <f>_xll.BDH("BLUE US Equity","ARDR_AMORT_LEASED_ASSETS","FQ3 2019","FQ3 2019","Currency=USD","Period=FQ","BEST_FPERIOD_OVERRIDE=FQ","FILING_STATUS=MR","SCALING_FORMAT=MLN","Sort=A","Dates=H","DateFormat=P","Fill=—","Direction=H","UseDPDF=Y")</f>
        <v>—</v>
      </c>
      <c r="I72" s="13" t="str">
        <f>_xll.BDH("BLUE US Equity","ARDR_AMORT_LEASED_ASSETS","FQ4 2019","FQ4 2019","Currency=USD","Period=FQ","BEST_FPERIOD_OVERRIDE=FQ","FILING_STATUS=MR","SCALING_FORMAT=MLN","Sort=A","Dates=H","DateFormat=P","Fill=—","Direction=H","UseDPDF=Y")</f>
        <v>—</v>
      </c>
      <c r="J72" s="13" t="str">
        <f>_xll.BDH("BLUE US Equity","ARDR_AMORT_LEASED_ASSETS","FQ1 2020","FQ1 2020","Currency=USD","Period=FQ","BEST_FPERIOD_OVERRIDE=FQ","FILING_STATUS=MR","SCALING_FORMAT=MLN","Sort=A","Dates=H","DateFormat=P","Fill=—","Direction=H","UseDPDF=Y")</f>
        <v>—</v>
      </c>
      <c r="K72" s="13" t="str">
        <f>_xll.BDH("BLUE US Equity","ARDR_AMORT_LEASED_ASSETS","FQ2 2020","FQ2 2020","Currency=USD","Period=FQ","BEST_FPERIOD_OVERRIDE=FQ","FILING_STATUS=MR","SCALING_FORMAT=MLN","Sort=A","Dates=H","DateFormat=P","Fill=—","Direction=H","UseDPDF=Y")</f>
        <v>—</v>
      </c>
      <c r="L72" s="13" t="str">
        <f>_xll.BDH("BLUE US Equity","ARDR_AMORT_LEASED_ASSETS","FQ3 2020","FQ3 2020","Currency=USD","Period=FQ","BEST_FPERIOD_OVERRIDE=FQ","FILING_STATUS=MR","SCALING_FORMAT=MLN","Sort=A","Dates=H","DateFormat=P","Fill=—","Direction=H","UseDPDF=Y")</f>
        <v>—</v>
      </c>
      <c r="M72" s="13" t="str">
        <f>_xll.BDH("BLUE US Equity","ARDR_AMORT_LEASED_ASSETS","FQ4 2020","FQ4 2020","Currency=USD","Period=FQ","BEST_FPERIOD_OVERRIDE=FQ","FILING_STATUS=MR","SCALING_FORMAT=MLN","Sort=A","Dates=H","DateFormat=P","Fill=—","Direction=H","UseDPDF=Y")</f>
        <v>—</v>
      </c>
      <c r="N72" s="13" t="str">
        <f>_xll.BDH("BLUE US Equity","ARDR_AMORT_LEASED_ASSETS","FQ1 2021","FQ1 2021","Currency=USD","Period=FQ","BEST_FPERIOD_OVERRIDE=FQ","FILING_STATUS=MR","SCALING_FORMAT=MLN","Sort=A","Dates=H","DateFormat=P","Fill=—","Direction=H","UseDPDF=Y")</f>
        <v>—</v>
      </c>
      <c r="O72" s="13" t="str">
        <f>_xll.BDH("BLUE US Equity","ARDR_AMORT_LEASED_ASSETS","FQ2 2021","FQ2 2021","Currency=USD","Period=FQ","BEST_FPERIOD_OVERRIDE=FQ","FILING_STATUS=MR","SCALING_FORMAT=MLN","Sort=A","Dates=H","DateFormat=P","Fill=—","Direction=H","UseDPDF=Y")</f>
        <v>—</v>
      </c>
      <c r="P72" s="13" t="str">
        <f>_xll.BDH("BLUE US Equity","ARDR_AMORT_LEASED_ASSETS","FQ3 2021","FQ3 2021","Currency=USD","Period=FQ","BEST_FPERIOD_OVERRIDE=FQ","FILING_STATUS=MR","SCALING_FORMAT=MLN","Sort=A","Dates=H","DateFormat=P","Fill=—","Direction=H","UseDPDF=Y")</f>
        <v>—</v>
      </c>
      <c r="Q72" s="13" t="str">
        <f>_xll.BDH("BLUE US Equity","ARDR_AMORT_LEASED_ASSETS","FQ4 2021","FQ4 2021","Currency=USD","Period=FQ","BEST_FPERIOD_OVERRIDE=FQ","FILING_STATUS=MR","SCALING_FORMAT=MLN","Sort=A","Dates=H","DateFormat=P","Fill=—","Direction=H","UseDPDF=Y")</f>
        <v>—</v>
      </c>
      <c r="R72" s="13" t="str">
        <f>_xll.BDH("BLUE US Equity","ARDR_AMORT_LEASED_ASSETS","FQ1 2022","FQ1 2022","Currency=USD","Period=FQ","BEST_FPERIOD_OVERRIDE=FQ","FILING_STATUS=MR","SCALING_FORMAT=MLN","Sort=A","Dates=H","DateFormat=P","Fill=—","Direction=H","UseDPDF=Y")</f>
        <v>—</v>
      </c>
      <c r="S72" s="13" t="str">
        <f>_xll.BDH("BLUE US Equity","ARDR_AMORT_LEASED_ASSETS","FQ2 2022","FQ2 2022","Currency=USD","Period=FQ","BEST_FPERIOD_OVERRIDE=FQ","FILING_STATUS=MR","SCALING_FORMAT=MLN","Sort=A","Dates=H","DateFormat=P","Fill=—","Direction=H","UseDPDF=Y")</f>
        <v>—</v>
      </c>
      <c r="T72" s="13" t="str">
        <f>_xll.BDH("BLUE US Equity","ARDR_AMORT_LEASED_ASSETS","FQ3 2022","FQ3 2022","Currency=USD","Period=FQ","BEST_FPERIOD_OVERRIDE=FQ","FILING_STATUS=MR","SCALING_FORMAT=MLN","Sort=A","Dates=H","DateFormat=P","Fill=—","Direction=H","UseDPDF=Y")</f>
        <v>—</v>
      </c>
      <c r="U72" s="13" t="str">
        <f>_xll.BDH("BLUE US Equity","ARDR_AMORT_LEASED_ASSETS","FQ4 2022","FQ4 2022","Currency=USD","Period=FQ","BEST_FPERIOD_OVERRIDE=FQ","FILING_STATUS=MR","SCALING_FORMAT=MLN","Sort=A","Dates=H","DateFormat=P","Fill=—","Direction=H","UseDPDF=Y")</f>
        <v>—</v>
      </c>
      <c r="V72" s="13">
        <f>_xll.BDH("BLUE US Equity","ARDR_AMORT_LEASED_ASSETS","FQ1 2023","FQ1 2023","Currency=USD","Period=FQ","BEST_FPERIOD_OVERRIDE=FQ","FILING_STATUS=MR","SCALING_FORMAT=MLN","Sort=A","Dates=H","DateFormat=P","Fill=—","Direction=H","UseDPDF=Y")</f>
        <v>5.2160000000000002</v>
      </c>
      <c r="W72" s="13">
        <f>_xll.BDH("BLUE US Equity","ARDR_AMORT_LEASED_ASSETS","FQ2 2023","FQ2 2023","Currency=USD","Period=FQ","BEST_FPERIOD_OVERRIDE=FQ","FILING_STATUS=MR","SCALING_FORMAT=MLN","Sort=A","Dates=H","DateFormat=P","Fill=—","Direction=H","UseDPDF=Y")</f>
        <v>5.2279999999999998</v>
      </c>
      <c r="X72" s="13">
        <f>_xll.BDH("BLUE US Equity","ARDR_AMORT_LEASED_ASSETS","FQ3 2023","FQ3 2023","Currency=USD","Period=FQ","BEST_FPERIOD_OVERRIDE=FQ","FILING_STATUS=MR","SCALING_FORMAT=MLN","Sort=A","Dates=H","DateFormat=P","Fill=—","Direction=H","UseDPDF=Y")</f>
        <v>6.4589999999999996</v>
      </c>
      <c r="Y72" s="13">
        <f>_xll.BDH("BLUE US Equity","ARDR_AMORT_LEASED_ASSETS","FQ1 2024","FQ1 2024","Currency=USD","Period=FQ","BEST_FPERIOD_OVERRIDE=FQ","FILING_STATUS=MR","SCALING_FORMAT=MLN","Sort=A","Dates=H","DateFormat=P","Fill=—","Direction=H","UseDPDF=Y")</f>
        <v>14.327999999999999</v>
      </c>
      <c r="Z72" s="13">
        <f>_xll.BDH("BLUE US Equity","ARDR_AMORT_LEASED_ASSETS","FQ2 2024","FQ2 2024","Currency=USD","Period=FQ","BEST_FPERIOD_OVERRIDE=FQ","FILING_STATUS=MR","SCALING_FORMAT=MLN","Sort=A","Dates=H","DateFormat=P","Fill=—","Direction=H","UseDPDF=Y")</f>
        <v>15.375</v>
      </c>
      <c r="AA72" s="13">
        <f>_xll.BDH("BLUE US Equity","ARDR_AMORT_LEASED_ASSETS","FQ3 2024","FQ3 2024","Currency=USD","Period=FQ","BEST_FPERIOD_OVERRIDE=FQ","FILING_STATUS=MR","SCALING_FORMAT=MLN","Sort=A","Dates=H","DateFormat=P","Fill=—","Direction=H","UseDPDF=Y")</f>
        <v>14.193</v>
      </c>
    </row>
    <row r="73" spans="1:27" x14ac:dyDescent="0.25">
      <c r="A73" s="10" t="s">
        <v>499</v>
      </c>
      <c r="B73" s="10" t="s">
        <v>500</v>
      </c>
      <c r="C73" s="13" t="str">
        <f>_xll.BDH("BLUE US Equity","ARDR_INT_ELEMENT_FIN_LEASE_PYMTS","FQ2 2018","FQ2 2018","Currency=USD","Period=FQ","BEST_FPERIOD_OVERRIDE=FQ","FILING_STATUS=MR","SCALING_FORMAT=MLN","Sort=A","Dates=H","DateFormat=P","Fill=—","Direction=H","UseDPDF=Y")</f>
        <v>—</v>
      </c>
      <c r="D73" s="13" t="str">
        <f>_xll.BDH("BLUE US Equity","ARDR_INT_ELEMENT_FIN_LEASE_PYMTS","FQ3 2018","FQ3 2018","Currency=USD","Period=FQ","BEST_FPERIOD_OVERRIDE=FQ","FILING_STATUS=MR","SCALING_FORMAT=MLN","Sort=A","Dates=H","DateFormat=P","Fill=—","Direction=H","UseDPDF=Y")</f>
        <v>—</v>
      </c>
      <c r="E73" s="13" t="str">
        <f>_xll.BDH("BLUE US Equity","ARDR_INT_ELEMENT_FIN_LEASE_PYMTS","FQ4 2018","FQ4 2018","Currency=USD","Period=FQ","BEST_FPERIOD_OVERRIDE=FQ","FILING_STATUS=MR","SCALING_FORMAT=MLN","Sort=A","Dates=H","DateFormat=P","Fill=—","Direction=H","UseDPDF=Y")</f>
        <v>—</v>
      </c>
      <c r="F73" s="13" t="str">
        <f>_xll.BDH("BLUE US Equity","ARDR_INT_ELEMENT_FIN_LEASE_PYMTS","FQ1 2019","FQ1 2019","Currency=USD","Period=FQ","BEST_FPERIOD_OVERRIDE=FQ","FILING_STATUS=MR","SCALING_FORMAT=MLN","Sort=A","Dates=H","DateFormat=P","Fill=—","Direction=H","UseDPDF=Y")</f>
        <v>—</v>
      </c>
      <c r="G73" s="13" t="str">
        <f>_xll.BDH("BLUE US Equity","ARDR_INT_ELEMENT_FIN_LEASE_PYMTS","FQ2 2019","FQ2 2019","Currency=USD","Period=FQ","BEST_FPERIOD_OVERRIDE=FQ","FILING_STATUS=MR","SCALING_FORMAT=MLN","Sort=A","Dates=H","DateFormat=P","Fill=—","Direction=H","UseDPDF=Y")</f>
        <v>—</v>
      </c>
      <c r="H73" s="13" t="str">
        <f>_xll.BDH("BLUE US Equity","ARDR_INT_ELEMENT_FIN_LEASE_PYMTS","FQ3 2019","FQ3 2019","Currency=USD","Period=FQ","BEST_FPERIOD_OVERRIDE=FQ","FILING_STATUS=MR","SCALING_FORMAT=MLN","Sort=A","Dates=H","DateFormat=P","Fill=—","Direction=H","UseDPDF=Y")</f>
        <v>—</v>
      </c>
      <c r="I73" s="13" t="str">
        <f>_xll.BDH("BLUE US Equity","ARDR_INT_ELEMENT_FIN_LEASE_PYMTS","FQ4 2019","FQ4 2019","Currency=USD","Period=FQ","BEST_FPERIOD_OVERRIDE=FQ","FILING_STATUS=MR","SCALING_FORMAT=MLN","Sort=A","Dates=H","DateFormat=P","Fill=—","Direction=H","UseDPDF=Y")</f>
        <v>—</v>
      </c>
      <c r="J73" s="13" t="str">
        <f>_xll.BDH("BLUE US Equity","ARDR_INT_ELEMENT_FIN_LEASE_PYMTS","FQ1 2020","FQ1 2020","Currency=USD","Period=FQ","BEST_FPERIOD_OVERRIDE=FQ","FILING_STATUS=MR","SCALING_FORMAT=MLN","Sort=A","Dates=H","DateFormat=P","Fill=—","Direction=H","UseDPDF=Y")</f>
        <v>—</v>
      </c>
      <c r="K73" s="13" t="str">
        <f>_xll.BDH("BLUE US Equity","ARDR_INT_ELEMENT_FIN_LEASE_PYMTS","FQ2 2020","FQ2 2020","Currency=USD","Period=FQ","BEST_FPERIOD_OVERRIDE=FQ","FILING_STATUS=MR","SCALING_FORMAT=MLN","Sort=A","Dates=H","DateFormat=P","Fill=—","Direction=H","UseDPDF=Y")</f>
        <v>—</v>
      </c>
      <c r="L73" s="13" t="str">
        <f>_xll.BDH("BLUE US Equity","ARDR_INT_ELEMENT_FIN_LEASE_PYMTS","FQ3 2020","FQ3 2020","Currency=USD","Period=FQ","BEST_FPERIOD_OVERRIDE=FQ","FILING_STATUS=MR","SCALING_FORMAT=MLN","Sort=A","Dates=H","DateFormat=P","Fill=—","Direction=H","UseDPDF=Y")</f>
        <v>—</v>
      </c>
      <c r="M73" s="13" t="str">
        <f>_xll.BDH("BLUE US Equity","ARDR_INT_ELEMENT_FIN_LEASE_PYMTS","FQ4 2020","FQ4 2020","Currency=USD","Period=FQ","BEST_FPERIOD_OVERRIDE=FQ","FILING_STATUS=MR","SCALING_FORMAT=MLN","Sort=A","Dates=H","DateFormat=P","Fill=—","Direction=H","UseDPDF=Y")</f>
        <v>—</v>
      </c>
      <c r="N73" s="13" t="str">
        <f>_xll.BDH("BLUE US Equity","ARDR_INT_ELEMENT_FIN_LEASE_PYMTS","FQ1 2021","FQ1 2021","Currency=USD","Period=FQ","BEST_FPERIOD_OVERRIDE=FQ","FILING_STATUS=MR","SCALING_FORMAT=MLN","Sort=A","Dates=H","DateFormat=P","Fill=—","Direction=H","UseDPDF=Y")</f>
        <v>—</v>
      </c>
      <c r="O73" s="13" t="str">
        <f>_xll.BDH("BLUE US Equity","ARDR_INT_ELEMENT_FIN_LEASE_PYMTS","FQ2 2021","FQ2 2021","Currency=USD","Period=FQ","BEST_FPERIOD_OVERRIDE=FQ","FILING_STATUS=MR","SCALING_FORMAT=MLN","Sort=A","Dates=H","DateFormat=P","Fill=—","Direction=H","UseDPDF=Y")</f>
        <v>—</v>
      </c>
      <c r="P73" s="13" t="str">
        <f>_xll.BDH("BLUE US Equity","ARDR_INT_ELEMENT_FIN_LEASE_PYMTS","FQ3 2021","FQ3 2021","Currency=USD","Period=FQ","BEST_FPERIOD_OVERRIDE=FQ","FILING_STATUS=MR","SCALING_FORMAT=MLN","Sort=A","Dates=H","DateFormat=P","Fill=—","Direction=H","UseDPDF=Y")</f>
        <v>—</v>
      </c>
      <c r="Q73" s="13" t="str">
        <f>_xll.BDH("BLUE US Equity","ARDR_INT_ELEMENT_FIN_LEASE_PYMTS","FQ4 2021","FQ4 2021","Currency=USD","Period=FQ","BEST_FPERIOD_OVERRIDE=FQ","FILING_STATUS=MR","SCALING_FORMAT=MLN","Sort=A","Dates=H","DateFormat=P","Fill=—","Direction=H","UseDPDF=Y")</f>
        <v>—</v>
      </c>
      <c r="R73" s="13" t="str">
        <f>_xll.BDH("BLUE US Equity","ARDR_INT_ELEMENT_FIN_LEASE_PYMTS","FQ1 2022","FQ1 2022","Currency=USD","Period=FQ","BEST_FPERIOD_OVERRIDE=FQ","FILING_STATUS=MR","SCALING_FORMAT=MLN","Sort=A","Dates=H","DateFormat=P","Fill=—","Direction=H","UseDPDF=Y")</f>
        <v>—</v>
      </c>
      <c r="S73" s="13" t="str">
        <f>_xll.BDH("BLUE US Equity","ARDR_INT_ELEMENT_FIN_LEASE_PYMTS","FQ2 2022","FQ2 2022","Currency=USD","Period=FQ","BEST_FPERIOD_OVERRIDE=FQ","FILING_STATUS=MR","SCALING_FORMAT=MLN","Sort=A","Dates=H","DateFormat=P","Fill=—","Direction=H","UseDPDF=Y")</f>
        <v>—</v>
      </c>
      <c r="T73" s="13" t="str">
        <f>_xll.BDH("BLUE US Equity","ARDR_INT_ELEMENT_FIN_LEASE_PYMTS","FQ3 2022","FQ3 2022","Currency=USD","Period=FQ","BEST_FPERIOD_OVERRIDE=FQ","FILING_STATUS=MR","SCALING_FORMAT=MLN","Sort=A","Dates=H","DateFormat=P","Fill=—","Direction=H","UseDPDF=Y")</f>
        <v>—</v>
      </c>
      <c r="U73" s="13" t="str">
        <f>_xll.BDH("BLUE US Equity","ARDR_INT_ELEMENT_FIN_LEASE_PYMTS","FQ4 2022","FQ4 2022","Currency=USD","Period=FQ","BEST_FPERIOD_OVERRIDE=FQ","FILING_STATUS=MR","SCALING_FORMAT=MLN","Sort=A","Dates=H","DateFormat=P","Fill=—","Direction=H","UseDPDF=Y")</f>
        <v>—</v>
      </c>
      <c r="V73" s="13">
        <f>_xll.BDH("BLUE US Equity","ARDR_INT_ELEMENT_FIN_LEASE_PYMTS","FQ1 2023","FQ1 2023","Currency=USD","Period=FQ","BEST_FPERIOD_OVERRIDE=FQ","FILING_STATUS=MR","SCALING_FORMAT=MLN","Sort=A","Dates=H","DateFormat=P","Fill=—","Direction=H","UseDPDF=Y")</f>
        <v>4.2670000000000003</v>
      </c>
      <c r="W73" s="13">
        <f>_xll.BDH("BLUE US Equity","ARDR_INT_ELEMENT_FIN_LEASE_PYMTS","FQ2 2023","FQ2 2023","Currency=USD","Period=FQ","BEST_FPERIOD_OVERRIDE=FQ","FILING_STATUS=MR","SCALING_FORMAT=MLN","Sort=A","Dates=H","DateFormat=P","Fill=—","Direction=H","UseDPDF=Y")</f>
        <v>3.75</v>
      </c>
      <c r="X73" s="13">
        <f>_xll.BDH("BLUE US Equity","ARDR_INT_ELEMENT_FIN_LEASE_PYMTS","FQ3 2023","FQ3 2023","Currency=USD","Period=FQ","BEST_FPERIOD_OVERRIDE=FQ","FILING_STATUS=MR","SCALING_FORMAT=MLN","Sort=A","Dates=H","DateFormat=P","Fill=—","Direction=H","UseDPDF=Y")</f>
        <v>4.3109999999999999</v>
      </c>
      <c r="Y73" s="13">
        <f>_xll.BDH("BLUE US Equity","ARDR_INT_ELEMENT_FIN_LEASE_PYMTS","FQ1 2024","FQ1 2024","Currency=USD","Period=FQ","BEST_FPERIOD_OVERRIDE=FQ","FILING_STATUS=MR","SCALING_FORMAT=MLN","Sort=A","Dates=H","DateFormat=P","Fill=—","Direction=H","UseDPDF=Y")</f>
        <v>4.3470000000000004</v>
      </c>
      <c r="Z73" s="13">
        <f>_xll.BDH("BLUE US Equity","ARDR_INT_ELEMENT_FIN_LEASE_PYMTS","FQ2 2024","FQ2 2024","Currency=USD","Period=FQ","BEST_FPERIOD_OVERRIDE=FQ","FILING_STATUS=MR","SCALING_FORMAT=MLN","Sort=A","Dates=H","DateFormat=P","Fill=—","Direction=H","UseDPDF=Y")</f>
        <v>2.71</v>
      </c>
      <c r="AA73" s="13">
        <f>_xll.BDH("BLUE US Equity","ARDR_INT_ELEMENT_FIN_LEASE_PYMTS","FQ3 2024","FQ3 2024","Currency=USD","Period=FQ","BEST_FPERIOD_OVERRIDE=FQ","FILING_STATUS=MR","SCALING_FORMAT=MLN","Sort=A","Dates=H","DateFormat=P","Fill=—","Direction=H","UseDPDF=Y")</f>
        <v>2.3639999999999999</v>
      </c>
    </row>
    <row r="74" spans="1:27" x14ac:dyDescent="0.25">
      <c r="A74" s="10" t="s">
        <v>501</v>
      </c>
      <c r="B74" s="10" t="s">
        <v>502</v>
      </c>
      <c r="C74" s="13">
        <f>_xll.BDH("BLUE US Equity","ARDR_STOCK_OPT_EXPENSE_BEF_TAX","FQ2 2018","FQ2 2018","Currency=USD","Period=FQ","BEST_FPERIOD_OVERRIDE=FQ","FILING_STATUS=MR","SCALING_FORMAT=MLN","Sort=A","Dates=H","DateFormat=P","Fill=—","Direction=H","UseDPDF=Y")</f>
        <v>20.931999999999999</v>
      </c>
      <c r="D74" s="13">
        <f>_xll.BDH("BLUE US Equity","ARDR_STOCK_OPT_EXPENSE_BEF_TAX","FQ3 2018","FQ3 2018","Currency=USD","Period=FQ","BEST_FPERIOD_OVERRIDE=FQ","FILING_STATUS=MR","SCALING_FORMAT=MLN","Sort=A","Dates=H","DateFormat=P","Fill=—","Direction=H","UseDPDF=Y")</f>
        <v>22.663</v>
      </c>
      <c r="E74" s="13">
        <f>_xll.BDH("BLUE US Equity","ARDR_STOCK_OPT_EXPENSE_BEF_TAX","FQ4 2018","FQ4 2018","Currency=USD","Period=FQ","BEST_FPERIOD_OVERRIDE=FQ","FILING_STATUS=MR","SCALING_FORMAT=MLN","Sort=A","Dates=H","DateFormat=P","Fill=—","Direction=H","UseDPDF=Y")</f>
        <v>22.559000000000001</v>
      </c>
      <c r="F74" s="13">
        <f>_xll.BDH("BLUE US Equity","ARDR_STOCK_OPT_EXPENSE_BEF_TAX","FQ1 2019","FQ1 2019","Currency=USD","Period=FQ","BEST_FPERIOD_OVERRIDE=FQ","FILING_STATUS=MR","SCALING_FORMAT=MLN","Sort=A","Dates=H","DateFormat=P","Fill=—","Direction=H","UseDPDF=Y")</f>
        <v>23.183</v>
      </c>
      <c r="G74" s="13">
        <f>_xll.BDH("BLUE US Equity","ARDR_STOCK_OPT_EXPENSE_BEF_TAX","FQ2 2019","FQ2 2019","Currency=USD","Period=FQ","BEST_FPERIOD_OVERRIDE=FQ","FILING_STATUS=MR","SCALING_FORMAT=MLN","Sort=A","Dates=H","DateFormat=P","Fill=—","Direction=H","UseDPDF=Y")</f>
        <v>24.8</v>
      </c>
      <c r="H74" s="13">
        <f>_xll.BDH("BLUE US Equity","ARDR_STOCK_OPT_EXPENSE_BEF_TAX","FQ3 2019","FQ3 2019","Currency=USD","Period=FQ","BEST_FPERIOD_OVERRIDE=FQ","FILING_STATUS=MR","SCALING_FORMAT=MLN","Sort=A","Dates=H","DateFormat=P","Fill=—","Direction=H","UseDPDF=Y")</f>
        <v>25.041</v>
      </c>
      <c r="I74" s="13">
        <f>_xll.BDH("BLUE US Equity","ARDR_STOCK_OPT_EXPENSE_BEF_TAX","FQ4 2019","FQ4 2019","Currency=USD","Period=FQ","BEST_FPERIOD_OVERRIDE=FQ","FILING_STATUS=MR","SCALING_FORMAT=MLN","Sort=A","Dates=H","DateFormat=P","Fill=—","Direction=H","UseDPDF=Y")</f>
        <v>22.643999999999998</v>
      </c>
      <c r="J74" s="13">
        <f>_xll.BDH("BLUE US Equity","ARDR_STOCK_OPT_EXPENSE_BEF_TAX","FQ1 2020","FQ1 2020","Currency=USD","Period=FQ","BEST_FPERIOD_OVERRIDE=FQ","FILING_STATUS=MR","SCALING_FORMAT=MLN","Sort=A","Dates=H","DateFormat=P","Fill=—","Direction=H","UseDPDF=Y")</f>
        <v>24.44</v>
      </c>
      <c r="K74" s="13">
        <f>_xll.BDH("BLUE US Equity","ARDR_STOCK_OPT_EXPENSE_BEF_TAX","FQ2 2020","FQ2 2020","Currency=USD","Period=FQ","BEST_FPERIOD_OVERRIDE=FQ","FILING_STATUS=MR","SCALING_FORMAT=MLN","Sort=A","Dates=H","DateFormat=P","Fill=—","Direction=H","UseDPDF=Y")</f>
        <v>26.073</v>
      </c>
      <c r="L74" s="13">
        <f>_xll.BDH("BLUE US Equity","ARDR_STOCK_OPT_EXPENSE_BEF_TAX","FQ3 2020","FQ3 2020","Currency=USD","Period=FQ","BEST_FPERIOD_OVERRIDE=FQ","FILING_STATUS=MR","SCALING_FORMAT=MLN","Sort=A","Dates=H","DateFormat=P","Fill=—","Direction=H","UseDPDF=Y")</f>
        <v>22.722999999999999</v>
      </c>
      <c r="M74" s="13">
        <f>_xll.BDH("BLUE US Equity","ARDR_STOCK_OPT_EXPENSE_BEF_TAX","FQ4 2020","FQ4 2020","Currency=USD","Period=FQ","BEST_FPERIOD_OVERRIDE=FQ","FILING_STATUS=MR","SCALING_FORMAT=MLN","Sort=A","Dates=H","DateFormat=P","Fill=—","Direction=H","UseDPDF=Y")</f>
        <v>2.601</v>
      </c>
      <c r="N74" s="13" t="str">
        <f>_xll.BDH("BLUE US Equity","ARDR_STOCK_OPT_EXPENSE_BEF_TAX","FQ1 2021","FQ1 2021","Currency=USD","Period=FQ","BEST_FPERIOD_OVERRIDE=FQ","FILING_STATUS=MR","SCALING_FORMAT=MLN","Sort=A","Dates=H","DateFormat=P","Fill=—","Direction=H","UseDPDF=Y")</f>
        <v>—</v>
      </c>
      <c r="O74" s="13">
        <f>_xll.BDH("BLUE US Equity","ARDR_STOCK_OPT_EXPENSE_BEF_TAX","FQ2 2021","FQ2 2021","Currency=USD","Period=FQ","BEST_FPERIOD_OVERRIDE=FQ","FILING_STATUS=MR","SCALING_FORMAT=MLN","Sort=A","Dates=H","DateFormat=P","Fill=—","Direction=H","UseDPDF=Y")</f>
        <v>17.324000000000002</v>
      </c>
      <c r="P74" s="13">
        <f>_xll.BDH("BLUE US Equity","ARDR_STOCK_OPT_EXPENSE_BEF_TAX","FQ3 2021","FQ3 2021","Currency=USD","Period=FQ","BEST_FPERIOD_OVERRIDE=FQ","FILING_STATUS=MR","SCALING_FORMAT=MLN","Sort=A","Dates=H","DateFormat=P","Fill=—","Direction=H","UseDPDF=Y")</f>
        <v>9.016</v>
      </c>
      <c r="Q74" s="13">
        <f>_xll.BDH("BLUE US Equity","ARDR_STOCK_OPT_EXPENSE_BEF_TAX","FQ4 2021","FQ4 2021","Currency=USD","Period=FQ","BEST_FPERIOD_OVERRIDE=FQ","FILING_STATUS=MR","SCALING_FORMAT=MLN","Sort=A","Dates=H","DateFormat=P","Fill=—","Direction=H","UseDPDF=Y")</f>
        <v>2.9889999999999999</v>
      </c>
      <c r="R74" s="13" t="str">
        <f>_xll.BDH("BLUE US Equity","ARDR_STOCK_OPT_EXPENSE_BEF_TAX","FQ1 2022","FQ1 2022","Currency=USD","Period=FQ","BEST_FPERIOD_OVERRIDE=FQ","FILING_STATUS=MR","SCALING_FORMAT=MLN","Sort=A","Dates=H","DateFormat=P","Fill=—","Direction=H","UseDPDF=Y")</f>
        <v>—</v>
      </c>
      <c r="S74" s="13" t="str">
        <f>_xll.BDH("BLUE US Equity","ARDR_STOCK_OPT_EXPENSE_BEF_TAX","FQ2 2022","FQ2 2022","Currency=USD","Period=FQ","BEST_FPERIOD_OVERRIDE=FQ","FILING_STATUS=MR","SCALING_FORMAT=MLN","Sort=A","Dates=H","DateFormat=P","Fill=—","Direction=H","UseDPDF=Y")</f>
        <v>—</v>
      </c>
      <c r="T74" s="13">
        <f>_xll.BDH("BLUE US Equity","ARDR_STOCK_OPT_EXPENSE_BEF_TAX","FQ3 2022","FQ3 2022","Currency=USD","Period=FQ","BEST_FPERIOD_OVERRIDE=FQ","FILING_STATUS=MR","SCALING_FORMAT=MLN","Sort=A","Dates=H","DateFormat=P","Fill=—","Direction=H","UseDPDF=Y")</f>
        <v>5.2370000000000001</v>
      </c>
      <c r="U74" s="13">
        <f>_xll.BDH("BLUE US Equity","ARDR_STOCK_OPT_EXPENSE_BEF_TAX","FQ4 2022","FQ4 2022","Currency=USD","Period=FQ","BEST_FPERIOD_OVERRIDE=FQ","FILING_STATUS=MR","SCALING_FORMAT=MLN","Sort=A","Dates=H","DateFormat=P","Fill=—","Direction=H","UseDPDF=Y")</f>
        <v>2.3820000000000001</v>
      </c>
      <c r="V74" s="13" t="str">
        <f>_xll.BDH("BLUE US Equity","ARDR_STOCK_OPT_EXPENSE_BEF_TAX","FQ1 2023","FQ1 2023","Currency=USD","Period=FQ","BEST_FPERIOD_OVERRIDE=FQ","FILING_STATUS=MR","SCALING_FORMAT=MLN","Sort=A","Dates=H","DateFormat=P","Fill=—","Direction=H","UseDPDF=Y")</f>
        <v>—</v>
      </c>
      <c r="W74" s="13">
        <f>_xll.BDH("BLUE US Equity","ARDR_STOCK_OPT_EXPENSE_BEF_TAX","FQ2 2023","FQ2 2023","Currency=USD","Period=FQ","BEST_FPERIOD_OVERRIDE=FQ","FILING_STATUS=MR","SCALING_FORMAT=MLN","Sort=A","Dates=H","DateFormat=P","Fill=—","Direction=H","UseDPDF=Y")</f>
        <v>1.71</v>
      </c>
      <c r="X74" s="13">
        <f>_xll.BDH("BLUE US Equity","ARDR_STOCK_OPT_EXPENSE_BEF_TAX","FQ3 2023","FQ3 2023","Currency=USD","Period=FQ","BEST_FPERIOD_OVERRIDE=FQ","FILING_STATUS=MR","SCALING_FORMAT=MLN","Sort=A","Dates=H","DateFormat=P","Fill=—","Direction=H","UseDPDF=Y")</f>
        <v>1.758</v>
      </c>
      <c r="Y74" s="13" t="str">
        <f>_xll.BDH("BLUE US Equity","ARDR_STOCK_OPT_EXPENSE_BEF_TAX","FQ1 2024","FQ1 2024","Currency=USD","Period=FQ","BEST_FPERIOD_OVERRIDE=FQ","FILING_STATUS=MR","SCALING_FORMAT=MLN","Sort=A","Dates=H","DateFormat=P","Fill=—","Direction=H","UseDPDF=Y")</f>
        <v>—</v>
      </c>
      <c r="Z74" s="13">
        <f>_xll.BDH("BLUE US Equity","ARDR_STOCK_OPT_EXPENSE_BEF_TAX","FQ2 2024","FQ2 2024","Currency=USD","Period=FQ","BEST_FPERIOD_OVERRIDE=FQ","FILING_STATUS=MR","SCALING_FORMAT=MLN","Sort=A","Dates=H","DateFormat=P","Fill=—","Direction=H","UseDPDF=Y")</f>
        <v>1.1919999999999999</v>
      </c>
      <c r="AA74" s="13">
        <f>_xll.BDH("BLUE US Equity","ARDR_STOCK_OPT_EXPENSE_BEF_TAX","FQ3 2024","FQ3 2024","Currency=USD","Period=FQ","BEST_FPERIOD_OVERRIDE=FQ","FILING_STATUS=MR","SCALING_FORMAT=MLN","Sort=A","Dates=H","DateFormat=P","Fill=—","Direction=H","UseDPDF=Y")</f>
        <v>0.92</v>
      </c>
    </row>
    <row r="75" spans="1:27" x14ac:dyDescent="0.25">
      <c r="A75" s="10" t="s">
        <v>503</v>
      </c>
      <c r="B75" s="10" t="s">
        <v>504</v>
      </c>
      <c r="C75" s="13">
        <f>_xll.BDH("BLUE US Equity","ARDR_STOCK_BASED_CMPNSTN_IN_R&amp;D","FQ2 2018","FQ2 2018","Currency=USD","Period=FQ","BEST_FPERIOD_OVERRIDE=FQ","FILING_STATUS=MR","Sort=A","Dates=H","DateFormat=P","Fill=—","Direction=H","UseDPDF=Y")</f>
        <v>14.196</v>
      </c>
      <c r="D75" s="13">
        <f>_xll.BDH("BLUE US Equity","ARDR_STOCK_BASED_CMPNSTN_IN_R&amp;D","FQ3 2018","FQ3 2018","Currency=USD","Period=FQ","BEST_FPERIOD_OVERRIDE=FQ","FILING_STATUS=MR","Sort=A","Dates=H","DateFormat=P","Fill=—","Direction=H","UseDPDF=Y")</f>
        <v>14.445</v>
      </c>
      <c r="E75" s="13">
        <f>_xll.BDH("BLUE US Equity","ARDR_STOCK_BASED_CMPNSTN_IN_R&amp;D","FQ4 2018","FQ4 2018","Currency=USD","Period=FQ","BEST_FPERIOD_OVERRIDE=FQ","FILING_STATUS=MR","Sort=A","Dates=H","DateFormat=P","Fill=—","Direction=H","UseDPDF=Y")</f>
        <v>14.157</v>
      </c>
      <c r="F75" s="13">
        <f>_xll.BDH("BLUE US Equity","ARDR_STOCK_BASED_CMPNSTN_IN_R&amp;D","FQ1 2019","FQ1 2019","Currency=USD","Period=FQ","BEST_FPERIOD_OVERRIDE=FQ","FILING_STATUS=MR","Sort=A","Dates=H","DateFormat=P","Fill=—","Direction=H","UseDPDF=Y")</f>
        <v>15.516</v>
      </c>
      <c r="G75" s="13">
        <f>_xll.BDH("BLUE US Equity","ARDR_STOCK_BASED_CMPNSTN_IN_R&amp;D","FQ2 2019","FQ2 2019","Currency=USD","Period=FQ","BEST_FPERIOD_OVERRIDE=FQ","FILING_STATUS=MR","Sort=A","Dates=H","DateFormat=P","Fill=—","Direction=H","UseDPDF=Y")</f>
        <v>29.693999999999999</v>
      </c>
      <c r="H75" s="13">
        <f>_xll.BDH("BLUE US Equity","ARDR_STOCK_BASED_CMPNSTN_IN_R&amp;D","FQ3 2019","FQ3 2019","Currency=USD","Period=FQ","BEST_FPERIOD_OVERRIDE=FQ","FILING_STATUS=MR","Sort=A","Dates=H","DateFormat=P","Fill=—","Direction=H","UseDPDF=Y")</f>
        <v>18.600000000000001</v>
      </c>
      <c r="I75" s="13">
        <f>_xll.BDH("BLUE US Equity","ARDR_STOCK_BASED_CMPNSTN_IN_R&amp;D","FQ4 2019","FQ4 2019","Currency=USD","Period=FQ","BEST_FPERIOD_OVERRIDE=FQ","FILING_STATUS=MR","Sort=A","Dates=H","DateFormat=P","Fill=—","Direction=H","UseDPDF=Y")</f>
        <v>16.329000000000001</v>
      </c>
      <c r="J75" s="13">
        <f>_xll.BDH("BLUE US Equity","ARDR_STOCK_BASED_CMPNSTN_IN_R&amp;D","FQ1 2020","FQ1 2020","Currency=USD","Period=FQ","BEST_FPERIOD_OVERRIDE=FQ","FILING_STATUS=MR","Sort=A","Dates=H","DateFormat=P","Fill=—","Direction=H","UseDPDF=Y")</f>
        <v>16.268999999999998</v>
      </c>
      <c r="K75" s="13">
        <f>_xll.BDH("BLUE US Equity","ARDR_STOCK_BASED_CMPNSTN_IN_R&amp;D","FQ2 2020","FQ2 2020","Currency=USD","Period=FQ","BEST_FPERIOD_OVERRIDE=FQ","FILING_STATUS=MR","Sort=A","Dates=H","DateFormat=P","Fill=—","Direction=H","UseDPDF=Y")</f>
        <v>23.097999999999999</v>
      </c>
      <c r="L75" s="13">
        <f>_xll.BDH("BLUE US Equity","ARDR_STOCK_BASED_CMPNSTN_IN_R&amp;D","FQ3 2020","FQ3 2020","Currency=USD","Period=FQ","BEST_FPERIOD_OVERRIDE=FQ","FILING_STATUS=MR","Sort=A","Dates=H","DateFormat=P","Fill=—","Direction=H","UseDPDF=Y")</f>
        <v>18.837</v>
      </c>
      <c r="M75" s="13">
        <f>_xll.BDH("BLUE US Equity","ARDR_STOCK_BASED_CMPNSTN_IN_R&amp;D","FQ4 2020","FQ4 2020","Currency=USD","Period=FQ","BEST_FPERIOD_OVERRIDE=FQ","FILING_STATUS=MR","Sort=A","Dates=H","DateFormat=P","Fill=—","Direction=H","UseDPDF=Y")</f>
        <v>-8.4380000000000006</v>
      </c>
      <c r="N75" s="13">
        <f>_xll.BDH("BLUE US Equity","ARDR_STOCK_BASED_CMPNSTN_IN_R&amp;D","FQ1 2021","FQ1 2021","Currency=USD","Period=FQ","BEST_FPERIOD_OVERRIDE=FQ","FILING_STATUS=MR","Sort=A","Dates=H","DateFormat=P","Fill=—","Direction=H","UseDPDF=Y")</f>
        <v>12.39</v>
      </c>
      <c r="O75" s="13">
        <f>_xll.BDH("BLUE US Equity","ARDR_STOCK_BASED_CMPNSTN_IN_R&amp;D","FQ2 2021","FQ2 2021","Currency=USD","Period=FQ","BEST_FPERIOD_OVERRIDE=FQ","FILING_STATUS=MR","Sort=A","Dates=H","DateFormat=P","Fill=—","Direction=H","UseDPDF=Y")</f>
        <v>15.768000000000001</v>
      </c>
      <c r="P75" s="13">
        <f>_xll.BDH("BLUE US Equity","ARDR_STOCK_BASED_CMPNSTN_IN_R&amp;D","FQ3 2021","FQ3 2021","Currency=USD","Period=FQ","BEST_FPERIOD_OVERRIDE=FQ","FILING_STATUS=MR","Sort=A","Dates=H","DateFormat=P","Fill=—","Direction=H","UseDPDF=Y")</f>
        <v>9.016</v>
      </c>
      <c r="Q75" s="13">
        <f>_xll.BDH("BLUE US Equity","ARDR_STOCK_BASED_CMPNSTN_IN_R&amp;D","FQ4 2021","FQ4 2021","Currency=USD","Period=FQ","BEST_FPERIOD_OVERRIDE=FQ","FILING_STATUS=MR","Sort=A","Dates=H","DateFormat=P","Fill=—","Direction=H","UseDPDF=Y")</f>
        <v>-6.335</v>
      </c>
      <c r="R75" s="13">
        <f>_xll.BDH("BLUE US Equity","ARDR_STOCK_BASED_CMPNSTN_IN_R&amp;D","FQ1 2022","FQ1 2022","Currency=USD","Period=FQ","BEST_FPERIOD_OVERRIDE=FQ","FILING_STATUS=MR","Sort=A","Dates=H","DateFormat=P","Fill=—","Direction=H","UseDPDF=Y")</f>
        <v>6.5549999999999997</v>
      </c>
      <c r="S75" s="13">
        <f>_xll.BDH("BLUE US Equity","ARDR_STOCK_BASED_CMPNSTN_IN_R&amp;D","FQ2 2022","FQ2 2022","Currency=USD","Period=FQ","BEST_FPERIOD_OVERRIDE=FQ","FILING_STATUS=MR","Sort=A","Dates=H","DateFormat=P","Fill=—","Direction=H","UseDPDF=Y")</f>
        <v>5.2549999999999999</v>
      </c>
      <c r="T75" s="13">
        <f>_xll.BDH("BLUE US Equity","ARDR_STOCK_BASED_CMPNSTN_IN_R&amp;D","FQ3 2022","FQ3 2022","Currency=USD","Period=FQ","BEST_FPERIOD_OVERRIDE=FQ","FILING_STATUS=MR","Sort=A","Dates=H","DateFormat=P","Fill=—","Direction=H","UseDPDF=Y")</f>
        <v>5.2370000000000001</v>
      </c>
      <c r="U75" s="13">
        <f>_xll.BDH("BLUE US Equity","ARDR_STOCK_BASED_CMPNSTN_IN_R&amp;D","FQ4 2022","FQ4 2022","Currency=USD","Period=FQ","BEST_FPERIOD_OVERRIDE=FQ","FILING_STATUS=MR","Sort=A","Dates=H","DateFormat=P","Fill=—","Direction=H","UseDPDF=Y")</f>
        <v>2.2120000000000002</v>
      </c>
      <c r="V75" s="13">
        <f>_xll.BDH("BLUE US Equity","ARDR_STOCK_BASED_CMPNSTN_IN_R&amp;D","FQ1 2023","FQ1 2023","Currency=USD","Period=FQ","BEST_FPERIOD_OVERRIDE=FQ","FILING_STATUS=MR","Sort=A","Dates=H","DateFormat=P","Fill=—","Direction=H","UseDPDF=Y")</f>
        <v>2.927</v>
      </c>
      <c r="W75" s="13">
        <f>_xll.BDH("BLUE US Equity","ARDR_STOCK_BASED_CMPNSTN_IN_R&amp;D","FQ2 2023","FQ2 2023","Currency=USD","Period=FQ","BEST_FPERIOD_OVERRIDE=FQ","FILING_STATUS=MR","Sort=A","Dates=H","DateFormat=P","Fill=—","Direction=H","UseDPDF=Y")</f>
        <v>3.0830000000000002</v>
      </c>
      <c r="X75" s="13">
        <f>_xll.BDH("BLUE US Equity","ARDR_STOCK_BASED_CMPNSTN_IN_R&amp;D","FQ3 2023","FQ3 2023","Currency=USD","Period=FQ","BEST_FPERIOD_OVERRIDE=FQ","FILING_STATUS=MR","Sort=A","Dates=H","DateFormat=P","Fill=—","Direction=H","UseDPDF=Y")</f>
        <v>2.0649999999999999</v>
      </c>
      <c r="Y75" s="13">
        <f>_xll.BDH("BLUE US Equity","ARDR_STOCK_BASED_CMPNSTN_IN_R&amp;D","FQ1 2024","FQ1 2024","Currency=USD","Period=FQ","BEST_FPERIOD_OVERRIDE=FQ","FILING_STATUS=MR","Sort=A","Dates=H","DateFormat=P","Fill=—","Direction=H","UseDPDF=Y")</f>
        <v>0.93500000000000005</v>
      </c>
      <c r="Z75" s="13">
        <f>_xll.BDH("BLUE US Equity","ARDR_STOCK_BASED_CMPNSTN_IN_R&amp;D","FQ2 2024","FQ2 2024","Currency=USD","Period=FQ","BEST_FPERIOD_OVERRIDE=FQ","FILING_STATUS=MR","Sort=A","Dates=H","DateFormat=P","Fill=—","Direction=H","UseDPDF=Y")</f>
        <v>1.119</v>
      </c>
      <c r="AA75" s="13">
        <f>_xll.BDH("BLUE US Equity","ARDR_STOCK_BASED_CMPNSTN_IN_R&amp;D","FQ3 2024","FQ3 2024","Currency=USD","Period=FQ","BEST_FPERIOD_OVERRIDE=FQ","FILING_STATUS=MR","Sort=A","Dates=H","DateFormat=P","Fill=—","Direction=H","UseDPDF=Y")</f>
        <v>0.68100000000000005</v>
      </c>
    </row>
    <row r="76" spans="1:27" x14ac:dyDescent="0.25">
      <c r="A76" s="10" t="s">
        <v>505</v>
      </c>
      <c r="B76" s="10" t="s">
        <v>506</v>
      </c>
      <c r="C76" s="13" t="str">
        <f>_xll.BDH("BLUE US Equity","ARDR_STOCK_BASED_CMPNSTN_IN_SG&amp;A","FQ2 2018","FQ2 2018","Currency=USD","Period=FQ","BEST_FPERIOD_OVERRIDE=FQ","FILING_STATUS=MR","Sort=A","Dates=H","DateFormat=P","Fill=—","Direction=H","UseDPDF=Y")</f>
        <v>—</v>
      </c>
      <c r="D76" s="13" t="str">
        <f>_xll.BDH("BLUE US Equity","ARDR_STOCK_BASED_CMPNSTN_IN_SG&amp;A","FQ3 2018","FQ3 2018","Currency=USD","Period=FQ","BEST_FPERIOD_OVERRIDE=FQ","FILING_STATUS=MR","Sort=A","Dates=H","DateFormat=P","Fill=—","Direction=H","UseDPDF=Y")</f>
        <v>—</v>
      </c>
      <c r="E76" s="13" t="str">
        <f>_xll.BDH("BLUE US Equity","ARDR_STOCK_BASED_CMPNSTN_IN_SG&amp;A","FQ4 2018","FQ4 2018","Currency=USD","Period=FQ","BEST_FPERIOD_OVERRIDE=FQ","FILING_STATUS=MR","Sort=A","Dates=H","DateFormat=P","Fill=—","Direction=H","UseDPDF=Y")</f>
        <v>—</v>
      </c>
      <c r="F76" s="13" t="str">
        <f>_xll.BDH("BLUE US Equity","ARDR_STOCK_BASED_CMPNSTN_IN_SG&amp;A","FQ1 2019","FQ1 2019","Currency=USD","Period=FQ","BEST_FPERIOD_OVERRIDE=FQ","FILING_STATUS=MR","Sort=A","Dates=H","DateFormat=P","Fill=—","Direction=H","UseDPDF=Y")</f>
        <v>—</v>
      </c>
      <c r="G76" s="13" t="str">
        <f>_xll.BDH("BLUE US Equity","ARDR_STOCK_BASED_CMPNSTN_IN_SG&amp;A","FQ2 2019","FQ2 2019","Currency=USD","Period=FQ","BEST_FPERIOD_OVERRIDE=FQ","FILING_STATUS=MR","Sort=A","Dates=H","DateFormat=P","Fill=—","Direction=H","UseDPDF=Y")</f>
        <v>—</v>
      </c>
      <c r="H76" s="13" t="str">
        <f>_xll.BDH("BLUE US Equity","ARDR_STOCK_BASED_CMPNSTN_IN_SG&amp;A","FQ3 2019","FQ3 2019","Currency=USD","Period=FQ","BEST_FPERIOD_OVERRIDE=FQ","FILING_STATUS=MR","Sort=A","Dates=H","DateFormat=P","Fill=—","Direction=H","UseDPDF=Y")</f>
        <v>—</v>
      </c>
      <c r="I76" s="13" t="str">
        <f>_xll.BDH("BLUE US Equity","ARDR_STOCK_BASED_CMPNSTN_IN_SG&amp;A","FQ4 2019","FQ4 2019","Currency=USD","Period=FQ","BEST_FPERIOD_OVERRIDE=FQ","FILING_STATUS=MR","Sort=A","Dates=H","DateFormat=P","Fill=—","Direction=H","UseDPDF=Y")</f>
        <v>—</v>
      </c>
      <c r="J76" s="13" t="str">
        <f>_xll.BDH("BLUE US Equity","ARDR_STOCK_BASED_CMPNSTN_IN_SG&amp;A","FQ1 2020","FQ1 2020","Currency=USD","Period=FQ","BEST_FPERIOD_OVERRIDE=FQ","FILING_STATUS=MR","Sort=A","Dates=H","DateFormat=P","Fill=—","Direction=H","UseDPDF=Y")</f>
        <v>—</v>
      </c>
      <c r="K76" s="13" t="str">
        <f>_xll.BDH("BLUE US Equity","ARDR_STOCK_BASED_CMPNSTN_IN_SG&amp;A","FQ2 2020","FQ2 2020","Currency=USD","Period=FQ","BEST_FPERIOD_OVERRIDE=FQ","FILING_STATUS=MR","Sort=A","Dates=H","DateFormat=P","Fill=—","Direction=H","UseDPDF=Y")</f>
        <v>—</v>
      </c>
      <c r="L76" s="13" t="str">
        <f>_xll.BDH("BLUE US Equity","ARDR_STOCK_BASED_CMPNSTN_IN_SG&amp;A","FQ3 2020","FQ3 2020","Currency=USD","Period=FQ","BEST_FPERIOD_OVERRIDE=FQ","FILING_STATUS=MR","Sort=A","Dates=H","DateFormat=P","Fill=—","Direction=H","UseDPDF=Y")</f>
        <v>—</v>
      </c>
      <c r="M76" s="13">
        <f>_xll.BDH("BLUE US Equity","ARDR_STOCK_BASED_CMPNSTN_IN_SG&amp;A","FQ4 2020","FQ4 2020","Currency=USD","Period=FQ","BEST_FPERIOD_OVERRIDE=FQ","FILING_STATUS=MR","Sort=A","Dates=H","DateFormat=P","Fill=—","Direction=H","UseDPDF=Y")</f>
        <v>7.3940000000000001</v>
      </c>
      <c r="N76" s="13">
        <f>_xll.BDH("BLUE US Equity","ARDR_STOCK_BASED_CMPNSTN_IN_SG&amp;A","FQ1 2021","FQ1 2021","Currency=USD","Period=FQ","BEST_FPERIOD_OVERRIDE=FQ","FILING_STATUS=MR","Sort=A","Dates=H","DateFormat=P","Fill=—","Direction=H","UseDPDF=Y")</f>
        <v>18.904</v>
      </c>
      <c r="O76" s="13" t="str">
        <f>_xll.BDH("BLUE US Equity","ARDR_STOCK_BASED_CMPNSTN_IN_SG&amp;A","FQ2 2021","FQ2 2021","Currency=USD","Period=FQ","BEST_FPERIOD_OVERRIDE=FQ","FILING_STATUS=MR","Sort=A","Dates=H","DateFormat=P","Fill=—","Direction=H","UseDPDF=Y")</f>
        <v>—</v>
      </c>
      <c r="P76" s="13" t="str">
        <f>_xll.BDH("BLUE US Equity","ARDR_STOCK_BASED_CMPNSTN_IN_SG&amp;A","FQ3 2021","FQ3 2021","Currency=USD","Period=FQ","BEST_FPERIOD_OVERRIDE=FQ","FILING_STATUS=MR","Sort=A","Dates=H","DateFormat=P","Fill=—","Direction=H","UseDPDF=Y")</f>
        <v>—</v>
      </c>
      <c r="Q76" s="13">
        <f>_xll.BDH("BLUE US Equity","ARDR_STOCK_BASED_CMPNSTN_IN_SG&amp;A","FQ4 2021","FQ4 2021","Currency=USD","Period=FQ","BEST_FPERIOD_OVERRIDE=FQ","FILING_STATUS=MR","Sort=A","Dates=H","DateFormat=P","Fill=—","Direction=H","UseDPDF=Y")</f>
        <v>3.2120000000000002</v>
      </c>
      <c r="R76" s="13">
        <f>_xll.BDH("BLUE US Equity","ARDR_STOCK_BASED_CMPNSTN_IN_SG&amp;A","FQ1 2022","FQ1 2022","Currency=USD","Period=FQ","BEST_FPERIOD_OVERRIDE=FQ","FILING_STATUS=MR","Sort=A","Dates=H","DateFormat=P","Fill=—","Direction=H","UseDPDF=Y")</f>
        <v>5.835</v>
      </c>
      <c r="S76" s="13">
        <f>_xll.BDH("BLUE US Equity","ARDR_STOCK_BASED_CMPNSTN_IN_SG&amp;A","FQ2 2022","FQ2 2022","Currency=USD","Period=FQ","BEST_FPERIOD_OVERRIDE=FQ","FILING_STATUS=MR","Sort=A","Dates=H","DateFormat=P","Fill=—","Direction=H","UseDPDF=Y")</f>
        <v>3.6520000000000001</v>
      </c>
      <c r="T76" s="13" t="str">
        <f>_xll.BDH("BLUE US Equity","ARDR_STOCK_BASED_CMPNSTN_IN_SG&amp;A","FQ3 2022","FQ3 2022","Currency=USD","Period=FQ","BEST_FPERIOD_OVERRIDE=FQ","FILING_STATUS=MR","Sort=A","Dates=H","DateFormat=P","Fill=—","Direction=H","UseDPDF=Y")</f>
        <v>—</v>
      </c>
      <c r="U76" s="13">
        <f>_xll.BDH("BLUE US Equity","ARDR_STOCK_BASED_CMPNSTN_IN_SG&amp;A","FQ4 2022","FQ4 2022","Currency=USD","Period=FQ","BEST_FPERIOD_OVERRIDE=FQ","FILING_STATUS=MR","Sort=A","Dates=H","DateFormat=P","Fill=—","Direction=H","UseDPDF=Y")</f>
        <v>2.4670000000000001</v>
      </c>
      <c r="V76" s="13">
        <f>_xll.BDH("BLUE US Equity","ARDR_STOCK_BASED_CMPNSTN_IN_SG&amp;A","FQ1 2023","FQ1 2023","Currency=USD","Period=FQ","BEST_FPERIOD_OVERRIDE=FQ","FILING_STATUS=MR","Sort=A","Dates=H","DateFormat=P","Fill=—","Direction=H","UseDPDF=Y")</f>
        <v>2.3610000000000002</v>
      </c>
      <c r="W76" s="13">
        <f>_xll.BDH("BLUE US Equity","ARDR_STOCK_BASED_CMPNSTN_IN_SG&amp;A","FQ2 2023","FQ2 2023","Currency=USD","Period=FQ","BEST_FPERIOD_OVERRIDE=FQ","FILING_STATUS=MR","Sort=A","Dates=H","DateFormat=P","Fill=—","Direction=H","UseDPDF=Y")</f>
        <v>2.681</v>
      </c>
      <c r="X76" s="13">
        <f>_xll.BDH("BLUE US Equity","ARDR_STOCK_BASED_CMPNSTN_IN_SG&amp;A","FQ3 2023","FQ3 2023","Currency=USD","Period=FQ","BEST_FPERIOD_OVERRIDE=FQ","FILING_STATUS=MR","Sort=A","Dates=H","DateFormat=P","Fill=—","Direction=H","UseDPDF=Y")</f>
        <v>2.4609999999999999</v>
      </c>
      <c r="Y76" s="13">
        <f>_xll.BDH("BLUE US Equity","ARDR_STOCK_BASED_CMPNSTN_IN_SG&amp;A","FQ1 2024","FQ1 2024","Currency=USD","Period=FQ","BEST_FPERIOD_OVERRIDE=FQ","FILING_STATUS=MR","Sort=A","Dates=H","DateFormat=P","Fill=—","Direction=H","UseDPDF=Y")</f>
        <v>2.335</v>
      </c>
      <c r="Z76" s="13">
        <f>_xll.BDH("BLUE US Equity","ARDR_STOCK_BASED_CMPNSTN_IN_SG&amp;A","FQ2 2024","FQ2 2024","Currency=USD","Period=FQ","BEST_FPERIOD_OVERRIDE=FQ","FILING_STATUS=MR","Sort=A","Dates=H","DateFormat=P","Fill=—","Direction=H","UseDPDF=Y")</f>
        <v>1.798</v>
      </c>
      <c r="AA76" s="13">
        <f>_xll.BDH("BLUE US Equity","ARDR_STOCK_BASED_CMPNSTN_IN_SG&amp;A","FQ3 2024","FQ3 2024","Currency=USD","Period=FQ","BEST_FPERIOD_OVERRIDE=FQ","FILING_STATUS=MR","Sort=A","Dates=H","DateFormat=P","Fill=—","Direction=H","UseDPDF=Y")</f>
        <v>1.65</v>
      </c>
    </row>
    <row r="77" spans="1:27" x14ac:dyDescent="0.25">
      <c r="A77" s="10" t="s">
        <v>507</v>
      </c>
      <c r="B77" s="10" t="s">
        <v>508</v>
      </c>
      <c r="C77" s="13" t="str">
        <f>_xll.BDH("BLUE US Equity","ARDR_STOCK_BASED_CMPNSTN_IN_COGS","FQ2 2018","FQ2 2018","Currency=USD","Period=FQ","BEST_FPERIOD_OVERRIDE=FQ","FILING_STATUS=MR","Sort=A","Dates=H","DateFormat=P","Fill=—","Direction=H","UseDPDF=Y")</f>
        <v>—</v>
      </c>
      <c r="D77" s="13" t="str">
        <f>_xll.BDH("BLUE US Equity","ARDR_STOCK_BASED_CMPNSTN_IN_COGS","FQ3 2018","FQ3 2018","Currency=USD","Period=FQ","BEST_FPERIOD_OVERRIDE=FQ","FILING_STATUS=MR","Sort=A","Dates=H","DateFormat=P","Fill=—","Direction=H","UseDPDF=Y")</f>
        <v>—</v>
      </c>
      <c r="E77" s="13" t="str">
        <f>_xll.BDH("BLUE US Equity","ARDR_STOCK_BASED_CMPNSTN_IN_COGS","FQ4 2018","FQ4 2018","Currency=USD","Period=FQ","BEST_FPERIOD_OVERRIDE=FQ","FILING_STATUS=MR","Sort=A","Dates=H","DateFormat=P","Fill=—","Direction=H","UseDPDF=Y")</f>
        <v>—</v>
      </c>
      <c r="F77" s="13" t="str">
        <f>_xll.BDH("BLUE US Equity","ARDR_STOCK_BASED_CMPNSTN_IN_COGS","FQ1 2019","FQ1 2019","Currency=USD","Period=FQ","BEST_FPERIOD_OVERRIDE=FQ","FILING_STATUS=MR","Sort=A","Dates=H","DateFormat=P","Fill=—","Direction=H","UseDPDF=Y")</f>
        <v>—</v>
      </c>
      <c r="G77" s="13" t="str">
        <f>_xll.BDH("BLUE US Equity","ARDR_STOCK_BASED_CMPNSTN_IN_COGS","FQ2 2019","FQ2 2019","Currency=USD","Period=FQ","BEST_FPERIOD_OVERRIDE=FQ","FILING_STATUS=MR","Sort=A","Dates=H","DateFormat=P","Fill=—","Direction=H","UseDPDF=Y")</f>
        <v>—</v>
      </c>
      <c r="H77" s="13" t="str">
        <f>_xll.BDH("BLUE US Equity","ARDR_STOCK_BASED_CMPNSTN_IN_COGS","FQ3 2019","FQ3 2019","Currency=USD","Period=FQ","BEST_FPERIOD_OVERRIDE=FQ","FILING_STATUS=MR","Sort=A","Dates=H","DateFormat=P","Fill=—","Direction=H","UseDPDF=Y")</f>
        <v>—</v>
      </c>
      <c r="I77" s="13" t="str">
        <f>_xll.BDH("BLUE US Equity","ARDR_STOCK_BASED_CMPNSTN_IN_COGS","FQ4 2019","FQ4 2019","Currency=USD","Period=FQ","BEST_FPERIOD_OVERRIDE=FQ","FILING_STATUS=MR","Sort=A","Dates=H","DateFormat=P","Fill=—","Direction=H","UseDPDF=Y")</f>
        <v>—</v>
      </c>
      <c r="J77" s="13" t="str">
        <f>_xll.BDH("BLUE US Equity","ARDR_STOCK_BASED_CMPNSTN_IN_COGS","FQ1 2020","FQ1 2020","Currency=USD","Period=FQ","BEST_FPERIOD_OVERRIDE=FQ","FILING_STATUS=MR","Sort=A","Dates=H","DateFormat=P","Fill=—","Direction=H","UseDPDF=Y")</f>
        <v>—</v>
      </c>
      <c r="K77" s="13" t="str">
        <f>_xll.BDH("BLUE US Equity","ARDR_STOCK_BASED_CMPNSTN_IN_COGS","FQ2 2020","FQ2 2020","Currency=USD","Period=FQ","BEST_FPERIOD_OVERRIDE=FQ","FILING_STATUS=MR","Sort=A","Dates=H","DateFormat=P","Fill=—","Direction=H","UseDPDF=Y")</f>
        <v>—</v>
      </c>
      <c r="L77" s="13" t="str">
        <f>_xll.BDH("BLUE US Equity","ARDR_STOCK_BASED_CMPNSTN_IN_COGS","FQ3 2020","FQ3 2020","Currency=USD","Period=FQ","BEST_FPERIOD_OVERRIDE=FQ","FILING_STATUS=MR","Sort=A","Dates=H","DateFormat=P","Fill=—","Direction=H","UseDPDF=Y")</f>
        <v>—</v>
      </c>
      <c r="M77" s="13" t="str">
        <f>_xll.BDH("BLUE US Equity","ARDR_STOCK_BASED_CMPNSTN_IN_COGS","FQ4 2020","FQ4 2020","Currency=USD","Period=FQ","BEST_FPERIOD_OVERRIDE=FQ","FILING_STATUS=MR","Sort=A","Dates=H","DateFormat=P","Fill=—","Direction=H","UseDPDF=Y")</f>
        <v>—</v>
      </c>
      <c r="N77" s="13" t="str">
        <f>_xll.BDH("BLUE US Equity","ARDR_STOCK_BASED_CMPNSTN_IN_COGS","FQ1 2021","FQ1 2021","Currency=USD","Period=FQ","BEST_FPERIOD_OVERRIDE=FQ","FILING_STATUS=MR","Sort=A","Dates=H","DateFormat=P","Fill=—","Direction=H","UseDPDF=Y")</f>
        <v>—</v>
      </c>
      <c r="O77" s="13" t="str">
        <f>_xll.BDH("BLUE US Equity","ARDR_STOCK_BASED_CMPNSTN_IN_COGS","FQ2 2021","FQ2 2021","Currency=USD","Period=FQ","BEST_FPERIOD_OVERRIDE=FQ","FILING_STATUS=MR","Sort=A","Dates=H","DateFormat=P","Fill=—","Direction=H","UseDPDF=Y")</f>
        <v>—</v>
      </c>
      <c r="P77" s="13" t="str">
        <f>_xll.BDH("BLUE US Equity","ARDR_STOCK_BASED_CMPNSTN_IN_COGS","FQ3 2021","FQ3 2021","Currency=USD","Period=FQ","BEST_FPERIOD_OVERRIDE=FQ","FILING_STATUS=MR","Sort=A","Dates=H","DateFormat=P","Fill=—","Direction=H","UseDPDF=Y")</f>
        <v>—</v>
      </c>
      <c r="Q77" s="13" t="str">
        <f>_xll.BDH("BLUE US Equity","ARDR_STOCK_BASED_CMPNSTN_IN_COGS","FQ4 2021","FQ4 2021","Currency=USD","Period=FQ","BEST_FPERIOD_OVERRIDE=FQ","FILING_STATUS=MR","Sort=A","Dates=H","DateFormat=P","Fill=—","Direction=H","UseDPDF=Y")</f>
        <v>—</v>
      </c>
      <c r="R77" s="13" t="str">
        <f>_xll.BDH("BLUE US Equity","ARDR_STOCK_BASED_CMPNSTN_IN_COGS","FQ1 2022","FQ1 2022","Currency=USD","Period=FQ","BEST_FPERIOD_OVERRIDE=FQ","FILING_STATUS=MR","Sort=A","Dates=H","DateFormat=P","Fill=—","Direction=H","UseDPDF=Y")</f>
        <v>—</v>
      </c>
      <c r="S77" s="13" t="str">
        <f>_xll.BDH("BLUE US Equity","ARDR_STOCK_BASED_CMPNSTN_IN_COGS","FQ2 2022","FQ2 2022","Currency=USD","Period=FQ","BEST_FPERIOD_OVERRIDE=FQ","FILING_STATUS=MR","Sort=A","Dates=H","DateFormat=P","Fill=—","Direction=H","UseDPDF=Y")</f>
        <v>—</v>
      </c>
      <c r="T77" s="13" t="str">
        <f>_xll.BDH("BLUE US Equity","ARDR_STOCK_BASED_CMPNSTN_IN_COGS","FQ3 2022","FQ3 2022","Currency=USD","Period=FQ","BEST_FPERIOD_OVERRIDE=FQ","FILING_STATUS=MR","Sort=A","Dates=H","DateFormat=P","Fill=—","Direction=H","UseDPDF=Y")</f>
        <v>—</v>
      </c>
      <c r="U77" s="13" t="str">
        <f>_xll.BDH("BLUE US Equity","ARDR_STOCK_BASED_CMPNSTN_IN_COGS","FQ4 2022","FQ4 2022","Currency=USD","Period=FQ","BEST_FPERIOD_OVERRIDE=FQ","FILING_STATUS=MR","Sort=A","Dates=H","DateFormat=P","Fill=—","Direction=H","UseDPDF=Y")</f>
        <v>—</v>
      </c>
      <c r="V77" s="13">
        <f>_xll.BDH("BLUE US Equity","ARDR_STOCK_BASED_CMPNSTN_IN_COGS","FQ1 2023","FQ1 2023","Currency=USD","Period=FQ","BEST_FPERIOD_OVERRIDE=FQ","FILING_STATUS=MR","Sort=A","Dates=H","DateFormat=P","Fill=—","Direction=H","UseDPDF=Y")</f>
        <v>0.10299999999999999</v>
      </c>
      <c r="W77" s="13">
        <f>_xll.BDH("BLUE US Equity","ARDR_STOCK_BASED_CMPNSTN_IN_COGS","FQ2 2023","FQ2 2023","Currency=USD","Period=FQ","BEST_FPERIOD_OVERRIDE=FQ","FILING_STATUS=MR","Sort=A","Dates=H","DateFormat=P","Fill=—","Direction=H","UseDPDF=Y")</f>
        <v>-0.01</v>
      </c>
      <c r="X77" s="13">
        <f>_xll.BDH("BLUE US Equity","ARDR_STOCK_BASED_CMPNSTN_IN_COGS","FQ3 2023","FQ3 2023","Currency=USD","Period=FQ","BEST_FPERIOD_OVERRIDE=FQ","FILING_STATUS=MR","Sort=A","Dates=H","DateFormat=P","Fill=—","Direction=H","UseDPDF=Y")</f>
        <v>0.34200000000000003</v>
      </c>
      <c r="Y77" s="13">
        <f>_xll.BDH("BLUE US Equity","ARDR_STOCK_BASED_CMPNSTN_IN_COGS","FQ1 2024","FQ1 2024","Currency=USD","Period=FQ","BEST_FPERIOD_OVERRIDE=FQ","FILING_STATUS=MR","Sort=A","Dates=H","DateFormat=P","Fill=—","Direction=H","UseDPDF=Y")</f>
        <v>0.49099999999999999</v>
      </c>
      <c r="Z77" s="13">
        <f>_xll.BDH("BLUE US Equity","ARDR_STOCK_BASED_CMPNSTN_IN_COGS","FQ2 2024","FQ2 2024","Currency=USD","Period=FQ","BEST_FPERIOD_OVERRIDE=FQ","FILING_STATUS=MR","Sort=A","Dates=H","DateFormat=P","Fill=—","Direction=H","UseDPDF=Y")</f>
        <v>0.28899999999999998</v>
      </c>
      <c r="AA77" s="13">
        <f>_xll.BDH("BLUE US Equity","ARDR_STOCK_BASED_CMPNSTN_IN_COGS","FQ3 2024","FQ3 2024","Currency=USD","Period=FQ","BEST_FPERIOD_OVERRIDE=FQ","FILING_STATUS=MR","Sort=A","Dates=H","DateFormat=P","Fill=—","Direction=H","UseDPDF=Y")</f>
        <v>0.10199999999999999</v>
      </c>
    </row>
    <row r="78" spans="1:27" x14ac:dyDescent="0.25">
      <c r="A78" s="10" t="s">
        <v>509</v>
      </c>
      <c r="B78" s="10" t="s">
        <v>510</v>
      </c>
      <c r="C78" s="13">
        <f>_xll.BDH("BLUE US Equity","ARDR_STK_BSD_COMP_ATTRIB_TO_G&amp;AE","FQ2 2018","FQ2 2018","Currency=USD","Period=FQ","BEST_FPERIOD_OVERRIDE=FQ","FILING_STATUS=MR","Sort=A","Dates=H","DateFormat=P","Fill=—","Direction=H","UseDPDF=Y")</f>
        <v>13.86</v>
      </c>
      <c r="D78" s="13">
        <f>_xll.BDH("BLUE US Equity","ARDR_STK_BSD_COMP_ATTRIB_TO_G&amp;AE","FQ3 2018","FQ3 2018","Currency=USD","Period=FQ","BEST_FPERIOD_OVERRIDE=FQ","FILING_STATUS=MR","Sort=A","Dates=H","DateFormat=P","Fill=—","Direction=H","UseDPDF=Y")</f>
        <v>15.352</v>
      </c>
      <c r="E78" s="13">
        <f>_xll.BDH("BLUE US Equity","ARDR_STK_BSD_COMP_ATTRIB_TO_G&amp;AE","FQ4 2018","FQ4 2018","Currency=USD","Period=FQ","BEST_FPERIOD_OVERRIDE=FQ","FILING_STATUS=MR","Sort=A","Dates=H","DateFormat=P","Fill=—","Direction=H","UseDPDF=Y")</f>
        <v>15.83</v>
      </c>
      <c r="F78" s="13">
        <f>_xll.BDH("BLUE US Equity","ARDR_STK_BSD_COMP_ATTRIB_TO_G&amp;AE","FQ1 2019","FQ1 2019","Currency=USD","Period=FQ","BEST_FPERIOD_OVERRIDE=FQ","FILING_STATUS=MR","Sort=A","Dates=H","DateFormat=P","Fill=—","Direction=H","UseDPDF=Y")</f>
        <v>16.824999999999999</v>
      </c>
      <c r="G78" s="13">
        <f>_xll.BDH("BLUE US Equity","ARDR_STK_BSD_COMP_ATTRIB_TO_G&amp;AE","FQ2 2019","FQ2 2019","Currency=USD","Period=FQ","BEST_FPERIOD_OVERRIDE=FQ","FILING_STATUS=MR","Sort=A","Dates=H","DateFormat=P","Fill=—","Direction=H","UseDPDF=Y")</f>
        <v>25.417000000000002</v>
      </c>
      <c r="H78" s="13">
        <f>_xll.BDH("BLUE US Equity","ARDR_STK_BSD_COMP_ATTRIB_TO_G&amp;AE","FQ3 2019","FQ3 2019","Currency=USD","Period=FQ","BEST_FPERIOD_OVERRIDE=FQ","FILING_STATUS=MR","Sort=A","Dates=H","DateFormat=P","Fill=—","Direction=H","UseDPDF=Y")</f>
        <v>19.946000000000002</v>
      </c>
      <c r="I78" s="13">
        <f>_xll.BDH("BLUE US Equity","ARDR_STK_BSD_COMP_ATTRIB_TO_G&amp;AE","FQ4 2019","FQ4 2019","Currency=USD","Period=FQ","BEST_FPERIOD_OVERRIDE=FQ","FILING_STATUS=MR","Sort=A","Dates=H","DateFormat=P","Fill=—","Direction=H","UseDPDF=Y")</f>
        <v>16.329000000000001</v>
      </c>
      <c r="J78" s="13">
        <f>_xll.BDH("BLUE US Equity","ARDR_STK_BSD_COMP_ATTRIB_TO_G&amp;AE","FQ1 2020","FQ1 2020","Currency=USD","Period=FQ","BEST_FPERIOD_OVERRIDE=FQ","FILING_STATUS=MR","Sort=A","Dates=H","DateFormat=P","Fill=—","Direction=H","UseDPDF=Y")</f>
        <v>20.024000000000001</v>
      </c>
      <c r="K78" s="13">
        <f>_xll.BDH("BLUE US Equity","ARDR_STK_BSD_COMP_ATTRIB_TO_G&amp;AE","FQ2 2020","FQ2 2020","Currency=USD","Period=FQ","BEST_FPERIOD_OVERRIDE=FQ","FILING_STATUS=MR","Sort=A","Dates=H","DateFormat=P","Fill=—","Direction=H","UseDPDF=Y")</f>
        <v>25.431000000000001</v>
      </c>
      <c r="L78" s="13">
        <f>_xll.BDH("BLUE US Equity","ARDR_STK_BSD_COMP_ATTRIB_TO_G&amp;AE","FQ3 2020","FQ3 2020","Currency=USD","Period=FQ","BEST_FPERIOD_OVERRIDE=FQ","FILING_STATUS=MR","Sort=A","Dates=H","DateFormat=P","Fill=—","Direction=H","UseDPDF=Y")</f>
        <v>19.981000000000002</v>
      </c>
      <c r="M78" s="13" t="str">
        <f>_xll.BDH("BLUE US Equity","ARDR_STK_BSD_COMP_ATTRIB_TO_G&amp;AE","FQ4 2020","FQ4 2020","Currency=USD","Period=FQ","BEST_FPERIOD_OVERRIDE=FQ","FILING_STATUS=MR","Sort=A","Dates=H","DateFormat=P","Fill=—","Direction=H","UseDPDF=Y")</f>
        <v>—</v>
      </c>
      <c r="N78" s="13" t="str">
        <f>_xll.BDH("BLUE US Equity","ARDR_STK_BSD_COMP_ATTRIB_TO_G&amp;AE","FQ1 2021","FQ1 2021","Currency=USD","Period=FQ","BEST_FPERIOD_OVERRIDE=FQ","FILING_STATUS=MR","Sort=A","Dates=H","DateFormat=P","Fill=—","Direction=H","UseDPDF=Y")</f>
        <v>—</v>
      </c>
      <c r="O78" s="13">
        <f>_xll.BDH("BLUE US Equity","ARDR_STK_BSD_COMP_ATTRIB_TO_G&amp;AE","FQ2 2021","FQ2 2021","Currency=USD","Period=FQ","BEST_FPERIOD_OVERRIDE=FQ","FILING_STATUS=MR","Sort=A","Dates=H","DateFormat=P","Fill=—","Direction=H","UseDPDF=Y")</f>
        <v>15.282999999999999</v>
      </c>
      <c r="P78" s="13">
        <f>_xll.BDH("BLUE US Equity","ARDR_STK_BSD_COMP_ATTRIB_TO_G&amp;AE","FQ3 2021","FQ3 2021","Currency=USD","Period=FQ","BEST_FPERIOD_OVERRIDE=FQ","FILING_STATUS=MR","Sort=A","Dates=H","DateFormat=P","Fill=—","Direction=H","UseDPDF=Y")</f>
        <v>12.238</v>
      </c>
      <c r="Q78" s="13" t="str">
        <f>_xll.BDH("BLUE US Equity","ARDR_STK_BSD_COMP_ATTRIB_TO_G&amp;AE","FQ4 2021","FQ4 2021","Currency=USD","Period=FQ","BEST_FPERIOD_OVERRIDE=FQ","FILING_STATUS=MR","Sort=A","Dates=H","DateFormat=P","Fill=—","Direction=H","UseDPDF=Y")</f>
        <v>—</v>
      </c>
      <c r="R78" s="13" t="str">
        <f>_xll.BDH("BLUE US Equity","ARDR_STK_BSD_COMP_ATTRIB_TO_G&amp;AE","FQ1 2022","FQ1 2022","Currency=USD","Period=FQ","BEST_FPERIOD_OVERRIDE=FQ","FILING_STATUS=MR","Sort=A","Dates=H","DateFormat=P","Fill=—","Direction=H","UseDPDF=Y")</f>
        <v>—</v>
      </c>
      <c r="S78" s="13" t="str">
        <f>_xll.BDH("BLUE US Equity","ARDR_STK_BSD_COMP_ATTRIB_TO_G&amp;AE","FQ2 2022","FQ2 2022","Currency=USD","Period=FQ","BEST_FPERIOD_OVERRIDE=FQ","FILING_STATUS=MR","Sort=A","Dates=H","DateFormat=P","Fill=—","Direction=H","UseDPDF=Y")</f>
        <v>—</v>
      </c>
      <c r="T78" s="13">
        <f>_xll.BDH("BLUE US Equity","ARDR_STK_BSD_COMP_ATTRIB_TO_G&amp;AE","FQ3 2022","FQ3 2022","Currency=USD","Period=FQ","BEST_FPERIOD_OVERRIDE=FQ","FILING_STATUS=MR","Sort=A","Dates=H","DateFormat=P","Fill=—","Direction=H","UseDPDF=Y")</f>
        <v>3.9750000000000001</v>
      </c>
      <c r="U78" s="13" t="str">
        <f>_xll.BDH("BLUE US Equity","ARDR_STK_BSD_COMP_ATTRIB_TO_G&amp;AE","FQ4 2022","FQ4 2022","Currency=USD","Period=FQ","BEST_FPERIOD_OVERRIDE=FQ","FILING_STATUS=MR","Sort=A","Dates=H","DateFormat=P","Fill=—","Direction=H","UseDPDF=Y")</f>
        <v>—</v>
      </c>
      <c r="V78" s="13" t="str">
        <f>_xll.BDH("BLUE US Equity","ARDR_STK_BSD_COMP_ATTRIB_TO_G&amp;AE","FQ1 2023","FQ1 2023","Currency=USD","Period=FQ","BEST_FPERIOD_OVERRIDE=FQ","FILING_STATUS=MR","Sort=A","Dates=H","DateFormat=P","Fill=—","Direction=H","UseDPDF=Y")</f>
        <v>—</v>
      </c>
      <c r="W78" s="13" t="str">
        <f>_xll.BDH("BLUE US Equity","ARDR_STK_BSD_COMP_ATTRIB_TO_G&amp;AE","FQ2 2023","FQ2 2023","Currency=USD","Period=FQ","BEST_FPERIOD_OVERRIDE=FQ","FILING_STATUS=MR","Sort=A","Dates=H","DateFormat=P","Fill=—","Direction=H","UseDPDF=Y")</f>
        <v>—</v>
      </c>
      <c r="X78" s="13" t="str">
        <f>_xll.BDH("BLUE US Equity","ARDR_STK_BSD_COMP_ATTRIB_TO_G&amp;AE","FQ3 2023","FQ3 2023","Currency=USD","Period=FQ","BEST_FPERIOD_OVERRIDE=FQ","FILING_STATUS=MR","Sort=A","Dates=H","DateFormat=P","Fill=—","Direction=H","UseDPDF=Y")</f>
        <v>—</v>
      </c>
      <c r="Y78" s="13" t="str">
        <f>_xll.BDH("BLUE US Equity","ARDR_STK_BSD_COMP_ATTRIB_TO_G&amp;AE","FQ1 2024","FQ1 2024","Currency=USD","Period=FQ","BEST_FPERIOD_OVERRIDE=FQ","FILING_STATUS=MR","Sort=A","Dates=H","DateFormat=P","Fill=—","Direction=H","UseDPDF=Y")</f>
        <v>—</v>
      </c>
      <c r="Z78" s="13" t="str">
        <f>_xll.BDH("BLUE US Equity","ARDR_STK_BSD_COMP_ATTRIB_TO_G&amp;AE","FQ2 2024","FQ2 2024","Currency=USD","Period=FQ","BEST_FPERIOD_OVERRIDE=FQ","FILING_STATUS=MR","Sort=A","Dates=H","DateFormat=P","Fill=—","Direction=H","UseDPDF=Y")</f>
        <v>—</v>
      </c>
      <c r="AA78" s="13" t="str">
        <f>_xll.BDH("BLUE US Equity","ARDR_STK_BSD_COMP_ATTRIB_TO_G&amp;AE","FQ3 2024","FQ3 2024","Currency=USD","Period=FQ","BEST_FPERIOD_OVERRIDE=FQ","FILING_STATUS=MR","Sort=A","Dates=H","DateFormat=P","Fill=—","Direction=H","UseDPDF=Y")</f>
        <v>—</v>
      </c>
    </row>
    <row r="79" spans="1:27" x14ac:dyDescent="0.25">
      <c r="A79" s="10" t="s">
        <v>511</v>
      </c>
      <c r="B79" s="10" t="s">
        <v>512</v>
      </c>
      <c r="C79" s="13">
        <f>_xll.BDH("BLUE US Equity","ARDR_STK_BSD_CMPNSTN_CF_PRE_TAX","FQ2 2018","FQ2 2018","Currency=USD","Period=FQ","BEST_FPERIOD_OVERRIDE=FQ","FILING_STATUS=MR","SCALING_FORMAT=MLN","Sort=A","Dates=H","DateFormat=P","Fill=—","Direction=H","UseDPDF=Y")</f>
        <v>28.056000000000001</v>
      </c>
      <c r="D79" s="13">
        <f>_xll.BDH("BLUE US Equity","ARDR_STK_BSD_CMPNSTN_CF_PRE_TAX","FQ3 2018","FQ3 2018","Currency=USD","Period=FQ","BEST_FPERIOD_OVERRIDE=FQ","FILING_STATUS=MR","SCALING_FORMAT=MLN","Sort=A","Dates=H","DateFormat=P","Fill=—","Direction=H","UseDPDF=Y")</f>
        <v>29.797999999999998</v>
      </c>
      <c r="E79" s="13">
        <f>_xll.BDH("BLUE US Equity","ARDR_STK_BSD_CMPNSTN_CF_PRE_TAX","FQ4 2018","FQ4 2018","Currency=USD","Period=FQ","BEST_FPERIOD_OVERRIDE=FQ","FILING_STATUS=MR","SCALING_FORMAT=MLN","Sort=A","Dates=H","DateFormat=P","Fill=—","Direction=H","UseDPDF=Y")</f>
        <v>29.986999999999998</v>
      </c>
      <c r="F79" s="13">
        <f>_xll.BDH("BLUE US Equity","ARDR_STK_BSD_CMPNSTN_CF_PRE_TAX","FQ1 2019","FQ1 2019","Currency=USD","Period=FQ","BEST_FPERIOD_OVERRIDE=FQ","FILING_STATUS=MR","SCALING_FORMAT=MLN","Sort=A","Dates=H","DateFormat=P","Fill=—","Direction=H","UseDPDF=Y")</f>
        <v>32.341000000000001</v>
      </c>
      <c r="G79" s="13">
        <f>_xll.BDH("BLUE US Equity","ARDR_STK_BSD_CMPNSTN_CF_PRE_TAX","FQ2 2019","FQ2 2019","Currency=USD","Period=FQ","BEST_FPERIOD_OVERRIDE=FQ","FILING_STATUS=MR","SCALING_FORMAT=MLN","Sort=A","Dates=H","DateFormat=P","Fill=—","Direction=H","UseDPDF=Y")</f>
        <v>55.110999999999997</v>
      </c>
      <c r="H79" s="13">
        <f>_xll.BDH("BLUE US Equity","ARDR_STK_BSD_CMPNSTN_CF_PRE_TAX","FQ3 2019","FQ3 2019","Currency=USD","Period=FQ","BEST_FPERIOD_OVERRIDE=FQ","FILING_STATUS=MR","SCALING_FORMAT=MLN","Sort=A","Dates=H","DateFormat=P","Fill=—","Direction=H","UseDPDF=Y")</f>
        <v>38.545999999999999</v>
      </c>
      <c r="I79" s="13">
        <f>_xll.BDH("BLUE US Equity","ARDR_STK_BSD_CMPNSTN_CF_PRE_TAX","FQ4 2019","FQ4 2019","Currency=USD","Period=FQ","BEST_FPERIOD_OVERRIDE=FQ","FILING_STATUS=MR","SCALING_FORMAT=MLN","Sort=A","Dates=H","DateFormat=P","Fill=—","Direction=H","UseDPDF=Y")</f>
        <v>34.631</v>
      </c>
      <c r="J79" s="13">
        <f>_xll.BDH("BLUE US Equity","ARDR_STK_BSD_CMPNSTN_CF_PRE_TAX","FQ1 2020","FQ1 2020","Currency=USD","Period=FQ","BEST_FPERIOD_OVERRIDE=FQ","FILING_STATUS=MR","SCALING_FORMAT=MLN","Sort=A","Dates=H","DateFormat=P","Fill=—","Direction=H","UseDPDF=Y")</f>
        <v>36.292999999999999</v>
      </c>
      <c r="K79" s="13">
        <f>_xll.BDH("BLUE US Equity","ARDR_STK_BSD_CMPNSTN_CF_PRE_TAX","FQ2 2020","FQ2 2020","Currency=USD","Period=FQ","BEST_FPERIOD_OVERRIDE=FQ","FILING_STATUS=MR","SCALING_FORMAT=MLN","Sort=A","Dates=H","DateFormat=P","Fill=—","Direction=H","UseDPDF=Y")</f>
        <v>48.529000000000003</v>
      </c>
      <c r="L79" s="13">
        <f>_xll.BDH("BLUE US Equity","ARDR_STK_BSD_CMPNSTN_CF_PRE_TAX","FQ3 2020","FQ3 2020","Currency=USD","Period=FQ","BEST_FPERIOD_OVERRIDE=FQ","FILING_STATUS=MR","SCALING_FORMAT=MLN","Sort=A","Dates=H","DateFormat=P","Fill=—","Direction=H","UseDPDF=Y")</f>
        <v>38.817999999999998</v>
      </c>
      <c r="M79" s="13">
        <f>_xll.BDH("BLUE US Equity","ARDR_STK_BSD_CMPNSTN_CF_PRE_TAX","FQ4 2020","FQ4 2020","Currency=USD","Period=FQ","BEST_FPERIOD_OVERRIDE=FQ","FILING_STATUS=MR","SCALING_FORMAT=MLN","Sort=A","Dates=H","DateFormat=P","Fill=—","Direction=H","UseDPDF=Y")</f>
        <v>32.991</v>
      </c>
      <c r="N79" s="13">
        <f>_xll.BDH("BLUE US Equity","ARDR_STK_BSD_CMPNSTN_CF_PRE_TAX","FQ1 2021","FQ1 2021","Currency=USD","Period=FQ","BEST_FPERIOD_OVERRIDE=FQ","FILING_STATUS=MR","SCALING_FORMAT=MLN","Sort=A","Dates=H","DateFormat=P","Fill=—","Direction=H","UseDPDF=Y")</f>
        <v>42.527000000000001</v>
      </c>
      <c r="O79" s="13">
        <f>_xll.BDH("BLUE US Equity","ARDR_STK_BSD_CMPNSTN_CF_PRE_TAX","FQ2 2021","FQ2 2021","Currency=USD","Period=FQ","BEST_FPERIOD_OVERRIDE=FQ","FILING_STATUS=MR","SCALING_FORMAT=MLN","Sort=A","Dates=H","DateFormat=P","Fill=—","Direction=H","UseDPDF=Y")</f>
        <v>31.050999999999998</v>
      </c>
      <c r="P79" s="13">
        <f>_xll.BDH("BLUE US Equity","ARDR_STK_BSD_CMPNSTN_CF_PRE_TAX","FQ3 2021","FQ3 2021","Currency=USD","Period=FQ","BEST_FPERIOD_OVERRIDE=FQ","FILING_STATUS=MR","SCALING_FORMAT=MLN","Sort=A","Dates=H","DateFormat=P","Fill=—","Direction=H","UseDPDF=Y")</f>
        <v>28.141999999999999</v>
      </c>
      <c r="Q79" s="13">
        <f>_xll.BDH("BLUE US Equity","ARDR_STK_BSD_CMPNSTN_CF_PRE_TAX","FQ4 2021","FQ4 2021","Currency=USD","Period=FQ","BEST_FPERIOD_OVERRIDE=FQ","FILING_STATUS=MR","SCALING_FORMAT=MLN","Sort=A","Dates=H","DateFormat=P","Fill=—","Direction=H","UseDPDF=Y")</f>
        <v>26.085999999999999</v>
      </c>
      <c r="R79" s="13">
        <f>_xll.BDH("BLUE US Equity","ARDR_STK_BSD_CMPNSTN_CF_PRE_TAX","FQ1 2022","FQ1 2022","Currency=USD","Period=FQ","BEST_FPERIOD_OVERRIDE=FQ","FILING_STATUS=MR","SCALING_FORMAT=MLN","Sort=A","Dates=H","DateFormat=P","Fill=—","Direction=H","UseDPDF=Y")</f>
        <v>12.39</v>
      </c>
      <c r="S79" s="13">
        <f>_xll.BDH("BLUE US Equity","ARDR_STK_BSD_CMPNSTN_CF_PRE_TAX","FQ2 2022","FQ2 2022","Currency=USD","Period=FQ","BEST_FPERIOD_OVERRIDE=FQ","FILING_STATUS=MR","SCALING_FORMAT=MLN","Sort=A","Dates=H","DateFormat=P","Fill=—","Direction=H","UseDPDF=Y")</f>
        <v>8.9079999999999995</v>
      </c>
      <c r="T79" s="13">
        <f>_xll.BDH("BLUE US Equity","ARDR_STK_BSD_CMPNSTN_CF_PRE_TAX","FQ3 2022","FQ3 2022","Currency=USD","Period=FQ","BEST_FPERIOD_OVERRIDE=FQ","FILING_STATUS=MR","SCALING_FORMAT=MLN","Sort=A","Dates=H","DateFormat=P","Fill=—","Direction=H","UseDPDF=Y")</f>
        <v>9.2110000000000003</v>
      </c>
      <c r="U79" s="13">
        <f>_xll.BDH("BLUE US Equity","ARDR_STK_BSD_CMPNSTN_CF_PRE_TAX","FQ4 2022","FQ4 2022","Currency=USD","Period=FQ","BEST_FPERIOD_OVERRIDE=FQ","FILING_STATUS=MR","SCALING_FORMAT=MLN","Sort=A","Dates=H","DateFormat=P","Fill=—","Direction=H","UseDPDF=Y")</f>
        <v>4.6790000000000003</v>
      </c>
      <c r="V79" s="13">
        <f>_xll.BDH("BLUE US Equity","ARDR_STK_BSD_CMPNSTN_CF_PRE_TAX","FQ1 2023","FQ1 2023","Currency=USD","Period=FQ","BEST_FPERIOD_OVERRIDE=FQ","FILING_STATUS=MR","SCALING_FORMAT=MLN","Sort=A","Dates=H","DateFormat=P","Fill=—","Direction=H","UseDPDF=Y")</f>
        <v>5.391</v>
      </c>
      <c r="W79" s="13">
        <f>_xll.BDH("BLUE US Equity","ARDR_STK_BSD_CMPNSTN_CF_PRE_TAX","FQ2 2023","FQ2 2023","Currency=USD","Period=FQ","BEST_FPERIOD_OVERRIDE=FQ","FILING_STATUS=MR","SCALING_FORMAT=MLN","Sort=A","Dates=H","DateFormat=P","Fill=—","Direction=H","UseDPDF=Y")</f>
        <v>5.7539999999999996</v>
      </c>
      <c r="X79" s="13">
        <f>_xll.BDH("BLUE US Equity","ARDR_STK_BSD_CMPNSTN_CF_PRE_TAX","FQ3 2023","FQ3 2023","Currency=USD","Period=FQ","BEST_FPERIOD_OVERRIDE=FQ","FILING_STATUS=MR","SCALING_FORMAT=MLN","Sort=A","Dates=H","DateFormat=P","Fill=—","Direction=H","UseDPDF=Y")</f>
        <v>4.8680000000000003</v>
      </c>
      <c r="Y79" s="13">
        <f>_xll.BDH("BLUE US Equity","ARDR_STK_BSD_CMPNSTN_CF_PRE_TAX","FQ1 2024","FQ1 2024","Currency=USD","Period=FQ","BEST_FPERIOD_OVERRIDE=FQ","FILING_STATUS=MR","SCALING_FORMAT=MLN","Sort=A","Dates=H","DateFormat=P","Fill=—","Direction=H","UseDPDF=Y")</f>
        <v>3.7610000000000001</v>
      </c>
      <c r="Z79" s="13">
        <f>_xll.BDH("BLUE US Equity","ARDR_STK_BSD_CMPNSTN_CF_PRE_TAX","FQ2 2024","FQ2 2024","Currency=USD","Period=FQ","BEST_FPERIOD_OVERRIDE=FQ","FILING_STATUS=MR","SCALING_FORMAT=MLN","Sort=A","Dates=H","DateFormat=P","Fill=—","Direction=H","UseDPDF=Y")</f>
        <v>3.2069999999999999</v>
      </c>
      <c r="AA79" s="13">
        <f>_xll.BDH("BLUE US Equity","ARDR_STK_BSD_CMPNSTN_CF_PRE_TAX","FQ3 2024","FQ3 2024","Currency=USD","Period=FQ","BEST_FPERIOD_OVERRIDE=FQ","FILING_STATUS=MR","SCALING_FORMAT=MLN","Sort=A","Dates=H","DateFormat=P","Fill=—","Direction=H","UseDPDF=Y")</f>
        <v>2.7010000000000001</v>
      </c>
    </row>
    <row r="80" spans="1:27" x14ac:dyDescent="0.25">
      <c r="A80" s="7" t="s">
        <v>90</v>
      </c>
      <c r="B80" s="7"/>
      <c r="C80" s="7" t="s">
        <v>5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514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6" t="s">
        <v>515</v>
      </c>
      <c r="B7" s="6" t="s">
        <v>99</v>
      </c>
      <c r="C7" s="19">
        <f>_xll.BDH("BLUE US Equity","IS_OPER_INC","FQ4 2018","FQ4 2018","Currency=USD","Period=FQ","BEST_FPERIOD_OVERRIDE=FQ","FILING_STATUS=MR","SCALING_FORMAT=MLN","FA_ADJUSTED=GAAP","Sort=A","Dates=H","DateFormat=P","Fill=—","Direction=H","UseDPDF=Y")</f>
        <v>-156.96100000000001</v>
      </c>
      <c r="D7" s="19">
        <f>_xll.BDH("BLUE US Equity","IS_OPER_INC","FQ1 2019","FQ1 2019","Currency=USD","Period=FQ","BEST_FPERIOD_OVERRIDE=FQ","FILING_STATUS=MR","SCALING_FORMAT=MLN","FA_ADJUSTED=GAAP","Sort=A","Dates=H","DateFormat=P","Fill=—","Direction=H","UseDPDF=Y")</f>
        <v>-171.17400000000001</v>
      </c>
      <c r="E7" s="19">
        <f>_xll.BDH("BLUE US Equity","IS_OPER_INC","FQ2 2019","FQ2 2019","Currency=USD","Period=FQ","BEST_FPERIOD_OVERRIDE=FQ","FILING_STATUS=MR","SCALING_FORMAT=MLN","FA_ADJUSTED=GAAP","Sort=A","Dates=H","DateFormat=P","Fill=—","Direction=H","UseDPDF=Y")</f>
        <v>-202.702</v>
      </c>
      <c r="F7" s="19">
        <f>_xll.BDH("BLUE US Equity","IS_OPER_INC","FQ3 2019","FQ3 2019","Currency=USD","Period=FQ","BEST_FPERIOD_OVERRIDE=FQ","FILING_STATUS=MR","SCALING_FORMAT=MLN","FA_ADJUSTED=GAAP","Sort=A","Dates=H","DateFormat=P","Fill=—","Direction=H","UseDPDF=Y")</f>
        <v>-210.416</v>
      </c>
      <c r="G7" s="19">
        <f>_xll.BDH("BLUE US Equity","IS_OPER_INC","FQ4 2019","FQ4 2019","Currency=USD","Period=FQ","BEST_FPERIOD_OVERRIDE=FQ","FILING_STATUS=MR","SCALING_FORMAT=MLN","FA_ADJUSTED=GAAP","Sort=A","Dates=H","DateFormat=P","Fill=—","Direction=H","UseDPDF=Y")</f>
        <v>-230.53399999999999</v>
      </c>
      <c r="H7" s="19">
        <f>_xll.BDH("BLUE US Equity","IS_OPER_INC","FQ1 2020","FQ1 2020","Currency=USD","Period=FQ","BEST_FPERIOD_OVERRIDE=FQ","FILING_STATUS=MR","SCALING_FORMAT=MLN","FA_ADJUSTED=GAAP","Sort=A","Dates=H","DateFormat=P","Fill=—","Direction=H","UseDPDF=Y")</f>
        <v>-203.42500000000001</v>
      </c>
      <c r="I7" s="19">
        <f>_xll.BDH("BLUE US Equity","IS_OPER_INC","FQ2 2020","FQ2 2020","Currency=USD","Period=FQ","BEST_FPERIOD_OVERRIDE=FQ","FILING_STATUS=MR","SCALING_FORMAT=MLN","FA_ADJUSTED=GAAP","Sort=A","Dates=H","DateFormat=P","Fill=—","Direction=H","UseDPDF=Y")</f>
        <v>-25.945</v>
      </c>
      <c r="J7" s="19">
        <f>_xll.BDH("BLUE US Equity","IS_OPER_INC","FQ3 2020","FQ3 2020","Currency=USD","Period=FQ","BEST_FPERIOD_OVERRIDE=FQ","FILING_STATUS=MR","SCALING_FORMAT=MLN","FA_ADJUSTED=GAAP","Sort=A","Dates=H","DateFormat=P","Fill=—","Direction=H","UseDPDF=Y")</f>
        <v>-189.69399999999999</v>
      </c>
      <c r="K7" s="19">
        <f>_xll.BDH("BLUE US Equity","IS_OPER_INC","FQ4 2020","FQ4 2020","Currency=USD","Period=FQ","BEST_FPERIOD_OVERRIDE=FQ","FILING_STATUS=MR","SCALING_FORMAT=MLN","FA_ADJUSTED=GAAP","Sort=A","Dates=H","DateFormat=P","Fill=—","Direction=H","UseDPDF=Y")</f>
        <v>-139.387</v>
      </c>
      <c r="L7" s="19">
        <f>_xll.BDH("BLUE US Equity","IS_OPER_INC","FQ1 2021","FQ1 2021","Currency=USD","Period=FQ","BEST_FPERIOD_OVERRIDE=FQ","FILING_STATUS=MR","SCALING_FORMAT=MLN","FA_ADJUSTED=GAAP","Sort=A","Dates=H","DateFormat=P","Fill=—","Direction=H","UseDPDF=Y")</f>
        <v>-146.09399999999999</v>
      </c>
      <c r="M7" s="19">
        <f>_xll.BDH("BLUE US Equity","IS_OPER_INC","FQ2 2021","FQ2 2021","Currency=USD","Period=FQ","BEST_FPERIOD_OVERRIDE=FQ","FILING_STATUS=MR","SCALING_FORMAT=MLN","FA_ADJUSTED=GAAP","Sort=A","Dates=H","DateFormat=P","Fill=—","Direction=H","UseDPDF=Y")</f>
        <v>-240.83799999999999</v>
      </c>
      <c r="N7" s="19">
        <f>_xll.BDH("BLUE US Equity","IS_OPER_INC","FQ3 2021","FQ3 2021","Currency=USD","Period=FQ","BEST_FPERIOD_OVERRIDE=FQ","FILING_STATUS=MR","SCALING_FORMAT=MLN","FA_ADJUSTED=GAAP","Sort=A","Dates=H","DateFormat=P","Fill=—","Direction=H","UseDPDF=Y")</f>
        <v>-154.44900000000001</v>
      </c>
      <c r="O7" s="19">
        <f>_xll.BDH("BLUE US Equity","IS_OPER_INC","FQ4 2021","FQ4 2021","Currency=USD","Period=FQ","BEST_FPERIOD_OVERRIDE=FQ","FILING_STATUS=MR","SCALING_FORMAT=MLN","FA_ADJUSTED=GAAP","Sort=A","Dates=H","DateFormat=P","Fill=—","Direction=H","UseDPDF=Y")</f>
        <v>-135.667</v>
      </c>
      <c r="P7" s="19">
        <f>_xll.BDH("BLUE US Equity","IS_OPER_INC","FQ1 2022","FQ1 2022","Currency=USD","Period=FQ","BEST_FPERIOD_OVERRIDE=FQ","FILING_STATUS=MR","SCALING_FORMAT=MLN","FA_ADJUSTED=GAAP","Sort=A","Dates=H","DateFormat=P","Fill=—","Direction=H","UseDPDF=Y")</f>
        <v>-120.346</v>
      </c>
      <c r="Q7" s="19">
        <f>_xll.BDH("BLUE US Equity","IS_OPER_INC","FQ2 2022","FQ2 2022","Currency=USD","Period=FQ","BEST_FPERIOD_OVERRIDE=FQ","FILING_STATUS=MR","SCALING_FORMAT=MLN","FA_ADJUSTED=GAAP","Sort=A","Dates=H","DateFormat=P","Fill=—","Direction=H","UseDPDF=Y")</f>
        <v>-107.4</v>
      </c>
      <c r="R7" s="19">
        <f>_xll.BDH("BLUE US Equity","IS_OPER_INC","FQ3 2022","FQ3 2022","Currency=USD","Period=FQ","BEST_FPERIOD_OVERRIDE=FQ","FILING_STATUS=MR","SCALING_FORMAT=MLN","FA_ADJUSTED=GAAP","Sort=A","Dates=H","DateFormat=P","Fill=—","Direction=H","UseDPDF=Y")</f>
        <v>-84.781000000000006</v>
      </c>
      <c r="S7" s="19">
        <f>_xll.BDH("BLUE US Equity","IS_OPER_INC","FQ4 2022","FQ4 2022","Currency=USD","Period=FQ","BEST_FPERIOD_OVERRIDE=FQ","FILING_STATUS=MR","SCALING_FORMAT=MLN","FA_ADJUSTED=GAAP","Sort=A","Dates=H","DateFormat=P","Fill=—","Direction=H","UseDPDF=Y")</f>
        <v>62.341999999999999</v>
      </c>
      <c r="T7" s="19">
        <f>_xll.BDH("BLUE US Equity","IS_OPER_INC","FQ1 2023","FQ1 2023","Currency=USD","Period=FQ","BEST_FPERIOD_OVERRIDE=FQ","FILING_STATUS=MR","SCALING_FORMAT=MLN","FA_ADJUSTED=GAAP","Sort=A","Dates=H","DateFormat=P","Fill=—","Direction=H","UseDPDF=Y")</f>
        <v>10.744999999999999</v>
      </c>
      <c r="U7" s="19">
        <f>_xll.BDH("BLUE US Equity","IS_OPER_INC","FQ2 2023","FQ2 2023","Currency=USD","Period=FQ","BEST_FPERIOD_OVERRIDE=FQ","FILING_STATUS=MR","SCALING_FORMAT=MLN","FA_ADJUSTED=GAAP","Sort=A","Dates=H","DateFormat=P","Fill=—","Direction=H","UseDPDF=Y")</f>
        <v>-71.716999999999999</v>
      </c>
      <c r="V7" s="19">
        <f>_xll.BDH("BLUE US Equity","IS_OPER_INC","FQ3 2023","FQ3 2023","Currency=USD","Period=FQ","BEST_FPERIOD_OVERRIDE=FQ","FILING_STATUS=MR","SCALING_FORMAT=MLN","FA_ADJUSTED=GAAP","Sort=A","Dates=H","DateFormat=P","Fill=—","Direction=H","UseDPDF=Y")</f>
        <v>-96.006</v>
      </c>
      <c r="W7" s="19">
        <f>_xll.BDH("BLUE US Equity","IS_OPER_INC","FQ4 2023","FQ4 2023","Currency=USD","Period=FQ","BEST_FPERIOD_OVERRIDE=FQ","FILING_STATUS=MR","SCALING_FORMAT=MLN","FA_ADJUSTED=GAAP","Sort=A","Dates=H","DateFormat=P","Fill=—","Direction=H","UseDPDF=Y")</f>
        <v>-82.673000000000002</v>
      </c>
      <c r="X7" s="19">
        <f>_xll.BDH("BLUE US Equity","IS_OPER_INC","FQ1 2024","FQ1 2024","Currency=USD","Period=FQ","BEST_FPERIOD_OVERRIDE=FQ","FILING_STATUS=MR","SCALING_FORMAT=MLN","FA_ADJUSTED=GAAP","Sort=A","Dates=H","DateFormat=P","Fill=—","Direction=H","UseDPDF=Y")</f>
        <v>-78.691999999999993</v>
      </c>
      <c r="Y7" s="19">
        <f>_xll.BDH("BLUE US Equity","IS_OPER_INC","FQ2 2024","FQ2 2024","Currency=USD","Period=FQ","BEST_FPERIOD_OVERRIDE=FQ","FILING_STATUS=MR","SCALING_FORMAT=MLN","FA_ADJUSTED=GAAP","Sort=A","Dates=H","DateFormat=P","Fill=—","Direction=H","UseDPDF=Y")</f>
        <v>-88.391999999999996</v>
      </c>
      <c r="Z7" s="19">
        <f>_xll.BDH("BLUE US Equity","IS_OPER_INC","FQ3 2024","FQ3 2024","Currency=USD","Period=FQ","BEST_FPERIOD_OVERRIDE=FQ","FILING_STATUS=MR","SCALING_FORMAT=MLN","FA_ADJUSTED=GAAP","Sort=A","Dates=H","DateFormat=P","Fill=—","Direction=H","UseDPDF=Y")</f>
        <v>-66.918999999999997</v>
      </c>
      <c r="AA7" s="19">
        <f>_xll.BDH("BLUE US Equity","IS_OPER_INC","FQ4 2024","FQ4 2024","Currency=USD","Period=FQ","BEST_FPERIOD_OVERRIDE=FQ","FILING_STATUS=MR","SCALING_FORMAT=MLN","FA_ADJUSTED=GAAP","Sort=A","Dates=H","DateFormat=P","Fill=—","Direction=H","UseDPDF=Y")</f>
        <v>-36.457999999999998</v>
      </c>
    </row>
    <row r="8" spans="1:27" x14ac:dyDescent="0.25">
      <c r="A8" s="10" t="s">
        <v>516</v>
      </c>
      <c r="B8" s="10" t="s">
        <v>517</v>
      </c>
      <c r="C8" s="13">
        <f>_xll.BDH("BLUE US Equity","IS_REVENUE_ADJUSTMENTS","FQ4 2018","FQ4 2018","Currency=USD","Period=FQ","BEST_FPERIOD_OVERRIDE=FQ","FILING_STATUS=MR","SCALING_FORMAT=MLN","Sort=A","Dates=H","DateFormat=P","Fill=—","Direction=H","UseDPDF=Y")</f>
        <v>0</v>
      </c>
      <c r="D8" s="13">
        <f>_xll.BDH("BLUE US Equity","IS_REVENUE_ADJUSTMENTS","FQ1 2019","FQ1 2019","Currency=USD","Period=FQ","BEST_FPERIOD_OVERRIDE=FQ","FILING_STATUS=MR","SCALING_FORMAT=MLN","Sort=A","Dates=H","DateFormat=P","Fill=—","Direction=H","UseDPDF=Y")</f>
        <v>0</v>
      </c>
      <c r="E8" s="13">
        <f>_xll.BDH("BLUE US Equity","IS_REVENUE_ADJUSTMENTS","FQ2 2019","FQ2 2019","Currency=USD","Period=FQ","BEST_FPERIOD_OVERRIDE=FQ","FILING_STATUS=MR","SCALING_FORMAT=MLN","Sort=A","Dates=H","DateFormat=P","Fill=—","Direction=H","UseDPDF=Y")</f>
        <v>0</v>
      </c>
      <c r="F8" s="13">
        <f>_xll.BDH("BLUE US Equity","IS_REVENUE_ADJUSTMENTS","FQ3 2019","FQ3 2019","Currency=USD","Period=FQ","BEST_FPERIOD_OVERRIDE=FQ","FILING_STATUS=MR","SCALING_FORMAT=MLN","Sort=A","Dates=H","DateFormat=P","Fill=—","Direction=H","UseDPDF=Y")</f>
        <v>0</v>
      </c>
      <c r="G8" s="13">
        <f>_xll.BDH("BLUE US Equity","IS_REVENUE_ADJUSTMENTS","FQ4 2019","FQ4 2019","Currency=USD","Period=FQ","BEST_FPERIOD_OVERRIDE=FQ","FILING_STATUS=MR","SCALING_FORMAT=MLN","Sort=A","Dates=H","DateFormat=P","Fill=—","Direction=H","UseDPDF=Y")</f>
        <v>0</v>
      </c>
      <c r="H8" s="13">
        <f>_xll.BDH("BLUE US Equity","IS_REVENUE_ADJUSTMENTS","FQ1 2020","FQ1 2020","Currency=USD","Period=FQ","BEST_FPERIOD_OVERRIDE=FQ","FILING_STATUS=MR","SCALING_FORMAT=MLN","Sort=A","Dates=H","DateFormat=P","Fill=—","Direction=H","UseDPDF=Y")</f>
        <v>0</v>
      </c>
      <c r="I8" s="13">
        <f>_xll.BDH("BLUE US Equity","IS_REVENUE_ADJUSTMENTS","FQ2 2020","FQ2 2020","Currency=USD","Period=FQ","BEST_FPERIOD_OVERRIDE=FQ","FILING_STATUS=MR","SCALING_FORMAT=MLN","Sort=A","Dates=H","DateFormat=P","Fill=—","Direction=H","UseDPDF=Y")</f>
        <v>0</v>
      </c>
      <c r="J8" s="13">
        <f>_xll.BDH("BLUE US Equity","IS_REVENUE_ADJUSTMENTS","FQ3 2020","FQ3 2020","Currency=USD","Period=FQ","BEST_FPERIOD_OVERRIDE=FQ","FILING_STATUS=MR","SCALING_FORMAT=MLN","Sort=A","Dates=H","DateFormat=P","Fill=—","Direction=H","UseDPDF=Y")</f>
        <v>0</v>
      </c>
      <c r="K8" s="13">
        <f>_xll.BDH("BLUE US Equity","IS_REVENUE_ADJUSTMENTS","FQ4 2020","FQ4 2020","Currency=USD","Period=FQ","BEST_FPERIOD_OVERRIDE=FQ","FILING_STATUS=MR","SCALING_FORMAT=MLN","Sort=A","Dates=H","DateFormat=P","Fill=—","Direction=H","UseDPDF=Y")</f>
        <v>0</v>
      </c>
      <c r="L8" s="13">
        <f>_xll.BDH("BLUE US Equity","IS_REVENUE_ADJUSTMENTS","FQ1 2021","FQ1 2021","Currency=USD","Period=FQ","BEST_FPERIOD_OVERRIDE=FQ","FILING_STATUS=MR","SCALING_FORMAT=MLN","Sort=A","Dates=H","DateFormat=P","Fill=—","Direction=H","UseDPDF=Y")</f>
        <v>0</v>
      </c>
      <c r="M8" s="13">
        <f>_xll.BDH("BLUE US Equity","IS_REVENUE_ADJUSTMENTS","FQ2 2021","FQ2 2021","Currency=USD","Period=FQ","BEST_FPERIOD_OVERRIDE=FQ","FILING_STATUS=MR","SCALING_FORMAT=MLN","Sort=A","Dates=H","DateFormat=P","Fill=—","Direction=H","UseDPDF=Y")</f>
        <v>0</v>
      </c>
      <c r="N8" s="13">
        <f>_xll.BDH("BLUE US Equity","IS_REVENUE_ADJUSTMENTS","FQ3 2021","FQ3 2021","Currency=USD","Period=FQ","BEST_FPERIOD_OVERRIDE=FQ","FILING_STATUS=MR","SCALING_FORMAT=MLN","Sort=A","Dates=H","DateFormat=P","Fill=—","Direction=H","UseDPDF=Y")</f>
        <v>0</v>
      </c>
      <c r="O8" s="13">
        <f>_xll.BDH("BLUE US Equity","IS_REVENUE_ADJUSTMENTS","FQ4 2021","FQ4 2021","Currency=USD","Period=FQ","BEST_FPERIOD_OVERRIDE=FQ","FILING_STATUS=MR","SCALING_FORMAT=MLN","Sort=A","Dates=H","DateFormat=P","Fill=—","Direction=H","UseDPDF=Y")</f>
        <v>0</v>
      </c>
      <c r="P8" s="13">
        <f>_xll.BDH("BLUE US Equity","IS_REVENUE_ADJUSTMENTS","FQ1 2022","FQ1 2022","Currency=USD","Period=FQ","BEST_FPERIOD_OVERRIDE=FQ","FILING_STATUS=MR","SCALING_FORMAT=MLN","Sort=A","Dates=H","DateFormat=P","Fill=—","Direction=H","UseDPDF=Y")</f>
        <v>0</v>
      </c>
      <c r="Q8" s="13">
        <f>_xll.BDH("BLUE US Equity","IS_REVENUE_ADJUSTMENTS","FQ2 2022","FQ2 2022","Currency=USD","Period=FQ","BEST_FPERIOD_OVERRIDE=FQ","FILING_STATUS=MR","SCALING_FORMAT=MLN","Sort=A","Dates=H","DateFormat=P","Fill=—","Direction=H","UseDPDF=Y")</f>
        <v>0</v>
      </c>
      <c r="R8" s="13">
        <f>_xll.BDH("BLUE US Equity","IS_REVENUE_ADJUSTMENTS","FQ3 2022","FQ3 2022","Currency=USD","Period=FQ","BEST_FPERIOD_OVERRIDE=FQ","FILING_STATUS=MR","SCALING_FORMAT=MLN","Sort=A","Dates=H","DateFormat=P","Fill=—","Direction=H","UseDPDF=Y")</f>
        <v>0</v>
      </c>
      <c r="S8" s="13">
        <f>_xll.BDH("BLUE US Equity","IS_REVENUE_ADJUSTMENTS","FQ4 2022","FQ4 2022","Currency=USD","Period=FQ","BEST_FPERIOD_OVERRIDE=FQ","FILING_STATUS=MR","SCALING_FORMAT=MLN","Sort=A","Dates=H","DateFormat=P","Fill=—","Direction=H","UseDPDF=Y")</f>
        <v>0</v>
      </c>
      <c r="T8" s="13">
        <f>_xll.BDH("BLUE US Equity","IS_REVENUE_ADJUSTMENTS","FQ1 2023","FQ1 2023","Currency=USD","Period=FQ","BEST_FPERIOD_OVERRIDE=FQ","FILING_STATUS=MR","SCALING_FORMAT=MLN","Sort=A","Dates=H","DateFormat=P","Fill=—","Direction=H","UseDPDF=Y")</f>
        <v>0</v>
      </c>
      <c r="U8" s="13">
        <f>_xll.BDH("BLUE US Equity","IS_REVENUE_ADJUSTMENTS","FQ2 2023","FQ2 2023","Currency=USD","Period=FQ","BEST_FPERIOD_OVERRIDE=FQ","FILING_STATUS=MR","SCALING_FORMAT=MLN","Sort=A","Dates=H","DateFormat=P","Fill=—","Direction=H","UseDPDF=Y")</f>
        <v>0</v>
      </c>
      <c r="V8" s="13">
        <f>_xll.BDH("BLUE US Equity","IS_REVENUE_ADJUSTMENTS","FQ3 2023","FQ3 2023","Currency=USD","Period=FQ","BEST_FPERIOD_OVERRIDE=FQ","FILING_STATUS=MR","SCALING_FORMAT=MLN","Sort=A","Dates=H","DateFormat=P","Fill=—","Direction=H","UseDPDF=Y")</f>
        <v>0</v>
      </c>
      <c r="W8" s="13">
        <f>_xll.BDH("BLUE US Equity","IS_REVENUE_ADJUSTMENTS","FQ4 2023","FQ4 2023","Currency=USD","Period=FQ","BEST_FPERIOD_OVERRIDE=FQ","FILING_STATUS=MR","SCALING_FORMAT=MLN","Sort=A","Dates=H","DateFormat=P","Fill=—","Direction=H","UseDPDF=Y")</f>
        <v>0</v>
      </c>
      <c r="X8" s="13">
        <f>_xll.BDH("BLUE US Equity","IS_REVENUE_ADJUSTMENTS","FQ1 2024","FQ1 2024","Currency=USD","Period=FQ","BEST_FPERIOD_OVERRIDE=FQ","FILING_STATUS=MR","SCALING_FORMAT=MLN","Sort=A","Dates=H","DateFormat=P","Fill=—","Direction=H","UseDPDF=Y")</f>
        <v>0</v>
      </c>
      <c r="Y8" s="13">
        <f>_xll.BDH("BLUE US Equity","IS_REVENUE_ADJUSTMENTS","FQ2 2024","FQ2 2024","Currency=USD","Period=FQ","BEST_FPERIOD_OVERRIDE=FQ","FILING_STATUS=MR","SCALING_FORMAT=MLN","Sort=A","Dates=H","DateFormat=P","Fill=—","Direction=H","UseDPDF=Y")</f>
        <v>0</v>
      </c>
      <c r="Z8" s="13">
        <f>_xll.BDH("BLUE US Equity","IS_REVENUE_ADJUSTMENTS","FQ3 2024","FQ3 2024","Currency=USD","Period=FQ","BEST_FPERIOD_OVERRIDE=FQ","FILING_STATUS=MR","SCALING_FORMAT=MLN","Sort=A","Dates=H","DateFormat=P","Fill=—","Direction=H","UseDPDF=Y")</f>
        <v>0</v>
      </c>
      <c r="AA8" s="13">
        <f>_xll.BDH("BLUE US Equity","IS_REVENUE_ADJUSTMENTS","FQ4 2024","FQ4 2024","Currency=USD","Period=FQ","BEST_FPERIOD_OVERRIDE=FQ","FILING_STATUS=MR","SCALING_FORMAT=MLN","Sort=A","Dates=H","DateFormat=P","Fill=—","Direction=H","UseDPDF=Y")</f>
        <v>0</v>
      </c>
    </row>
    <row r="9" spans="1:27" x14ac:dyDescent="0.25">
      <c r="A9" s="10" t="s">
        <v>518</v>
      </c>
      <c r="B9" s="10" t="s">
        <v>519</v>
      </c>
      <c r="C9" s="13">
        <f>_xll.BDH("BLUE US Equity","IS_COST_OF_REVENUE_ADJUSTMENTS","FQ4 2018","FQ4 2018","Currency=USD","Period=FQ","BEST_FPERIOD_OVERRIDE=FQ","FILING_STATUS=MR","SCALING_FORMAT=MLN","Sort=A","Dates=H","DateFormat=P","Fill=—","Direction=H","UseDPDF=Y")</f>
        <v>0</v>
      </c>
      <c r="D9" s="13">
        <f>_xll.BDH("BLUE US Equity","IS_COST_OF_REVENUE_ADJUSTMENTS","FQ1 2019","FQ1 2019","Currency=USD","Period=FQ","BEST_FPERIOD_OVERRIDE=FQ","FILING_STATUS=MR","SCALING_FORMAT=MLN","Sort=A","Dates=H","DateFormat=P","Fill=—","Direction=H","UseDPDF=Y")</f>
        <v>0</v>
      </c>
      <c r="E9" s="13">
        <f>_xll.BDH("BLUE US Equity","IS_COST_OF_REVENUE_ADJUSTMENTS","FQ2 2019","FQ2 2019","Currency=USD","Period=FQ","BEST_FPERIOD_OVERRIDE=FQ","FILING_STATUS=MR","SCALING_FORMAT=MLN","Sort=A","Dates=H","DateFormat=P","Fill=—","Direction=H","UseDPDF=Y")</f>
        <v>0</v>
      </c>
      <c r="F9" s="13">
        <f>_xll.BDH("BLUE US Equity","IS_COST_OF_REVENUE_ADJUSTMENTS","FQ3 2019","FQ3 2019","Currency=USD","Period=FQ","BEST_FPERIOD_OVERRIDE=FQ","FILING_STATUS=MR","SCALING_FORMAT=MLN","Sort=A","Dates=H","DateFormat=P","Fill=—","Direction=H","UseDPDF=Y")</f>
        <v>0</v>
      </c>
      <c r="G9" s="13">
        <f>_xll.BDH("BLUE US Equity","IS_COST_OF_REVENUE_ADJUSTMENTS","FQ4 2019","FQ4 2019","Currency=USD","Period=FQ","BEST_FPERIOD_OVERRIDE=FQ","FILING_STATUS=MR","SCALING_FORMAT=MLN","Sort=A","Dates=H","DateFormat=P","Fill=—","Direction=H","UseDPDF=Y")</f>
        <v>0</v>
      </c>
      <c r="H9" s="13">
        <f>_xll.BDH("BLUE US Equity","IS_COST_OF_REVENUE_ADJUSTMENTS","FQ1 2020","FQ1 2020","Currency=USD","Period=FQ","BEST_FPERIOD_OVERRIDE=FQ","FILING_STATUS=MR","SCALING_FORMAT=MLN","Sort=A","Dates=H","DateFormat=P","Fill=—","Direction=H","UseDPDF=Y")</f>
        <v>0</v>
      </c>
      <c r="I9" s="13">
        <f>_xll.BDH("BLUE US Equity","IS_COST_OF_REVENUE_ADJUSTMENTS","FQ2 2020","FQ2 2020","Currency=USD","Period=FQ","BEST_FPERIOD_OVERRIDE=FQ","FILING_STATUS=MR","SCALING_FORMAT=MLN","Sort=A","Dates=H","DateFormat=P","Fill=—","Direction=H","UseDPDF=Y")</f>
        <v>0</v>
      </c>
      <c r="J9" s="13">
        <f>_xll.BDH("BLUE US Equity","IS_COST_OF_REVENUE_ADJUSTMENTS","FQ3 2020","FQ3 2020","Currency=USD","Period=FQ","BEST_FPERIOD_OVERRIDE=FQ","FILING_STATUS=MR","SCALING_FORMAT=MLN","Sort=A","Dates=H","DateFormat=P","Fill=—","Direction=H","UseDPDF=Y")</f>
        <v>0</v>
      </c>
      <c r="K9" s="13">
        <f>_xll.BDH("BLUE US Equity","IS_COST_OF_REVENUE_ADJUSTMENTS","FQ4 2020","FQ4 2020","Currency=USD","Period=FQ","BEST_FPERIOD_OVERRIDE=FQ","FILING_STATUS=MR","SCALING_FORMAT=MLN","Sort=A","Dates=H","DateFormat=P","Fill=—","Direction=H","UseDPDF=Y")</f>
        <v>0</v>
      </c>
      <c r="L9" s="13">
        <f>_xll.BDH("BLUE US Equity","IS_COST_OF_REVENUE_ADJUSTMENTS","FQ1 2021","FQ1 2021","Currency=USD","Period=FQ","BEST_FPERIOD_OVERRIDE=FQ","FILING_STATUS=MR","SCALING_FORMAT=MLN","Sort=A","Dates=H","DateFormat=P","Fill=—","Direction=H","UseDPDF=Y")</f>
        <v>0</v>
      </c>
      <c r="M9" s="13">
        <f>_xll.BDH("BLUE US Equity","IS_COST_OF_REVENUE_ADJUSTMENTS","FQ2 2021","FQ2 2021","Currency=USD","Period=FQ","BEST_FPERIOD_OVERRIDE=FQ","FILING_STATUS=MR","SCALING_FORMAT=MLN","Sort=A","Dates=H","DateFormat=P","Fill=—","Direction=H","UseDPDF=Y")</f>
        <v>0</v>
      </c>
      <c r="N9" s="13">
        <f>_xll.BDH("BLUE US Equity","IS_COST_OF_REVENUE_ADJUSTMENTS","FQ3 2021","FQ3 2021","Currency=USD","Period=FQ","BEST_FPERIOD_OVERRIDE=FQ","FILING_STATUS=MR","SCALING_FORMAT=MLN","Sort=A","Dates=H","DateFormat=P","Fill=—","Direction=H","UseDPDF=Y")</f>
        <v>0</v>
      </c>
      <c r="O9" s="13">
        <f>_xll.BDH("BLUE US Equity","IS_COST_OF_REVENUE_ADJUSTMENTS","FQ4 2021","FQ4 2021","Currency=USD","Period=FQ","BEST_FPERIOD_OVERRIDE=FQ","FILING_STATUS=MR","SCALING_FORMAT=MLN","Sort=A","Dates=H","DateFormat=P","Fill=—","Direction=H","UseDPDF=Y")</f>
        <v>0</v>
      </c>
      <c r="P9" s="13">
        <f>_xll.BDH("BLUE US Equity","IS_COST_OF_REVENUE_ADJUSTMENTS","FQ1 2022","FQ1 2022","Currency=USD","Period=FQ","BEST_FPERIOD_OVERRIDE=FQ","FILING_STATUS=MR","SCALING_FORMAT=MLN","Sort=A","Dates=H","DateFormat=P","Fill=—","Direction=H","UseDPDF=Y")</f>
        <v>0</v>
      </c>
      <c r="Q9" s="13">
        <f>_xll.BDH("BLUE US Equity","IS_COST_OF_REVENUE_ADJUSTMENTS","FQ2 2022","FQ2 2022","Currency=USD","Period=FQ","BEST_FPERIOD_OVERRIDE=FQ","FILING_STATUS=MR","SCALING_FORMAT=MLN","Sort=A","Dates=H","DateFormat=P","Fill=—","Direction=H","UseDPDF=Y")</f>
        <v>0</v>
      </c>
      <c r="R9" s="13">
        <f>_xll.BDH("BLUE US Equity","IS_COST_OF_REVENUE_ADJUSTMENTS","FQ3 2022","FQ3 2022","Currency=USD","Period=FQ","BEST_FPERIOD_OVERRIDE=FQ","FILING_STATUS=MR","SCALING_FORMAT=MLN","Sort=A","Dates=H","DateFormat=P","Fill=—","Direction=H","UseDPDF=Y")</f>
        <v>0</v>
      </c>
      <c r="S9" s="13">
        <f>_xll.BDH("BLUE US Equity","IS_COST_OF_REVENUE_ADJUSTMENTS","FQ4 2022","FQ4 2022","Currency=USD","Period=FQ","BEST_FPERIOD_OVERRIDE=FQ","FILING_STATUS=MR","SCALING_FORMAT=MLN","Sort=A","Dates=H","DateFormat=P","Fill=—","Direction=H","UseDPDF=Y")</f>
        <v>0</v>
      </c>
      <c r="T9" s="13">
        <f>_xll.BDH("BLUE US Equity","IS_COST_OF_REVENUE_ADJUSTMENTS","FQ1 2023","FQ1 2023","Currency=USD","Period=FQ","BEST_FPERIOD_OVERRIDE=FQ","FILING_STATUS=MR","SCALING_FORMAT=MLN","Sort=A","Dates=H","DateFormat=P","Fill=—","Direction=H","UseDPDF=Y")</f>
        <v>0</v>
      </c>
      <c r="U9" s="13">
        <f>_xll.BDH("BLUE US Equity","IS_COST_OF_REVENUE_ADJUSTMENTS","FQ2 2023","FQ2 2023","Currency=USD","Period=FQ","BEST_FPERIOD_OVERRIDE=FQ","FILING_STATUS=MR","SCALING_FORMAT=MLN","Sort=A","Dates=H","DateFormat=P","Fill=—","Direction=H","UseDPDF=Y")</f>
        <v>0</v>
      </c>
      <c r="V9" s="13">
        <f>_xll.BDH("BLUE US Equity","IS_COST_OF_REVENUE_ADJUSTMENTS","FQ3 2023","FQ3 2023","Currency=USD","Period=FQ","BEST_FPERIOD_OVERRIDE=FQ","FILING_STATUS=MR","SCALING_FORMAT=MLN","Sort=A","Dates=H","DateFormat=P","Fill=—","Direction=H","UseDPDF=Y")</f>
        <v>0</v>
      </c>
      <c r="W9" s="13">
        <f>_xll.BDH("BLUE US Equity","IS_COST_OF_REVENUE_ADJUSTMENTS","FQ4 2023","FQ4 2023","Currency=USD","Period=FQ","BEST_FPERIOD_OVERRIDE=FQ","FILING_STATUS=MR","SCALING_FORMAT=MLN","Sort=A","Dates=H","DateFormat=P","Fill=—","Direction=H","UseDPDF=Y")</f>
        <v>0</v>
      </c>
      <c r="X9" s="13">
        <f>_xll.BDH("BLUE US Equity","IS_COST_OF_REVENUE_ADJUSTMENTS","FQ1 2024","FQ1 2024","Currency=USD","Period=FQ","BEST_FPERIOD_OVERRIDE=FQ","FILING_STATUS=MR","SCALING_FORMAT=MLN","Sort=A","Dates=H","DateFormat=P","Fill=—","Direction=H","UseDPDF=Y")</f>
        <v>0</v>
      </c>
      <c r="Y9" s="13">
        <f>_xll.BDH("BLUE US Equity","IS_COST_OF_REVENUE_ADJUSTMENTS","FQ2 2024","FQ2 2024","Currency=USD","Period=FQ","BEST_FPERIOD_OVERRIDE=FQ","FILING_STATUS=MR","SCALING_FORMAT=MLN","Sort=A","Dates=H","DateFormat=P","Fill=—","Direction=H","UseDPDF=Y")</f>
        <v>0</v>
      </c>
      <c r="Z9" s="13">
        <f>_xll.BDH("BLUE US Equity","IS_COST_OF_REVENUE_ADJUSTMENTS","FQ3 2024","FQ3 2024","Currency=USD","Period=FQ","BEST_FPERIOD_OVERRIDE=FQ","FILING_STATUS=MR","SCALING_FORMAT=MLN","Sort=A","Dates=H","DateFormat=P","Fill=—","Direction=H","UseDPDF=Y")</f>
        <v>0</v>
      </c>
      <c r="AA9" s="13">
        <f>_xll.BDH("BLUE US Equity","IS_COST_OF_REVENUE_ADJUSTMENTS","FQ4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520</v>
      </c>
      <c r="B10" s="10" t="s">
        <v>521</v>
      </c>
      <c r="C10" s="13">
        <f>_xll.BDH("BLUE US Equity","IS_OTHER_OPER_INC_NONGAAP_ADJUST","FQ4 2018","FQ4 2018","Currency=USD","Period=FQ","BEST_FPERIOD_OVERRIDE=FQ","FILING_STATUS=MR","SCALING_FORMAT=MLN","Sort=A","Dates=H","DateFormat=P","Fill=—","Direction=H","UseDPDF=Y")</f>
        <v>0</v>
      </c>
      <c r="D10" s="13">
        <f>_xll.BDH("BLUE US Equity","IS_OTHER_OPER_INC_NONGAAP_ADJUST","FQ1 2019","FQ1 2019","Currency=USD","Period=FQ","BEST_FPERIOD_OVERRIDE=FQ","FILING_STATUS=MR","SCALING_FORMAT=MLN","Sort=A","Dates=H","DateFormat=P","Fill=—","Direction=H","UseDPDF=Y")</f>
        <v>0</v>
      </c>
      <c r="E10" s="13">
        <f>_xll.BDH("BLUE US Equity","IS_OTHER_OPER_INC_NONGAAP_ADJUST","FQ2 2019","FQ2 2019","Currency=USD","Period=FQ","BEST_FPERIOD_OVERRIDE=FQ","FILING_STATUS=MR","SCALING_FORMAT=MLN","Sort=A","Dates=H","DateFormat=P","Fill=—","Direction=H","UseDPDF=Y")</f>
        <v>0</v>
      </c>
      <c r="F10" s="13">
        <f>_xll.BDH("BLUE US Equity","IS_OTHER_OPER_INC_NONGAAP_ADJUST","FQ3 2019","FQ3 2019","Currency=USD","Period=FQ","BEST_FPERIOD_OVERRIDE=FQ","FILING_STATUS=MR","SCALING_FORMAT=MLN","Sort=A","Dates=H","DateFormat=P","Fill=—","Direction=H","UseDPDF=Y")</f>
        <v>0</v>
      </c>
      <c r="G10" s="13">
        <f>_xll.BDH("BLUE US Equity","IS_OTHER_OPER_INC_NONGAAP_ADJUST","FQ4 2019","FQ4 2019","Currency=USD","Period=FQ","BEST_FPERIOD_OVERRIDE=FQ","FILING_STATUS=MR","SCALING_FORMAT=MLN","Sort=A","Dates=H","DateFormat=P","Fill=—","Direction=H","UseDPDF=Y")</f>
        <v>0</v>
      </c>
      <c r="H10" s="13">
        <f>_xll.BDH("BLUE US Equity","IS_OTHER_OPER_INC_NONGAAP_ADJUST","FQ1 2020","FQ1 2020","Currency=USD","Period=FQ","BEST_FPERIOD_OVERRIDE=FQ","FILING_STATUS=MR","SCALING_FORMAT=MLN","Sort=A","Dates=H","DateFormat=P","Fill=—","Direction=H","UseDPDF=Y")</f>
        <v>0</v>
      </c>
      <c r="I10" s="13">
        <f>_xll.BDH("BLUE US Equity","IS_OTHER_OPER_INC_NONGAAP_ADJUST","FQ2 2020","FQ2 2020","Currency=USD","Period=FQ","BEST_FPERIOD_OVERRIDE=FQ","FILING_STATUS=MR","SCALING_FORMAT=MLN","Sort=A","Dates=H","DateFormat=P","Fill=—","Direction=H","UseDPDF=Y")</f>
        <v>0</v>
      </c>
      <c r="J10" s="13">
        <f>_xll.BDH("BLUE US Equity","IS_OTHER_OPER_INC_NONGAAP_ADJUST","FQ3 2020","FQ3 2020","Currency=USD","Period=FQ","BEST_FPERIOD_OVERRIDE=FQ","FILING_STATUS=MR","SCALING_FORMAT=MLN","Sort=A","Dates=H","DateFormat=P","Fill=—","Direction=H","UseDPDF=Y")</f>
        <v>0</v>
      </c>
      <c r="K10" s="13">
        <f>_xll.BDH("BLUE US Equity","IS_OTHER_OPER_INC_NONGAAP_ADJUST","FQ4 2020","FQ4 2020","Currency=USD","Period=FQ","BEST_FPERIOD_OVERRIDE=FQ","FILING_STATUS=MR","SCALING_FORMAT=MLN","Sort=A","Dates=H","DateFormat=P","Fill=—","Direction=H","UseDPDF=Y")</f>
        <v>0</v>
      </c>
      <c r="L10" s="13">
        <f>_xll.BDH("BLUE US Equity","IS_OTHER_OPER_INC_NONGAAP_ADJUST","FQ1 2021","FQ1 2021","Currency=USD","Period=FQ","BEST_FPERIOD_OVERRIDE=FQ","FILING_STATUS=MR","SCALING_FORMAT=MLN","Sort=A","Dates=H","DateFormat=P","Fill=—","Direction=H","UseDPDF=Y")</f>
        <v>0</v>
      </c>
      <c r="M10" s="13">
        <f>_xll.BDH("BLUE US Equity","IS_OTHER_OPER_INC_NONGAAP_ADJUST","FQ2 2021","FQ2 2021","Currency=USD","Period=FQ","BEST_FPERIOD_OVERRIDE=FQ","FILING_STATUS=MR","SCALING_FORMAT=MLN","Sort=A","Dates=H","DateFormat=P","Fill=—","Direction=H","UseDPDF=Y")</f>
        <v>0</v>
      </c>
      <c r="N10" s="13">
        <f>_xll.BDH("BLUE US Equity","IS_OTHER_OPER_INC_NONGAAP_ADJUST","FQ3 2021","FQ3 2021","Currency=USD","Period=FQ","BEST_FPERIOD_OVERRIDE=FQ","FILING_STATUS=MR","SCALING_FORMAT=MLN","Sort=A","Dates=H","DateFormat=P","Fill=—","Direction=H","UseDPDF=Y")</f>
        <v>0</v>
      </c>
      <c r="O10" s="13">
        <f>_xll.BDH("BLUE US Equity","IS_OTHER_OPER_INC_NONGAAP_ADJUST","FQ4 2021","FQ4 2021","Currency=USD","Period=FQ","BEST_FPERIOD_OVERRIDE=FQ","FILING_STATUS=MR","SCALING_FORMAT=MLN","Sort=A","Dates=H","DateFormat=P","Fill=—","Direction=H","UseDPDF=Y")</f>
        <v>0</v>
      </c>
      <c r="P10" s="13">
        <f>_xll.BDH("BLUE US Equity","IS_OTHER_OPER_INC_NONGAAP_ADJUST","FQ1 2022","FQ1 2022","Currency=USD","Period=FQ","BEST_FPERIOD_OVERRIDE=FQ","FILING_STATUS=MR","SCALING_FORMAT=MLN","Sort=A","Dates=H","DateFormat=P","Fill=—","Direction=H","UseDPDF=Y")</f>
        <v>0</v>
      </c>
      <c r="Q10" s="13">
        <f>_xll.BDH("BLUE US Equity","IS_OTHER_OPER_INC_NONGAAP_ADJUST","FQ2 2022","FQ2 2022","Currency=USD","Period=FQ","BEST_FPERIOD_OVERRIDE=FQ","FILING_STATUS=MR","SCALING_FORMAT=MLN","Sort=A","Dates=H","DateFormat=P","Fill=—","Direction=H","UseDPDF=Y")</f>
        <v>0</v>
      </c>
      <c r="R10" s="13">
        <f>_xll.BDH("BLUE US Equity","IS_OTHER_OPER_INC_NONGAAP_ADJUST","FQ3 2022","FQ3 2022","Currency=USD","Period=FQ","BEST_FPERIOD_OVERRIDE=FQ","FILING_STATUS=MR","SCALING_FORMAT=MLN","Sort=A","Dates=H","DateFormat=P","Fill=—","Direction=H","UseDPDF=Y")</f>
        <v>0</v>
      </c>
      <c r="S10" s="13">
        <f>_xll.BDH("BLUE US Equity","IS_OTHER_OPER_INC_NONGAAP_ADJUST","FQ4 2022","FQ4 2022","Currency=USD","Period=FQ","BEST_FPERIOD_OVERRIDE=FQ","FILING_STATUS=MR","SCALING_FORMAT=MLN","Sort=A","Dates=H","DateFormat=P","Fill=—","Direction=H","UseDPDF=Y")</f>
        <v>0</v>
      </c>
      <c r="T10" s="13">
        <f>_xll.BDH("BLUE US Equity","IS_OTHER_OPER_INC_NONGAAP_ADJUST","FQ1 2023","FQ1 2023","Currency=USD","Period=FQ","BEST_FPERIOD_OVERRIDE=FQ","FILING_STATUS=MR","SCALING_FORMAT=MLN","Sort=A","Dates=H","DateFormat=P","Fill=—","Direction=H","UseDPDF=Y")</f>
        <v>0</v>
      </c>
      <c r="U10" s="13">
        <f>_xll.BDH("BLUE US Equity","IS_OTHER_OPER_INC_NONGAAP_ADJUST","FQ2 2023","FQ2 2023","Currency=USD","Period=FQ","BEST_FPERIOD_OVERRIDE=FQ","FILING_STATUS=MR","SCALING_FORMAT=MLN","Sort=A","Dates=H","DateFormat=P","Fill=—","Direction=H","UseDPDF=Y")</f>
        <v>0</v>
      </c>
      <c r="V10" s="13">
        <f>_xll.BDH("BLUE US Equity","IS_OTHER_OPER_INC_NONGAAP_ADJUST","FQ3 2023","FQ3 2023","Currency=USD","Period=FQ","BEST_FPERIOD_OVERRIDE=FQ","FILING_STATUS=MR","SCALING_FORMAT=MLN","Sort=A","Dates=H","DateFormat=P","Fill=—","Direction=H","UseDPDF=Y")</f>
        <v>0</v>
      </c>
      <c r="W10" s="13">
        <f>_xll.BDH("BLUE US Equity","IS_OTHER_OPER_INC_NONGAAP_ADJUST","FQ4 2023","FQ4 2023","Currency=USD","Period=FQ","BEST_FPERIOD_OVERRIDE=FQ","FILING_STATUS=MR","SCALING_FORMAT=MLN","Sort=A","Dates=H","DateFormat=P","Fill=—","Direction=H","UseDPDF=Y")</f>
        <v>0</v>
      </c>
      <c r="X10" s="13">
        <f>_xll.BDH("BLUE US Equity","IS_OTHER_OPER_INC_NONGAAP_ADJUST","FQ1 2024","FQ1 2024","Currency=USD","Period=FQ","BEST_FPERIOD_OVERRIDE=FQ","FILING_STATUS=MR","SCALING_FORMAT=MLN","Sort=A","Dates=H","DateFormat=P","Fill=—","Direction=H","UseDPDF=Y")</f>
        <v>0</v>
      </c>
      <c r="Y10" s="13">
        <f>_xll.BDH("BLUE US Equity","IS_OTHER_OPER_INC_NONGAAP_ADJUST","FQ2 2024","FQ2 2024","Currency=USD","Period=FQ","BEST_FPERIOD_OVERRIDE=FQ","FILING_STATUS=MR","SCALING_FORMAT=MLN","Sort=A","Dates=H","DateFormat=P","Fill=—","Direction=H","UseDPDF=Y")</f>
        <v>0</v>
      </c>
      <c r="Z10" s="13">
        <f>_xll.BDH("BLUE US Equity","IS_OTHER_OPER_INC_NONGAAP_ADJUST","FQ3 2024","FQ3 2024","Currency=USD","Period=FQ","BEST_FPERIOD_OVERRIDE=FQ","FILING_STATUS=MR","SCALING_FORMAT=MLN","Sort=A","Dates=H","DateFormat=P","Fill=—","Direction=H","UseDPDF=Y")</f>
        <v>0</v>
      </c>
      <c r="AA10" s="13">
        <f>_xll.BDH("BLUE US Equity","IS_OTHER_OPER_INC_NONGAAP_ADJUST","FQ4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522</v>
      </c>
      <c r="B11" s="10" t="s">
        <v>523</v>
      </c>
      <c r="C11" s="13">
        <f>_xll.BDH("BLUE US Equity","IS_SGA_ADJ","FQ4 2018","FQ4 2018","Currency=USD","Period=FQ","BEST_FPERIOD_OVERRIDE=FQ","FILING_STATUS=MR","SCALING_FORMAT=MLN","Sort=A","Dates=H","DateFormat=P","Fill=—","Direction=H","UseDPDF=Y")</f>
        <v>0</v>
      </c>
      <c r="D11" s="13">
        <f>_xll.BDH("BLUE US Equity","IS_SGA_ADJ","FQ1 2019","FQ1 2019","Currency=USD","Period=FQ","BEST_FPERIOD_OVERRIDE=FQ","FILING_STATUS=MR","SCALING_FORMAT=MLN","Sort=A","Dates=H","DateFormat=P","Fill=—","Direction=H","UseDPDF=Y")</f>
        <v>0</v>
      </c>
      <c r="E11" s="13">
        <f>_xll.BDH("BLUE US Equity","IS_SGA_ADJ","FQ2 2019","FQ2 2019","Currency=USD","Period=FQ","BEST_FPERIOD_OVERRIDE=FQ","FILING_STATUS=MR","SCALING_FORMAT=MLN","Sort=A","Dates=H","DateFormat=P","Fill=—","Direction=H","UseDPDF=Y")</f>
        <v>0</v>
      </c>
      <c r="F11" s="13">
        <f>_xll.BDH("BLUE US Equity","IS_SGA_ADJ","FQ3 2019","FQ3 2019","Currency=USD","Period=FQ","BEST_FPERIOD_OVERRIDE=FQ","FILING_STATUS=MR","SCALING_FORMAT=MLN","Sort=A","Dates=H","DateFormat=P","Fill=—","Direction=H","UseDPDF=Y")</f>
        <v>0</v>
      </c>
      <c r="G11" s="13">
        <f>_xll.BDH("BLUE US Equity","IS_SGA_ADJ","FQ4 2019","FQ4 2019","Currency=USD","Period=FQ","BEST_FPERIOD_OVERRIDE=FQ","FILING_STATUS=MR","SCALING_FORMAT=MLN","Sort=A","Dates=H","DateFormat=P","Fill=—","Direction=H","UseDPDF=Y")</f>
        <v>0</v>
      </c>
      <c r="H11" s="13">
        <f>_xll.BDH("BLUE US Equity","IS_SGA_ADJ","FQ1 2020","FQ1 2020","Currency=USD","Period=FQ","BEST_FPERIOD_OVERRIDE=FQ","FILING_STATUS=MR","SCALING_FORMAT=MLN","Sort=A","Dates=H","DateFormat=P","Fill=—","Direction=H","UseDPDF=Y")</f>
        <v>0</v>
      </c>
      <c r="I11" s="13">
        <f>_xll.BDH("BLUE US Equity","IS_SGA_ADJ","FQ2 2020","FQ2 2020","Currency=USD","Period=FQ","BEST_FPERIOD_OVERRIDE=FQ","FILING_STATUS=MR","SCALING_FORMAT=MLN","Sort=A","Dates=H","DateFormat=P","Fill=—","Direction=H","UseDPDF=Y")</f>
        <v>0</v>
      </c>
      <c r="J11" s="13">
        <f>_xll.BDH("BLUE US Equity","IS_SGA_ADJ","FQ3 2020","FQ3 2020","Currency=USD","Period=FQ","BEST_FPERIOD_OVERRIDE=FQ","FILING_STATUS=MR","SCALING_FORMAT=MLN","Sort=A","Dates=H","DateFormat=P","Fill=—","Direction=H","UseDPDF=Y")</f>
        <v>0</v>
      </c>
      <c r="K11" s="13">
        <f>_xll.BDH("BLUE US Equity","IS_SGA_ADJ","FQ4 2020","FQ4 2020","Currency=USD","Period=FQ","BEST_FPERIOD_OVERRIDE=FQ","FILING_STATUS=MR","SCALING_FORMAT=MLN","Sort=A","Dates=H","DateFormat=P","Fill=—","Direction=H","UseDPDF=Y")</f>
        <v>0</v>
      </c>
      <c r="L11" s="13">
        <f>_xll.BDH("BLUE US Equity","IS_SGA_ADJ","FQ1 2021","FQ1 2021","Currency=USD","Period=FQ","BEST_FPERIOD_OVERRIDE=FQ","FILING_STATUS=MR","SCALING_FORMAT=MLN","Sort=A","Dates=H","DateFormat=P","Fill=—","Direction=H","UseDPDF=Y")</f>
        <v>0</v>
      </c>
      <c r="M11" s="13">
        <f>_xll.BDH("BLUE US Equity","IS_SGA_ADJ","FQ2 2021","FQ2 2021","Currency=USD","Period=FQ","BEST_FPERIOD_OVERRIDE=FQ","FILING_STATUS=MR","SCALING_FORMAT=MLN","Sort=A","Dates=H","DateFormat=P","Fill=—","Direction=H","UseDPDF=Y")</f>
        <v>0</v>
      </c>
      <c r="N11" s="13">
        <f>_xll.BDH("BLUE US Equity","IS_SGA_ADJ","FQ3 2021","FQ3 2021","Currency=USD","Period=FQ","BEST_FPERIOD_OVERRIDE=FQ","FILING_STATUS=MR","SCALING_FORMAT=MLN","Sort=A","Dates=H","DateFormat=P","Fill=—","Direction=H","UseDPDF=Y")</f>
        <v>0</v>
      </c>
      <c r="O11" s="13">
        <f>_xll.BDH("BLUE US Equity","IS_SGA_ADJ","FQ4 2021","FQ4 2021","Currency=USD","Period=FQ","BEST_FPERIOD_OVERRIDE=FQ","FILING_STATUS=MR","SCALING_FORMAT=MLN","Sort=A","Dates=H","DateFormat=P","Fill=—","Direction=H","UseDPDF=Y")</f>
        <v>0</v>
      </c>
      <c r="P11" s="13">
        <f>_xll.BDH("BLUE US Equity","IS_SGA_ADJ","FQ1 2022","FQ1 2022","Currency=USD","Period=FQ","BEST_FPERIOD_OVERRIDE=FQ","FILING_STATUS=MR","SCALING_FORMAT=MLN","Sort=A","Dates=H","DateFormat=P","Fill=—","Direction=H","UseDPDF=Y")</f>
        <v>0</v>
      </c>
      <c r="Q11" s="13">
        <f>_xll.BDH("BLUE US Equity","IS_SGA_ADJ","FQ2 2022","FQ2 2022","Currency=USD","Period=FQ","BEST_FPERIOD_OVERRIDE=FQ","FILING_STATUS=MR","SCALING_FORMAT=MLN","Sort=A","Dates=H","DateFormat=P","Fill=—","Direction=H","UseDPDF=Y")</f>
        <v>0</v>
      </c>
      <c r="R11" s="13">
        <f>_xll.BDH("BLUE US Equity","IS_SGA_ADJ","FQ3 2022","FQ3 2022","Currency=USD","Period=FQ","BEST_FPERIOD_OVERRIDE=FQ","FILING_STATUS=MR","SCALING_FORMAT=MLN","Sort=A","Dates=H","DateFormat=P","Fill=—","Direction=H","UseDPDF=Y")</f>
        <v>0</v>
      </c>
      <c r="S11" s="13">
        <f>_xll.BDH("BLUE US Equity","IS_SGA_ADJ","FQ4 2022","FQ4 2022","Currency=USD","Period=FQ","BEST_FPERIOD_OVERRIDE=FQ","FILING_STATUS=MR","SCALING_FORMAT=MLN","Sort=A","Dates=H","DateFormat=P","Fill=—","Direction=H","UseDPDF=Y")</f>
        <v>0</v>
      </c>
      <c r="T11" s="13">
        <f>_xll.BDH("BLUE US Equity","IS_SGA_ADJ","FQ1 2023","FQ1 2023","Currency=USD","Period=FQ","BEST_FPERIOD_OVERRIDE=FQ","FILING_STATUS=MR","SCALING_FORMAT=MLN","Sort=A","Dates=H","DateFormat=P","Fill=—","Direction=H","UseDPDF=Y")</f>
        <v>0</v>
      </c>
      <c r="U11" s="13">
        <f>_xll.BDH("BLUE US Equity","IS_SGA_ADJ","FQ2 2023","FQ2 2023","Currency=USD","Period=FQ","BEST_FPERIOD_OVERRIDE=FQ","FILING_STATUS=MR","SCALING_FORMAT=MLN","Sort=A","Dates=H","DateFormat=P","Fill=—","Direction=H","UseDPDF=Y")</f>
        <v>0</v>
      </c>
      <c r="V11" s="13">
        <f>_xll.BDH("BLUE US Equity","IS_SGA_ADJ","FQ3 2023","FQ3 2023","Currency=USD","Period=FQ","BEST_FPERIOD_OVERRIDE=FQ","FILING_STATUS=MR","SCALING_FORMAT=MLN","Sort=A","Dates=H","DateFormat=P","Fill=—","Direction=H","UseDPDF=Y")</f>
        <v>0</v>
      </c>
      <c r="W11" s="13">
        <f>_xll.BDH("BLUE US Equity","IS_SGA_ADJ","FQ4 2023","FQ4 2023","Currency=USD","Period=FQ","BEST_FPERIOD_OVERRIDE=FQ","FILING_STATUS=MR","SCALING_FORMAT=MLN","Sort=A","Dates=H","DateFormat=P","Fill=—","Direction=H","UseDPDF=Y")</f>
        <v>0</v>
      </c>
      <c r="X11" s="13">
        <f>_xll.BDH("BLUE US Equity","IS_SGA_ADJ","FQ1 2024","FQ1 2024","Currency=USD","Period=FQ","BEST_FPERIOD_OVERRIDE=FQ","FILING_STATUS=MR","SCALING_FORMAT=MLN","Sort=A","Dates=H","DateFormat=P","Fill=—","Direction=H","UseDPDF=Y")</f>
        <v>0</v>
      </c>
      <c r="Y11" s="13">
        <f>_xll.BDH("BLUE US Equity","IS_SGA_ADJ","FQ2 2024","FQ2 2024","Currency=USD","Period=FQ","BEST_FPERIOD_OVERRIDE=FQ","FILING_STATUS=MR","SCALING_FORMAT=MLN","Sort=A","Dates=H","DateFormat=P","Fill=—","Direction=H","UseDPDF=Y")</f>
        <v>0</v>
      </c>
      <c r="Z11" s="13">
        <f>_xll.BDH("BLUE US Equity","IS_SGA_ADJ","FQ3 2024","FQ3 2024","Currency=USD","Period=FQ","BEST_FPERIOD_OVERRIDE=FQ","FILING_STATUS=MR","SCALING_FORMAT=MLN","Sort=A","Dates=H","DateFormat=P","Fill=—","Direction=H","UseDPDF=Y")</f>
        <v>0</v>
      </c>
      <c r="AA11" s="13">
        <f>_xll.BDH("BLUE US Equity","IS_SGA_ADJ","FQ4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524</v>
      </c>
      <c r="B12" s="10" t="s">
        <v>525</v>
      </c>
      <c r="C12" s="13">
        <f>_xll.BDH("BLUE US Equity","IS_RD_EXPENSE_NON_GAAP_ADJ","FQ4 2018","FQ4 2018","Currency=USD","Period=FQ","BEST_FPERIOD_OVERRIDE=FQ","FILING_STATUS=MR","SCALING_FORMAT=MLN","Sort=A","Dates=H","DateFormat=P","Fill=—","Direction=H","UseDPDF=Y")</f>
        <v>0</v>
      </c>
      <c r="D12" s="13">
        <f>_xll.BDH("BLUE US Equity","IS_RD_EXPENSE_NON_GAAP_ADJ","FQ1 2019","FQ1 2019","Currency=USD","Period=FQ","BEST_FPERIOD_OVERRIDE=FQ","FILING_STATUS=MR","SCALING_FORMAT=MLN","Sort=A","Dates=H","DateFormat=P","Fill=—","Direction=H","UseDPDF=Y")</f>
        <v>0</v>
      </c>
      <c r="E12" s="13">
        <f>_xll.BDH("BLUE US Equity","IS_RD_EXPENSE_NON_GAAP_ADJ","FQ2 2019","FQ2 2019","Currency=USD","Period=FQ","BEST_FPERIOD_OVERRIDE=FQ","FILING_STATUS=MR","SCALING_FORMAT=MLN","Sort=A","Dates=H","DateFormat=P","Fill=—","Direction=H","UseDPDF=Y")</f>
        <v>0</v>
      </c>
      <c r="F12" s="13">
        <f>_xll.BDH("BLUE US Equity","IS_RD_EXPENSE_NON_GAAP_ADJ","FQ3 2019","FQ3 2019","Currency=USD","Period=FQ","BEST_FPERIOD_OVERRIDE=FQ","FILING_STATUS=MR","SCALING_FORMAT=MLN","Sort=A","Dates=H","DateFormat=P","Fill=—","Direction=H","UseDPDF=Y")</f>
        <v>0</v>
      </c>
      <c r="G12" s="13">
        <f>_xll.BDH("BLUE US Equity","IS_RD_EXPENSE_NON_GAAP_ADJ","FQ4 2019","FQ4 2019","Currency=USD","Period=FQ","BEST_FPERIOD_OVERRIDE=FQ","FILING_STATUS=MR","SCALING_FORMAT=MLN","Sort=A","Dates=H","DateFormat=P","Fill=—","Direction=H","UseDPDF=Y")</f>
        <v>0</v>
      </c>
      <c r="H12" s="13">
        <f>_xll.BDH("BLUE US Equity","IS_RD_EXPENSE_NON_GAAP_ADJ","FQ1 2020","FQ1 2020","Currency=USD","Period=FQ","BEST_FPERIOD_OVERRIDE=FQ","FILING_STATUS=MR","SCALING_FORMAT=MLN","Sort=A","Dates=H","DateFormat=P","Fill=—","Direction=H","UseDPDF=Y")</f>
        <v>0</v>
      </c>
      <c r="I12" s="13">
        <f>_xll.BDH("BLUE US Equity","IS_RD_EXPENSE_NON_GAAP_ADJ","FQ2 2020","FQ2 2020","Currency=USD","Period=FQ","BEST_FPERIOD_OVERRIDE=FQ","FILING_STATUS=MR","SCALING_FORMAT=MLN","Sort=A","Dates=H","DateFormat=P","Fill=—","Direction=H","UseDPDF=Y")</f>
        <v>0</v>
      </c>
      <c r="J12" s="13">
        <f>_xll.BDH("BLUE US Equity","IS_RD_EXPENSE_NON_GAAP_ADJ","FQ3 2020","FQ3 2020","Currency=USD","Period=FQ","BEST_FPERIOD_OVERRIDE=FQ","FILING_STATUS=MR","SCALING_FORMAT=MLN","Sort=A","Dates=H","DateFormat=P","Fill=—","Direction=H","UseDPDF=Y")</f>
        <v>0</v>
      </c>
      <c r="K12" s="13">
        <f>_xll.BDH("BLUE US Equity","IS_RD_EXPENSE_NON_GAAP_ADJ","FQ4 2020","FQ4 2020","Currency=USD","Period=FQ","BEST_FPERIOD_OVERRIDE=FQ","FILING_STATUS=MR","SCALING_FORMAT=MLN","Sort=A","Dates=H","DateFormat=P","Fill=—","Direction=H","UseDPDF=Y")</f>
        <v>0</v>
      </c>
      <c r="L12" s="13">
        <f>_xll.BDH("BLUE US Equity","IS_RD_EXPENSE_NON_GAAP_ADJ","FQ1 2021","FQ1 2021","Currency=USD","Period=FQ","BEST_FPERIOD_OVERRIDE=FQ","FILING_STATUS=MR","SCALING_FORMAT=MLN","Sort=A","Dates=H","DateFormat=P","Fill=—","Direction=H","UseDPDF=Y")</f>
        <v>0</v>
      </c>
      <c r="M12" s="13">
        <f>_xll.BDH("BLUE US Equity","IS_RD_EXPENSE_NON_GAAP_ADJ","FQ2 2021","FQ2 2021","Currency=USD","Period=FQ","BEST_FPERIOD_OVERRIDE=FQ","FILING_STATUS=MR","SCALING_FORMAT=MLN","Sort=A","Dates=H","DateFormat=P","Fill=—","Direction=H","UseDPDF=Y")</f>
        <v>0</v>
      </c>
      <c r="N12" s="13">
        <f>_xll.BDH("BLUE US Equity","IS_RD_EXPENSE_NON_GAAP_ADJ","FQ3 2021","FQ3 2021","Currency=USD","Period=FQ","BEST_FPERIOD_OVERRIDE=FQ","FILING_STATUS=MR","SCALING_FORMAT=MLN","Sort=A","Dates=H","DateFormat=P","Fill=—","Direction=H","UseDPDF=Y")</f>
        <v>0</v>
      </c>
      <c r="O12" s="13">
        <f>_xll.BDH("BLUE US Equity","IS_RD_EXPENSE_NON_GAAP_ADJ","FQ4 2021","FQ4 2021","Currency=USD","Period=FQ","BEST_FPERIOD_OVERRIDE=FQ","FILING_STATUS=MR","SCALING_FORMAT=MLN","Sort=A","Dates=H","DateFormat=P","Fill=—","Direction=H","UseDPDF=Y")</f>
        <v>0</v>
      </c>
      <c r="P12" s="13">
        <f>_xll.BDH("BLUE US Equity","IS_RD_EXPENSE_NON_GAAP_ADJ","FQ1 2022","FQ1 2022","Currency=USD","Period=FQ","BEST_FPERIOD_OVERRIDE=FQ","FILING_STATUS=MR","SCALING_FORMAT=MLN","Sort=A","Dates=H","DateFormat=P","Fill=—","Direction=H","UseDPDF=Y")</f>
        <v>0</v>
      </c>
      <c r="Q12" s="13">
        <f>_xll.BDH("BLUE US Equity","IS_RD_EXPENSE_NON_GAAP_ADJ","FQ2 2022","FQ2 2022","Currency=USD","Period=FQ","BEST_FPERIOD_OVERRIDE=FQ","FILING_STATUS=MR","SCALING_FORMAT=MLN","Sort=A","Dates=H","DateFormat=P","Fill=—","Direction=H","UseDPDF=Y")</f>
        <v>0</v>
      </c>
      <c r="R12" s="13">
        <f>_xll.BDH("BLUE US Equity","IS_RD_EXPENSE_NON_GAAP_ADJ","FQ3 2022","FQ3 2022","Currency=USD","Period=FQ","BEST_FPERIOD_OVERRIDE=FQ","FILING_STATUS=MR","SCALING_FORMAT=MLN","Sort=A","Dates=H","DateFormat=P","Fill=—","Direction=H","UseDPDF=Y")</f>
        <v>0</v>
      </c>
      <c r="S12" s="13">
        <f>_xll.BDH("BLUE US Equity","IS_RD_EXPENSE_NON_GAAP_ADJ","FQ4 2022","FQ4 2022","Currency=USD","Period=FQ","BEST_FPERIOD_OVERRIDE=FQ","FILING_STATUS=MR","SCALING_FORMAT=MLN","Sort=A","Dates=H","DateFormat=P","Fill=—","Direction=H","UseDPDF=Y")</f>
        <v>0</v>
      </c>
      <c r="T12" s="13">
        <f>_xll.BDH("BLUE US Equity","IS_RD_EXPENSE_NON_GAAP_ADJ","FQ1 2023","FQ1 2023","Currency=USD","Period=FQ","BEST_FPERIOD_OVERRIDE=FQ","FILING_STATUS=MR","SCALING_FORMAT=MLN","Sort=A","Dates=H","DateFormat=P","Fill=—","Direction=H","UseDPDF=Y")</f>
        <v>0</v>
      </c>
      <c r="U12" s="13">
        <f>_xll.BDH("BLUE US Equity","IS_RD_EXPENSE_NON_GAAP_ADJ","FQ2 2023","FQ2 2023","Currency=USD","Period=FQ","BEST_FPERIOD_OVERRIDE=FQ","FILING_STATUS=MR","SCALING_FORMAT=MLN","Sort=A","Dates=H","DateFormat=P","Fill=—","Direction=H","UseDPDF=Y")</f>
        <v>0</v>
      </c>
      <c r="V12" s="13">
        <f>_xll.BDH("BLUE US Equity","IS_RD_EXPENSE_NON_GAAP_ADJ","FQ3 2023","FQ3 2023","Currency=USD","Period=FQ","BEST_FPERIOD_OVERRIDE=FQ","FILING_STATUS=MR","SCALING_FORMAT=MLN","Sort=A","Dates=H","DateFormat=P","Fill=—","Direction=H","UseDPDF=Y")</f>
        <v>0</v>
      </c>
      <c r="W12" s="13">
        <f>_xll.BDH("BLUE US Equity","IS_RD_EXPENSE_NON_GAAP_ADJ","FQ4 2023","FQ4 2023","Currency=USD","Period=FQ","BEST_FPERIOD_OVERRIDE=FQ","FILING_STATUS=MR","SCALING_FORMAT=MLN","Sort=A","Dates=H","DateFormat=P","Fill=—","Direction=H","UseDPDF=Y")</f>
        <v>0</v>
      </c>
      <c r="X12" s="13">
        <f>_xll.BDH("BLUE US Equity","IS_RD_EXPENSE_NON_GAAP_ADJ","FQ1 2024","FQ1 2024","Currency=USD","Period=FQ","BEST_FPERIOD_OVERRIDE=FQ","FILING_STATUS=MR","SCALING_FORMAT=MLN","Sort=A","Dates=H","DateFormat=P","Fill=—","Direction=H","UseDPDF=Y")</f>
        <v>0</v>
      </c>
      <c r="Y12" s="13">
        <f>_xll.BDH("BLUE US Equity","IS_RD_EXPENSE_NON_GAAP_ADJ","FQ2 2024","FQ2 2024","Currency=USD","Period=FQ","BEST_FPERIOD_OVERRIDE=FQ","FILING_STATUS=MR","SCALING_FORMAT=MLN","Sort=A","Dates=H","DateFormat=P","Fill=—","Direction=H","UseDPDF=Y")</f>
        <v>0</v>
      </c>
      <c r="Z12" s="13">
        <f>_xll.BDH("BLUE US Equity","IS_RD_EXPENSE_NON_GAAP_ADJ","FQ3 2024","FQ3 2024","Currency=USD","Period=FQ","BEST_FPERIOD_OVERRIDE=FQ","FILING_STATUS=MR","SCALING_FORMAT=MLN","Sort=A","Dates=H","DateFormat=P","Fill=—","Direction=H","UseDPDF=Y")</f>
        <v>0</v>
      </c>
      <c r="AA12" s="13">
        <f>_xll.BDH("BLUE US Equity","IS_RD_EXPENSE_NON_GAAP_ADJ","FQ4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526</v>
      </c>
      <c r="B13" s="10" t="s">
        <v>527</v>
      </c>
      <c r="C13" s="13">
        <f>_xll.BDH("BLUE US Equity","IS_DA_NON_GAAP_ADJ","FQ4 2018","FQ4 2018","Currency=USD","Period=FQ","BEST_FPERIOD_OVERRIDE=FQ","FILING_STATUS=MR","SCALING_FORMAT=MLN","Sort=A","Dates=H","DateFormat=P","Fill=—","Direction=H","UseDPDF=Y")</f>
        <v>0</v>
      </c>
      <c r="D13" s="13">
        <f>_xll.BDH("BLUE US Equity","IS_DA_NON_GAAP_ADJ","FQ1 2019","FQ1 2019","Currency=USD","Period=FQ","BEST_FPERIOD_OVERRIDE=FQ","FILING_STATUS=MR","SCALING_FORMAT=MLN","Sort=A","Dates=H","DateFormat=P","Fill=—","Direction=H","UseDPDF=Y")</f>
        <v>0</v>
      </c>
      <c r="E13" s="13">
        <f>_xll.BDH("BLUE US Equity","IS_DA_NON_GAAP_ADJ","FQ2 2019","FQ2 2019","Currency=USD","Period=FQ","BEST_FPERIOD_OVERRIDE=FQ","FILING_STATUS=MR","SCALING_FORMAT=MLN","Sort=A","Dates=H","DateFormat=P","Fill=—","Direction=H","UseDPDF=Y")</f>
        <v>0</v>
      </c>
      <c r="F13" s="13">
        <f>_xll.BDH("BLUE US Equity","IS_DA_NON_GAAP_ADJ","FQ3 2019","FQ3 2019","Currency=USD","Period=FQ","BEST_FPERIOD_OVERRIDE=FQ","FILING_STATUS=MR","SCALING_FORMAT=MLN","Sort=A","Dates=H","DateFormat=P","Fill=—","Direction=H","UseDPDF=Y")</f>
        <v>0</v>
      </c>
      <c r="G13" s="13">
        <f>_xll.BDH("BLUE US Equity","IS_DA_NON_GAAP_ADJ","FQ4 2019","FQ4 2019","Currency=USD","Period=FQ","BEST_FPERIOD_OVERRIDE=FQ","FILING_STATUS=MR","SCALING_FORMAT=MLN","Sort=A","Dates=H","DateFormat=P","Fill=—","Direction=H","UseDPDF=Y")</f>
        <v>0</v>
      </c>
      <c r="H13" s="13">
        <f>_xll.BDH("BLUE US Equity","IS_DA_NON_GAAP_ADJ","FQ1 2020","FQ1 2020","Currency=USD","Period=FQ","BEST_FPERIOD_OVERRIDE=FQ","FILING_STATUS=MR","SCALING_FORMAT=MLN","Sort=A","Dates=H","DateFormat=P","Fill=—","Direction=H","UseDPDF=Y")</f>
        <v>0</v>
      </c>
      <c r="I13" s="13">
        <f>_xll.BDH("BLUE US Equity","IS_DA_NON_GAAP_ADJ","FQ2 2020","FQ2 2020","Currency=USD","Period=FQ","BEST_FPERIOD_OVERRIDE=FQ","FILING_STATUS=MR","SCALING_FORMAT=MLN","Sort=A","Dates=H","DateFormat=P","Fill=—","Direction=H","UseDPDF=Y")</f>
        <v>0</v>
      </c>
      <c r="J13" s="13">
        <f>_xll.BDH("BLUE US Equity","IS_DA_NON_GAAP_ADJ","FQ3 2020","FQ3 2020","Currency=USD","Period=FQ","BEST_FPERIOD_OVERRIDE=FQ","FILING_STATUS=MR","SCALING_FORMAT=MLN","Sort=A","Dates=H","DateFormat=P","Fill=—","Direction=H","UseDPDF=Y")</f>
        <v>0</v>
      </c>
      <c r="K13" s="13">
        <f>_xll.BDH("BLUE US Equity","IS_DA_NON_GAAP_ADJ","FQ4 2020","FQ4 2020","Currency=USD","Period=FQ","BEST_FPERIOD_OVERRIDE=FQ","FILING_STATUS=MR","SCALING_FORMAT=MLN","Sort=A","Dates=H","DateFormat=P","Fill=—","Direction=H","UseDPDF=Y")</f>
        <v>0</v>
      </c>
      <c r="L13" s="13">
        <f>_xll.BDH("BLUE US Equity","IS_DA_NON_GAAP_ADJ","FQ1 2021","FQ1 2021","Currency=USD","Period=FQ","BEST_FPERIOD_OVERRIDE=FQ","FILING_STATUS=MR","SCALING_FORMAT=MLN","Sort=A","Dates=H","DateFormat=P","Fill=—","Direction=H","UseDPDF=Y")</f>
        <v>0</v>
      </c>
      <c r="M13" s="13">
        <f>_xll.BDH("BLUE US Equity","IS_DA_NON_GAAP_ADJ","FQ2 2021","FQ2 2021","Currency=USD","Period=FQ","BEST_FPERIOD_OVERRIDE=FQ","FILING_STATUS=MR","SCALING_FORMAT=MLN","Sort=A","Dates=H","DateFormat=P","Fill=—","Direction=H","UseDPDF=Y")</f>
        <v>0</v>
      </c>
      <c r="N13" s="13">
        <f>_xll.BDH("BLUE US Equity","IS_DA_NON_GAAP_ADJ","FQ3 2021","FQ3 2021","Currency=USD","Period=FQ","BEST_FPERIOD_OVERRIDE=FQ","FILING_STATUS=MR","SCALING_FORMAT=MLN","Sort=A","Dates=H","DateFormat=P","Fill=—","Direction=H","UseDPDF=Y")</f>
        <v>0</v>
      </c>
      <c r="O13" s="13">
        <f>_xll.BDH("BLUE US Equity","IS_DA_NON_GAAP_ADJ","FQ4 2021","FQ4 2021","Currency=USD","Period=FQ","BEST_FPERIOD_OVERRIDE=FQ","FILING_STATUS=MR","SCALING_FORMAT=MLN","Sort=A","Dates=H","DateFormat=P","Fill=—","Direction=H","UseDPDF=Y")</f>
        <v>0</v>
      </c>
      <c r="P13" s="13">
        <f>_xll.BDH("BLUE US Equity","IS_DA_NON_GAAP_ADJ","FQ1 2022","FQ1 2022","Currency=USD","Period=FQ","BEST_FPERIOD_OVERRIDE=FQ","FILING_STATUS=MR","SCALING_FORMAT=MLN","Sort=A","Dates=H","DateFormat=P","Fill=—","Direction=H","UseDPDF=Y")</f>
        <v>0</v>
      </c>
      <c r="Q13" s="13">
        <f>_xll.BDH("BLUE US Equity","IS_DA_NON_GAAP_ADJ","FQ2 2022","FQ2 2022","Currency=USD","Period=FQ","BEST_FPERIOD_OVERRIDE=FQ","FILING_STATUS=MR","SCALING_FORMAT=MLN","Sort=A","Dates=H","DateFormat=P","Fill=—","Direction=H","UseDPDF=Y")</f>
        <v>0</v>
      </c>
      <c r="R13" s="13">
        <f>_xll.BDH("BLUE US Equity","IS_DA_NON_GAAP_ADJ","FQ3 2022","FQ3 2022","Currency=USD","Period=FQ","BEST_FPERIOD_OVERRIDE=FQ","FILING_STATUS=MR","SCALING_FORMAT=MLN","Sort=A","Dates=H","DateFormat=P","Fill=—","Direction=H","UseDPDF=Y")</f>
        <v>0</v>
      </c>
      <c r="S13" s="13">
        <f>_xll.BDH("BLUE US Equity","IS_DA_NON_GAAP_ADJ","FQ4 2022","FQ4 2022","Currency=USD","Period=FQ","BEST_FPERIOD_OVERRIDE=FQ","FILING_STATUS=MR","SCALING_FORMAT=MLN","Sort=A","Dates=H","DateFormat=P","Fill=—","Direction=H","UseDPDF=Y")</f>
        <v>0</v>
      </c>
      <c r="T13" s="13">
        <f>_xll.BDH("BLUE US Equity","IS_DA_NON_GAAP_ADJ","FQ1 2023","FQ1 2023","Currency=USD","Period=FQ","BEST_FPERIOD_OVERRIDE=FQ","FILING_STATUS=MR","SCALING_FORMAT=MLN","Sort=A","Dates=H","DateFormat=P","Fill=—","Direction=H","UseDPDF=Y")</f>
        <v>0</v>
      </c>
      <c r="U13" s="13">
        <f>_xll.BDH("BLUE US Equity","IS_DA_NON_GAAP_ADJ","FQ2 2023","FQ2 2023","Currency=USD","Period=FQ","BEST_FPERIOD_OVERRIDE=FQ","FILING_STATUS=MR","SCALING_FORMAT=MLN","Sort=A","Dates=H","DateFormat=P","Fill=—","Direction=H","UseDPDF=Y")</f>
        <v>0</v>
      </c>
      <c r="V13" s="13">
        <f>_xll.BDH("BLUE US Equity","IS_DA_NON_GAAP_ADJ","FQ3 2023","FQ3 2023","Currency=USD","Period=FQ","BEST_FPERIOD_OVERRIDE=FQ","FILING_STATUS=MR","SCALING_FORMAT=MLN","Sort=A","Dates=H","DateFormat=P","Fill=—","Direction=H","UseDPDF=Y")</f>
        <v>0</v>
      </c>
      <c r="W13" s="13">
        <f>_xll.BDH("BLUE US Equity","IS_DA_NON_GAAP_ADJ","FQ4 2023","FQ4 2023","Currency=USD","Period=FQ","BEST_FPERIOD_OVERRIDE=FQ","FILING_STATUS=MR","SCALING_FORMAT=MLN","Sort=A","Dates=H","DateFormat=P","Fill=—","Direction=H","UseDPDF=Y")</f>
        <v>0</v>
      </c>
      <c r="X13" s="13">
        <f>_xll.BDH("BLUE US Equity","IS_DA_NON_GAAP_ADJ","FQ1 2024","FQ1 2024","Currency=USD","Period=FQ","BEST_FPERIOD_OVERRIDE=FQ","FILING_STATUS=MR","SCALING_FORMAT=MLN","Sort=A","Dates=H","DateFormat=P","Fill=—","Direction=H","UseDPDF=Y")</f>
        <v>0</v>
      </c>
      <c r="Y13" s="13">
        <f>_xll.BDH("BLUE US Equity","IS_DA_NON_GAAP_ADJ","FQ2 2024","FQ2 2024","Currency=USD","Period=FQ","BEST_FPERIOD_OVERRIDE=FQ","FILING_STATUS=MR","SCALING_FORMAT=MLN","Sort=A","Dates=H","DateFormat=P","Fill=—","Direction=H","UseDPDF=Y")</f>
        <v>0</v>
      </c>
      <c r="Z13" s="13">
        <f>_xll.BDH("BLUE US Equity","IS_DA_NON_GAAP_ADJ","FQ3 2024","FQ3 2024","Currency=USD","Period=FQ","BEST_FPERIOD_OVERRIDE=FQ","FILING_STATUS=MR","SCALING_FORMAT=MLN","Sort=A","Dates=H","DateFormat=P","Fill=—","Direction=H","UseDPDF=Y")</f>
        <v>0</v>
      </c>
      <c r="AA13" s="13">
        <f>_xll.BDH("BLUE US Equity","IS_DA_NON_GAAP_ADJ","FQ4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528</v>
      </c>
      <c r="B14" s="10" t="s">
        <v>529</v>
      </c>
      <c r="C14" s="13">
        <f>_xll.BDH("BLUE US Equity","IS_PDA_NONGAAP_ADJUSTMENTS","FQ4 2018","FQ4 2018","Currency=USD","Period=FQ","BEST_FPERIOD_OVERRIDE=FQ","FILING_STATUS=MR","SCALING_FORMAT=MLN","Sort=A","Dates=H","DateFormat=P","Fill=—","Direction=H","UseDPDF=Y")</f>
        <v>0</v>
      </c>
      <c r="D14" s="13">
        <f>_xll.BDH("BLUE US Equity","IS_PDA_NONGAAP_ADJUSTMENTS","FQ1 2019","FQ1 2019","Currency=USD","Period=FQ","BEST_FPERIOD_OVERRIDE=FQ","FILING_STATUS=MR","SCALING_FORMAT=MLN","Sort=A","Dates=H","DateFormat=P","Fill=—","Direction=H","UseDPDF=Y")</f>
        <v>0</v>
      </c>
      <c r="E14" s="13">
        <f>_xll.BDH("BLUE US Equity","IS_PDA_NONGAAP_ADJUSTMENTS","FQ2 2019","FQ2 2019","Currency=USD","Period=FQ","BEST_FPERIOD_OVERRIDE=FQ","FILING_STATUS=MR","SCALING_FORMAT=MLN","Sort=A","Dates=H","DateFormat=P","Fill=—","Direction=H","UseDPDF=Y")</f>
        <v>0</v>
      </c>
      <c r="F14" s="13">
        <f>_xll.BDH("BLUE US Equity","IS_PDA_NONGAAP_ADJUSTMENTS","FQ3 2019","FQ3 2019","Currency=USD","Period=FQ","BEST_FPERIOD_OVERRIDE=FQ","FILING_STATUS=MR","SCALING_FORMAT=MLN","Sort=A","Dates=H","DateFormat=P","Fill=—","Direction=H","UseDPDF=Y")</f>
        <v>0</v>
      </c>
      <c r="G14" s="13">
        <f>_xll.BDH("BLUE US Equity","IS_PDA_NONGAAP_ADJUSTMENTS","FQ4 2019","FQ4 2019","Currency=USD","Period=FQ","BEST_FPERIOD_OVERRIDE=FQ","FILING_STATUS=MR","SCALING_FORMAT=MLN","Sort=A","Dates=H","DateFormat=P","Fill=—","Direction=H","UseDPDF=Y")</f>
        <v>0</v>
      </c>
      <c r="H14" s="13">
        <f>_xll.BDH("BLUE US Equity","IS_PDA_NONGAAP_ADJUSTMENTS","FQ1 2020","FQ1 2020","Currency=USD","Period=FQ","BEST_FPERIOD_OVERRIDE=FQ","FILING_STATUS=MR","SCALING_FORMAT=MLN","Sort=A","Dates=H","DateFormat=P","Fill=—","Direction=H","UseDPDF=Y")</f>
        <v>0</v>
      </c>
      <c r="I14" s="13">
        <f>_xll.BDH("BLUE US Equity","IS_PDA_NONGAAP_ADJUSTMENTS","FQ2 2020","FQ2 2020","Currency=USD","Period=FQ","BEST_FPERIOD_OVERRIDE=FQ","FILING_STATUS=MR","SCALING_FORMAT=MLN","Sort=A","Dates=H","DateFormat=P","Fill=—","Direction=H","UseDPDF=Y")</f>
        <v>0</v>
      </c>
      <c r="J14" s="13">
        <f>_xll.BDH("BLUE US Equity","IS_PDA_NONGAAP_ADJUSTMENTS","FQ3 2020","FQ3 2020","Currency=USD","Period=FQ","BEST_FPERIOD_OVERRIDE=FQ","FILING_STATUS=MR","SCALING_FORMAT=MLN","Sort=A","Dates=H","DateFormat=P","Fill=—","Direction=H","UseDPDF=Y")</f>
        <v>0</v>
      </c>
      <c r="K14" s="13">
        <f>_xll.BDH("BLUE US Equity","IS_PDA_NONGAAP_ADJUSTMENTS","FQ4 2020","FQ4 2020","Currency=USD","Period=FQ","BEST_FPERIOD_OVERRIDE=FQ","FILING_STATUS=MR","SCALING_FORMAT=MLN","Sort=A","Dates=H","DateFormat=P","Fill=—","Direction=H","UseDPDF=Y")</f>
        <v>0</v>
      </c>
      <c r="L14" s="13">
        <f>_xll.BDH("BLUE US Equity","IS_PDA_NONGAAP_ADJUSTMENTS","FQ1 2021","FQ1 2021","Currency=USD","Period=FQ","BEST_FPERIOD_OVERRIDE=FQ","FILING_STATUS=MR","SCALING_FORMAT=MLN","Sort=A","Dates=H","DateFormat=P","Fill=—","Direction=H","UseDPDF=Y")</f>
        <v>0</v>
      </c>
      <c r="M14" s="13">
        <f>_xll.BDH("BLUE US Equity","IS_PDA_NONGAAP_ADJUSTMENTS","FQ2 2021","FQ2 2021","Currency=USD","Period=FQ","BEST_FPERIOD_OVERRIDE=FQ","FILING_STATUS=MR","SCALING_FORMAT=MLN","Sort=A","Dates=H","DateFormat=P","Fill=—","Direction=H","UseDPDF=Y")</f>
        <v>0</v>
      </c>
      <c r="N14" s="13">
        <f>_xll.BDH("BLUE US Equity","IS_PDA_NONGAAP_ADJUSTMENTS","FQ3 2021","FQ3 2021","Currency=USD","Period=FQ","BEST_FPERIOD_OVERRIDE=FQ","FILING_STATUS=MR","SCALING_FORMAT=MLN","Sort=A","Dates=H","DateFormat=P","Fill=—","Direction=H","UseDPDF=Y")</f>
        <v>0</v>
      </c>
      <c r="O14" s="13">
        <f>_xll.BDH("BLUE US Equity","IS_PDA_NONGAAP_ADJUSTMENTS","FQ4 2021","FQ4 2021","Currency=USD","Period=FQ","BEST_FPERIOD_OVERRIDE=FQ","FILING_STATUS=MR","SCALING_FORMAT=MLN","Sort=A","Dates=H","DateFormat=P","Fill=—","Direction=H","UseDPDF=Y")</f>
        <v>0</v>
      </c>
      <c r="P14" s="13">
        <f>_xll.BDH("BLUE US Equity","IS_PDA_NONGAAP_ADJUSTMENTS","FQ1 2022","FQ1 2022","Currency=USD","Period=FQ","BEST_FPERIOD_OVERRIDE=FQ","FILING_STATUS=MR","SCALING_FORMAT=MLN","Sort=A","Dates=H","DateFormat=P","Fill=—","Direction=H","UseDPDF=Y")</f>
        <v>0</v>
      </c>
      <c r="Q14" s="13">
        <f>_xll.BDH("BLUE US Equity","IS_PDA_NONGAAP_ADJUSTMENTS","FQ2 2022","FQ2 2022","Currency=USD","Period=FQ","BEST_FPERIOD_OVERRIDE=FQ","FILING_STATUS=MR","SCALING_FORMAT=MLN","Sort=A","Dates=H","DateFormat=P","Fill=—","Direction=H","UseDPDF=Y")</f>
        <v>0</v>
      </c>
      <c r="R14" s="13">
        <f>_xll.BDH("BLUE US Equity","IS_PDA_NONGAAP_ADJUSTMENTS","FQ3 2022","FQ3 2022","Currency=USD","Period=FQ","BEST_FPERIOD_OVERRIDE=FQ","FILING_STATUS=MR","SCALING_FORMAT=MLN","Sort=A","Dates=H","DateFormat=P","Fill=—","Direction=H","UseDPDF=Y")</f>
        <v>0</v>
      </c>
      <c r="S14" s="13">
        <f>_xll.BDH("BLUE US Equity","IS_PDA_NONGAAP_ADJUSTMENTS","FQ4 2022","FQ4 2022","Currency=USD","Period=FQ","BEST_FPERIOD_OVERRIDE=FQ","FILING_STATUS=MR","SCALING_FORMAT=MLN","Sort=A","Dates=H","DateFormat=P","Fill=—","Direction=H","UseDPDF=Y")</f>
        <v>0</v>
      </c>
      <c r="T14" s="13">
        <f>_xll.BDH("BLUE US Equity","IS_PDA_NONGAAP_ADJUSTMENTS","FQ1 2023","FQ1 2023","Currency=USD","Period=FQ","BEST_FPERIOD_OVERRIDE=FQ","FILING_STATUS=MR","SCALING_FORMAT=MLN","Sort=A","Dates=H","DateFormat=P","Fill=—","Direction=H","UseDPDF=Y")</f>
        <v>0</v>
      </c>
      <c r="U14" s="13">
        <f>_xll.BDH("BLUE US Equity","IS_PDA_NONGAAP_ADJUSTMENTS","FQ2 2023","FQ2 2023","Currency=USD","Period=FQ","BEST_FPERIOD_OVERRIDE=FQ","FILING_STATUS=MR","SCALING_FORMAT=MLN","Sort=A","Dates=H","DateFormat=P","Fill=—","Direction=H","UseDPDF=Y")</f>
        <v>0</v>
      </c>
      <c r="V14" s="13">
        <f>_xll.BDH("BLUE US Equity","IS_PDA_NONGAAP_ADJUSTMENTS","FQ3 2023","FQ3 2023","Currency=USD","Period=FQ","BEST_FPERIOD_OVERRIDE=FQ","FILING_STATUS=MR","SCALING_FORMAT=MLN","Sort=A","Dates=H","DateFormat=P","Fill=—","Direction=H","UseDPDF=Y")</f>
        <v>0</v>
      </c>
      <c r="W14" s="13">
        <f>_xll.BDH("BLUE US Equity","IS_PDA_NONGAAP_ADJUSTMENTS","FQ4 2023","FQ4 2023","Currency=USD","Period=FQ","BEST_FPERIOD_OVERRIDE=FQ","FILING_STATUS=MR","SCALING_FORMAT=MLN","Sort=A","Dates=H","DateFormat=P","Fill=—","Direction=H","UseDPDF=Y")</f>
        <v>0</v>
      </c>
      <c r="X14" s="13">
        <f>_xll.BDH("BLUE US Equity","IS_PDA_NONGAAP_ADJUSTMENTS","FQ1 2024","FQ1 2024","Currency=USD","Period=FQ","BEST_FPERIOD_OVERRIDE=FQ","FILING_STATUS=MR","SCALING_FORMAT=MLN","Sort=A","Dates=H","DateFormat=P","Fill=—","Direction=H","UseDPDF=Y")</f>
        <v>0</v>
      </c>
      <c r="Y14" s="13">
        <f>_xll.BDH("BLUE US Equity","IS_PDA_NONGAAP_ADJUSTMENTS","FQ2 2024","FQ2 2024","Currency=USD","Period=FQ","BEST_FPERIOD_OVERRIDE=FQ","FILING_STATUS=MR","SCALING_FORMAT=MLN","Sort=A","Dates=H","DateFormat=P","Fill=—","Direction=H","UseDPDF=Y")</f>
        <v>0</v>
      </c>
      <c r="Z14" s="13">
        <f>_xll.BDH("BLUE US Equity","IS_PDA_NONGAAP_ADJUSTMENTS","FQ3 2024","FQ3 2024","Currency=USD","Period=FQ","BEST_FPERIOD_OVERRIDE=FQ","FILING_STATUS=MR","SCALING_FORMAT=MLN","Sort=A","Dates=H","DateFormat=P","Fill=—","Direction=H","UseDPDF=Y")</f>
        <v>0</v>
      </c>
      <c r="AA14" s="13">
        <f>_xll.BDH("BLUE US Equity","IS_PDA_NONGAAP_ADJUSTMENTS","FQ4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530</v>
      </c>
      <c r="B15" s="10" t="s">
        <v>531</v>
      </c>
      <c r="C15" s="13">
        <f>_xll.BDH("BLUE US Equity","IS_OTHER_OPERATING_EXPN_ADJUST","FQ4 2018","FQ4 2018","Currency=USD","Period=FQ","BEST_FPERIOD_OVERRIDE=FQ","FILING_STATUS=MR","SCALING_FORMAT=MLN","Sort=A","Dates=H","DateFormat=P","Fill=—","Direction=H","UseDPDF=Y")</f>
        <v>2.1560000000000001</v>
      </c>
      <c r="D15" s="13">
        <f>_xll.BDH("BLUE US Equity","IS_OTHER_OPERATING_EXPN_ADJUST","FQ1 2019","FQ1 2019","Currency=USD","Period=FQ","BEST_FPERIOD_OVERRIDE=FQ","FILING_STATUS=MR","SCALING_FORMAT=MLN","Sort=A","Dates=H","DateFormat=P","Fill=—","Direction=H","UseDPDF=Y")</f>
        <v>0.29599999999999999</v>
      </c>
      <c r="E15" s="13">
        <f>_xll.BDH("BLUE US Equity","IS_OTHER_OPERATING_EXPN_ADJUST","FQ2 2019","FQ2 2019","Currency=USD","Period=FQ","BEST_FPERIOD_OVERRIDE=FQ","FILING_STATUS=MR","SCALING_FORMAT=MLN","Sort=A","Dates=H","DateFormat=P","Fill=—","Direction=H","UseDPDF=Y")</f>
        <v>0.214</v>
      </c>
      <c r="F15" s="13">
        <f>_xll.BDH("BLUE US Equity","IS_OTHER_OPERATING_EXPN_ADJUST","FQ3 2019","FQ3 2019","Currency=USD","Period=FQ","BEST_FPERIOD_OVERRIDE=FQ","FILING_STATUS=MR","SCALING_FORMAT=MLN","Sort=A","Dates=H","DateFormat=P","Fill=—","Direction=H","UseDPDF=Y")</f>
        <v>0.80200000000000005</v>
      </c>
      <c r="G15" s="13">
        <f>_xll.BDH("BLUE US Equity","IS_OTHER_OPERATING_EXPN_ADJUST","FQ4 2019","FQ4 2019","Currency=USD","Period=FQ","BEST_FPERIOD_OVERRIDE=FQ","FILING_STATUS=MR","SCALING_FORMAT=MLN","Sort=A","Dates=H","DateFormat=P","Fill=—","Direction=H","UseDPDF=Y")</f>
        <v>1.4350000000000001</v>
      </c>
      <c r="H15" s="13">
        <f>_xll.BDH("BLUE US Equity","IS_OTHER_OPERATING_EXPN_ADJUST","FQ1 2020","FQ1 2020","Currency=USD","Period=FQ","BEST_FPERIOD_OVERRIDE=FQ","FILING_STATUS=MR","SCALING_FORMAT=MLN","Sort=A","Dates=H","DateFormat=P","Fill=—","Direction=H","UseDPDF=Y")</f>
        <v>-3.1080000000000001</v>
      </c>
      <c r="I15" s="13">
        <f>_xll.BDH("BLUE US Equity","IS_OTHER_OPERATING_EXPN_ADJUST","FQ2 2020","FQ2 2020","Currency=USD","Period=FQ","BEST_FPERIOD_OVERRIDE=FQ","FILING_STATUS=MR","SCALING_FORMAT=MLN","Sort=A","Dates=H","DateFormat=P","Fill=—","Direction=H","UseDPDF=Y")</f>
        <v>-1.655</v>
      </c>
      <c r="J15" s="13">
        <f>_xll.BDH("BLUE US Equity","IS_OTHER_OPERATING_EXPN_ADJUST","FQ3 2020","FQ3 2020","Currency=USD","Period=FQ","BEST_FPERIOD_OVERRIDE=FQ","FILING_STATUS=MR","SCALING_FORMAT=MLN","Sort=A","Dates=H","DateFormat=P","Fill=—","Direction=H","UseDPDF=Y")</f>
        <v>-0.82799999999999996</v>
      </c>
      <c r="K15" s="13">
        <f>_xll.BDH("BLUE US Equity","IS_OTHER_OPERATING_EXPN_ADJUST","FQ4 2020","FQ4 2020","Currency=USD","Period=FQ","BEST_FPERIOD_OVERRIDE=FQ","FILING_STATUS=MR","SCALING_FORMAT=MLN","Sort=A","Dates=H","DateFormat=P","Fill=—","Direction=H","UseDPDF=Y")</f>
        <v>0</v>
      </c>
      <c r="L15" s="13">
        <f>_xll.BDH("BLUE US Equity","IS_OTHER_OPERATING_EXPN_ADJUST","FQ1 2021","FQ1 2021","Currency=USD","Period=FQ","BEST_FPERIOD_OVERRIDE=FQ","FILING_STATUS=MR","SCALING_FORMAT=MLN","Sort=A","Dates=H","DateFormat=P","Fill=—","Direction=H","UseDPDF=Y")</f>
        <v>-28.003</v>
      </c>
      <c r="M15" s="13">
        <f>_xll.BDH("BLUE US Equity","IS_OTHER_OPERATING_EXPN_ADJUST","FQ2 2021","FQ2 2021","Currency=USD","Period=FQ","BEST_FPERIOD_OVERRIDE=FQ","FILING_STATUS=MR","SCALING_FORMAT=MLN","Sort=A","Dates=H","DateFormat=P","Fill=—","Direction=H","UseDPDF=Y")</f>
        <v>4.7E-2</v>
      </c>
      <c r="N15" s="13">
        <f>_xll.BDH("BLUE US Equity","IS_OTHER_OPERATING_EXPN_ADJUST","FQ3 2021","FQ3 2021","Currency=USD","Period=FQ","BEST_FPERIOD_OVERRIDE=FQ","FILING_STATUS=MR","SCALING_FORMAT=MLN","Sort=A","Dates=H","DateFormat=P","Fill=—","Direction=H","UseDPDF=Y")</f>
        <v>20.175000000000001</v>
      </c>
      <c r="O15" s="13">
        <f>_xll.BDH("BLUE US Equity","IS_OTHER_OPERATING_EXPN_ADJUST","FQ4 2021","FQ4 2021","Currency=USD","Period=FQ","BEST_FPERIOD_OVERRIDE=FQ","FILING_STATUS=MR","SCALING_FORMAT=MLN","Sort=A","Dates=H","DateFormat=P","Fill=—","Direction=H","UseDPDF=Y")</f>
        <v>0.92400000000000004</v>
      </c>
      <c r="P15" s="13">
        <f>_xll.BDH("BLUE US Equity","IS_OTHER_OPERATING_EXPN_ADJUST","FQ1 2022","FQ1 2022","Currency=USD","Period=FQ","BEST_FPERIOD_OVERRIDE=FQ","FILING_STATUS=MR","SCALING_FORMAT=MLN","Sort=A","Dates=H","DateFormat=P","Fill=—","Direction=H","UseDPDF=Y")</f>
        <v>2.508</v>
      </c>
      <c r="Q15" s="13">
        <f>_xll.BDH("BLUE US Equity","IS_OTHER_OPERATING_EXPN_ADJUST","FQ2 2022","FQ2 2022","Currency=USD","Period=FQ","BEST_FPERIOD_OVERRIDE=FQ","FILING_STATUS=MR","SCALING_FORMAT=MLN","Sort=A","Dates=H","DateFormat=P","Fill=—","Direction=H","UseDPDF=Y")</f>
        <v>7.266</v>
      </c>
      <c r="R15" s="13">
        <f>_xll.BDH("BLUE US Equity","IS_OTHER_OPERATING_EXPN_ADJUST","FQ3 2022","FQ3 2022","Currency=USD","Period=FQ","BEST_FPERIOD_OVERRIDE=FQ","FILING_STATUS=MR","SCALING_FORMAT=MLN","Sort=A","Dates=H","DateFormat=P","Fill=—","Direction=H","UseDPDF=Y")</f>
        <v>-1.6990000000000001</v>
      </c>
      <c r="S15" s="13">
        <f>_xll.BDH("BLUE US Equity","IS_OTHER_OPERATING_EXPN_ADJUST","FQ4 2022","FQ4 2022","Currency=USD","Period=FQ","BEST_FPERIOD_OVERRIDE=FQ","FILING_STATUS=MR","SCALING_FORMAT=MLN","Sort=A","Dates=H","DateFormat=P","Fill=—","Direction=H","UseDPDF=Y")</f>
        <v>-105.13500000000001</v>
      </c>
      <c r="T15" s="13">
        <f>_xll.BDH("BLUE US Equity","IS_OTHER_OPERATING_EXPN_ADJUST","FQ1 2023","FQ1 2023","Currency=USD","Period=FQ","BEST_FPERIOD_OVERRIDE=FQ","FILING_STATUS=MR","SCALING_FORMAT=MLN","Sort=A","Dates=H","DateFormat=P","Fill=—","Direction=H","UseDPDF=Y")</f>
        <v>-92.93</v>
      </c>
      <c r="U15" s="13">
        <f>_xll.BDH("BLUE US Equity","IS_OTHER_OPERATING_EXPN_ADJUST","FQ2 2023","FQ2 2023","Currency=USD","Period=FQ","BEST_FPERIOD_OVERRIDE=FQ","FILING_STATUS=MR","SCALING_FORMAT=MLN","Sort=A","Dates=H","DateFormat=P","Fill=—","Direction=H","UseDPDF=Y")</f>
        <v>0</v>
      </c>
      <c r="V15" s="13">
        <f>_xll.BDH("BLUE US Equity","IS_OTHER_OPERATING_EXPN_ADJUST","FQ3 2023","FQ3 2023","Currency=USD","Period=FQ","BEST_FPERIOD_OVERRIDE=FQ","FILING_STATUS=MR","SCALING_FORMAT=MLN","Sort=A","Dates=H","DateFormat=P","Fill=—","Direction=H","UseDPDF=Y")</f>
        <v>0</v>
      </c>
      <c r="W15" s="13">
        <f>_xll.BDH("BLUE US Equity","IS_OTHER_OPERATING_EXPN_ADJUST","FQ4 2023","FQ4 2023","Currency=USD","Period=FQ","BEST_FPERIOD_OVERRIDE=FQ","FILING_STATUS=MR","SCALING_FORMAT=MLN","Sort=A","Dates=H","DateFormat=P","Fill=—","Direction=H","UseDPDF=Y")</f>
        <v>0</v>
      </c>
      <c r="X15" s="13">
        <f>_xll.BDH("BLUE US Equity","IS_OTHER_OPERATING_EXPN_ADJUST","FQ1 2024","FQ1 2024","Currency=USD","Period=FQ","BEST_FPERIOD_OVERRIDE=FQ","FILING_STATUS=MR","SCALING_FORMAT=MLN","Sort=A","Dates=H","DateFormat=P","Fill=—","Direction=H","UseDPDF=Y")</f>
        <v>0</v>
      </c>
      <c r="Y15" s="13">
        <f>_xll.BDH("BLUE US Equity","IS_OTHER_OPERATING_EXPN_ADJUST","FQ2 2024","FQ2 2024","Currency=USD","Period=FQ","BEST_FPERIOD_OVERRIDE=FQ","FILING_STATUS=MR","SCALING_FORMAT=MLN","Sort=A","Dates=H","DateFormat=P","Fill=—","Direction=H","UseDPDF=Y")</f>
        <v>0</v>
      </c>
      <c r="Z15" s="13">
        <f>_xll.BDH("BLUE US Equity","IS_OTHER_OPERATING_EXPN_ADJUST","FQ3 2024","FQ3 2024","Currency=USD","Period=FQ","BEST_FPERIOD_OVERRIDE=FQ","FILING_STATUS=MR","SCALING_FORMAT=MLN","Sort=A","Dates=H","DateFormat=P","Fill=—","Direction=H","UseDPDF=Y")</f>
        <v>2.8109999999999999</v>
      </c>
      <c r="AA15" s="13">
        <f>_xll.BDH("BLUE US Equity","IS_OTHER_OPERATING_EXPN_ADJUST","FQ4 2024","FQ4 2024","Currency=USD","Period=FQ","BEST_FPERIOD_OVERRIDE=FQ","FILING_STATUS=MR","SCALING_FORMAT=MLN","Sort=A","Dates=H","DateFormat=P","Fill=—","Direction=H","UseDPDF=Y")</f>
        <v>-4.9000000000000002E-2</v>
      </c>
    </row>
    <row r="16" spans="1:27" x14ac:dyDescent="0.25">
      <c r="A16" s="6" t="s">
        <v>532</v>
      </c>
      <c r="B16" s="6" t="s">
        <v>99</v>
      </c>
      <c r="C16" s="19">
        <f>_xll.BDH("BLUE US Equity","IS_OPER_INC","FQ4 2018","FQ4 2018","Currency=USD","Period=FQ","BEST_FPERIOD_OVERRIDE=FQ","FILING_STATUS=MR","SCALING_FORMAT=MLN","FA_ADJUSTED=Adjusted","Sort=A","Dates=H","DateFormat=P","Fill=—","Direction=H","UseDPDF=Y")</f>
        <v>-154.80500000000001</v>
      </c>
      <c r="D16" s="19">
        <f>_xll.BDH("BLUE US Equity","IS_OPER_INC","FQ1 2019","FQ1 2019","Currency=USD","Period=FQ","BEST_FPERIOD_OVERRIDE=FQ","FILING_STATUS=MR","SCALING_FORMAT=MLN","FA_ADJUSTED=Adjusted","Sort=A","Dates=H","DateFormat=P","Fill=—","Direction=H","UseDPDF=Y")</f>
        <v>-170.87799999999999</v>
      </c>
      <c r="E16" s="19">
        <f>_xll.BDH("BLUE US Equity","IS_OPER_INC","FQ2 2019","FQ2 2019","Currency=USD","Period=FQ","BEST_FPERIOD_OVERRIDE=FQ","FILING_STATUS=MR","SCALING_FORMAT=MLN","FA_ADJUSTED=Adjusted","Sort=A","Dates=H","DateFormat=P","Fill=—","Direction=H","UseDPDF=Y")</f>
        <v>-202.488</v>
      </c>
      <c r="F16" s="19">
        <f>_xll.BDH("BLUE US Equity","IS_OPER_INC","FQ3 2019","FQ3 2019","Currency=USD","Period=FQ","BEST_FPERIOD_OVERRIDE=FQ","FILING_STATUS=MR","SCALING_FORMAT=MLN","FA_ADJUSTED=Adjusted","Sort=A","Dates=H","DateFormat=P","Fill=—","Direction=H","UseDPDF=Y")</f>
        <v>-209.614</v>
      </c>
      <c r="G16" s="19">
        <f>_xll.BDH("BLUE US Equity","IS_OPER_INC","FQ4 2019","FQ4 2019","Currency=USD","Period=FQ","BEST_FPERIOD_OVERRIDE=FQ","FILING_STATUS=MR","SCALING_FORMAT=MLN","FA_ADJUSTED=Adjusted","Sort=A","Dates=H","DateFormat=P","Fill=—","Direction=H","UseDPDF=Y")</f>
        <v>-229.09899999999999</v>
      </c>
      <c r="H16" s="19">
        <f>_xll.BDH("BLUE US Equity","IS_OPER_INC","FQ1 2020","FQ1 2020","Currency=USD","Period=FQ","BEST_FPERIOD_OVERRIDE=FQ","FILING_STATUS=MR","SCALING_FORMAT=MLN","FA_ADJUSTED=Adjusted","Sort=A","Dates=H","DateFormat=P","Fill=—","Direction=H","UseDPDF=Y")</f>
        <v>-206.53299999999999</v>
      </c>
      <c r="I16" s="19">
        <f>_xll.BDH("BLUE US Equity","IS_OPER_INC","FQ2 2020","FQ2 2020","Currency=USD","Period=FQ","BEST_FPERIOD_OVERRIDE=FQ","FILING_STATUS=MR","SCALING_FORMAT=MLN","FA_ADJUSTED=Adjusted","Sort=A","Dates=H","DateFormat=P","Fill=—","Direction=H","UseDPDF=Y")</f>
        <v>-27.6</v>
      </c>
      <c r="J16" s="19">
        <f>_xll.BDH("BLUE US Equity","IS_OPER_INC","FQ3 2020","FQ3 2020","Currency=USD","Period=FQ","BEST_FPERIOD_OVERRIDE=FQ","FILING_STATUS=MR","SCALING_FORMAT=MLN","FA_ADJUSTED=Adjusted","Sort=A","Dates=H","DateFormat=P","Fill=—","Direction=H","UseDPDF=Y")</f>
        <v>-190.52199999999999</v>
      </c>
      <c r="K16" s="19">
        <f>_xll.BDH("BLUE US Equity","IS_OPER_INC","FQ4 2020","FQ4 2020","Currency=USD","Period=FQ","BEST_FPERIOD_OVERRIDE=FQ","FILING_STATUS=MR","SCALING_FORMAT=MLN","FA_ADJUSTED=Adjusted","Sort=A","Dates=H","DateFormat=P","Fill=—","Direction=H","UseDPDF=Y")</f>
        <v>-139.387</v>
      </c>
      <c r="L16" s="19">
        <f>_xll.BDH("BLUE US Equity","IS_OPER_INC","FQ1 2021","FQ1 2021","Currency=USD","Period=FQ","BEST_FPERIOD_OVERRIDE=FQ","FILING_STATUS=MR","SCALING_FORMAT=MLN","FA_ADJUSTED=Adjusted","Sort=A","Dates=H","DateFormat=P","Fill=—","Direction=H","UseDPDF=Y")</f>
        <v>-174.09700000000001</v>
      </c>
      <c r="M16" s="19">
        <f>_xll.BDH("BLUE US Equity","IS_OPER_INC","FQ2 2021","FQ2 2021","Currency=USD","Period=FQ","BEST_FPERIOD_OVERRIDE=FQ","FILING_STATUS=MR","SCALING_FORMAT=MLN","FA_ADJUSTED=Adjusted","Sort=A","Dates=H","DateFormat=P","Fill=—","Direction=H","UseDPDF=Y")</f>
        <v>-240.791</v>
      </c>
      <c r="N16" s="19">
        <f>_xll.BDH("BLUE US Equity","IS_OPER_INC","FQ3 2021","FQ3 2021","Currency=USD","Period=FQ","BEST_FPERIOD_OVERRIDE=FQ","FILING_STATUS=MR","SCALING_FORMAT=MLN","FA_ADJUSTED=Adjusted","Sort=A","Dates=H","DateFormat=P","Fill=—","Direction=H","UseDPDF=Y")</f>
        <v>-134.274</v>
      </c>
      <c r="O16" s="19">
        <f>_xll.BDH("BLUE US Equity","IS_OPER_INC","FQ4 2021","FQ4 2021","Currency=USD","Period=FQ","BEST_FPERIOD_OVERRIDE=FQ","FILING_STATUS=MR","SCALING_FORMAT=MLN","FA_ADJUSTED=Adjusted","Sort=A","Dates=H","DateFormat=P","Fill=—","Direction=H","UseDPDF=Y")</f>
        <v>-134.74299999999999</v>
      </c>
      <c r="P16" s="19">
        <f>_xll.BDH("BLUE US Equity","IS_OPER_INC","FQ1 2022","FQ1 2022","Currency=USD","Period=FQ","BEST_FPERIOD_OVERRIDE=FQ","FILING_STATUS=MR","SCALING_FORMAT=MLN","FA_ADJUSTED=Adjusted","Sort=A","Dates=H","DateFormat=P","Fill=—","Direction=H","UseDPDF=Y")</f>
        <v>-117.83799999999999</v>
      </c>
      <c r="Q16" s="19">
        <f>_xll.BDH("BLUE US Equity","IS_OPER_INC","FQ2 2022","FQ2 2022","Currency=USD","Period=FQ","BEST_FPERIOD_OVERRIDE=FQ","FILING_STATUS=MR","SCALING_FORMAT=MLN","FA_ADJUSTED=Adjusted","Sort=A","Dates=H","DateFormat=P","Fill=—","Direction=H","UseDPDF=Y")</f>
        <v>-100.134</v>
      </c>
      <c r="R16" s="19">
        <f>_xll.BDH("BLUE US Equity","IS_OPER_INC","FQ3 2022","FQ3 2022","Currency=USD","Period=FQ","BEST_FPERIOD_OVERRIDE=FQ","FILING_STATUS=MR","SCALING_FORMAT=MLN","FA_ADJUSTED=Adjusted","Sort=A","Dates=H","DateFormat=P","Fill=—","Direction=H","UseDPDF=Y")</f>
        <v>-86.48</v>
      </c>
      <c r="S16" s="19">
        <f>_xll.BDH("BLUE US Equity","IS_OPER_INC","FQ4 2022","FQ4 2022","Currency=USD","Period=FQ","BEST_FPERIOD_OVERRIDE=FQ","FILING_STATUS=MR","SCALING_FORMAT=MLN","FA_ADJUSTED=Adjusted","Sort=A","Dates=H","DateFormat=P","Fill=—","Direction=H","UseDPDF=Y")</f>
        <v>-42.792999999999999</v>
      </c>
      <c r="T16" s="19">
        <f>_xll.BDH("BLUE US Equity","IS_OPER_INC","FQ1 2023","FQ1 2023","Currency=USD","Period=FQ","BEST_FPERIOD_OVERRIDE=FQ","FILING_STATUS=MR","SCALING_FORMAT=MLN","FA_ADJUSTED=Adjusted","Sort=A","Dates=H","DateFormat=P","Fill=—","Direction=H","UseDPDF=Y")</f>
        <v>-82.185000000000002</v>
      </c>
      <c r="U16" s="19">
        <f>_xll.BDH("BLUE US Equity","IS_OPER_INC","FQ2 2023","FQ2 2023","Currency=USD","Period=FQ","BEST_FPERIOD_OVERRIDE=FQ","FILING_STATUS=MR","SCALING_FORMAT=MLN","FA_ADJUSTED=Adjusted","Sort=A","Dates=H","DateFormat=P","Fill=—","Direction=H","UseDPDF=Y")</f>
        <v>-71.716999999999999</v>
      </c>
      <c r="V16" s="19">
        <f>_xll.BDH("BLUE US Equity","IS_OPER_INC","FQ3 2023","FQ3 2023","Currency=USD","Period=FQ","BEST_FPERIOD_OVERRIDE=FQ","FILING_STATUS=MR","SCALING_FORMAT=MLN","FA_ADJUSTED=Adjusted","Sort=A","Dates=H","DateFormat=P","Fill=—","Direction=H","UseDPDF=Y")</f>
        <v>-96.006</v>
      </c>
      <c r="W16" s="19">
        <f>_xll.BDH("BLUE US Equity","IS_OPER_INC","FQ4 2023","FQ4 2023","Currency=USD","Period=FQ","BEST_FPERIOD_OVERRIDE=FQ","FILING_STATUS=MR","SCALING_FORMAT=MLN","FA_ADJUSTED=Adjusted","Sort=A","Dates=H","DateFormat=P","Fill=—","Direction=H","UseDPDF=Y")</f>
        <v>-82.673000000000002</v>
      </c>
      <c r="X16" s="19">
        <f>_xll.BDH("BLUE US Equity","IS_OPER_INC","FQ1 2024","FQ1 2024","Currency=USD","Period=FQ","BEST_FPERIOD_OVERRIDE=FQ","FILING_STATUS=MR","SCALING_FORMAT=MLN","FA_ADJUSTED=Adjusted","Sort=A","Dates=H","DateFormat=P","Fill=—","Direction=H","UseDPDF=Y")</f>
        <v>-78.691999999999993</v>
      </c>
      <c r="Y16" s="19">
        <f>_xll.BDH("BLUE US Equity","IS_OPER_INC","FQ2 2024","FQ2 2024","Currency=USD","Period=FQ","BEST_FPERIOD_OVERRIDE=FQ","FILING_STATUS=MR","SCALING_FORMAT=MLN","FA_ADJUSTED=Adjusted","Sort=A","Dates=H","DateFormat=P","Fill=—","Direction=H","UseDPDF=Y")</f>
        <v>-88.391999999999996</v>
      </c>
      <c r="Z16" s="19">
        <f>_xll.BDH("BLUE US Equity","IS_OPER_INC","FQ3 2024","FQ3 2024","Currency=USD","Period=FQ","BEST_FPERIOD_OVERRIDE=FQ","FILING_STATUS=MR","SCALING_FORMAT=MLN","FA_ADJUSTED=Adjusted","Sort=A","Dates=H","DateFormat=P","Fill=—","Direction=H","UseDPDF=Y")</f>
        <v>-64.108000000000004</v>
      </c>
      <c r="AA16" s="19">
        <f>_xll.BDH("BLUE US Equity","IS_OPER_INC","FQ4 2024","FQ4 2024","Currency=USD","Period=FQ","BEST_FPERIOD_OVERRIDE=FQ","FILING_STATUS=MR","SCALING_FORMAT=MLN","FA_ADJUSTED=Adjusted","Sort=A","Dates=H","DateFormat=P","Fill=—","Direction=H","UseDPDF=Y")</f>
        <v>-36.506999999999998</v>
      </c>
    </row>
    <row r="17" spans="1:27" x14ac:dyDescent="0.25">
      <c r="A17" s="10" t="s">
        <v>533</v>
      </c>
      <c r="B17" s="10" t="s">
        <v>534</v>
      </c>
      <c r="C17" s="13">
        <f>_xll.BDH("BLUE US Equity","ADJUSTED_DA_EXPENSES","FQ4 2018","FQ4 2018","Currency=USD","Period=FQ","BEST_FPERIOD_OVERRIDE=FQ","FILING_STATUS=MR","SCALING_FORMAT=MLN","Sort=A","Dates=H","DateFormat=P","Fill=—","Direction=H","UseDPDF=Y")</f>
        <v>4.5449999999999999</v>
      </c>
      <c r="D17" s="13">
        <f>_xll.BDH("BLUE US Equity","ADJUSTED_DA_EXPENSES","FQ1 2019","FQ1 2019","Currency=USD","Period=FQ","BEST_FPERIOD_OVERRIDE=FQ","FILING_STATUS=MR","SCALING_FORMAT=MLN","Sort=A","Dates=H","DateFormat=P","Fill=—","Direction=H","UseDPDF=Y")</f>
        <v>3.7829999999999999</v>
      </c>
      <c r="E17" s="13">
        <f>_xll.BDH("BLUE US Equity","ADJUSTED_DA_EXPENSES","FQ2 2019","FQ2 2019","Currency=USD","Period=FQ","BEST_FPERIOD_OVERRIDE=FQ","FILING_STATUS=MR","SCALING_FORMAT=MLN","Sort=A","Dates=H","DateFormat=P","Fill=—","Direction=H","UseDPDF=Y")</f>
        <v>4.048</v>
      </c>
      <c r="F17" s="13">
        <f>_xll.BDH("BLUE US Equity","ADJUSTED_DA_EXPENSES","FQ3 2019","FQ3 2019","Currency=USD","Period=FQ","BEST_FPERIOD_OVERRIDE=FQ","FILING_STATUS=MR","SCALING_FORMAT=MLN","Sort=A","Dates=H","DateFormat=P","Fill=—","Direction=H","UseDPDF=Y")</f>
        <v>4.5469999999999997</v>
      </c>
      <c r="G17" s="13">
        <f>_xll.BDH("BLUE US Equity","ADJUSTED_DA_EXPENSES","FQ4 2019","FQ4 2019","Currency=USD","Period=FQ","BEST_FPERIOD_OVERRIDE=FQ","FILING_STATUS=MR","SCALING_FORMAT=MLN","Sort=A","Dates=H","DateFormat=P","Fill=—","Direction=H","UseDPDF=Y")</f>
        <v>5.056</v>
      </c>
      <c r="H17" s="13">
        <f>_xll.BDH("BLUE US Equity","ADJUSTED_DA_EXPENSES","FQ1 2020","FQ1 2020","Currency=USD","Period=FQ","BEST_FPERIOD_OVERRIDE=FQ","FILING_STATUS=MR","SCALING_FORMAT=MLN","Sort=A","Dates=H","DateFormat=P","Fill=—","Direction=H","UseDPDF=Y")</f>
        <v>4.88</v>
      </c>
      <c r="I17" s="13">
        <f>_xll.BDH("BLUE US Equity","ADJUSTED_DA_EXPENSES","FQ2 2020","FQ2 2020","Currency=USD","Period=FQ","BEST_FPERIOD_OVERRIDE=FQ","FILING_STATUS=MR","SCALING_FORMAT=MLN","Sort=A","Dates=H","DateFormat=P","Fill=—","Direction=H","UseDPDF=Y")</f>
        <v>4.55</v>
      </c>
      <c r="J17" s="13">
        <f>_xll.BDH("BLUE US Equity","ADJUSTED_DA_EXPENSES","FQ3 2020","FQ3 2020","Currency=USD","Period=FQ","BEST_FPERIOD_OVERRIDE=FQ","FILING_STATUS=MR","SCALING_FORMAT=MLN","Sort=A","Dates=H","DateFormat=P","Fill=—","Direction=H","UseDPDF=Y")</f>
        <v>4.9480000000000004</v>
      </c>
      <c r="K17" s="13">
        <f>_xll.BDH("BLUE US Equity","ADJUSTED_DA_EXPENSES","FQ4 2020","FQ4 2020","Currency=USD","Period=FQ","BEST_FPERIOD_OVERRIDE=FQ","FILING_STATUS=MR","SCALING_FORMAT=MLN","Sort=A","Dates=H","DateFormat=P","Fill=—","Direction=H","UseDPDF=Y")</f>
        <v>4.9779999999999998</v>
      </c>
      <c r="L17" s="13">
        <f>_xll.BDH("BLUE US Equity","ADJUSTED_DA_EXPENSES","FQ1 2021","FQ1 2021","Currency=USD","Period=FQ","BEST_FPERIOD_OVERRIDE=FQ","FILING_STATUS=MR","SCALING_FORMAT=MLN","Sort=A","Dates=H","DateFormat=P","Fill=—","Direction=H","UseDPDF=Y")</f>
        <v>5.36</v>
      </c>
      <c r="M17" s="13">
        <f>_xll.BDH("BLUE US Equity","ADJUSTED_DA_EXPENSES","FQ2 2021","FQ2 2021","Currency=USD","Period=FQ","BEST_FPERIOD_OVERRIDE=FQ","FILING_STATUS=MR","SCALING_FORMAT=MLN","Sort=A","Dates=H","DateFormat=P","Fill=—","Direction=H","UseDPDF=Y")</f>
        <v>5.9930000000000003</v>
      </c>
      <c r="N17" s="13">
        <f>_xll.BDH("BLUE US Equity","ADJUSTED_DA_EXPENSES","FQ3 2021","FQ3 2021","Currency=USD","Period=FQ","BEST_FPERIOD_OVERRIDE=FQ","FILING_STATUS=MR","SCALING_FORMAT=MLN","Sort=A","Dates=H","DateFormat=P","Fill=—","Direction=H","UseDPDF=Y")</f>
        <v>5.9820000000000002</v>
      </c>
      <c r="O17" s="13">
        <f>_xll.BDH("BLUE US Equity","ADJUSTED_DA_EXPENSES","FQ4 2021","FQ4 2021","Currency=USD","Period=FQ","BEST_FPERIOD_OVERRIDE=FQ","FILING_STATUS=MR","SCALING_FORMAT=MLN","Sort=A","Dates=H","DateFormat=P","Fill=—","Direction=H","UseDPDF=Y")</f>
        <v>2.3140000000000001</v>
      </c>
      <c r="P17" s="13">
        <f>_xll.BDH("BLUE US Equity","ADJUSTED_DA_EXPENSES","FQ1 2022","FQ1 2022","Currency=USD","Period=FQ","BEST_FPERIOD_OVERRIDE=FQ","FILING_STATUS=MR","SCALING_FORMAT=MLN","Sort=A","Dates=H","DateFormat=P","Fill=—","Direction=H","UseDPDF=Y")</f>
        <v>1.014</v>
      </c>
      <c r="Q17" s="13">
        <f>_xll.BDH("BLUE US Equity","ADJUSTED_DA_EXPENSES","FQ2 2022","FQ2 2022","Currency=USD","Period=FQ","BEST_FPERIOD_OVERRIDE=FQ","FILING_STATUS=MR","SCALING_FORMAT=MLN","Sort=A","Dates=H","DateFormat=P","Fill=—","Direction=H","UseDPDF=Y")</f>
        <v>1.3440000000000001</v>
      </c>
      <c r="R17" s="13">
        <f>_xll.BDH("BLUE US Equity","ADJUSTED_DA_EXPENSES","FQ3 2022","FQ3 2022","Currency=USD","Period=FQ","BEST_FPERIOD_OVERRIDE=FQ","FILING_STATUS=MR","SCALING_FORMAT=MLN","Sort=A","Dates=H","DateFormat=P","Fill=—","Direction=H","UseDPDF=Y")</f>
        <v>1.387</v>
      </c>
      <c r="S17" s="13">
        <f>_xll.BDH("BLUE US Equity","ADJUSTED_DA_EXPENSES","FQ4 2022","FQ4 2022","Currency=USD","Period=FQ","BEST_FPERIOD_OVERRIDE=FQ","FILING_STATUS=MR","SCALING_FORMAT=MLN","Sort=A","Dates=H","DateFormat=P","Fill=—","Direction=H","UseDPDF=Y")</f>
        <v>4.5990000000000002</v>
      </c>
      <c r="T17" s="13">
        <f>_xll.BDH("BLUE US Equity","ADJUSTED_DA_EXPENSES","FQ1 2023","FQ1 2023","Currency=USD","Period=FQ","BEST_FPERIOD_OVERRIDE=FQ","FILING_STATUS=MR","SCALING_FORMAT=MLN","Sort=A","Dates=H","DateFormat=P","Fill=—","Direction=H","UseDPDF=Y")</f>
        <v>6.1719999999999997</v>
      </c>
      <c r="U17" s="13">
        <f>_xll.BDH("BLUE US Equity","ADJUSTED_DA_EXPENSES","FQ2 2023","FQ2 2023","Currency=USD","Period=FQ","BEST_FPERIOD_OVERRIDE=FQ","FILING_STATUS=MR","SCALING_FORMAT=MLN","Sort=A","Dates=H","DateFormat=P","Fill=—","Direction=H","UseDPDF=Y")</f>
        <v>6.0780000000000003</v>
      </c>
      <c r="V17" s="13">
        <f>_xll.BDH("BLUE US Equity","ADJUSTED_DA_EXPENSES","FQ3 2023","FQ3 2023","Currency=USD","Period=FQ","BEST_FPERIOD_OVERRIDE=FQ","FILING_STATUS=MR","SCALING_FORMAT=MLN","Sort=A","Dates=H","DateFormat=P","Fill=—","Direction=H","UseDPDF=Y")</f>
        <v>7.41</v>
      </c>
      <c r="W17" s="13">
        <f>_xll.BDH("BLUE US Equity","ADJUSTED_DA_EXPENSES","FQ4 2023","FQ4 2023","Currency=USD","Period=FQ","BEST_FPERIOD_OVERRIDE=FQ","FILING_STATUS=MR","SCALING_FORMAT=MLN","Sort=A","Dates=H","DateFormat=P","Fill=—","Direction=H","UseDPDF=Y")</f>
        <v>25.401</v>
      </c>
      <c r="X17" s="13">
        <f>_xll.BDH("BLUE US Equity","ADJUSTED_DA_EXPENSES","FQ1 2024","FQ1 2024","Currency=USD","Period=FQ","BEST_FPERIOD_OVERRIDE=FQ","FILING_STATUS=MR","SCALING_FORMAT=MLN","Sort=A","Dates=H","DateFormat=P","Fill=—","Direction=H","UseDPDF=Y")</f>
        <v>15.468999999999999</v>
      </c>
      <c r="Y17" s="13">
        <f>_xll.BDH("BLUE US Equity","ADJUSTED_DA_EXPENSES","FQ2 2024","FQ2 2024","Currency=USD","Period=FQ","BEST_FPERIOD_OVERRIDE=FQ","FILING_STATUS=MR","SCALING_FORMAT=MLN","Sort=A","Dates=H","DateFormat=P","Fill=—","Direction=H","UseDPDF=Y")</f>
        <v>16.526</v>
      </c>
      <c r="Z17" s="13">
        <f>_xll.BDH("BLUE US Equity","ADJUSTED_DA_EXPENSES","FQ3 2024","FQ3 2024","Currency=USD","Period=FQ","BEST_FPERIOD_OVERRIDE=FQ","FILING_STATUS=MR","SCALING_FORMAT=MLN","Sort=A","Dates=H","DateFormat=P","Fill=—","Direction=H","UseDPDF=Y")</f>
        <v>15.343999999999999</v>
      </c>
      <c r="AA17" s="13">
        <f>_xll.BDH("BLUE US Equity","ADJUSTED_DA_EXPENSES","FQ4 2024","FQ4 2024","Currency=USD","Period=FQ","BEST_FPERIOD_OVERRIDE=FQ","FILING_STATUS=MR","SCALING_FORMAT=MLN","Sort=A","Dates=H","DateFormat=P","Fill=—","Direction=H","UseDPDF=Y")</f>
        <v>13.904999999999999</v>
      </c>
    </row>
    <row r="18" spans="1:27" x14ac:dyDescent="0.25">
      <c r="A18" s="10" t="s">
        <v>535</v>
      </c>
      <c r="B18" s="10" t="s">
        <v>536</v>
      </c>
      <c r="C18" s="13">
        <f>_xll.BDH("BLUE US Equity","COST_CAPITALIZED_OPERATING_LEAS","FQ4 2018","FQ4 2018","Currency=USD","Period=FQ","BEST_FPERIOD_OVERRIDE=FQ","FILING_STATUS=MR","SCALING_FORMAT=MLN","Sort=A","Dates=H","DateFormat=P","Fill=—","Direction=H","UseDPDF=Y")</f>
        <v>0</v>
      </c>
      <c r="D18" s="13">
        <f>_xll.BDH("BLUE US Equity","COST_CAPITALIZED_OPERATING_LEAS","FQ1 2019","FQ1 2019","Currency=USD","Period=FQ","BEST_FPERIOD_OVERRIDE=FQ","FILING_STATUS=MR","SCALING_FORMAT=MLN","Sort=A","Dates=H","DateFormat=P","Fill=—","Direction=H","UseDPDF=Y")</f>
        <v>8.4830000000000005</v>
      </c>
      <c r="E18" s="13">
        <f>_xll.BDH("BLUE US Equity","COST_CAPITALIZED_OPERATING_LEAS","FQ2 2019","FQ2 2019","Currency=USD","Period=FQ","BEST_FPERIOD_OVERRIDE=FQ","FILING_STATUS=MR","SCALING_FORMAT=MLN","Sort=A","Dates=H","DateFormat=P","Fill=—","Direction=H","UseDPDF=Y")</f>
        <v>8.9169999999999998</v>
      </c>
      <c r="F18" s="13">
        <f>_xll.BDH("BLUE US Equity","COST_CAPITALIZED_OPERATING_LEAS","FQ3 2019","FQ3 2019","Currency=USD","Period=FQ","BEST_FPERIOD_OVERRIDE=FQ","FILING_STATUS=MR","SCALING_FORMAT=MLN","Sort=A","Dates=H","DateFormat=P","Fill=—","Direction=H","UseDPDF=Y")</f>
        <v>8.843</v>
      </c>
      <c r="G18" s="13">
        <f>_xll.BDH("BLUE US Equity","COST_CAPITALIZED_OPERATING_LEAS","FQ4 2019","FQ4 2019","Currency=USD","Period=FQ","BEST_FPERIOD_OVERRIDE=FQ","FILING_STATUS=MR","SCALING_FORMAT=MLN","Sort=A","Dates=H","DateFormat=P","Fill=—","Direction=H","UseDPDF=Y")</f>
        <v>9.1020000000000003</v>
      </c>
      <c r="H18" s="13">
        <f>_xll.BDH("BLUE US Equity","COST_CAPITALIZED_OPERATING_LEAS","FQ1 2020","FQ1 2020","Currency=USD","Period=FQ","BEST_FPERIOD_OVERRIDE=FQ","FILING_STATUS=MR","SCALING_FORMAT=MLN","Sort=A","Dates=H","DateFormat=P","Fill=—","Direction=H","UseDPDF=Y")</f>
        <v>0</v>
      </c>
      <c r="I18" s="13">
        <f>_xll.BDH("BLUE US Equity","COST_CAPITALIZED_OPERATING_LEAS","FQ2 2020","FQ2 2020","Currency=USD","Period=FQ","BEST_FPERIOD_OVERRIDE=FQ","FILING_STATUS=MR","SCALING_FORMAT=MLN","Sort=A","Dates=H","DateFormat=P","Fill=—","Direction=H","UseDPDF=Y")</f>
        <v>0</v>
      </c>
      <c r="J18" s="13">
        <f>_xll.BDH("BLUE US Equity","COST_CAPITALIZED_OPERATING_LEAS","FQ3 2020","FQ3 2020","Currency=USD","Period=FQ","BEST_FPERIOD_OVERRIDE=FQ","FILING_STATUS=MR","SCALING_FORMAT=MLN","Sort=A","Dates=H","DateFormat=P","Fill=—","Direction=H","UseDPDF=Y")</f>
        <v>0</v>
      </c>
      <c r="K18" s="13">
        <f>_xll.BDH("BLUE US Equity","COST_CAPITALIZED_OPERATING_LEAS","FQ4 2020","FQ4 2020","Currency=USD","Period=FQ","BEST_FPERIOD_OVERRIDE=FQ","FILING_STATUS=MR","SCALING_FORMAT=MLN","Sort=A","Dates=H","DateFormat=P","Fill=—","Direction=H","UseDPDF=Y")</f>
        <v>0</v>
      </c>
      <c r="L18" s="13">
        <f>_xll.BDH("BLUE US Equity","COST_CAPITALIZED_OPERATING_LEAS","FQ1 2021","FQ1 2021","Currency=USD","Period=FQ","BEST_FPERIOD_OVERRIDE=FQ","FILING_STATUS=MR","SCALING_FORMAT=MLN","Sort=A","Dates=H","DateFormat=P","Fill=—","Direction=H","UseDPDF=Y")</f>
        <v>0</v>
      </c>
      <c r="M18" s="13">
        <f>_xll.BDH("BLUE US Equity","COST_CAPITALIZED_OPERATING_LEAS","FQ2 2021","FQ2 2021","Currency=USD","Period=FQ","BEST_FPERIOD_OVERRIDE=FQ","FILING_STATUS=MR","SCALING_FORMAT=MLN","Sort=A","Dates=H","DateFormat=P","Fill=—","Direction=H","UseDPDF=Y")</f>
        <v>0</v>
      </c>
      <c r="N18" s="13">
        <f>_xll.BDH("BLUE US Equity","COST_CAPITALIZED_OPERATING_LEAS","FQ3 2021","FQ3 2021","Currency=USD","Period=FQ","BEST_FPERIOD_OVERRIDE=FQ","FILING_STATUS=MR","SCALING_FORMAT=MLN","Sort=A","Dates=H","DateFormat=P","Fill=—","Direction=H","UseDPDF=Y")</f>
        <v>0</v>
      </c>
      <c r="O18" s="13">
        <f>_xll.BDH("BLUE US Equity","COST_CAPITALIZED_OPERATING_LEAS","FQ4 2021","FQ4 2021","Currency=USD","Period=FQ","BEST_FPERIOD_OVERRIDE=FQ","FILING_STATUS=MR","SCALING_FORMAT=MLN","Sort=A","Dates=H","DateFormat=P","Fill=—","Direction=H","UseDPDF=Y")</f>
        <v>0</v>
      </c>
      <c r="P18" s="13">
        <f>_xll.BDH("BLUE US Equity","COST_CAPITALIZED_OPERATING_LEAS","FQ1 2022","FQ1 2022","Currency=USD","Period=FQ","BEST_FPERIOD_OVERRIDE=FQ","FILING_STATUS=MR","SCALING_FORMAT=MLN","Sort=A","Dates=H","DateFormat=P","Fill=—","Direction=H","UseDPDF=Y")</f>
        <v>0</v>
      </c>
      <c r="Q18" s="13">
        <f>_xll.BDH("BLUE US Equity","COST_CAPITALIZED_OPERATING_LEAS","FQ2 2022","FQ2 2022","Currency=USD","Period=FQ","BEST_FPERIOD_OVERRIDE=FQ","FILING_STATUS=MR","SCALING_FORMAT=MLN","Sort=A","Dates=H","DateFormat=P","Fill=—","Direction=H","UseDPDF=Y")</f>
        <v>0</v>
      </c>
      <c r="R18" s="13">
        <f>_xll.BDH("BLUE US Equity","COST_CAPITALIZED_OPERATING_LEAS","FQ3 2022","FQ3 2022","Currency=USD","Period=FQ","BEST_FPERIOD_OVERRIDE=FQ","FILING_STATUS=MR","SCALING_FORMAT=MLN","Sort=A","Dates=H","DateFormat=P","Fill=—","Direction=H","UseDPDF=Y")</f>
        <v>0</v>
      </c>
      <c r="S18" s="13">
        <f>_xll.BDH("BLUE US Equity","COST_CAPITALIZED_OPERATING_LEAS","FQ4 2022","FQ4 2022","Currency=USD","Period=FQ","BEST_FPERIOD_OVERRIDE=FQ","FILING_STATUS=MR","SCALING_FORMAT=MLN","Sort=A","Dates=H","DateFormat=P","Fill=—","Direction=H","UseDPDF=Y")</f>
        <v>0</v>
      </c>
      <c r="T18" s="13">
        <f>_xll.BDH("BLUE US Equity","COST_CAPITALIZED_OPERATING_LEAS","FQ1 2023","FQ1 2023","Currency=USD","Period=FQ","BEST_FPERIOD_OVERRIDE=FQ","FILING_STATUS=MR","SCALING_FORMAT=MLN","Sort=A","Dates=H","DateFormat=P","Fill=—","Direction=H","UseDPDF=Y")</f>
        <v>1.3620000000000001</v>
      </c>
      <c r="U18" s="13">
        <f>_xll.BDH("BLUE US Equity","COST_CAPITALIZED_OPERATING_LEAS","FQ2 2023","FQ2 2023","Currency=USD","Period=FQ","BEST_FPERIOD_OVERRIDE=FQ","FILING_STATUS=MR","SCALING_FORMAT=MLN","Sort=A","Dates=H","DateFormat=P","Fill=—","Direction=H","UseDPDF=Y")</f>
        <v>1.097</v>
      </c>
      <c r="V18" s="13">
        <f>_xll.BDH("BLUE US Equity","COST_CAPITALIZED_OPERATING_LEAS","FQ3 2023","FQ3 2023","Currency=USD","Period=FQ","BEST_FPERIOD_OVERRIDE=FQ","FILING_STATUS=MR","SCALING_FORMAT=MLN","Sort=A","Dates=H","DateFormat=P","Fill=—","Direction=H","UseDPDF=Y")</f>
        <v>1.728</v>
      </c>
      <c r="W18" s="13">
        <f>_xll.BDH("BLUE US Equity","COST_CAPITALIZED_OPERATING_LEAS","FQ4 2023","FQ4 2023","Currency=USD","Period=FQ","BEST_FPERIOD_OVERRIDE=FQ","FILING_STATUS=MR","SCALING_FORMAT=MLN","Sort=A","Dates=H","DateFormat=P","Fill=—","Direction=H","UseDPDF=Y")</f>
        <v>0</v>
      </c>
      <c r="X18" s="13">
        <f>_xll.BDH("BLUE US Equity","COST_CAPITALIZED_OPERATING_LEAS","FQ1 2024","FQ1 2024","Currency=USD","Period=FQ","BEST_FPERIOD_OVERRIDE=FQ","FILING_STATUS=MR","SCALING_FORMAT=MLN","Sort=A","Dates=H","DateFormat=P","Fill=—","Direction=H","UseDPDF=Y")</f>
        <v>-0.86</v>
      </c>
      <c r="Y18" s="13">
        <f>_xll.BDH("BLUE US Equity","COST_CAPITALIZED_OPERATING_LEAS","FQ2 2024","FQ2 2024","Currency=USD","Period=FQ","BEST_FPERIOD_OVERRIDE=FQ","FILING_STATUS=MR","SCALING_FORMAT=MLN","Sort=A","Dates=H","DateFormat=P","Fill=—","Direction=H","UseDPDF=Y")</f>
        <v>-0.77400000000000002</v>
      </c>
      <c r="Z18" s="13">
        <f>_xll.BDH("BLUE US Equity","COST_CAPITALIZED_OPERATING_LEAS","FQ3 2024","FQ3 2024","Currency=USD","Period=FQ","BEST_FPERIOD_OVERRIDE=FQ","FILING_STATUS=MR","SCALING_FORMAT=MLN","Sort=A","Dates=H","DateFormat=P","Fill=—","Direction=H","UseDPDF=Y")</f>
        <v>0</v>
      </c>
      <c r="AA18" s="13">
        <f>_xll.BDH("BLUE US Equity","COST_CAPITALIZED_OPERATING_LEAS","FQ4 2024","FQ4 2024","Currency=USD","Period=FQ","BEST_FPERIOD_OVERRIDE=FQ","FILING_STATUS=MR","SCALING_FORMAT=MLN","Sort=A","Dates=H","DateFormat=P","Fill=—","Direction=H","UseDPDF=Y")</f>
        <v>-6.8440000000000003</v>
      </c>
    </row>
    <row r="19" spans="1:27" x14ac:dyDescent="0.25">
      <c r="A19" s="6" t="s">
        <v>537</v>
      </c>
      <c r="B19" s="6" t="s">
        <v>78</v>
      </c>
      <c r="C19" s="19">
        <f>_xll.BDH("BLUE US Equity","EBITDA","FQ4 2018","FQ4 2018","Currency=USD","Period=FQ","BEST_FPERIOD_OVERRIDE=FQ","FILING_STATUS=MR","SCALING_FORMAT=MLN","FA_ADJUSTED=Adjusted","Sort=A","Dates=H","DateFormat=P","Fill=—","Direction=H","UseDPDF=Y")</f>
        <v>-150.26</v>
      </c>
      <c r="D19" s="19">
        <f>_xll.BDH("BLUE US Equity","EBITDA","FQ1 2019","FQ1 2019","Currency=USD","Period=FQ","BEST_FPERIOD_OVERRIDE=FQ","FILING_STATUS=MR","SCALING_FORMAT=MLN","FA_ADJUSTED=Adjusted","Sort=A","Dates=H","DateFormat=P","Fill=—","Direction=H","UseDPDF=Y")</f>
        <v>-158.61199999999999</v>
      </c>
      <c r="E19" s="19">
        <f>_xll.BDH("BLUE US Equity","EBITDA","FQ2 2019","FQ2 2019","Currency=USD","Period=FQ","BEST_FPERIOD_OVERRIDE=FQ","FILING_STATUS=MR","SCALING_FORMAT=MLN","FA_ADJUSTED=Adjusted","Sort=A","Dates=H","DateFormat=P","Fill=—","Direction=H","UseDPDF=Y")</f>
        <v>-189.523</v>
      </c>
      <c r="F19" s="19">
        <f>_xll.BDH("BLUE US Equity","EBITDA","FQ3 2019","FQ3 2019","Currency=USD","Period=FQ","BEST_FPERIOD_OVERRIDE=FQ","FILING_STATUS=MR","SCALING_FORMAT=MLN","FA_ADJUSTED=Adjusted","Sort=A","Dates=H","DateFormat=P","Fill=—","Direction=H","UseDPDF=Y")</f>
        <v>-196.22399999999999</v>
      </c>
      <c r="G19" s="19">
        <f>_xll.BDH("BLUE US Equity","EBITDA","FQ4 2019","FQ4 2019","Currency=USD","Period=FQ","BEST_FPERIOD_OVERRIDE=FQ","FILING_STATUS=MR","SCALING_FORMAT=MLN","FA_ADJUSTED=Adjusted","Sort=A","Dates=H","DateFormat=P","Fill=—","Direction=H","UseDPDF=Y")</f>
        <v>-214.941</v>
      </c>
      <c r="H19" s="19">
        <f>_xll.BDH("BLUE US Equity","EBITDA","FQ1 2020","FQ1 2020","Currency=USD","Period=FQ","BEST_FPERIOD_OVERRIDE=FQ","FILING_STATUS=MR","SCALING_FORMAT=MLN","FA_ADJUSTED=Adjusted","Sort=A","Dates=H","DateFormat=P","Fill=—","Direction=H","UseDPDF=Y")</f>
        <v>-201.65299999999999</v>
      </c>
      <c r="I19" s="19">
        <f>_xll.BDH("BLUE US Equity","EBITDA","FQ2 2020","FQ2 2020","Currency=USD","Period=FQ","BEST_FPERIOD_OVERRIDE=FQ","FILING_STATUS=MR","SCALING_FORMAT=MLN","FA_ADJUSTED=Adjusted","Sort=A","Dates=H","DateFormat=P","Fill=—","Direction=H","UseDPDF=Y")</f>
        <v>-23.05</v>
      </c>
      <c r="J19" s="19">
        <f>_xll.BDH("BLUE US Equity","EBITDA","FQ3 2020","FQ3 2020","Currency=USD","Period=FQ","BEST_FPERIOD_OVERRIDE=FQ","FILING_STATUS=MR","SCALING_FORMAT=MLN","FA_ADJUSTED=Adjusted","Sort=A","Dates=H","DateFormat=P","Fill=—","Direction=H","UseDPDF=Y")</f>
        <v>-185.57400000000001</v>
      </c>
      <c r="K19" s="19">
        <f>_xll.BDH("BLUE US Equity","EBITDA","FQ4 2020","FQ4 2020","Currency=USD","Period=FQ","BEST_FPERIOD_OVERRIDE=FQ","FILING_STATUS=MR","SCALING_FORMAT=MLN","FA_ADJUSTED=Adjusted","Sort=A","Dates=H","DateFormat=P","Fill=—","Direction=H","UseDPDF=Y")</f>
        <v>-134.40899999999999</v>
      </c>
      <c r="L19" s="19">
        <f>_xll.BDH("BLUE US Equity","EBITDA","FQ1 2021","FQ1 2021","Currency=USD","Period=FQ","BEST_FPERIOD_OVERRIDE=FQ","FILING_STATUS=MR","SCALING_FORMAT=MLN","FA_ADJUSTED=Adjusted","Sort=A","Dates=H","DateFormat=P","Fill=—","Direction=H","UseDPDF=Y")</f>
        <v>-168.73699999999999</v>
      </c>
      <c r="M19" s="19">
        <f>_xll.BDH("BLUE US Equity","EBITDA","FQ2 2021","FQ2 2021","Currency=USD","Period=FQ","BEST_FPERIOD_OVERRIDE=FQ","FILING_STATUS=MR","SCALING_FORMAT=MLN","FA_ADJUSTED=Adjusted","Sort=A","Dates=H","DateFormat=P","Fill=—","Direction=H","UseDPDF=Y")</f>
        <v>-234.798</v>
      </c>
      <c r="N19" s="19">
        <f>_xll.BDH("BLUE US Equity","EBITDA","FQ3 2021","FQ3 2021","Currency=USD","Period=FQ","BEST_FPERIOD_OVERRIDE=FQ","FILING_STATUS=MR","SCALING_FORMAT=MLN","FA_ADJUSTED=Adjusted","Sort=A","Dates=H","DateFormat=P","Fill=—","Direction=H","UseDPDF=Y")</f>
        <v>-128.292</v>
      </c>
      <c r="O19" s="19">
        <f>_xll.BDH("BLUE US Equity","EBITDA","FQ4 2021","FQ4 2021","Currency=USD","Period=FQ","BEST_FPERIOD_OVERRIDE=FQ","FILING_STATUS=MR","SCALING_FORMAT=MLN","FA_ADJUSTED=Adjusted","Sort=A","Dates=H","DateFormat=P","Fill=—","Direction=H","UseDPDF=Y")</f>
        <v>-132.429</v>
      </c>
      <c r="P19" s="19">
        <f>_xll.BDH("BLUE US Equity","EBITDA","FQ1 2022","FQ1 2022","Currency=USD","Period=FQ","BEST_FPERIOD_OVERRIDE=FQ","FILING_STATUS=MR","SCALING_FORMAT=MLN","FA_ADJUSTED=Adjusted","Sort=A","Dates=H","DateFormat=P","Fill=—","Direction=H","UseDPDF=Y")</f>
        <v>-116.824</v>
      </c>
      <c r="Q19" s="19">
        <f>_xll.BDH("BLUE US Equity","EBITDA","FQ2 2022","FQ2 2022","Currency=USD","Period=FQ","BEST_FPERIOD_OVERRIDE=FQ","FILING_STATUS=MR","SCALING_FORMAT=MLN","FA_ADJUSTED=Adjusted","Sort=A","Dates=H","DateFormat=P","Fill=—","Direction=H","UseDPDF=Y")</f>
        <v>-98.79</v>
      </c>
      <c r="R19" s="19">
        <f>_xll.BDH("BLUE US Equity","EBITDA","FQ3 2022","FQ3 2022","Currency=USD","Period=FQ","BEST_FPERIOD_OVERRIDE=FQ","FILING_STATUS=MR","SCALING_FORMAT=MLN","FA_ADJUSTED=Adjusted","Sort=A","Dates=H","DateFormat=P","Fill=—","Direction=H","UseDPDF=Y")</f>
        <v>-85.093000000000004</v>
      </c>
      <c r="S19" s="19">
        <f>_xll.BDH("BLUE US Equity","EBITDA","FQ4 2022","FQ4 2022","Currency=USD","Period=FQ","BEST_FPERIOD_OVERRIDE=FQ","FILING_STATUS=MR","SCALING_FORMAT=MLN","FA_ADJUSTED=Adjusted","Sort=A","Dates=H","DateFormat=P","Fill=—","Direction=H","UseDPDF=Y")</f>
        <v>-38.194000000000003</v>
      </c>
      <c r="T19" s="19">
        <f>_xll.BDH("BLUE US Equity","EBITDA","FQ1 2023","FQ1 2023","Currency=USD","Period=FQ","BEST_FPERIOD_OVERRIDE=FQ","FILING_STATUS=MR","SCALING_FORMAT=MLN","FA_ADJUSTED=Adjusted","Sort=A","Dates=H","DateFormat=P","Fill=—","Direction=H","UseDPDF=Y")</f>
        <v>-74.650999999999996</v>
      </c>
      <c r="U19" s="19">
        <f>_xll.BDH("BLUE US Equity","EBITDA","FQ2 2023","FQ2 2023","Currency=USD","Period=FQ","BEST_FPERIOD_OVERRIDE=FQ","FILING_STATUS=MR","SCALING_FORMAT=MLN","FA_ADJUSTED=Adjusted","Sort=A","Dates=H","DateFormat=P","Fill=—","Direction=H","UseDPDF=Y")</f>
        <v>-64.542000000000002</v>
      </c>
      <c r="V19" s="19">
        <f>_xll.BDH("BLUE US Equity","EBITDA","FQ3 2023","FQ3 2023","Currency=USD","Period=FQ","BEST_FPERIOD_OVERRIDE=FQ","FILING_STATUS=MR","SCALING_FORMAT=MLN","FA_ADJUSTED=Adjusted","Sort=A","Dates=H","DateFormat=P","Fill=—","Direction=H","UseDPDF=Y")</f>
        <v>-86.867999999999995</v>
      </c>
      <c r="W19" s="19">
        <f>_xll.BDH("BLUE US Equity","EBITDA","FQ4 2023","FQ4 2023","Currency=USD","Period=FQ","BEST_FPERIOD_OVERRIDE=FQ","FILING_STATUS=MR","SCALING_FORMAT=MLN","FA_ADJUSTED=Adjusted","Sort=A","Dates=H","DateFormat=P","Fill=—","Direction=H","UseDPDF=Y")</f>
        <v>-57.271999999999998</v>
      </c>
      <c r="X19" s="19">
        <f>_xll.BDH("BLUE US Equity","EBITDA","FQ1 2024","FQ1 2024","Currency=USD","Period=FQ","BEST_FPERIOD_OVERRIDE=FQ","FILING_STATUS=MR","SCALING_FORMAT=MLN","FA_ADJUSTED=Adjusted","Sort=A","Dates=H","DateFormat=P","Fill=—","Direction=H","UseDPDF=Y")</f>
        <v>-64.082999999999998</v>
      </c>
      <c r="Y19" s="19">
        <f>_xll.BDH("BLUE US Equity","EBITDA","FQ2 2024","FQ2 2024","Currency=USD","Period=FQ","BEST_FPERIOD_OVERRIDE=FQ","FILING_STATUS=MR","SCALING_FORMAT=MLN","FA_ADJUSTED=Adjusted","Sort=A","Dates=H","DateFormat=P","Fill=—","Direction=H","UseDPDF=Y")</f>
        <v>-72.64</v>
      </c>
      <c r="Z19" s="19">
        <f>_xll.BDH("BLUE US Equity","EBITDA","FQ3 2024","FQ3 2024","Currency=USD","Period=FQ","BEST_FPERIOD_OVERRIDE=FQ","FILING_STATUS=MR","SCALING_FORMAT=MLN","FA_ADJUSTED=Adjusted","Sort=A","Dates=H","DateFormat=P","Fill=—","Direction=H","UseDPDF=Y")</f>
        <v>-48.764000000000003</v>
      </c>
      <c r="AA19" s="19">
        <f>_xll.BDH("BLUE US Equity","EBITDA","FQ4 2024","FQ4 2024","Currency=USD","Period=FQ","BEST_FPERIOD_OVERRIDE=FQ","FILING_STATUS=MR","SCALING_FORMAT=MLN","FA_ADJUSTED=Adjusted","Sort=A","Dates=H","DateFormat=P","Fill=—","Direction=H","UseDPDF=Y")</f>
        <v>-29.446000000000002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6" t="s">
        <v>538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6" t="s">
        <v>515</v>
      </c>
      <c r="B22" s="6" t="s">
        <v>99</v>
      </c>
      <c r="C22" s="19">
        <f>_xll.BDH("BLUE US Equity","IS_OPER_INC","FQ4 2018","FQ4 2018","Currency=USD","Period=FQ","BEST_FPERIOD_OVERRIDE=FQ","FILING_STATUS=MR","SCALING_FORMAT=MLN","FA_ADJUSTED=GAAP","Sort=A","Dates=H","DateFormat=P","Fill=—","Direction=H","UseDPDF=Y")</f>
        <v>-156.96100000000001</v>
      </c>
      <c r="D22" s="19">
        <f>_xll.BDH("BLUE US Equity","IS_OPER_INC","FQ1 2019","FQ1 2019","Currency=USD","Period=FQ","BEST_FPERIOD_OVERRIDE=FQ","FILING_STATUS=MR","SCALING_FORMAT=MLN","FA_ADJUSTED=GAAP","Sort=A","Dates=H","DateFormat=P","Fill=—","Direction=H","UseDPDF=Y")</f>
        <v>-171.17400000000001</v>
      </c>
      <c r="E22" s="19">
        <f>_xll.BDH("BLUE US Equity","IS_OPER_INC","FQ2 2019","FQ2 2019","Currency=USD","Period=FQ","BEST_FPERIOD_OVERRIDE=FQ","FILING_STATUS=MR","SCALING_FORMAT=MLN","FA_ADJUSTED=GAAP","Sort=A","Dates=H","DateFormat=P","Fill=—","Direction=H","UseDPDF=Y")</f>
        <v>-202.702</v>
      </c>
      <c r="F22" s="19">
        <f>_xll.BDH("BLUE US Equity","IS_OPER_INC","FQ3 2019","FQ3 2019","Currency=USD","Period=FQ","BEST_FPERIOD_OVERRIDE=FQ","FILING_STATUS=MR","SCALING_FORMAT=MLN","FA_ADJUSTED=GAAP","Sort=A","Dates=H","DateFormat=P","Fill=—","Direction=H","UseDPDF=Y")</f>
        <v>-210.416</v>
      </c>
      <c r="G22" s="19">
        <f>_xll.BDH("BLUE US Equity","IS_OPER_INC","FQ4 2019","FQ4 2019","Currency=USD","Period=FQ","BEST_FPERIOD_OVERRIDE=FQ","FILING_STATUS=MR","SCALING_FORMAT=MLN","FA_ADJUSTED=GAAP","Sort=A","Dates=H","DateFormat=P","Fill=—","Direction=H","UseDPDF=Y")</f>
        <v>-230.53399999999999</v>
      </c>
      <c r="H22" s="19">
        <f>_xll.BDH("BLUE US Equity","IS_OPER_INC","FQ1 2020","FQ1 2020","Currency=USD","Period=FQ","BEST_FPERIOD_OVERRIDE=FQ","FILING_STATUS=MR","SCALING_FORMAT=MLN","FA_ADJUSTED=GAAP","Sort=A","Dates=H","DateFormat=P","Fill=—","Direction=H","UseDPDF=Y")</f>
        <v>-203.42500000000001</v>
      </c>
      <c r="I22" s="19">
        <f>_xll.BDH("BLUE US Equity","IS_OPER_INC","FQ2 2020","FQ2 2020","Currency=USD","Period=FQ","BEST_FPERIOD_OVERRIDE=FQ","FILING_STATUS=MR","SCALING_FORMAT=MLN","FA_ADJUSTED=GAAP","Sort=A","Dates=H","DateFormat=P","Fill=—","Direction=H","UseDPDF=Y")</f>
        <v>-25.945</v>
      </c>
      <c r="J22" s="19">
        <f>_xll.BDH("BLUE US Equity","IS_OPER_INC","FQ3 2020","FQ3 2020","Currency=USD","Period=FQ","BEST_FPERIOD_OVERRIDE=FQ","FILING_STATUS=MR","SCALING_FORMAT=MLN","FA_ADJUSTED=GAAP","Sort=A","Dates=H","DateFormat=P","Fill=—","Direction=H","UseDPDF=Y")</f>
        <v>-189.69399999999999</v>
      </c>
      <c r="K22" s="19">
        <f>_xll.BDH("BLUE US Equity","IS_OPER_INC","FQ4 2020","FQ4 2020","Currency=USD","Period=FQ","BEST_FPERIOD_OVERRIDE=FQ","FILING_STATUS=MR","SCALING_FORMAT=MLN","FA_ADJUSTED=GAAP","Sort=A","Dates=H","DateFormat=P","Fill=—","Direction=H","UseDPDF=Y")</f>
        <v>-139.387</v>
      </c>
      <c r="L22" s="19">
        <f>_xll.BDH("BLUE US Equity","IS_OPER_INC","FQ1 2021","FQ1 2021","Currency=USD","Period=FQ","BEST_FPERIOD_OVERRIDE=FQ","FILING_STATUS=MR","SCALING_FORMAT=MLN","FA_ADJUSTED=GAAP","Sort=A","Dates=H","DateFormat=P","Fill=—","Direction=H","UseDPDF=Y")</f>
        <v>-146.09399999999999</v>
      </c>
      <c r="M22" s="19">
        <f>_xll.BDH("BLUE US Equity","IS_OPER_INC","FQ2 2021","FQ2 2021","Currency=USD","Period=FQ","BEST_FPERIOD_OVERRIDE=FQ","FILING_STATUS=MR","SCALING_FORMAT=MLN","FA_ADJUSTED=GAAP","Sort=A","Dates=H","DateFormat=P","Fill=—","Direction=H","UseDPDF=Y")</f>
        <v>-240.83799999999999</v>
      </c>
      <c r="N22" s="19">
        <f>_xll.BDH("BLUE US Equity","IS_OPER_INC","FQ3 2021","FQ3 2021","Currency=USD","Period=FQ","BEST_FPERIOD_OVERRIDE=FQ","FILING_STATUS=MR","SCALING_FORMAT=MLN","FA_ADJUSTED=GAAP","Sort=A","Dates=H","DateFormat=P","Fill=—","Direction=H","UseDPDF=Y")</f>
        <v>-154.44900000000001</v>
      </c>
      <c r="O22" s="19">
        <f>_xll.BDH("BLUE US Equity","IS_OPER_INC","FQ4 2021","FQ4 2021","Currency=USD","Period=FQ","BEST_FPERIOD_OVERRIDE=FQ","FILING_STATUS=MR","SCALING_FORMAT=MLN","FA_ADJUSTED=GAAP","Sort=A","Dates=H","DateFormat=P","Fill=—","Direction=H","UseDPDF=Y")</f>
        <v>-135.667</v>
      </c>
      <c r="P22" s="19">
        <f>_xll.BDH("BLUE US Equity","IS_OPER_INC","FQ1 2022","FQ1 2022","Currency=USD","Period=FQ","BEST_FPERIOD_OVERRIDE=FQ","FILING_STATUS=MR","SCALING_FORMAT=MLN","FA_ADJUSTED=GAAP","Sort=A","Dates=H","DateFormat=P","Fill=—","Direction=H","UseDPDF=Y")</f>
        <v>-120.346</v>
      </c>
      <c r="Q22" s="19">
        <f>_xll.BDH("BLUE US Equity","IS_OPER_INC","FQ2 2022","FQ2 2022","Currency=USD","Period=FQ","BEST_FPERIOD_OVERRIDE=FQ","FILING_STATUS=MR","SCALING_FORMAT=MLN","FA_ADJUSTED=GAAP","Sort=A","Dates=H","DateFormat=P","Fill=—","Direction=H","UseDPDF=Y")</f>
        <v>-107.4</v>
      </c>
      <c r="R22" s="19">
        <f>_xll.BDH("BLUE US Equity","IS_OPER_INC","FQ3 2022","FQ3 2022","Currency=USD","Period=FQ","BEST_FPERIOD_OVERRIDE=FQ","FILING_STATUS=MR","SCALING_FORMAT=MLN","FA_ADJUSTED=GAAP","Sort=A","Dates=H","DateFormat=P","Fill=—","Direction=H","UseDPDF=Y")</f>
        <v>-84.781000000000006</v>
      </c>
      <c r="S22" s="19">
        <f>_xll.BDH("BLUE US Equity","IS_OPER_INC","FQ4 2022","FQ4 2022","Currency=USD","Period=FQ","BEST_FPERIOD_OVERRIDE=FQ","FILING_STATUS=MR","SCALING_FORMAT=MLN","FA_ADJUSTED=GAAP","Sort=A","Dates=H","DateFormat=P","Fill=—","Direction=H","UseDPDF=Y")</f>
        <v>62.341999999999999</v>
      </c>
      <c r="T22" s="19">
        <f>_xll.BDH("BLUE US Equity","IS_OPER_INC","FQ1 2023","FQ1 2023","Currency=USD","Period=FQ","BEST_FPERIOD_OVERRIDE=FQ","FILING_STATUS=MR","SCALING_FORMAT=MLN","FA_ADJUSTED=GAAP","Sort=A","Dates=H","DateFormat=P","Fill=—","Direction=H","UseDPDF=Y")</f>
        <v>10.744999999999999</v>
      </c>
      <c r="U22" s="19">
        <f>_xll.BDH("BLUE US Equity","IS_OPER_INC","FQ2 2023","FQ2 2023","Currency=USD","Period=FQ","BEST_FPERIOD_OVERRIDE=FQ","FILING_STATUS=MR","SCALING_FORMAT=MLN","FA_ADJUSTED=GAAP","Sort=A","Dates=H","DateFormat=P","Fill=—","Direction=H","UseDPDF=Y")</f>
        <v>-71.716999999999999</v>
      </c>
      <c r="V22" s="19">
        <f>_xll.BDH("BLUE US Equity","IS_OPER_INC","FQ3 2023","FQ3 2023","Currency=USD","Period=FQ","BEST_FPERIOD_OVERRIDE=FQ","FILING_STATUS=MR","SCALING_FORMAT=MLN","FA_ADJUSTED=GAAP","Sort=A","Dates=H","DateFormat=P","Fill=—","Direction=H","UseDPDF=Y")</f>
        <v>-96.006</v>
      </c>
      <c r="W22" s="19">
        <f>_xll.BDH("BLUE US Equity","IS_OPER_INC","FQ4 2023","FQ4 2023","Currency=USD","Period=FQ","BEST_FPERIOD_OVERRIDE=FQ","FILING_STATUS=MR","SCALING_FORMAT=MLN","FA_ADJUSTED=GAAP","Sort=A","Dates=H","DateFormat=P","Fill=—","Direction=H","UseDPDF=Y")</f>
        <v>-82.673000000000002</v>
      </c>
      <c r="X22" s="19">
        <f>_xll.BDH("BLUE US Equity","IS_OPER_INC","FQ1 2024","FQ1 2024","Currency=USD","Period=FQ","BEST_FPERIOD_OVERRIDE=FQ","FILING_STATUS=MR","SCALING_FORMAT=MLN","FA_ADJUSTED=GAAP","Sort=A","Dates=H","DateFormat=P","Fill=—","Direction=H","UseDPDF=Y")</f>
        <v>-78.691999999999993</v>
      </c>
      <c r="Y22" s="19">
        <f>_xll.BDH("BLUE US Equity","IS_OPER_INC","FQ2 2024","FQ2 2024","Currency=USD","Period=FQ","BEST_FPERIOD_OVERRIDE=FQ","FILING_STATUS=MR","SCALING_FORMAT=MLN","FA_ADJUSTED=GAAP","Sort=A","Dates=H","DateFormat=P","Fill=—","Direction=H","UseDPDF=Y")</f>
        <v>-88.391999999999996</v>
      </c>
      <c r="Z22" s="19">
        <f>_xll.BDH("BLUE US Equity","IS_OPER_INC","FQ3 2024","FQ3 2024","Currency=USD","Period=FQ","BEST_FPERIOD_OVERRIDE=FQ","FILING_STATUS=MR","SCALING_FORMAT=MLN","FA_ADJUSTED=GAAP","Sort=A","Dates=H","DateFormat=P","Fill=—","Direction=H","UseDPDF=Y")</f>
        <v>-66.918999999999997</v>
      </c>
      <c r="AA22" s="19">
        <f>_xll.BDH("BLUE US Equity","IS_OPER_INC","FQ4 2024","FQ4 2024","Currency=USD","Period=FQ","BEST_FPERIOD_OVERRIDE=FQ","FILING_STATUS=MR","SCALING_FORMAT=MLN","FA_ADJUSTED=GAAP","Sort=A","Dates=H","DateFormat=P","Fill=—","Direction=H","UseDPDF=Y")</f>
        <v>-36.457999999999998</v>
      </c>
    </row>
    <row r="23" spans="1:27" x14ac:dyDescent="0.25">
      <c r="A23" s="10" t="s">
        <v>539</v>
      </c>
      <c r="B23" s="10" t="s">
        <v>540</v>
      </c>
      <c r="C23" s="13">
        <f>_xll.BDH("BLUE US Equity","IS_MERGER_ACQ_EXPENSE_OPERATING","FQ4 2018","FQ4 2018","Currency=USD","Period=FQ","BEST_FPERIOD_OVERRIDE=FQ","FILING_STATUS=MR","SCALING_FORMAT=MLN","Sort=A","Dates=H","DateFormat=P","Fill=—","Direction=H","UseDPDF=Y")</f>
        <v>2.1560000000000001</v>
      </c>
      <c r="D23" s="13">
        <f>_xll.BDH("BLUE US Equity","IS_MERGER_ACQ_EXPENSE_OPERATING","FQ1 2019","FQ1 2019","Currency=USD","Period=FQ","BEST_FPERIOD_OVERRIDE=FQ","FILING_STATUS=MR","SCALING_FORMAT=MLN","Sort=A","Dates=H","DateFormat=P","Fill=—","Direction=H","UseDPDF=Y")</f>
        <v>0.29599999999999999</v>
      </c>
      <c r="E23" s="13">
        <f>_xll.BDH("BLUE US Equity","IS_MERGER_ACQ_EXPENSE_OPERATING","FQ2 2019","FQ2 2019","Currency=USD","Period=FQ","BEST_FPERIOD_OVERRIDE=FQ","FILING_STATUS=MR","SCALING_FORMAT=MLN","Sort=A","Dates=H","DateFormat=P","Fill=—","Direction=H","UseDPDF=Y")</f>
        <v>0.214</v>
      </c>
      <c r="F23" s="13">
        <f>_xll.BDH("BLUE US Equity","IS_MERGER_ACQ_EXPENSE_OPERATING","FQ3 2019","FQ3 2019","Currency=USD","Period=FQ","BEST_FPERIOD_OVERRIDE=FQ","FILING_STATUS=MR","SCALING_FORMAT=MLN","Sort=A","Dates=H","DateFormat=P","Fill=—","Direction=H","UseDPDF=Y")</f>
        <v>0.80200000000000005</v>
      </c>
      <c r="G23" s="13">
        <f>_xll.BDH("BLUE US Equity","IS_MERGER_ACQ_EXPENSE_OPERATING","FQ4 2019","FQ4 2019","Currency=USD","Period=FQ","BEST_FPERIOD_OVERRIDE=FQ","FILING_STATUS=MR","SCALING_FORMAT=MLN","Sort=A","Dates=H","DateFormat=P","Fill=—","Direction=H","UseDPDF=Y")</f>
        <v>1.4350000000000001</v>
      </c>
      <c r="H23" s="13">
        <f>_xll.BDH("BLUE US Equity","IS_MERGER_ACQ_EXPENSE_OPERATING","FQ1 2020","FQ1 2020","Currency=USD","Period=FQ","BEST_FPERIOD_OVERRIDE=FQ","FILING_STATUS=MR","SCALING_FORMAT=MLN","Sort=A","Dates=H","DateFormat=P","Fill=—","Direction=H","UseDPDF=Y")</f>
        <v>-3.1080000000000001</v>
      </c>
      <c r="I23" s="13">
        <f>_xll.BDH("BLUE US Equity","IS_MERGER_ACQ_EXPENSE_OPERATING","FQ2 2020","FQ2 2020","Currency=USD","Period=FQ","BEST_FPERIOD_OVERRIDE=FQ","FILING_STATUS=MR","SCALING_FORMAT=MLN","Sort=A","Dates=H","DateFormat=P","Fill=—","Direction=H","UseDPDF=Y")</f>
        <v>-1.655</v>
      </c>
      <c r="J23" s="13">
        <f>_xll.BDH("BLUE US Equity","IS_MERGER_ACQ_EXPENSE_OPERATING","FQ3 2020","FQ3 2020","Currency=USD","Period=FQ","BEST_FPERIOD_OVERRIDE=FQ","FILING_STATUS=MR","SCALING_FORMAT=MLN","Sort=A","Dates=H","DateFormat=P","Fill=—","Direction=H","UseDPDF=Y")</f>
        <v>-0.82799999999999996</v>
      </c>
      <c r="K23" s="13" t="str">
        <f>_xll.BDH("BLUE US Equity","IS_MERGER_ACQ_EXPENSE_OPERATING","FQ4 2020","FQ4 2020","Currency=USD","Period=FQ","BEST_FPERIOD_OVERRIDE=FQ","FILING_STATUS=MR","SCALING_FORMAT=MLN","Sort=A","Dates=H","DateFormat=P","Fill=—","Direction=H","UseDPDF=Y")</f>
        <v>—</v>
      </c>
      <c r="L23" s="13">
        <f>_xll.BDH("BLUE US Equity","IS_MERGER_ACQ_EXPENSE_OPERATING","FQ1 2021","FQ1 2021","Currency=USD","Period=FQ","BEST_FPERIOD_OVERRIDE=FQ","FILING_STATUS=MR","SCALING_FORMAT=MLN","Sort=A","Dates=H","DateFormat=P","Fill=—","Direction=H","UseDPDF=Y")</f>
        <v>0.36899999999999999</v>
      </c>
      <c r="M23" s="13">
        <f>_xll.BDH("BLUE US Equity","IS_MERGER_ACQ_EXPENSE_OPERATING","FQ2 2021","FQ2 2021","Currency=USD","Period=FQ","BEST_FPERIOD_OVERRIDE=FQ","FILING_STATUS=MR","SCALING_FORMAT=MLN","Sort=A","Dates=H","DateFormat=P","Fill=—","Direction=H","UseDPDF=Y")</f>
        <v>4.7E-2</v>
      </c>
      <c r="N23" s="13" t="str">
        <f>_xll.BDH("BLUE US Equity","IS_MERGER_ACQ_EXPENSE_OPERATING","FQ3 2021","FQ3 2021","Currency=USD","Period=FQ","BEST_FPERIOD_OVERRIDE=FQ","FILING_STATUS=MR","SCALING_FORMAT=MLN","Sort=A","Dates=H","DateFormat=P","Fill=—","Direction=H","UseDPDF=Y")</f>
        <v>—</v>
      </c>
      <c r="O23" s="13">
        <f>_xll.BDH("BLUE US Equity","IS_MERGER_ACQ_EXPENSE_OPERATING","FQ4 2021","FQ4 2021","Currency=USD","Period=FQ","BEST_FPERIOD_OVERRIDE=FQ","FILING_STATUS=MR","SCALING_FORMAT=MLN","Sort=A","Dates=H","DateFormat=P","Fill=—","Direction=H","UseDPDF=Y")</f>
        <v>-7.6999999999999999E-2</v>
      </c>
      <c r="P23" s="13" t="str">
        <f>_xll.BDH("BLUE US Equity","IS_MERGER_ACQ_EXPENSE_OPERATING","FQ1 2022","FQ1 2022","Currency=USD","Period=FQ","BEST_FPERIOD_OVERRIDE=FQ","FILING_STATUS=MR","SCALING_FORMAT=MLN","Sort=A","Dates=H","DateFormat=P","Fill=—","Direction=H","UseDPDF=Y")</f>
        <v>—</v>
      </c>
      <c r="Q23" s="13" t="str">
        <f>_xll.BDH("BLUE US Equity","IS_MERGER_ACQ_EXPENSE_OPERATING","FQ2 2022","FQ2 2022","Currency=USD","Period=FQ","BEST_FPERIOD_OVERRIDE=FQ","FILING_STATUS=MR","SCALING_FORMAT=MLN","Sort=A","Dates=H","DateFormat=P","Fill=—","Direction=H","UseDPDF=Y")</f>
        <v>—</v>
      </c>
      <c r="R23" s="13" t="str">
        <f>_xll.BDH("BLUE US Equity","IS_MERGER_ACQ_EXPENSE_OPERATING","FQ3 2022","FQ3 2022","Currency=USD","Period=FQ","BEST_FPERIOD_OVERRIDE=FQ","FILING_STATUS=MR","SCALING_FORMAT=MLN","Sort=A","Dates=H","DateFormat=P","Fill=—","Direction=H","UseDPDF=Y")</f>
        <v>—</v>
      </c>
      <c r="S23" s="13" t="str">
        <f>_xll.BDH("BLUE US Equity","IS_MERGER_ACQ_EXPENSE_OPERATING","FQ4 2022","FQ4 2022","Currency=USD","Period=FQ","BEST_FPERIOD_OVERRIDE=FQ","FILING_STATUS=MR","SCALING_FORMAT=MLN","Sort=A","Dates=H","DateFormat=P","Fill=—","Direction=H","UseDPDF=Y")</f>
        <v>—</v>
      </c>
      <c r="T23" s="13" t="str">
        <f>_xll.BDH("BLUE US Equity","IS_MERGER_ACQ_EXPENSE_OPERATING","FQ1 2023","FQ1 2023","Currency=USD","Period=FQ","BEST_FPERIOD_OVERRIDE=FQ","FILING_STATUS=MR","SCALING_FORMAT=MLN","Sort=A","Dates=H","DateFormat=P","Fill=—","Direction=H","UseDPDF=Y")</f>
        <v>—</v>
      </c>
      <c r="U23" s="13" t="str">
        <f>_xll.BDH("BLUE US Equity","IS_MERGER_ACQ_EXPENSE_OPERATING","FQ2 2023","FQ2 2023","Currency=USD","Period=FQ","BEST_FPERIOD_OVERRIDE=FQ","FILING_STATUS=MR","SCALING_FORMAT=MLN","Sort=A","Dates=H","DateFormat=P","Fill=—","Direction=H","UseDPDF=Y")</f>
        <v>—</v>
      </c>
      <c r="V23" s="13" t="str">
        <f>_xll.BDH("BLUE US Equity","IS_MERGER_ACQ_EXPENSE_OPERATING","FQ3 2023","FQ3 2023","Currency=USD","Period=FQ","BEST_FPERIOD_OVERRIDE=FQ","FILING_STATUS=MR","SCALING_FORMAT=MLN","Sort=A","Dates=H","DateFormat=P","Fill=—","Direction=H","UseDPDF=Y")</f>
        <v>—</v>
      </c>
      <c r="W23" s="13" t="str">
        <f>_xll.BDH("BLUE US Equity","IS_MERGER_ACQ_EXPENSE_OPERATING","FQ4 2023","FQ4 2023","Currency=USD","Period=FQ","BEST_FPERIOD_OVERRIDE=FQ","FILING_STATUS=MR","SCALING_FORMAT=MLN","Sort=A","Dates=H","DateFormat=P","Fill=—","Direction=H","UseDPDF=Y")</f>
        <v>—</v>
      </c>
      <c r="X23" s="13" t="str">
        <f>_xll.BDH("BLUE US Equity","IS_MERGER_ACQ_EXPENSE_OPERATING","FQ1 2024","FQ1 2024","Currency=USD","Period=FQ","BEST_FPERIOD_OVERRIDE=FQ","FILING_STATUS=MR","SCALING_FORMAT=MLN","Sort=A","Dates=H","DateFormat=P","Fill=—","Direction=H","UseDPDF=Y")</f>
        <v>—</v>
      </c>
      <c r="Y23" s="13" t="str">
        <f>_xll.BDH("BLUE US Equity","IS_MERGER_ACQ_EXPENSE_OPERATING","FQ2 2024","FQ2 2024","Currency=USD","Period=FQ","BEST_FPERIOD_OVERRIDE=FQ","FILING_STATUS=MR","SCALING_FORMAT=MLN","Sort=A","Dates=H","DateFormat=P","Fill=—","Direction=H","UseDPDF=Y")</f>
        <v>—</v>
      </c>
      <c r="Z23" s="13" t="str">
        <f>_xll.BDH("BLUE US Equity","IS_MERGER_ACQ_EXPENSE_OPERATING","FQ3 2024","FQ3 2024","Currency=USD","Period=FQ","BEST_FPERIOD_OVERRIDE=FQ","FILING_STATUS=MR","SCALING_FORMAT=MLN","Sort=A","Dates=H","DateFormat=P","Fill=—","Direction=H","UseDPDF=Y")</f>
        <v>—</v>
      </c>
      <c r="AA23" s="13" t="str">
        <f>_xll.BDH("BLUE US Equity","IS_MERGER_ACQ_EXPENSE_OPERATING","FQ4 2024","FQ4 2024","Currency=USD","Period=FQ","BEST_FPERIOD_OVERRIDE=FQ","FILING_STATUS=MR","SCALING_FORMAT=MLN","Sort=A","Dates=H","DateFormat=P","Fill=—","Direction=H","UseDPDF=Y")</f>
        <v>—</v>
      </c>
    </row>
    <row r="24" spans="1:27" x14ac:dyDescent="0.25">
      <c r="A24" s="10" t="s">
        <v>541</v>
      </c>
      <c r="B24" s="10" t="s">
        <v>542</v>
      </c>
      <c r="C24" s="13" t="str">
        <f>_xll.BDH("BLUE US Equity","IS_RESTRUCTURING_OP","FQ4 2018","FQ4 2018","Currency=USD","Period=FQ","BEST_FPERIOD_OVERRIDE=FQ","FILING_STATUS=MR","SCALING_FORMAT=MLN","Sort=A","Dates=H","DateFormat=P","Fill=—","Direction=H","UseDPDF=Y")</f>
        <v>—</v>
      </c>
      <c r="D24" s="13" t="str">
        <f>_xll.BDH("BLUE US Equity","IS_RESTRUCTURING_OP","FQ1 2019","FQ1 2019","Currency=USD","Period=FQ","BEST_FPERIOD_OVERRIDE=FQ","FILING_STATUS=MR","SCALING_FORMAT=MLN","Sort=A","Dates=H","DateFormat=P","Fill=—","Direction=H","UseDPDF=Y")</f>
        <v>—</v>
      </c>
      <c r="E24" s="13" t="str">
        <f>_xll.BDH("BLUE US Equity","IS_RESTRUCTURING_OP","FQ2 2019","FQ2 2019","Currency=USD","Period=FQ","BEST_FPERIOD_OVERRIDE=FQ","FILING_STATUS=MR","SCALING_FORMAT=MLN","Sort=A","Dates=H","DateFormat=P","Fill=—","Direction=H","UseDPDF=Y")</f>
        <v>—</v>
      </c>
      <c r="F24" s="13" t="str">
        <f>_xll.BDH("BLUE US Equity","IS_RESTRUCTURING_OP","FQ3 2019","FQ3 2019","Currency=USD","Period=FQ","BEST_FPERIOD_OVERRIDE=FQ","FILING_STATUS=MR","SCALING_FORMAT=MLN","Sort=A","Dates=H","DateFormat=P","Fill=—","Direction=H","UseDPDF=Y")</f>
        <v>—</v>
      </c>
      <c r="G24" s="13" t="str">
        <f>_xll.BDH("BLUE US Equity","IS_RESTRUCTURING_OP","FQ4 2019","FQ4 2019","Currency=USD","Period=FQ","BEST_FPERIOD_OVERRIDE=FQ","FILING_STATUS=MR","SCALING_FORMAT=MLN","Sort=A","Dates=H","DateFormat=P","Fill=—","Direction=H","UseDPDF=Y")</f>
        <v>—</v>
      </c>
      <c r="H24" s="13" t="str">
        <f>_xll.BDH("BLUE US Equity","IS_RESTRUCTURING_OP","FQ1 2020","FQ1 2020","Currency=USD","Period=FQ","BEST_FPERIOD_OVERRIDE=FQ","FILING_STATUS=MR","SCALING_FORMAT=MLN","Sort=A","Dates=H","DateFormat=P","Fill=—","Direction=H","UseDPDF=Y")</f>
        <v>—</v>
      </c>
      <c r="I24" s="13" t="str">
        <f>_xll.BDH("BLUE US Equity","IS_RESTRUCTURING_OP","FQ2 2020","FQ2 2020","Currency=USD","Period=FQ","BEST_FPERIOD_OVERRIDE=FQ","FILING_STATUS=MR","SCALING_FORMAT=MLN","Sort=A","Dates=H","DateFormat=P","Fill=—","Direction=H","UseDPDF=Y")</f>
        <v>—</v>
      </c>
      <c r="J24" s="13" t="str">
        <f>_xll.BDH("BLUE US Equity","IS_RESTRUCTURING_OP","FQ3 2020","FQ3 2020","Currency=USD","Period=FQ","BEST_FPERIOD_OVERRIDE=FQ","FILING_STATUS=MR","SCALING_FORMAT=MLN","Sort=A","Dates=H","DateFormat=P","Fill=—","Direction=H","UseDPDF=Y")</f>
        <v>—</v>
      </c>
      <c r="K24" s="13" t="str">
        <f>_xll.BDH("BLUE US Equity","IS_RESTRUCTURING_OP","FQ4 2020","FQ4 2020","Currency=USD","Period=FQ","BEST_FPERIOD_OVERRIDE=FQ","FILING_STATUS=MR","SCALING_FORMAT=MLN","Sort=A","Dates=H","DateFormat=P","Fill=—","Direction=H","UseDPDF=Y")</f>
        <v>—</v>
      </c>
      <c r="L24" s="13" t="str">
        <f>_xll.BDH("BLUE US Equity","IS_RESTRUCTURING_OP","FQ1 2021","FQ1 2021","Currency=USD","Period=FQ","BEST_FPERIOD_OVERRIDE=FQ","FILING_STATUS=MR","SCALING_FORMAT=MLN","Sort=A","Dates=H","DateFormat=P","Fill=—","Direction=H","UseDPDF=Y")</f>
        <v>—</v>
      </c>
      <c r="M24" s="13" t="str">
        <f>_xll.BDH("BLUE US Equity","IS_RESTRUCTURING_OP","FQ2 2021","FQ2 2021","Currency=USD","Period=FQ","BEST_FPERIOD_OVERRIDE=FQ","FILING_STATUS=MR","SCALING_FORMAT=MLN","Sort=A","Dates=H","DateFormat=P","Fill=—","Direction=H","UseDPDF=Y")</f>
        <v>—</v>
      </c>
      <c r="N24" s="13">
        <f>_xll.BDH("BLUE US Equity","IS_RESTRUCTURING_OP","FQ3 2021","FQ3 2021","Currency=USD","Period=FQ","BEST_FPERIOD_OVERRIDE=FQ","FILING_STATUS=MR","SCALING_FORMAT=MLN","Sort=A","Dates=H","DateFormat=P","Fill=—","Direction=H","UseDPDF=Y")</f>
        <v>20.175000000000001</v>
      </c>
      <c r="O24" s="13">
        <f>_xll.BDH("BLUE US Equity","IS_RESTRUCTURING_OP","FQ4 2021","FQ4 2021","Currency=USD","Period=FQ","BEST_FPERIOD_OVERRIDE=FQ","FILING_STATUS=MR","SCALING_FORMAT=MLN","Sort=A","Dates=H","DateFormat=P","Fill=—","Direction=H","UseDPDF=Y")</f>
        <v>1.0009999999999999</v>
      </c>
      <c r="P24" s="13" t="str">
        <f>_xll.BDH("BLUE US Equity","IS_RESTRUCTURING_OP","FQ1 2022","FQ1 2022","Currency=USD","Period=FQ","BEST_FPERIOD_OVERRIDE=FQ","FILING_STATUS=MR","SCALING_FORMAT=MLN","Sort=A","Dates=H","DateFormat=P","Fill=—","Direction=H","UseDPDF=Y")</f>
        <v>—</v>
      </c>
      <c r="Q24" s="13">
        <f>_xll.BDH("BLUE US Equity","IS_RESTRUCTURING_OP","FQ2 2022","FQ2 2022","Currency=USD","Period=FQ","BEST_FPERIOD_OVERRIDE=FQ","FILING_STATUS=MR","SCALING_FORMAT=MLN","Sort=A","Dates=H","DateFormat=P","Fill=—","Direction=H","UseDPDF=Y")</f>
        <v>6.6390000000000002</v>
      </c>
      <c r="R24" s="13">
        <f>_xll.BDH("BLUE US Equity","IS_RESTRUCTURING_OP","FQ3 2022","FQ3 2022","Currency=USD","Period=FQ","BEST_FPERIOD_OVERRIDE=FQ","FILING_STATUS=MR","SCALING_FORMAT=MLN","Sort=A","Dates=H","DateFormat=P","Fill=—","Direction=H","UseDPDF=Y")</f>
        <v>-1.6990000000000001</v>
      </c>
      <c r="S24" s="13" t="str">
        <f>_xll.BDH("BLUE US Equity","IS_RESTRUCTURING_OP","FQ4 2022","FQ4 2022","Currency=USD","Period=FQ","BEST_FPERIOD_OVERRIDE=FQ","FILING_STATUS=MR","SCALING_FORMAT=MLN","Sort=A","Dates=H","DateFormat=P","Fill=—","Direction=H","UseDPDF=Y")</f>
        <v>—</v>
      </c>
      <c r="T24" s="13" t="str">
        <f>_xll.BDH("BLUE US Equity","IS_RESTRUCTURING_OP","FQ1 2023","FQ1 2023","Currency=USD","Period=FQ","BEST_FPERIOD_OVERRIDE=FQ","FILING_STATUS=MR","SCALING_FORMAT=MLN","Sort=A","Dates=H","DateFormat=P","Fill=—","Direction=H","UseDPDF=Y")</f>
        <v>—</v>
      </c>
      <c r="U24" s="13" t="str">
        <f>_xll.BDH("BLUE US Equity","IS_RESTRUCTURING_OP","FQ2 2023","FQ2 2023","Currency=USD","Period=FQ","BEST_FPERIOD_OVERRIDE=FQ","FILING_STATUS=MR","SCALING_FORMAT=MLN","Sort=A","Dates=H","DateFormat=P","Fill=—","Direction=H","UseDPDF=Y")</f>
        <v>—</v>
      </c>
      <c r="V24" s="13" t="str">
        <f>_xll.BDH("BLUE US Equity","IS_RESTRUCTURING_OP","FQ3 2023","FQ3 2023","Currency=USD","Period=FQ","BEST_FPERIOD_OVERRIDE=FQ","FILING_STATUS=MR","SCALING_FORMAT=MLN","Sort=A","Dates=H","DateFormat=P","Fill=—","Direction=H","UseDPDF=Y")</f>
        <v>—</v>
      </c>
      <c r="W24" s="13" t="str">
        <f>_xll.BDH("BLUE US Equity","IS_RESTRUCTURING_OP","FQ4 2023","FQ4 2023","Currency=USD","Period=FQ","BEST_FPERIOD_OVERRIDE=FQ","FILING_STATUS=MR","SCALING_FORMAT=MLN","Sort=A","Dates=H","DateFormat=P","Fill=—","Direction=H","UseDPDF=Y")</f>
        <v>—</v>
      </c>
      <c r="X24" s="13" t="str">
        <f>_xll.BDH("BLUE US Equity","IS_RESTRUCTURING_OP","FQ1 2024","FQ1 2024","Currency=USD","Period=FQ","BEST_FPERIOD_OVERRIDE=FQ","FILING_STATUS=MR","SCALING_FORMAT=MLN","Sort=A","Dates=H","DateFormat=P","Fill=—","Direction=H","UseDPDF=Y")</f>
        <v>—</v>
      </c>
      <c r="Y24" s="13" t="str">
        <f>_xll.BDH("BLUE US Equity","IS_RESTRUCTURING_OP","FQ2 2024","FQ2 2024","Currency=USD","Period=FQ","BEST_FPERIOD_OVERRIDE=FQ","FILING_STATUS=MR","SCALING_FORMAT=MLN","Sort=A","Dates=H","DateFormat=P","Fill=—","Direction=H","UseDPDF=Y")</f>
        <v>—</v>
      </c>
      <c r="Z24" s="13">
        <f>_xll.BDH("BLUE US Equity","IS_RESTRUCTURING_OP","FQ3 2024","FQ3 2024","Currency=USD","Period=FQ","BEST_FPERIOD_OVERRIDE=FQ","FILING_STATUS=MR","SCALING_FORMAT=MLN","Sort=A","Dates=H","DateFormat=P","Fill=—","Direction=H","UseDPDF=Y")</f>
        <v>2.8109999999999999</v>
      </c>
      <c r="AA24" s="13">
        <f>_xll.BDH("BLUE US Equity","IS_RESTRUCTURING_OP","FQ4 2024","FQ4 2024","Currency=USD","Period=FQ","BEST_FPERIOD_OVERRIDE=FQ","FILING_STATUS=MR","SCALING_FORMAT=MLN","Sort=A","Dates=H","DateFormat=P","Fill=—","Direction=H","UseDPDF=Y")</f>
        <v>-4.9000000000000002E-2</v>
      </c>
    </row>
    <row r="25" spans="1:27" x14ac:dyDescent="0.25">
      <c r="A25" s="10" t="s">
        <v>543</v>
      </c>
      <c r="B25" s="10" t="s">
        <v>544</v>
      </c>
      <c r="C25" s="13" t="str">
        <f>_xll.BDH("BLUE US Equity","IS_GAIN_LOSS_SALE_OF_INVEST_OP","FQ4 2018","FQ4 2018","Currency=USD","Period=FQ","BEST_FPERIOD_OVERRIDE=FQ","FILING_STATUS=MR","SCALING_FORMAT=MLN","Sort=A","Dates=H","DateFormat=P","Fill=—","Direction=H","UseDPDF=Y")</f>
        <v>—</v>
      </c>
      <c r="D25" s="13" t="str">
        <f>_xll.BDH("BLUE US Equity","IS_GAIN_LOSS_SALE_OF_INVEST_OP","FQ1 2019","FQ1 2019","Currency=USD","Period=FQ","BEST_FPERIOD_OVERRIDE=FQ","FILING_STATUS=MR","SCALING_FORMAT=MLN","Sort=A","Dates=H","DateFormat=P","Fill=—","Direction=H","UseDPDF=Y")</f>
        <v>—</v>
      </c>
      <c r="E25" s="13" t="str">
        <f>_xll.BDH("BLUE US Equity","IS_GAIN_LOSS_SALE_OF_INVEST_OP","FQ2 2019","FQ2 2019","Currency=USD","Period=FQ","BEST_FPERIOD_OVERRIDE=FQ","FILING_STATUS=MR","SCALING_FORMAT=MLN","Sort=A","Dates=H","DateFormat=P","Fill=—","Direction=H","UseDPDF=Y")</f>
        <v>—</v>
      </c>
      <c r="F25" s="13" t="str">
        <f>_xll.BDH("BLUE US Equity","IS_GAIN_LOSS_SALE_OF_INVEST_OP","FQ3 2019","FQ3 2019","Currency=USD","Period=FQ","BEST_FPERIOD_OVERRIDE=FQ","FILING_STATUS=MR","SCALING_FORMAT=MLN","Sort=A","Dates=H","DateFormat=P","Fill=—","Direction=H","UseDPDF=Y")</f>
        <v>—</v>
      </c>
      <c r="G25" s="13" t="str">
        <f>_xll.BDH("BLUE US Equity","IS_GAIN_LOSS_SALE_OF_INVEST_OP","FQ4 2019","FQ4 2019","Currency=USD","Period=FQ","BEST_FPERIOD_OVERRIDE=FQ","FILING_STATUS=MR","SCALING_FORMAT=MLN","Sort=A","Dates=H","DateFormat=P","Fill=—","Direction=H","UseDPDF=Y")</f>
        <v>—</v>
      </c>
      <c r="H25" s="13" t="str">
        <f>_xll.BDH("BLUE US Equity","IS_GAIN_LOSS_SALE_OF_INVEST_OP","FQ1 2020","FQ1 2020","Currency=USD","Period=FQ","BEST_FPERIOD_OVERRIDE=FQ","FILING_STATUS=MR","SCALING_FORMAT=MLN","Sort=A","Dates=H","DateFormat=P","Fill=—","Direction=H","UseDPDF=Y")</f>
        <v>—</v>
      </c>
      <c r="I25" s="13" t="str">
        <f>_xll.BDH("BLUE US Equity","IS_GAIN_LOSS_SALE_OF_INVEST_OP","FQ2 2020","FQ2 2020","Currency=USD","Period=FQ","BEST_FPERIOD_OVERRIDE=FQ","FILING_STATUS=MR","SCALING_FORMAT=MLN","Sort=A","Dates=H","DateFormat=P","Fill=—","Direction=H","UseDPDF=Y")</f>
        <v>—</v>
      </c>
      <c r="J25" s="13" t="str">
        <f>_xll.BDH("BLUE US Equity","IS_GAIN_LOSS_SALE_OF_INVEST_OP","FQ3 2020","FQ3 2020","Currency=USD","Period=FQ","BEST_FPERIOD_OVERRIDE=FQ","FILING_STATUS=MR","SCALING_FORMAT=MLN","Sort=A","Dates=H","DateFormat=P","Fill=—","Direction=H","UseDPDF=Y")</f>
        <v>—</v>
      </c>
      <c r="K25" s="13" t="str">
        <f>_xll.BDH("BLUE US Equity","IS_GAIN_LOSS_SALE_OF_INVEST_OP","FQ4 2020","FQ4 2020","Currency=USD","Period=FQ","BEST_FPERIOD_OVERRIDE=FQ","FILING_STATUS=MR","SCALING_FORMAT=MLN","Sort=A","Dates=H","DateFormat=P","Fill=—","Direction=H","UseDPDF=Y")</f>
        <v>—</v>
      </c>
      <c r="L25" s="13">
        <f>_xll.BDH("BLUE US Equity","IS_GAIN_LOSS_SALE_OF_INVEST_OP","FQ1 2021","FQ1 2021","Currency=USD","Period=FQ","BEST_FPERIOD_OVERRIDE=FQ","FILING_STATUS=MR","SCALING_FORMAT=MLN","Sort=A","Dates=H","DateFormat=P","Fill=—","Direction=H","UseDPDF=Y")</f>
        <v>-28.372</v>
      </c>
      <c r="M25" s="13" t="str">
        <f>_xll.BDH("BLUE US Equity","IS_GAIN_LOSS_SALE_OF_INVEST_OP","FQ2 2021","FQ2 2021","Currency=USD","Period=FQ","BEST_FPERIOD_OVERRIDE=FQ","FILING_STATUS=MR","SCALING_FORMAT=MLN","Sort=A","Dates=H","DateFormat=P","Fill=—","Direction=H","UseDPDF=Y")</f>
        <v>—</v>
      </c>
      <c r="N25" s="13" t="str">
        <f>_xll.BDH("BLUE US Equity","IS_GAIN_LOSS_SALE_OF_INVEST_OP","FQ3 2021","FQ3 2021","Currency=USD","Period=FQ","BEST_FPERIOD_OVERRIDE=FQ","FILING_STATUS=MR","SCALING_FORMAT=MLN","Sort=A","Dates=H","DateFormat=P","Fill=—","Direction=H","UseDPDF=Y")</f>
        <v>—</v>
      </c>
      <c r="O25" s="13" t="str">
        <f>_xll.BDH("BLUE US Equity","IS_GAIN_LOSS_SALE_OF_INVEST_OP","FQ4 2021","FQ4 2021","Currency=USD","Period=FQ","BEST_FPERIOD_OVERRIDE=FQ","FILING_STATUS=MR","SCALING_FORMAT=MLN","Sort=A","Dates=H","DateFormat=P","Fill=—","Direction=H","UseDPDF=Y")</f>
        <v>—</v>
      </c>
      <c r="P25" s="13">
        <f>_xll.BDH("BLUE US Equity","IS_GAIN_LOSS_SALE_OF_INVEST_OP","FQ1 2022","FQ1 2022","Currency=USD","Period=FQ","BEST_FPERIOD_OVERRIDE=FQ","FILING_STATUS=MR","SCALING_FORMAT=MLN","Sort=A","Dates=H","DateFormat=P","Fill=—","Direction=H","UseDPDF=Y")</f>
        <v>2.508</v>
      </c>
      <c r="Q25" s="13">
        <f>_xll.BDH("BLUE US Equity","IS_GAIN_LOSS_SALE_OF_INVEST_OP","FQ2 2022","FQ2 2022","Currency=USD","Period=FQ","BEST_FPERIOD_OVERRIDE=FQ","FILING_STATUS=MR","SCALING_FORMAT=MLN","Sort=A","Dates=H","DateFormat=P","Fill=—","Direction=H","UseDPDF=Y")</f>
        <v>0.627</v>
      </c>
      <c r="R25" s="13" t="str">
        <f>_xll.BDH("BLUE US Equity","IS_GAIN_LOSS_SALE_OF_INVEST_OP","FQ3 2022","FQ3 2022","Currency=USD","Period=FQ","BEST_FPERIOD_OVERRIDE=FQ","FILING_STATUS=MR","SCALING_FORMAT=MLN","Sort=A","Dates=H","DateFormat=P","Fill=—","Direction=H","UseDPDF=Y")</f>
        <v>—</v>
      </c>
      <c r="S25" s="13">
        <f>_xll.BDH("BLUE US Equity","IS_GAIN_LOSS_SALE_OF_INVEST_OP","FQ4 2022","FQ4 2022","Currency=USD","Period=FQ","BEST_FPERIOD_OVERRIDE=FQ","FILING_STATUS=MR","SCALING_FORMAT=MLN","Sort=A","Dates=H","DateFormat=P","Fill=—","Direction=H","UseDPDF=Y")</f>
        <v>-3.1349999999999998</v>
      </c>
      <c r="T25" s="13" t="str">
        <f>_xll.BDH("BLUE US Equity","IS_GAIN_LOSS_SALE_OF_INVEST_OP","FQ1 2023","FQ1 2023","Currency=USD","Period=FQ","BEST_FPERIOD_OVERRIDE=FQ","FILING_STATUS=MR","SCALING_FORMAT=MLN","Sort=A","Dates=H","DateFormat=P","Fill=—","Direction=H","UseDPDF=Y")</f>
        <v>—</v>
      </c>
      <c r="U25" s="13" t="str">
        <f>_xll.BDH("BLUE US Equity","IS_GAIN_LOSS_SALE_OF_INVEST_OP","FQ2 2023","FQ2 2023","Currency=USD","Period=FQ","BEST_FPERIOD_OVERRIDE=FQ","FILING_STATUS=MR","SCALING_FORMAT=MLN","Sort=A","Dates=H","DateFormat=P","Fill=—","Direction=H","UseDPDF=Y")</f>
        <v>—</v>
      </c>
      <c r="V25" s="13" t="str">
        <f>_xll.BDH("BLUE US Equity","IS_GAIN_LOSS_SALE_OF_INVEST_OP","FQ3 2023","FQ3 2023","Currency=USD","Period=FQ","BEST_FPERIOD_OVERRIDE=FQ","FILING_STATUS=MR","SCALING_FORMAT=MLN","Sort=A","Dates=H","DateFormat=P","Fill=—","Direction=H","UseDPDF=Y")</f>
        <v>—</v>
      </c>
      <c r="W25" s="13" t="str">
        <f>_xll.BDH("BLUE US Equity","IS_GAIN_LOSS_SALE_OF_INVEST_OP","FQ4 2023","FQ4 2023","Currency=USD","Period=FQ","BEST_FPERIOD_OVERRIDE=FQ","FILING_STATUS=MR","SCALING_FORMAT=MLN","Sort=A","Dates=H","DateFormat=P","Fill=—","Direction=H","UseDPDF=Y")</f>
        <v>—</v>
      </c>
      <c r="X25" s="13" t="str">
        <f>_xll.BDH("BLUE US Equity","IS_GAIN_LOSS_SALE_OF_INVEST_OP","FQ1 2024","FQ1 2024","Currency=USD","Period=FQ","BEST_FPERIOD_OVERRIDE=FQ","FILING_STATUS=MR","SCALING_FORMAT=MLN","Sort=A","Dates=H","DateFormat=P","Fill=—","Direction=H","UseDPDF=Y")</f>
        <v>—</v>
      </c>
      <c r="Y25" s="13" t="str">
        <f>_xll.BDH("BLUE US Equity","IS_GAIN_LOSS_SALE_OF_INVEST_OP","FQ2 2024","FQ2 2024","Currency=USD","Period=FQ","BEST_FPERIOD_OVERRIDE=FQ","FILING_STATUS=MR","SCALING_FORMAT=MLN","Sort=A","Dates=H","DateFormat=P","Fill=—","Direction=H","UseDPDF=Y")</f>
        <v>—</v>
      </c>
      <c r="Z25" s="13" t="str">
        <f>_xll.BDH("BLUE US Equity","IS_GAIN_LOSS_SALE_OF_INVEST_OP","FQ3 2024","FQ3 2024","Currency=USD","Period=FQ","BEST_FPERIOD_OVERRIDE=FQ","FILING_STATUS=MR","SCALING_FORMAT=MLN","Sort=A","Dates=H","DateFormat=P","Fill=—","Direction=H","UseDPDF=Y")</f>
        <v>—</v>
      </c>
      <c r="AA25" s="13" t="str">
        <f>_xll.BDH("BLUE US Equity","IS_GAIN_LOSS_SALE_OF_INVEST_OP","FQ4 2024","FQ4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545</v>
      </c>
      <c r="B26" s="10" t="s">
        <v>546</v>
      </c>
      <c r="C26" s="13" t="str">
        <f>_xll.BDH("BLUE US Equity","IS_OTHER_ONE_TIME_ITEMS_OP","FQ4 2018","FQ4 2018","Currency=USD","Period=FQ","BEST_FPERIOD_OVERRIDE=FQ","FILING_STATUS=MR","SCALING_FORMAT=MLN","Sort=A","Dates=H","DateFormat=P","Fill=—","Direction=H","UseDPDF=Y")</f>
        <v>—</v>
      </c>
      <c r="D26" s="13" t="str">
        <f>_xll.BDH("BLUE US Equity","IS_OTHER_ONE_TIME_ITEMS_OP","FQ1 2019","FQ1 2019","Currency=USD","Period=FQ","BEST_FPERIOD_OVERRIDE=FQ","FILING_STATUS=MR","SCALING_FORMAT=MLN","Sort=A","Dates=H","DateFormat=P","Fill=—","Direction=H","UseDPDF=Y")</f>
        <v>—</v>
      </c>
      <c r="E26" s="13" t="str">
        <f>_xll.BDH("BLUE US Equity","IS_OTHER_ONE_TIME_ITEMS_OP","FQ2 2019","FQ2 2019","Currency=USD","Period=FQ","BEST_FPERIOD_OVERRIDE=FQ","FILING_STATUS=MR","SCALING_FORMAT=MLN","Sort=A","Dates=H","DateFormat=P","Fill=—","Direction=H","UseDPDF=Y")</f>
        <v>—</v>
      </c>
      <c r="F26" s="13" t="str">
        <f>_xll.BDH("BLUE US Equity","IS_OTHER_ONE_TIME_ITEMS_OP","FQ3 2019","FQ3 2019","Currency=USD","Period=FQ","BEST_FPERIOD_OVERRIDE=FQ","FILING_STATUS=MR","SCALING_FORMAT=MLN","Sort=A","Dates=H","DateFormat=P","Fill=—","Direction=H","UseDPDF=Y")</f>
        <v>—</v>
      </c>
      <c r="G26" s="13" t="str">
        <f>_xll.BDH("BLUE US Equity","IS_OTHER_ONE_TIME_ITEMS_OP","FQ4 2019","FQ4 2019","Currency=USD","Period=FQ","BEST_FPERIOD_OVERRIDE=FQ","FILING_STATUS=MR","SCALING_FORMAT=MLN","Sort=A","Dates=H","DateFormat=P","Fill=—","Direction=H","UseDPDF=Y")</f>
        <v>—</v>
      </c>
      <c r="H26" s="13" t="str">
        <f>_xll.BDH("BLUE US Equity","IS_OTHER_ONE_TIME_ITEMS_OP","FQ1 2020","FQ1 2020","Currency=USD","Period=FQ","BEST_FPERIOD_OVERRIDE=FQ","FILING_STATUS=MR","SCALING_FORMAT=MLN","Sort=A","Dates=H","DateFormat=P","Fill=—","Direction=H","UseDPDF=Y")</f>
        <v>—</v>
      </c>
      <c r="I26" s="13" t="str">
        <f>_xll.BDH("BLUE US Equity","IS_OTHER_ONE_TIME_ITEMS_OP","FQ2 2020","FQ2 2020","Currency=USD","Period=FQ","BEST_FPERIOD_OVERRIDE=FQ","FILING_STATUS=MR","SCALING_FORMAT=MLN","Sort=A","Dates=H","DateFormat=P","Fill=—","Direction=H","UseDPDF=Y")</f>
        <v>—</v>
      </c>
      <c r="J26" s="13" t="str">
        <f>_xll.BDH("BLUE US Equity","IS_OTHER_ONE_TIME_ITEMS_OP","FQ3 2020","FQ3 2020","Currency=USD","Period=FQ","BEST_FPERIOD_OVERRIDE=FQ","FILING_STATUS=MR","SCALING_FORMAT=MLN","Sort=A","Dates=H","DateFormat=P","Fill=—","Direction=H","UseDPDF=Y")</f>
        <v>—</v>
      </c>
      <c r="K26" s="13" t="str">
        <f>_xll.BDH("BLUE US Equity","IS_OTHER_ONE_TIME_ITEMS_OP","FQ4 2020","FQ4 2020","Currency=USD","Period=FQ","BEST_FPERIOD_OVERRIDE=FQ","FILING_STATUS=MR","SCALING_FORMAT=MLN","Sort=A","Dates=H","DateFormat=P","Fill=—","Direction=H","UseDPDF=Y")</f>
        <v>—</v>
      </c>
      <c r="L26" s="13" t="str">
        <f>_xll.BDH("BLUE US Equity","IS_OTHER_ONE_TIME_ITEMS_OP","FQ1 2021","FQ1 2021","Currency=USD","Period=FQ","BEST_FPERIOD_OVERRIDE=FQ","FILING_STATUS=MR","SCALING_FORMAT=MLN","Sort=A","Dates=H","DateFormat=P","Fill=—","Direction=H","UseDPDF=Y")</f>
        <v>—</v>
      </c>
      <c r="M26" s="13" t="str">
        <f>_xll.BDH("BLUE US Equity","IS_OTHER_ONE_TIME_ITEMS_OP","FQ2 2021","FQ2 2021","Currency=USD","Period=FQ","BEST_FPERIOD_OVERRIDE=FQ","FILING_STATUS=MR","SCALING_FORMAT=MLN","Sort=A","Dates=H","DateFormat=P","Fill=—","Direction=H","UseDPDF=Y")</f>
        <v>—</v>
      </c>
      <c r="N26" s="13" t="str">
        <f>_xll.BDH("BLUE US Equity","IS_OTHER_ONE_TIME_ITEMS_OP","FQ3 2021","FQ3 2021","Currency=USD","Period=FQ","BEST_FPERIOD_OVERRIDE=FQ","FILING_STATUS=MR","SCALING_FORMAT=MLN","Sort=A","Dates=H","DateFormat=P","Fill=—","Direction=H","UseDPDF=Y")</f>
        <v>—</v>
      </c>
      <c r="O26" s="13" t="str">
        <f>_xll.BDH("BLUE US Equity","IS_OTHER_ONE_TIME_ITEMS_OP","FQ4 2021","FQ4 2021","Currency=USD","Period=FQ","BEST_FPERIOD_OVERRIDE=FQ","FILING_STATUS=MR","SCALING_FORMAT=MLN","Sort=A","Dates=H","DateFormat=P","Fill=—","Direction=H","UseDPDF=Y")</f>
        <v>—</v>
      </c>
      <c r="P26" s="13" t="str">
        <f>_xll.BDH("BLUE US Equity","IS_OTHER_ONE_TIME_ITEMS_OP","FQ1 2022","FQ1 2022","Currency=USD","Period=FQ","BEST_FPERIOD_OVERRIDE=FQ","FILING_STATUS=MR","SCALING_FORMAT=MLN","Sort=A","Dates=H","DateFormat=P","Fill=—","Direction=H","UseDPDF=Y")</f>
        <v>—</v>
      </c>
      <c r="Q26" s="13" t="str">
        <f>_xll.BDH("BLUE US Equity","IS_OTHER_ONE_TIME_ITEMS_OP","FQ2 2022","FQ2 2022","Currency=USD","Period=FQ","BEST_FPERIOD_OVERRIDE=FQ","FILING_STATUS=MR","SCALING_FORMAT=MLN","Sort=A","Dates=H","DateFormat=P","Fill=—","Direction=H","UseDPDF=Y")</f>
        <v>—</v>
      </c>
      <c r="R26" s="13" t="str">
        <f>_xll.BDH("BLUE US Equity","IS_OTHER_ONE_TIME_ITEMS_OP","FQ3 2022","FQ3 2022","Currency=USD","Period=FQ","BEST_FPERIOD_OVERRIDE=FQ","FILING_STATUS=MR","SCALING_FORMAT=MLN","Sort=A","Dates=H","DateFormat=P","Fill=—","Direction=H","UseDPDF=Y")</f>
        <v>—</v>
      </c>
      <c r="S26" s="13">
        <f>_xll.BDH("BLUE US Equity","IS_OTHER_ONE_TIME_ITEMS_OP","FQ4 2022","FQ4 2022","Currency=USD","Period=FQ","BEST_FPERIOD_OVERRIDE=FQ","FILING_STATUS=MR","SCALING_FORMAT=MLN","Sort=A","Dates=H","DateFormat=P","Fill=—","Direction=H","UseDPDF=Y")</f>
        <v>-102</v>
      </c>
      <c r="T26" s="13">
        <f>_xll.BDH("BLUE US Equity","IS_OTHER_ONE_TIME_ITEMS_OP","FQ1 2023","FQ1 2023","Currency=USD","Period=FQ","BEST_FPERIOD_OVERRIDE=FQ","FILING_STATUS=MR","SCALING_FORMAT=MLN","Sort=A","Dates=H","DateFormat=P","Fill=—","Direction=H","UseDPDF=Y")</f>
        <v>-92.93</v>
      </c>
      <c r="U26" s="13" t="str">
        <f>_xll.BDH("BLUE US Equity","IS_OTHER_ONE_TIME_ITEMS_OP","FQ2 2023","FQ2 2023","Currency=USD","Period=FQ","BEST_FPERIOD_OVERRIDE=FQ","FILING_STATUS=MR","SCALING_FORMAT=MLN","Sort=A","Dates=H","DateFormat=P","Fill=—","Direction=H","UseDPDF=Y")</f>
        <v>—</v>
      </c>
      <c r="V26" s="13" t="str">
        <f>_xll.BDH("BLUE US Equity","IS_OTHER_ONE_TIME_ITEMS_OP","FQ3 2023","FQ3 2023","Currency=USD","Period=FQ","BEST_FPERIOD_OVERRIDE=FQ","FILING_STATUS=MR","SCALING_FORMAT=MLN","Sort=A","Dates=H","DateFormat=P","Fill=—","Direction=H","UseDPDF=Y")</f>
        <v>—</v>
      </c>
      <c r="W26" s="13" t="str">
        <f>_xll.BDH("BLUE US Equity","IS_OTHER_ONE_TIME_ITEMS_OP","FQ4 2023","FQ4 2023","Currency=USD","Period=FQ","BEST_FPERIOD_OVERRIDE=FQ","FILING_STATUS=MR","SCALING_FORMAT=MLN","Sort=A","Dates=H","DateFormat=P","Fill=—","Direction=H","UseDPDF=Y")</f>
        <v>—</v>
      </c>
      <c r="X26" s="13" t="str">
        <f>_xll.BDH("BLUE US Equity","IS_OTHER_ONE_TIME_ITEMS_OP","FQ1 2024","FQ1 2024","Currency=USD","Period=FQ","BEST_FPERIOD_OVERRIDE=FQ","FILING_STATUS=MR","SCALING_FORMAT=MLN","Sort=A","Dates=H","DateFormat=P","Fill=—","Direction=H","UseDPDF=Y")</f>
        <v>—</v>
      </c>
      <c r="Y26" s="13" t="str">
        <f>_xll.BDH("BLUE US Equity","IS_OTHER_ONE_TIME_ITEMS_OP","FQ2 2024","FQ2 2024","Currency=USD","Period=FQ","BEST_FPERIOD_OVERRIDE=FQ","FILING_STATUS=MR","SCALING_FORMAT=MLN","Sort=A","Dates=H","DateFormat=P","Fill=—","Direction=H","UseDPDF=Y")</f>
        <v>—</v>
      </c>
      <c r="Z26" s="13" t="str">
        <f>_xll.BDH("BLUE US Equity","IS_OTHER_ONE_TIME_ITEMS_OP","FQ3 2024","FQ3 2024","Currency=USD","Period=FQ","BEST_FPERIOD_OVERRIDE=FQ","FILING_STATUS=MR","SCALING_FORMAT=MLN","Sort=A","Dates=H","DateFormat=P","Fill=—","Direction=H","UseDPDF=Y")</f>
        <v>—</v>
      </c>
      <c r="AA26" s="13" t="str">
        <f>_xll.BDH("BLUE US Equity","IS_OTHER_ONE_TIME_ITEMS_OP","FQ4 2024","FQ4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6" t="s">
        <v>532</v>
      </c>
      <c r="B27" s="6" t="s">
        <v>99</v>
      </c>
      <c r="C27" s="19">
        <f>_xll.BDH("BLUE US Equity","IS_OPER_INC","FQ4 2018","FQ4 2018","Currency=USD","Period=FQ","BEST_FPERIOD_OVERRIDE=FQ","FILING_STATUS=MR","SCALING_FORMAT=MLN","FA_ADJUSTED=Adjusted","Sort=A","Dates=H","DateFormat=P","Fill=—","Direction=H","UseDPDF=Y")</f>
        <v>-154.80500000000001</v>
      </c>
      <c r="D27" s="19">
        <f>_xll.BDH("BLUE US Equity","IS_OPER_INC","FQ1 2019","FQ1 2019","Currency=USD","Period=FQ","BEST_FPERIOD_OVERRIDE=FQ","FILING_STATUS=MR","SCALING_FORMAT=MLN","FA_ADJUSTED=Adjusted","Sort=A","Dates=H","DateFormat=P","Fill=—","Direction=H","UseDPDF=Y")</f>
        <v>-170.87799999999999</v>
      </c>
      <c r="E27" s="19">
        <f>_xll.BDH("BLUE US Equity","IS_OPER_INC","FQ2 2019","FQ2 2019","Currency=USD","Period=FQ","BEST_FPERIOD_OVERRIDE=FQ","FILING_STATUS=MR","SCALING_FORMAT=MLN","FA_ADJUSTED=Adjusted","Sort=A","Dates=H","DateFormat=P","Fill=—","Direction=H","UseDPDF=Y")</f>
        <v>-202.488</v>
      </c>
      <c r="F27" s="19">
        <f>_xll.BDH("BLUE US Equity","IS_OPER_INC","FQ3 2019","FQ3 2019","Currency=USD","Period=FQ","BEST_FPERIOD_OVERRIDE=FQ","FILING_STATUS=MR","SCALING_FORMAT=MLN","FA_ADJUSTED=Adjusted","Sort=A","Dates=H","DateFormat=P","Fill=—","Direction=H","UseDPDF=Y")</f>
        <v>-209.614</v>
      </c>
      <c r="G27" s="19">
        <f>_xll.BDH("BLUE US Equity","IS_OPER_INC","FQ4 2019","FQ4 2019","Currency=USD","Period=FQ","BEST_FPERIOD_OVERRIDE=FQ","FILING_STATUS=MR","SCALING_FORMAT=MLN","FA_ADJUSTED=Adjusted","Sort=A","Dates=H","DateFormat=P","Fill=—","Direction=H","UseDPDF=Y")</f>
        <v>-229.09899999999999</v>
      </c>
      <c r="H27" s="19">
        <f>_xll.BDH("BLUE US Equity","IS_OPER_INC","FQ1 2020","FQ1 2020","Currency=USD","Period=FQ","BEST_FPERIOD_OVERRIDE=FQ","FILING_STATUS=MR","SCALING_FORMAT=MLN","FA_ADJUSTED=Adjusted","Sort=A","Dates=H","DateFormat=P","Fill=—","Direction=H","UseDPDF=Y")</f>
        <v>-206.53299999999999</v>
      </c>
      <c r="I27" s="19">
        <f>_xll.BDH("BLUE US Equity","IS_OPER_INC","FQ2 2020","FQ2 2020","Currency=USD","Period=FQ","BEST_FPERIOD_OVERRIDE=FQ","FILING_STATUS=MR","SCALING_FORMAT=MLN","FA_ADJUSTED=Adjusted","Sort=A","Dates=H","DateFormat=P","Fill=—","Direction=H","UseDPDF=Y")</f>
        <v>-27.6</v>
      </c>
      <c r="J27" s="19">
        <f>_xll.BDH("BLUE US Equity","IS_OPER_INC","FQ3 2020","FQ3 2020","Currency=USD","Period=FQ","BEST_FPERIOD_OVERRIDE=FQ","FILING_STATUS=MR","SCALING_FORMAT=MLN","FA_ADJUSTED=Adjusted","Sort=A","Dates=H","DateFormat=P","Fill=—","Direction=H","UseDPDF=Y")</f>
        <v>-190.52199999999999</v>
      </c>
      <c r="K27" s="19">
        <f>_xll.BDH("BLUE US Equity","IS_OPER_INC","FQ4 2020","FQ4 2020","Currency=USD","Period=FQ","BEST_FPERIOD_OVERRIDE=FQ","FILING_STATUS=MR","SCALING_FORMAT=MLN","FA_ADJUSTED=Adjusted","Sort=A","Dates=H","DateFormat=P","Fill=—","Direction=H","UseDPDF=Y")</f>
        <v>-139.387</v>
      </c>
      <c r="L27" s="19">
        <f>_xll.BDH("BLUE US Equity","IS_OPER_INC","FQ1 2021","FQ1 2021","Currency=USD","Period=FQ","BEST_FPERIOD_OVERRIDE=FQ","FILING_STATUS=MR","SCALING_FORMAT=MLN","FA_ADJUSTED=Adjusted","Sort=A","Dates=H","DateFormat=P","Fill=—","Direction=H","UseDPDF=Y")</f>
        <v>-174.09700000000001</v>
      </c>
      <c r="M27" s="19">
        <f>_xll.BDH("BLUE US Equity","IS_OPER_INC","FQ2 2021","FQ2 2021","Currency=USD","Period=FQ","BEST_FPERIOD_OVERRIDE=FQ","FILING_STATUS=MR","SCALING_FORMAT=MLN","FA_ADJUSTED=Adjusted","Sort=A","Dates=H","DateFormat=P","Fill=—","Direction=H","UseDPDF=Y")</f>
        <v>-240.791</v>
      </c>
      <c r="N27" s="19">
        <f>_xll.BDH("BLUE US Equity","IS_OPER_INC","FQ3 2021","FQ3 2021","Currency=USD","Period=FQ","BEST_FPERIOD_OVERRIDE=FQ","FILING_STATUS=MR","SCALING_FORMAT=MLN","FA_ADJUSTED=Adjusted","Sort=A","Dates=H","DateFormat=P","Fill=—","Direction=H","UseDPDF=Y")</f>
        <v>-134.274</v>
      </c>
      <c r="O27" s="19">
        <f>_xll.BDH("BLUE US Equity","IS_OPER_INC","FQ4 2021","FQ4 2021","Currency=USD","Period=FQ","BEST_FPERIOD_OVERRIDE=FQ","FILING_STATUS=MR","SCALING_FORMAT=MLN","FA_ADJUSTED=Adjusted","Sort=A","Dates=H","DateFormat=P","Fill=—","Direction=H","UseDPDF=Y")</f>
        <v>-134.74299999999999</v>
      </c>
      <c r="P27" s="19">
        <f>_xll.BDH("BLUE US Equity","IS_OPER_INC","FQ1 2022","FQ1 2022","Currency=USD","Period=FQ","BEST_FPERIOD_OVERRIDE=FQ","FILING_STATUS=MR","SCALING_FORMAT=MLN","FA_ADJUSTED=Adjusted","Sort=A","Dates=H","DateFormat=P","Fill=—","Direction=H","UseDPDF=Y")</f>
        <v>-117.83799999999999</v>
      </c>
      <c r="Q27" s="19">
        <f>_xll.BDH("BLUE US Equity","IS_OPER_INC","FQ2 2022","FQ2 2022","Currency=USD","Period=FQ","BEST_FPERIOD_OVERRIDE=FQ","FILING_STATUS=MR","SCALING_FORMAT=MLN","FA_ADJUSTED=Adjusted","Sort=A","Dates=H","DateFormat=P","Fill=—","Direction=H","UseDPDF=Y")</f>
        <v>-100.134</v>
      </c>
      <c r="R27" s="19">
        <f>_xll.BDH("BLUE US Equity","IS_OPER_INC","FQ3 2022","FQ3 2022","Currency=USD","Period=FQ","BEST_FPERIOD_OVERRIDE=FQ","FILING_STATUS=MR","SCALING_FORMAT=MLN","FA_ADJUSTED=Adjusted","Sort=A","Dates=H","DateFormat=P","Fill=—","Direction=H","UseDPDF=Y")</f>
        <v>-86.48</v>
      </c>
      <c r="S27" s="19">
        <f>_xll.BDH("BLUE US Equity","IS_OPER_INC","FQ4 2022","FQ4 2022","Currency=USD","Period=FQ","BEST_FPERIOD_OVERRIDE=FQ","FILING_STATUS=MR","SCALING_FORMAT=MLN","FA_ADJUSTED=Adjusted","Sort=A","Dates=H","DateFormat=P","Fill=—","Direction=H","UseDPDF=Y")</f>
        <v>-42.792999999999999</v>
      </c>
      <c r="T27" s="19">
        <f>_xll.BDH("BLUE US Equity","IS_OPER_INC","FQ1 2023","FQ1 2023","Currency=USD","Period=FQ","BEST_FPERIOD_OVERRIDE=FQ","FILING_STATUS=MR","SCALING_FORMAT=MLN","FA_ADJUSTED=Adjusted","Sort=A","Dates=H","DateFormat=P","Fill=—","Direction=H","UseDPDF=Y")</f>
        <v>-82.185000000000002</v>
      </c>
      <c r="U27" s="19">
        <f>_xll.BDH("BLUE US Equity","IS_OPER_INC","FQ2 2023","FQ2 2023","Currency=USD","Period=FQ","BEST_FPERIOD_OVERRIDE=FQ","FILING_STATUS=MR","SCALING_FORMAT=MLN","FA_ADJUSTED=Adjusted","Sort=A","Dates=H","DateFormat=P","Fill=—","Direction=H","UseDPDF=Y")</f>
        <v>-71.716999999999999</v>
      </c>
      <c r="V27" s="19">
        <f>_xll.BDH("BLUE US Equity","IS_OPER_INC","FQ3 2023","FQ3 2023","Currency=USD","Period=FQ","BEST_FPERIOD_OVERRIDE=FQ","FILING_STATUS=MR","SCALING_FORMAT=MLN","FA_ADJUSTED=Adjusted","Sort=A","Dates=H","DateFormat=P","Fill=—","Direction=H","UseDPDF=Y")</f>
        <v>-96.006</v>
      </c>
      <c r="W27" s="19">
        <f>_xll.BDH("BLUE US Equity","IS_OPER_INC","FQ4 2023","FQ4 2023","Currency=USD","Period=FQ","BEST_FPERIOD_OVERRIDE=FQ","FILING_STATUS=MR","SCALING_FORMAT=MLN","FA_ADJUSTED=Adjusted","Sort=A","Dates=H","DateFormat=P","Fill=—","Direction=H","UseDPDF=Y")</f>
        <v>-82.673000000000002</v>
      </c>
      <c r="X27" s="19">
        <f>_xll.BDH("BLUE US Equity","IS_OPER_INC","FQ1 2024","FQ1 2024","Currency=USD","Period=FQ","BEST_FPERIOD_OVERRIDE=FQ","FILING_STATUS=MR","SCALING_FORMAT=MLN","FA_ADJUSTED=Adjusted","Sort=A","Dates=H","DateFormat=P","Fill=—","Direction=H","UseDPDF=Y")</f>
        <v>-78.691999999999993</v>
      </c>
      <c r="Y27" s="19">
        <f>_xll.BDH("BLUE US Equity","IS_OPER_INC","FQ2 2024","FQ2 2024","Currency=USD","Period=FQ","BEST_FPERIOD_OVERRIDE=FQ","FILING_STATUS=MR","SCALING_FORMAT=MLN","FA_ADJUSTED=Adjusted","Sort=A","Dates=H","DateFormat=P","Fill=—","Direction=H","UseDPDF=Y")</f>
        <v>-88.391999999999996</v>
      </c>
      <c r="Z27" s="19">
        <f>_xll.BDH("BLUE US Equity","IS_OPER_INC","FQ3 2024","FQ3 2024","Currency=USD","Period=FQ","BEST_FPERIOD_OVERRIDE=FQ","FILING_STATUS=MR","SCALING_FORMAT=MLN","FA_ADJUSTED=Adjusted","Sort=A","Dates=H","DateFormat=P","Fill=—","Direction=H","UseDPDF=Y")</f>
        <v>-64.108000000000004</v>
      </c>
      <c r="AA27" s="19">
        <f>_xll.BDH("BLUE US Equity","IS_OPER_INC","FQ4 2024","FQ4 2024","Currency=USD","Period=FQ","BEST_FPERIOD_OVERRIDE=FQ","FILING_STATUS=MR","SCALING_FORMAT=MLN","FA_ADJUSTED=Adjusted","Sort=A","Dates=H","DateFormat=P","Fill=—","Direction=H","UseDPDF=Y")</f>
        <v>-36.506999999999998</v>
      </c>
    </row>
    <row r="28" spans="1:27" x14ac:dyDescent="0.25">
      <c r="A28" s="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6" t="s">
        <v>547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6" t="s">
        <v>318</v>
      </c>
      <c r="B30" s="6" t="s">
        <v>157</v>
      </c>
      <c r="C30" s="19">
        <f>_xll.BDH("BLUE US Equity","PRETAX_INC","FQ4 2018","FQ4 2018","Currency=USD","Period=FQ","BEST_FPERIOD_OVERRIDE=FQ","FILING_STATUS=MR","SCALING_FORMAT=MLN","FA_ADJUSTED=GAAP","Sort=A","Dates=H","DateFormat=P","Fill=—","Direction=H","UseDPDF=Y")</f>
        <v>-148.83600000000001</v>
      </c>
      <c r="D30" s="19">
        <f>_xll.BDH("BLUE US Equity","PRETAX_INC","FQ1 2019","FQ1 2019","Currency=USD","Period=FQ","BEST_FPERIOD_OVERRIDE=FQ","FILING_STATUS=MR","SCALING_FORMAT=MLN","FA_ADJUSTED=GAAP","Sort=A","Dates=H","DateFormat=P","Fill=—","Direction=H","UseDPDF=Y")</f>
        <v>-164.46100000000001</v>
      </c>
      <c r="E30" s="19">
        <f>_xll.BDH("BLUE US Equity","PRETAX_INC","FQ2 2019","FQ2 2019","Currency=USD","Period=FQ","BEST_FPERIOD_OVERRIDE=FQ","FILING_STATUS=MR","SCALING_FORMAT=MLN","FA_ADJUSTED=GAAP","Sort=A","Dates=H","DateFormat=P","Fill=—","Direction=H","UseDPDF=Y")</f>
        <v>-196.251</v>
      </c>
      <c r="F30" s="19">
        <f>_xll.BDH("BLUE US Equity","PRETAX_INC","FQ3 2019","FQ3 2019","Currency=USD","Period=FQ","BEST_FPERIOD_OVERRIDE=FQ","FILING_STATUS=MR","SCALING_FORMAT=MLN","FA_ADJUSTED=GAAP","Sort=A","Dates=H","DateFormat=P","Fill=—","Direction=H","UseDPDF=Y")</f>
        <v>-206.297</v>
      </c>
      <c r="G30" s="19">
        <f>_xll.BDH("BLUE US Equity","PRETAX_INC","FQ4 2019","FQ4 2019","Currency=USD","Period=FQ","BEST_FPERIOD_OVERRIDE=FQ","FILING_STATUS=MR","SCALING_FORMAT=MLN","FA_ADJUSTED=GAAP","Sort=A","Dates=H","DateFormat=P","Fill=—","Direction=H","UseDPDF=Y")</f>
        <v>-223.14400000000001</v>
      </c>
      <c r="H30" s="19">
        <f>_xll.BDH("BLUE US Equity","PRETAX_INC","FQ1 2020","FQ1 2020","Currency=USD","Period=FQ","BEST_FPERIOD_OVERRIDE=FQ","FILING_STATUS=MR","SCALING_FORMAT=MLN","FA_ADJUSTED=GAAP","Sort=A","Dates=H","DateFormat=P","Fill=—","Direction=H","UseDPDF=Y")</f>
        <v>-202.517</v>
      </c>
      <c r="I30" s="19">
        <f>_xll.BDH("BLUE US Equity","PRETAX_INC","FQ2 2020","FQ2 2020","Currency=USD","Period=FQ","BEST_FPERIOD_OVERRIDE=FQ","FILING_STATUS=MR","SCALING_FORMAT=MLN","FA_ADJUSTED=GAAP","Sort=A","Dates=H","DateFormat=P","Fill=—","Direction=H","UseDPDF=Y")</f>
        <v>-21.454999999999998</v>
      </c>
      <c r="J30" s="19">
        <f>_xll.BDH("BLUE US Equity","PRETAX_INC","FQ3 2020","FQ3 2020","Currency=USD","Period=FQ","BEST_FPERIOD_OVERRIDE=FQ","FILING_STATUS=MR","SCALING_FORMAT=MLN","FA_ADJUSTED=GAAP","Sort=A","Dates=H","DateFormat=P","Fill=—","Direction=H","UseDPDF=Y")</f>
        <v>-194.416</v>
      </c>
      <c r="K30" s="19">
        <f>_xll.BDH("BLUE US Equity","PRETAX_INC","FQ4 2020","FQ4 2020","Currency=USD","Period=FQ","BEST_FPERIOD_OVERRIDE=FQ","FILING_STATUS=MR","SCALING_FORMAT=MLN","FA_ADJUSTED=GAAP","Sort=A","Dates=H","DateFormat=P","Fill=—","Direction=H","UseDPDF=Y")</f>
        <v>-136.06800000000001</v>
      </c>
      <c r="L30" s="19">
        <f>_xll.BDH("BLUE US Equity","PRETAX_INC","FQ1 2021","FQ1 2021","Currency=USD","Period=FQ","BEST_FPERIOD_OVERRIDE=FQ","FILING_STATUS=MR","SCALING_FORMAT=MLN","FA_ADJUSTED=GAAP","Sort=A","Dates=H","DateFormat=P","Fill=—","Direction=H","UseDPDF=Y")</f>
        <v>-121.438</v>
      </c>
      <c r="M30" s="19">
        <f>_xll.BDH("BLUE US Equity","PRETAX_INC","FQ2 2021","FQ2 2021","Currency=USD","Period=FQ","BEST_FPERIOD_OVERRIDE=FQ","FILING_STATUS=MR","SCALING_FORMAT=MLN","FA_ADJUSTED=GAAP","Sort=A","Dates=H","DateFormat=P","Fill=—","Direction=H","UseDPDF=Y")</f>
        <v>-241.48599999999999</v>
      </c>
      <c r="N30" s="19">
        <f>_xll.BDH("BLUE US Equity","PRETAX_INC","FQ3 2021","FQ3 2021","Currency=USD","Period=FQ","BEST_FPERIOD_OVERRIDE=FQ","FILING_STATUS=MR","SCALING_FORMAT=MLN","FA_ADJUSTED=GAAP","Sort=A","Dates=H","DateFormat=P","Fill=—","Direction=H","UseDPDF=Y")</f>
        <v>-152.947</v>
      </c>
      <c r="O30" s="19">
        <f>_xll.BDH("BLUE US Equity","PRETAX_INC","FQ4 2021","FQ4 2021","Currency=USD","Period=FQ","BEST_FPERIOD_OVERRIDE=FQ","FILING_STATUS=MR","SCALING_FORMAT=MLN","FA_ADJUSTED=GAAP","Sort=A","Dates=H","DateFormat=P","Fill=—","Direction=H","UseDPDF=Y")</f>
        <v>-132.238</v>
      </c>
      <c r="P30" s="19">
        <f>_xll.BDH("BLUE US Equity","PRETAX_INC","FQ1 2022","FQ1 2022","Currency=USD","Period=FQ","BEST_FPERIOD_OVERRIDE=FQ","FILING_STATUS=MR","SCALING_FORMAT=MLN","FA_ADJUSTED=GAAP","Sort=A","Dates=H","DateFormat=P","Fill=—","Direction=H","UseDPDF=Y")</f>
        <v>-122.152</v>
      </c>
      <c r="Q30" s="19">
        <f>_xll.BDH("BLUE US Equity","PRETAX_INC","FQ2 2022","FQ2 2022","Currency=USD","Period=FQ","BEST_FPERIOD_OVERRIDE=FQ","FILING_STATUS=MR","SCALING_FORMAT=MLN","FA_ADJUSTED=GAAP","Sort=A","Dates=H","DateFormat=P","Fill=—","Direction=H","UseDPDF=Y")</f>
        <v>-100.13800000000001</v>
      </c>
      <c r="R30" s="19">
        <f>_xll.BDH("BLUE US Equity","PRETAX_INC","FQ3 2022","FQ3 2022","Currency=USD","Period=FQ","BEST_FPERIOD_OVERRIDE=FQ","FILING_STATUS=MR","SCALING_FORMAT=MLN","FA_ADJUSTED=GAAP","Sort=A","Dates=H","DateFormat=P","Fill=—","Direction=H","UseDPDF=Y")</f>
        <v>-76.513000000000005</v>
      </c>
      <c r="S30" s="19">
        <f>_xll.BDH("BLUE US Equity","PRETAX_INC","FQ4 2022","FQ4 2022","Currency=USD","Period=FQ","BEST_FPERIOD_OVERRIDE=FQ","FILING_STATUS=MR","SCALING_FORMAT=MLN","FA_ADJUSTED=GAAP","Sort=A","Dates=H","DateFormat=P","Fill=—","Direction=H","UseDPDF=Y")</f>
        <v>68.578000000000003</v>
      </c>
      <c r="T30" s="19">
        <f>_xll.BDH("BLUE US Equity","PRETAX_INC","FQ1 2023","FQ1 2023","Currency=USD","Period=FQ","BEST_FPERIOD_OVERRIDE=FQ","FILING_STATUS=MR","SCALING_FORMAT=MLN","FA_ADJUSTED=GAAP","Sort=A","Dates=H","DateFormat=P","Fill=—","Direction=H","UseDPDF=Y")</f>
        <v>18.93</v>
      </c>
      <c r="U30" s="19">
        <f>_xll.BDH("BLUE US Equity","PRETAX_INC","FQ2 2023","FQ2 2023","Currency=USD","Period=FQ","BEST_FPERIOD_OVERRIDE=FQ","FILING_STATUS=MR","SCALING_FORMAT=MLN","FA_ADJUSTED=GAAP","Sort=A","Dates=H","DateFormat=P","Fill=—","Direction=H","UseDPDF=Y")</f>
        <v>-62.869</v>
      </c>
      <c r="V30" s="19">
        <f>_xll.BDH("BLUE US Equity","PRETAX_INC","FQ3 2023","FQ3 2023","Currency=USD","Period=FQ","BEST_FPERIOD_OVERRIDE=FQ","FILING_STATUS=MR","SCALING_FORMAT=MLN","FA_ADJUSTED=GAAP","Sort=A","Dates=H","DateFormat=P","Fill=—","Direction=H","UseDPDF=Y")</f>
        <v>-87.231999999999999</v>
      </c>
      <c r="W30" s="19">
        <f>_xll.BDH("BLUE US Equity","PRETAX_INC","FQ4 2023","FQ4 2023","Currency=USD","Period=FQ","BEST_FPERIOD_OVERRIDE=FQ","FILING_STATUS=MR","SCALING_FORMAT=MLN","FA_ADJUSTED=GAAP","Sort=A","Dates=H","DateFormat=P","Fill=—","Direction=H","UseDPDF=Y")</f>
        <v>-88.56</v>
      </c>
      <c r="X30" s="19">
        <f>_xll.BDH("BLUE US Equity","PRETAX_INC","FQ1 2024","FQ1 2024","Currency=USD","Period=FQ","BEST_FPERIOD_OVERRIDE=FQ","FILING_STATUS=MR","SCALING_FORMAT=MLN","FA_ADJUSTED=GAAP","Sort=A","Dates=H","DateFormat=P","Fill=—","Direction=H","UseDPDF=Y")</f>
        <v>-69.804000000000002</v>
      </c>
      <c r="Y30" s="19">
        <f>_xll.BDH("BLUE US Equity","PRETAX_INC","FQ2 2024","FQ2 2024","Currency=USD","Period=FQ","BEST_FPERIOD_OVERRIDE=FQ","FILING_STATUS=MR","SCALING_FORMAT=MLN","FA_ADJUSTED=GAAP","Sort=A","Dates=H","DateFormat=P","Fill=—","Direction=H","UseDPDF=Y")</f>
        <v>-81.372</v>
      </c>
      <c r="Z30" s="19">
        <f>_xll.BDH("BLUE US Equity","PRETAX_INC","FQ3 2024","FQ3 2024","Currency=USD","Period=FQ","BEST_FPERIOD_OVERRIDE=FQ","FILING_STATUS=MR","SCALING_FORMAT=MLN","FA_ADJUSTED=GAAP","Sort=A","Dates=H","DateFormat=P","Fill=—","Direction=H","UseDPDF=Y")</f>
        <v>-60.866</v>
      </c>
      <c r="AA30" s="19">
        <f>_xll.BDH("BLUE US Equity","PRETAX_INC","FQ4 2024","FQ4 2024","Currency=USD","Period=FQ","BEST_FPERIOD_OVERRIDE=FQ","FILING_STATUS=MR","SCALING_FORMAT=MLN","FA_ADJUSTED=GAAP","Sort=A","Dates=H","DateFormat=P","Fill=—","Direction=H","UseDPDF=Y")</f>
        <v>-28.603000000000002</v>
      </c>
    </row>
    <row r="31" spans="1:27" x14ac:dyDescent="0.25">
      <c r="A31" s="10" t="s">
        <v>539</v>
      </c>
      <c r="B31" s="10" t="s">
        <v>311</v>
      </c>
      <c r="C31" s="13">
        <f>_xll.BDH("BLUE US Equity","IS_MERGER_ACQUISITION_EXPENSE","FQ4 2018","FQ4 2018","Currency=USD","Period=FQ","BEST_FPERIOD_OVERRIDE=FQ","FILING_STATUS=MR","SCALING_FORMAT=MLN","Sort=A","Dates=H","DateFormat=P","Fill=—","Direction=H","UseDPDF=Y")</f>
        <v>2.1560000000000001</v>
      </c>
      <c r="D31" s="13">
        <f>_xll.BDH("BLUE US Equity","IS_MERGER_ACQUISITION_EXPENSE","FQ1 2019","FQ1 2019","Currency=USD","Period=FQ","BEST_FPERIOD_OVERRIDE=FQ","FILING_STATUS=MR","SCALING_FORMAT=MLN","Sort=A","Dates=H","DateFormat=P","Fill=—","Direction=H","UseDPDF=Y")</f>
        <v>0.29599999999999999</v>
      </c>
      <c r="E31" s="13">
        <f>_xll.BDH("BLUE US Equity","IS_MERGER_ACQUISITION_EXPENSE","FQ2 2019","FQ2 2019","Currency=USD","Period=FQ","BEST_FPERIOD_OVERRIDE=FQ","FILING_STATUS=MR","SCALING_FORMAT=MLN","Sort=A","Dates=H","DateFormat=P","Fill=—","Direction=H","UseDPDF=Y")</f>
        <v>0.214</v>
      </c>
      <c r="F31" s="13">
        <f>_xll.BDH("BLUE US Equity","IS_MERGER_ACQUISITION_EXPENSE","FQ3 2019","FQ3 2019","Currency=USD","Period=FQ","BEST_FPERIOD_OVERRIDE=FQ","FILING_STATUS=MR","SCALING_FORMAT=MLN","Sort=A","Dates=H","DateFormat=P","Fill=—","Direction=H","UseDPDF=Y")</f>
        <v>0.80200000000000005</v>
      </c>
      <c r="G31" s="13">
        <f>_xll.BDH("BLUE US Equity","IS_MERGER_ACQUISITION_EXPENSE","FQ4 2019","FQ4 2019","Currency=USD","Period=FQ","BEST_FPERIOD_OVERRIDE=FQ","FILING_STATUS=MR","SCALING_FORMAT=MLN","Sort=A","Dates=H","DateFormat=P","Fill=—","Direction=H","UseDPDF=Y")</f>
        <v>1.4350000000000001</v>
      </c>
      <c r="H31" s="13">
        <f>_xll.BDH("BLUE US Equity","IS_MERGER_ACQUISITION_EXPENSE","FQ1 2020","FQ1 2020","Currency=USD","Period=FQ","BEST_FPERIOD_OVERRIDE=FQ","FILING_STATUS=MR","SCALING_FORMAT=MLN","Sort=A","Dates=H","DateFormat=P","Fill=—","Direction=H","UseDPDF=Y")</f>
        <v>-3.1080000000000001</v>
      </c>
      <c r="I31" s="13">
        <f>_xll.BDH("BLUE US Equity","IS_MERGER_ACQUISITION_EXPENSE","FQ2 2020","FQ2 2020","Currency=USD","Period=FQ","BEST_FPERIOD_OVERRIDE=FQ","FILING_STATUS=MR","SCALING_FORMAT=MLN","Sort=A","Dates=H","DateFormat=P","Fill=—","Direction=H","UseDPDF=Y")</f>
        <v>-1.655</v>
      </c>
      <c r="J31" s="13">
        <f>_xll.BDH("BLUE US Equity","IS_MERGER_ACQUISITION_EXPENSE","FQ3 2020","FQ3 2020","Currency=USD","Period=FQ","BEST_FPERIOD_OVERRIDE=FQ","FILING_STATUS=MR","SCALING_FORMAT=MLN","Sort=A","Dates=H","DateFormat=P","Fill=—","Direction=H","UseDPDF=Y")</f>
        <v>-0.82799999999999996</v>
      </c>
      <c r="K31" s="13" t="str">
        <f>_xll.BDH("BLUE US Equity","IS_MERGER_ACQUISITION_EXPENSE","FQ4 2020","FQ4 2020","Currency=USD","Period=FQ","BEST_FPERIOD_OVERRIDE=FQ","FILING_STATUS=MR","SCALING_FORMAT=MLN","Sort=A","Dates=H","DateFormat=P","Fill=—","Direction=H","UseDPDF=Y")</f>
        <v>—</v>
      </c>
      <c r="L31" s="13">
        <f>_xll.BDH("BLUE US Equity","IS_MERGER_ACQUISITION_EXPENSE","FQ1 2021","FQ1 2021","Currency=USD","Period=FQ","BEST_FPERIOD_OVERRIDE=FQ","FILING_STATUS=MR","SCALING_FORMAT=MLN","Sort=A","Dates=H","DateFormat=P","Fill=—","Direction=H","UseDPDF=Y")</f>
        <v>0.36899999999999999</v>
      </c>
      <c r="M31" s="13">
        <f>_xll.BDH("BLUE US Equity","IS_MERGER_ACQUISITION_EXPENSE","FQ2 2021","FQ2 2021","Currency=USD","Period=FQ","BEST_FPERIOD_OVERRIDE=FQ","FILING_STATUS=MR","SCALING_FORMAT=MLN","Sort=A","Dates=H","DateFormat=P","Fill=—","Direction=H","UseDPDF=Y")</f>
        <v>4.7E-2</v>
      </c>
      <c r="N31" s="13" t="str">
        <f>_xll.BDH("BLUE US Equity","IS_MERGER_ACQUISITION_EXPENSE","FQ3 2021","FQ3 2021","Currency=USD","Period=FQ","BEST_FPERIOD_OVERRIDE=FQ","FILING_STATUS=MR","SCALING_FORMAT=MLN","Sort=A","Dates=H","DateFormat=P","Fill=—","Direction=H","UseDPDF=Y")</f>
        <v>—</v>
      </c>
      <c r="O31" s="13">
        <f>_xll.BDH("BLUE US Equity","IS_MERGER_ACQUISITION_EXPENSE","FQ4 2021","FQ4 2021","Currency=USD","Period=FQ","BEST_FPERIOD_OVERRIDE=FQ","FILING_STATUS=MR","SCALING_FORMAT=MLN","Sort=A","Dates=H","DateFormat=P","Fill=—","Direction=H","UseDPDF=Y")</f>
        <v>-7.6999999999999999E-2</v>
      </c>
      <c r="P31" s="13" t="str">
        <f>_xll.BDH("BLUE US Equity","IS_MERGER_ACQUISITION_EXPENSE","FQ1 2022","FQ1 2022","Currency=USD","Period=FQ","BEST_FPERIOD_OVERRIDE=FQ","FILING_STATUS=MR","SCALING_FORMAT=MLN","Sort=A","Dates=H","DateFormat=P","Fill=—","Direction=H","UseDPDF=Y")</f>
        <v>—</v>
      </c>
      <c r="Q31" s="13" t="str">
        <f>_xll.BDH("BLUE US Equity","IS_MERGER_ACQUISITION_EXPENSE","FQ2 2022","FQ2 2022","Currency=USD","Period=FQ","BEST_FPERIOD_OVERRIDE=FQ","FILING_STATUS=MR","SCALING_FORMAT=MLN","Sort=A","Dates=H","DateFormat=P","Fill=—","Direction=H","UseDPDF=Y")</f>
        <v>—</v>
      </c>
      <c r="R31" s="13" t="str">
        <f>_xll.BDH("BLUE US Equity","IS_MERGER_ACQUISITION_EXPENSE","FQ3 2022","FQ3 2022","Currency=USD","Period=FQ","BEST_FPERIOD_OVERRIDE=FQ","FILING_STATUS=MR","SCALING_FORMAT=MLN","Sort=A","Dates=H","DateFormat=P","Fill=—","Direction=H","UseDPDF=Y")</f>
        <v>—</v>
      </c>
      <c r="S31" s="13" t="str">
        <f>_xll.BDH("BLUE US Equity","IS_MERGER_ACQUISITION_EXPENSE","FQ4 2022","FQ4 2022","Currency=USD","Period=FQ","BEST_FPERIOD_OVERRIDE=FQ","FILING_STATUS=MR","SCALING_FORMAT=MLN","Sort=A","Dates=H","DateFormat=P","Fill=—","Direction=H","UseDPDF=Y")</f>
        <v>—</v>
      </c>
      <c r="T31" s="13" t="str">
        <f>_xll.BDH("BLUE US Equity","IS_MERGER_ACQUISITION_EXPENSE","FQ1 2023","FQ1 2023","Currency=USD","Period=FQ","BEST_FPERIOD_OVERRIDE=FQ","FILING_STATUS=MR","SCALING_FORMAT=MLN","Sort=A","Dates=H","DateFormat=P","Fill=—","Direction=H","UseDPDF=Y")</f>
        <v>—</v>
      </c>
      <c r="U31" s="13" t="str">
        <f>_xll.BDH("BLUE US Equity","IS_MERGER_ACQUISITION_EXPENSE","FQ2 2023","FQ2 2023","Currency=USD","Period=FQ","BEST_FPERIOD_OVERRIDE=FQ","FILING_STATUS=MR","SCALING_FORMAT=MLN","Sort=A","Dates=H","DateFormat=P","Fill=—","Direction=H","UseDPDF=Y")</f>
        <v>—</v>
      </c>
      <c r="V31" s="13" t="str">
        <f>_xll.BDH("BLUE US Equity","IS_MERGER_ACQUISITION_EXPENSE","FQ3 2023","FQ3 2023","Currency=USD","Period=FQ","BEST_FPERIOD_OVERRIDE=FQ","FILING_STATUS=MR","SCALING_FORMAT=MLN","Sort=A","Dates=H","DateFormat=P","Fill=—","Direction=H","UseDPDF=Y")</f>
        <v>—</v>
      </c>
      <c r="W31" s="13" t="str">
        <f>_xll.BDH("BLUE US Equity","IS_MERGER_ACQUISITION_EXPENSE","FQ4 2023","FQ4 2023","Currency=USD","Period=FQ","BEST_FPERIOD_OVERRIDE=FQ","FILING_STATUS=MR","SCALING_FORMAT=MLN","Sort=A","Dates=H","DateFormat=P","Fill=—","Direction=H","UseDPDF=Y")</f>
        <v>—</v>
      </c>
      <c r="X31" s="13" t="str">
        <f>_xll.BDH("BLUE US Equity","IS_MERGER_ACQUISITION_EXPENSE","FQ1 2024","FQ1 2024","Currency=USD","Period=FQ","BEST_FPERIOD_OVERRIDE=FQ","FILING_STATUS=MR","SCALING_FORMAT=MLN","Sort=A","Dates=H","DateFormat=P","Fill=—","Direction=H","UseDPDF=Y")</f>
        <v>—</v>
      </c>
      <c r="Y31" s="13" t="str">
        <f>_xll.BDH("BLUE US Equity","IS_MERGER_ACQUISITION_EXPENSE","FQ2 2024","FQ2 2024","Currency=USD","Period=FQ","BEST_FPERIOD_OVERRIDE=FQ","FILING_STATUS=MR","SCALING_FORMAT=MLN","Sort=A","Dates=H","DateFormat=P","Fill=—","Direction=H","UseDPDF=Y")</f>
        <v>—</v>
      </c>
      <c r="Z31" s="13" t="str">
        <f>_xll.BDH("BLUE US Equity","IS_MERGER_ACQUISITION_EXPENSE","FQ3 2024","FQ3 2024","Currency=USD","Period=FQ","BEST_FPERIOD_OVERRIDE=FQ","FILING_STATUS=MR","SCALING_FORMAT=MLN","Sort=A","Dates=H","DateFormat=P","Fill=—","Direction=H","UseDPDF=Y")</f>
        <v>—</v>
      </c>
      <c r="AA31" s="13" t="str">
        <f>_xll.BDH("BLUE US Equity","IS_MERGER_ACQUISITION_EXPENSE","FQ4 2024","FQ4 2024","Currency=USD","Period=FQ","BEST_FPERIOD_OVERRIDE=FQ","FILING_STATUS=MR","SCALING_FORMAT=MLN","Sort=A","Dates=H","DateFormat=P","Fill=—","Direction=H","UseDPDF=Y")</f>
        <v>—</v>
      </c>
    </row>
    <row r="32" spans="1:27" x14ac:dyDescent="0.25">
      <c r="A32" s="10" t="s">
        <v>541</v>
      </c>
      <c r="B32" s="10" t="s">
        <v>313</v>
      </c>
      <c r="C32" s="13" t="str">
        <f>_xll.BDH("BLUE US Equity","IS_RESTRUCTURING_EXPENSES","FQ4 2018","FQ4 2018","Currency=USD","Period=FQ","BEST_FPERIOD_OVERRIDE=FQ","FILING_STATUS=MR","SCALING_FORMAT=MLN","Sort=A","Dates=H","DateFormat=P","Fill=—","Direction=H","UseDPDF=Y")</f>
        <v>—</v>
      </c>
      <c r="D32" s="13" t="str">
        <f>_xll.BDH("BLUE US Equity","IS_RESTRUCTURING_EXPENSES","FQ1 2019","FQ1 2019","Currency=USD","Period=FQ","BEST_FPERIOD_OVERRIDE=FQ","FILING_STATUS=MR","SCALING_FORMAT=MLN","Sort=A","Dates=H","DateFormat=P","Fill=—","Direction=H","UseDPDF=Y")</f>
        <v>—</v>
      </c>
      <c r="E32" s="13" t="str">
        <f>_xll.BDH("BLUE US Equity","IS_RESTRUCTURING_EXPENSES","FQ2 2019","FQ2 2019","Currency=USD","Period=FQ","BEST_FPERIOD_OVERRIDE=FQ","FILING_STATUS=MR","SCALING_FORMAT=MLN","Sort=A","Dates=H","DateFormat=P","Fill=—","Direction=H","UseDPDF=Y")</f>
        <v>—</v>
      </c>
      <c r="F32" s="13" t="str">
        <f>_xll.BDH("BLUE US Equity","IS_RESTRUCTURING_EXPENSES","FQ3 2019","FQ3 2019","Currency=USD","Period=FQ","BEST_FPERIOD_OVERRIDE=FQ","FILING_STATUS=MR","SCALING_FORMAT=MLN","Sort=A","Dates=H","DateFormat=P","Fill=—","Direction=H","UseDPDF=Y")</f>
        <v>—</v>
      </c>
      <c r="G32" s="13" t="str">
        <f>_xll.BDH("BLUE US Equity","IS_RESTRUCTURING_EXPENSES","FQ4 2019","FQ4 2019","Currency=USD","Period=FQ","BEST_FPERIOD_OVERRIDE=FQ","FILING_STATUS=MR","SCALING_FORMAT=MLN","Sort=A","Dates=H","DateFormat=P","Fill=—","Direction=H","UseDPDF=Y")</f>
        <v>—</v>
      </c>
      <c r="H32" s="13" t="str">
        <f>_xll.BDH("BLUE US Equity","IS_RESTRUCTURING_EXPENSES","FQ1 2020","FQ1 2020","Currency=USD","Period=FQ","BEST_FPERIOD_OVERRIDE=FQ","FILING_STATUS=MR","SCALING_FORMAT=MLN","Sort=A","Dates=H","DateFormat=P","Fill=—","Direction=H","UseDPDF=Y")</f>
        <v>—</v>
      </c>
      <c r="I32" s="13" t="str">
        <f>_xll.BDH("BLUE US Equity","IS_RESTRUCTURING_EXPENSES","FQ2 2020","FQ2 2020","Currency=USD","Period=FQ","BEST_FPERIOD_OVERRIDE=FQ","FILING_STATUS=MR","SCALING_FORMAT=MLN","Sort=A","Dates=H","DateFormat=P","Fill=—","Direction=H","UseDPDF=Y")</f>
        <v>—</v>
      </c>
      <c r="J32" s="13" t="str">
        <f>_xll.BDH("BLUE US Equity","IS_RESTRUCTURING_EXPENSES","FQ3 2020","FQ3 2020","Currency=USD","Period=FQ","BEST_FPERIOD_OVERRIDE=FQ","FILING_STATUS=MR","SCALING_FORMAT=MLN","Sort=A","Dates=H","DateFormat=P","Fill=—","Direction=H","UseDPDF=Y")</f>
        <v>—</v>
      </c>
      <c r="K32" s="13" t="str">
        <f>_xll.BDH("BLUE US Equity","IS_RESTRUCTURING_EXPENSES","FQ4 2020","FQ4 2020","Currency=USD","Period=FQ","BEST_FPERIOD_OVERRIDE=FQ","FILING_STATUS=MR","SCALING_FORMAT=MLN","Sort=A","Dates=H","DateFormat=P","Fill=—","Direction=H","UseDPDF=Y")</f>
        <v>—</v>
      </c>
      <c r="L32" s="13" t="str">
        <f>_xll.BDH("BLUE US Equity","IS_RESTRUCTURING_EXPENSES","FQ1 2021","FQ1 2021","Currency=USD","Period=FQ","BEST_FPERIOD_OVERRIDE=FQ","FILING_STATUS=MR","SCALING_FORMAT=MLN","Sort=A","Dates=H","DateFormat=P","Fill=—","Direction=H","UseDPDF=Y")</f>
        <v>—</v>
      </c>
      <c r="M32" s="13" t="str">
        <f>_xll.BDH("BLUE US Equity","IS_RESTRUCTURING_EXPENSES","FQ2 2021","FQ2 2021","Currency=USD","Period=FQ","BEST_FPERIOD_OVERRIDE=FQ","FILING_STATUS=MR","SCALING_FORMAT=MLN","Sort=A","Dates=H","DateFormat=P","Fill=—","Direction=H","UseDPDF=Y")</f>
        <v>—</v>
      </c>
      <c r="N32" s="13">
        <f>_xll.BDH("BLUE US Equity","IS_RESTRUCTURING_EXPENSES","FQ3 2021","FQ3 2021","Currency=USD","Period=FQ","BEST_FPERIOD_OVERRIDE=FQ","FILING_STATUS=MR","SCALING_FORMAT=MLN","Sort=A","Dates=H","DateFormat=P","Fill=—","Direction=H","UseDPDF=Y")</f>
        <v>20.175000000000001</v>
      </c>
      <c r="O32" s="13">
        <f>_xll.BDH("BLUE US Equity","IS_RESTRUCTURING_EXPENSES","FQ4 2021","FQ4 2021","Currency=USD","Period=FQ","BEST_FPERIOD_OVERRIDE=FQ","FILING_STATUS=MR","SCALING_FORMAT=MLN","Sort=A","Dates=H","DateFormat=P","Fill=—","Direction=H","UseDPDF=Y")</f>
        <v>1.0009999999999999</v>
      </c>
      <c r="P32" s="13" t="str">
        <f>_xll.BDH("BLUE US Equity","IS_RESTRUCTURING_EXPENSES","FQ1 2022","FQ1 2022","Currency=USD","Period=FQ","BEST_FPERIOD_OVERRIDE=FQ","FILING_STATUS=MR","SCALING_FORMAT=MLN","Sort=A","Dates=H","DateFormat=P","Fill=—","Direction=H","UseDPDF=Y")</f>
        <v>—</v>
      </c>
      <c r="Q32" s="13">
        <f>_xll.BDH("BLUE US Equity","IS_RESTRUCTURING_EXPENSES","FQ2 2022","FQ2 2022","Currency=USD","Period=FQ","BEST_FPERIOD_OVERRIDE=FQ","FILING_STATUS=MR","SCALING_FORMAT=MLN","Sort=A","Dates=H","DateFormat=P","Fill=—","Direction=H","UseDPDF=Y")</f>
        <v>6.6390000000000002</v>
      </c>
      <c r="R32" s="13">
        <f>_xll.BDH("BLUE US Equity","IS_RESTRUCTURING_EXPENSES","FQ3 2022","FQ3 2022","Currency=USD","Period=FQ","BEST_FPERIOD_OVERRIDE=FQ","FILING_STATUS=MR","SCALING_FORMAT=MLN","Sort=A","Dates=H","DateFormat=P","Fill=—","Direction=H","UseDPDF=Y")</f>
        <v>-1.6990000000000001</v>
      </c>
      <c r="S32" s="13" t="str">
        <f>_xll.BDH("BLUE US Equity","IS_RESTRUCTURING_EXPENSES","FQ4 2022","FQ4 2022","Currency=USD","Period=FQ","BEST_FPERIOD_OVERRIDE=FQ","FILING_STATUS=MR","SCALING_FORMAT=MLN","Sort=A","Dates=H","DateFormat=P","Fill=—","Direction=H","UseDPDF=Y")</f>
        <v>—</v>
      </c>
      <c r="T32" s="13" t="str">
        <f>_xll.BDH("BLUE US Equity","IS_RESTRUCTURING_EXPENSES","FQ1 2023","FQ1 2023","Currency=USD","Period=FQ","BEST_FPERIOD_OVERRIDE=FQ","FILING_STATUS=MR","SCALING_FORMAT=MLN","Sort=A","Dates=H","DateFormat=P","Fill=—","Direction=H","UseDPDF=Y")</f>
        <v>—</v>
      </c>
      <c r="U32" s="13" t="str">
        <f>_xll.BDH("BLUE US Equity","IS_RESTRUCTURING_EXPENSES","FQ2 2023","FQ2 2023","Currency=USD","Period=FQ","BEST_FPERIOD_OVERRIDE=FQ","FILING_STATUS=MR","SCALING_FORMAT=MLN","Sort=A","Dates=H","DateFormat=P","Fill=—","Direction=H","UseDPDF=Y")</f>
        <v>—</v>
      </c>
      <c r="V32" s="13" t="str">
        <f>_xll.BDH("BLUE US Equity","IS_RESTRUCTURING_EXPENSES","FQ3 2023","FQ3 2023","Currency=USD","Period=FQ","BEST_FPERIOD_OVERRIDE=FQ","FILING_STATUS=MR","SCALING_FORMAT=MLN","Sort=A","Dates=H","DateFormat=P","Fill=—","Direction=H","UseDPDF=Y")</f>
        <v>—</v>
      </c>
      <c r="W32" s="13" t="str">
        <f>_xll.BDH("BLUE US Equity","IS_RESTRUCTURING_EXPENSES","FQ4 2023","FQ4 2023","Currency=USD","Period=FQ","BEST_FPERIOD_OVERRIDE=FQ","FILING_STATUS=MR","SCALING_FORMAT=MLN","Sort=A","Dates=H","DateFormat=P","Fill=—","Direction=H","UseDPDF=Y")</f>
        <v>—</v>
      </c>
      <c r="X32" s="13" t="str">
        <f>_xll.BDH("BLUE US Equity","IS_RESTRUCTURING_EXPENSES","FQ1 2024","FQ1 2024","Currency=USD","Period=FQ","BEST_FPERIOD_OVERRIDE=FQ","FILING_STATUS=MR","SCALING_FORMAT=MLN","Sort=A","Dates=H","DateFormat=P","Fill=—","Direction=H","UseDPDF=Y")</f>
        <v>—</v>
      </c>
      <c r="Y32" s="13" t="str">
        <f>_xll.BDH("BLUE US Equity","IS_RESTRUCTURING_EXPENSES","FQ2 2024","FQ2 2024","Currency=USD","Period=FQ","BEST_FPERIOD_OVERRIDE=FQ","FILING_STATUS=MR","SCALING_FORMAT=MLN","Sort=A","Dates=H","DateFormat=P","Fill=—","Direction=H","UseDPDF=Y")</f>
        <v>—</v>
      </c>
      <c r="Z32" s="13">
        <f>_xll.BDH("BLUE US Equity","IS_RESTRUCTURING_EXPENSES","FQ3 2024","FQ3 2024","Currency=USD","Period=FQ","BEST_FPERIOD_OVERRIDE=FQ","FILING_STATUS=MR","SCALING_FORMAT=MLN","Sort=A","Dates=H","DateFormat=P","Fill=—","Direction=H","UseDPDF=Y")</f>
        <v>2.8109999999999999</v>
      </c>
      <c r="AA32" s="13">
        <f>_xll.BDH("BLUE US Equity","IS_RESTRUCTURING_EXPENSES","FQ4 2024","FQ4 2024","Currency=USD","Period=FQ","BEST_FPERIOD_OVERRIDE=FQ","FILING_STATUS=MR","SCALING_FORMAT=MLN","Sort=A","Dates=H","DateFormat=P","Fill=—","Direction=H","UseDPDF=Y")</f>
        <v>-4.9000000000000002E-2</v>
      </c>
    </row>
    <row r="33" spans="1:27" x14ac:dyDescent="0.25">
      <c r="A33" s="10" t="s">
        <v>543</v>
      </c>
      <c r="B33" s="10" t="s">
        <v>315</v>
      </c>
      <c r="C33" s="13" t="str">
        <f>_xll.BDH("BLUE US Equity","IS_GAIN_LOSS_ON_INVESTMENTS","FQ4 2018","FQ4 2018","Currency=USD","Period=FQ","BEST_FPERIOD_OVERRIDE=FQ","FILING_STATUS=MR","SCALING_FORMAT=MLN","Sort=A","Dates=H","DateFormat=P","Fill=—","Direction=H","UseDPDF=Y")</f>
        <v>—</v>
      </c>
      <c r="D33" s="13" t="str">
        <f>_xll.BDH("BLUE US Equity","IS_GAIN_LOSS_ON_INVESTMENTS","FQ1 2019","FQ1 2019","Currency=USD","Period=FQ","BEST_FPERIOD_OVERRIDE=FQ","FILING_STATUS=MR","SCALING_FORMAT=MLN","Sort=A","Dates=H","DateFormat=P","Fill=—","Direction=H","UseDPDF=Y")</f>
        <v>—</v>
      </c>
      <c r="E33" s="13" t="str">
        <f>_xll.BDH("BLUE US Equity","IS_GAIN_LOSS_ON_INVESTMENTS","FQ2 2019","FQ2 2019","Currency=USD","Period=FQ","BEST_FPERIOD_OVERRIDE=FQ","FILING_STATUS=MR","SCALING_FORMAT=MLN","Sort=A","Dates=H","DateFormat=P","Fill=—","Direction=H","UseDPDF=Y")</f>
        <v>—</v>
      </c>
      <c r="F33" s="13" t="str">
        <f>_xll.BDH("BLUE US Equity","IS_GAIN_LOSS_ON_INVESTMENTS","FQ3 2019","FQ3 2019","Currency=USD","Period=FQ","BEST_FPERIOD_OVERRIDE=FQ","FILING_STATUS=MR","SCALING_FORMAT=MLN","Sort=A","Dates=H","DateFormat=P","Fill=—","Direction=H","UseDPDF=Y")</f>
        <v>—</v>
      </c>
      <c r="G33" s="13" t="str">
        <f>_xll.BDH("BLUE US Equity","IS_GAIN_LOSS_ON_INVESTMENTS","FQ4 2019","FQ4 2019","Currency=USD","Period=FQ","BEST_FPERIOD_OVERRIDE=FQ","FILING_STATUS=MR","SCALING_FORMAT=MLN","Sort=A","Dates=H","DateFormat=P","Fill=—","Direction=H","UseDPDF=Y")</f>
        <v>—</v>
      </c>
      <c r="H33" s="13" t="str">
        <f>_xll.BDH("BLUE US Equity","IS_GAIN_LOSS_ON_INVESTMENTS","FQ1 2020","FQ1 2020","Currency=USD","Period=FQ","BEST_FPERIOD_OVERRIDE=FQ","FILING_STATUS=MR","SCALING_FORMAT=MLN","Sort=A","Dates=H","DateFormat=P","Fill=—","Direction=H","UseDPDF=Y")</f>
        <v>—</v>
      </c>
      <c r="I33" s="13" t="str">
        <f>_xll.BDH("BLUE US Equity","IS_GAIN_LOSS_ON_INVESTMENTS","FQ2 2020","FQ2 2020","Currency=USD","Period=FQ","BEST_FPERIOD_OVERRIDE=FQ","FILING_STATUS=MR","SCALING_FORMAT=MLN","Sort=A","Dates=H","DateFormat=P","Fill=—","Direction=H","UseDPDF=Y")</f>
        <v>—</v>
      </c>
      <c r="J33" s="13" t="str">
        <f>_xll.BDH("BLUE US Equity","IS_GAIN_LOSS_ON_INVESTMENTS","FQ3 2020","FQ3 2020","Currency=USD","Period=FQ","BEST_FPERIOD_OVERRIDE=FQ","FILING_STATUS=MR","SCALING_FORMAT=MLN","Sort=A","Dates=H","DateFormat=P","Fill=—","Direction=H","UseDPDF=Y")</f>
        <v>—</v>
      </c>
      <c r="K33" s="13" t="str">
        <f>_xll.BDH("BLUE US Equity","IS_GAIN_LOSS_ON_INVESTMENTS","FQ4 2020","FQ4 2020","Currency=USD","Period=FQ","BEST_FPERIOD_OVERRIDE=FQ","FILING_STATUS=MR","SCALING_FORMAT=MLN","Sort=A","Dates=H","DateFormat=P","Fill=—","Direction=H","UseDPDF=Y")</f>
        <v>—</v>
      </c>
      <c r="L33" s="13">
        <f>_xll.BDH("BLUE US Equity","IS_GAIN_LOSS_ON_INVESTMENTS","FQ1 2021","FQ1 2021","Currency=USD","Period=FQ","BEST_FPERIOD_OVERRIDE=FQ","FILING_STATUS=MR","SCALING_FORMAT=MLN","Sort=A","Dates=H","DateFormat=P","Fill=—","Direction=H","UseDPDF=Y")</f>
        <v>-28.372</v>
      </c>
      <c r="M33" s="13" t="str">
        <f>_xll.BDH("BLUE US Equity","IS_GAIN_LOSS_ON_INVESTMENTS","FQ2 2021","FQ2 2021","Currency=USD","Period=FQ","BEST_FPERIOD_OVERRIDE=FQ","FILING_STATUS=MR","SCALING_FORMAT=MLN","Sort=A","Dates=H","DateFormat=P","Fill=—","Direction=H","UseDPDF=Y")</f>
        <v>—</v>
      </c>
      <c r="N33" s="13">
        <f>_xll.BDH("BLUE US Equity","IS_GAIN_LOSS_ON_INVESTMENTS","FQ3 2021","FQ3 2021","Currency=USD","Period=FQ","BEST_FPERIOD_OVERRIDE=FQ","FILING_STATUS=MR","SCALING_FORMAT=MLN","Sort=A","Dates=H","DateFormat=P","Fill=—","Direction=H","UseDPDF=Y")</f>
        <v>-28.765000000000001</v>
      </c>
      <c r="O33" s="13" t="str">
        <f>_xll.BDH("BLUE US Equity","IS_GAIN_LOSS_ON_INVESTMENTS","FQ4 2021","FQ4 2021","Currency=USD","Period=FQ","BEST_FPERIOD_OVERRIDE=FQ","FILING_STATUS=MR","SCALING_FORMAT=MLN","Sort=A","Dates=H","DateFormat=P","Fill=—","Direction=H","UseDPDF=Y")</f>
        <v>—</v>
      </c>
      <c r="P33" s="13">
        <f>_xll.BDH("BLUE US Equity","IS_GAIN_LOSS_ON_INVESTMENTS","FQ1 2022","FQ1 2022","Currency=USD","Period=FQ","BEST_FPERIOD_OVERRIDE=FQ","FILING_STATUS=MR","SCALING_FORMAT=MLN","Sort=A","Dates=H","DateFormat=P","Fill=—","Direction=H","UseDPDF=Y")</f>
        <v>2.508</v>
      </c>
      <c r="Q33" s="13">
        <f>_xll.BDH("BLUE US Equity","IS_GAIN_LOSS_ON_INVESTMENTS","FQ2 2022","FQ2 2022","Currency=USD","Period=FQ","BEST_FPERIOD_OVERRIDE=FQ","FILING_STATUS=MR","SCALING_FORMAT=MLN","Sort=A","Dates=H","DateFormat=P","Fill=—","Direction=H","UseDPDF=Y")</f>
        <v>0.627</v>
      </c>
      <c r="R33" s="13">
        <f>_xll.BDH("BLUE US Equity","IS_GAIN_LOSS_ON_INVESTMENTS","FQ3 2022","FQ3 2022","Currency=USD","Period=FQ","BEST_FPERIOD_OVERRIDE=FQ","FILING_STATUS=MR","SCALING_FORMAT=MLN","Sort=A","Dates=H","DateFormat=P","Fill=—","Direction=H","UseDPDF=Y")</f>
        <v>3.1349999999999998</v>
      </c>
      <c r="S33" s="13">
        <f>_xll.BDH("BLUE US Equity","IS_GAIN_LOSS_ON_INVESTMENTS","FQ4 2022","FQ4 2022","Currency=USD","Period=FQ","BEST_FPERIOD_OVERRIDE=FQ","FILING_STATUS=MR","SCALING_FORMAT=MLN","Sort=A","Dates=H","DateFormat=P","Fill=—","Direction=H","UseDPDF=Y")</f>
        <v>-6.27</v>
      </c>
      <c r="T33" s="13" t="str">
        <f>_xll.BDH("BLUE US Equity","IS_GAIN_LOSS_ON_INVESTMENTS","FQ1 2023","FQ1 2023","Currency=USD","Period=FQ","BEST_FPERIOD_OVERRIDE=FQ","FILING_STATUS=MR","SCALING_FORMAT=MLN","Sort=A","Dates=H","DateFormat=P","Fill=—","Direction=H","UseDPDF=Y")</f>
        <v>—</v>
      </c>
      <c r="U33" s="13" t="str">
        <f>_xll.BDH("BLUE US Equity","IS_GAIN_LOSS_ON_INVESTMENTS","FQ2 2023","FQ2 2023","Currency=USD","Period=FQ","BEST_FPERIOD_OVERRIDE=FQ","FILING_STATUS=MR","SCALING_FORMAT=MLN","Sort=A","Dates=H","DateFormat=P","Fill=—","Direction=H","UseDPDF=Y")</f>
        <v>—</v>
      </c>
      <c r="V33" s="13" t="str">
        <f>_xll.BDH("BLUE US Equity","IS_GAIN_LOSS_ON_INVESTMENTS","FQ3 2023","FQ3 2023","Currency=USD","Period=FQ","BEST_FPERIOD_OVERRIDE=FQ","FILING_STATUS=MR","SCALING_FORMAT=MLN","Sort=A","Dates=H","DateFormat=P","Fill=—","Direction=H","UseDPDF=Y")</f>
        <v>—</v>
      </c>
      <c r="W33" s="13" t="str">
        <f>_xll.BDH("BLUE US Equity","IS_GAIN_LOSS_ON_INVESTMENTS","FQ4 2023","FQ4 2023","Currency=USD","Period=FQ","BEST_FPERIOD_OVERRIDE=FQ","FILING_STATUS=MR","SCALING_FORMAT=MLN","Sort=A","Dates=H","DateFormat=P","Fill=—","Direction=H","UseDPDF=Y")</f>
        <v>—</v>
      </c>
      <c r="X33" s="13" t="str">
        <f>_xll.BDH("BLUE US Equity","IS_GAIN_LOSS_ON_INVESTMENTS","FQ1 2024","FQ1 2024","Currency=USD","Period=FQ","BEST_FPERIOD_OVERRIDE=FQ","FILING_STATUS=MR","SCALING_FORMAT=MLN","Sort=A","Dates=H","DateFormat=P","Fill=—","Direction=H","UseDPDF=Y")</f>
        <v>—</v>
      </c>
      <c r="Y33" s="13" t="str">
        <f>_xll.BDH("BLUE US Equity","IS_GAIN_LOSS_ON_INVESTMENTS","FQ2 2024","FQ2 2024","Currency=USD","Period=FQ","BEST_FPERIOD_OVERRIDE=FQ","FILING_STATUS=MR","SCALING_FORMAT=MLN","Sort=A","Dates=H","DateFormat=P","Fill=—","Direction=H","UseDPDF=Y")</f>
        <v>—</v>
      </c>
      <c r="Z33" s="13" t="str">
        <f>_xll.BDH("BLUE US Equity","IS_GAIN_LOSS_ON_INVESTMENTS","FQ3 2024","FQ3 2024","Currency=USD","Period=FQ","BEST_FPERIOD_OVERRIDE=FQ","FILING_STATUS=MR","SCALING_FORMAT=MLN","Sort=A","Dates=H","DateFormat=P","Fill=—","Direction=H","UseDPDF=Y")</f>
        <v>—</v>
      </c>
      <c r="AA33" s="13" t="str">
        <f>_xll.BDH("BLUE US Equity","IS_GAIN_LOSS_ON_INVESTMENTS","FQ4 2024","FQ4 2024","Currency=USD","Period=FQ","BEST_FPERIOD_OVERRIDE=FQ","FILING_STATUS=MR","SCALING_FORMAT=MLN","Sort=A","Dates=H","DateFormat=P","Fill=—","Direction=H","UseDPDF=Y")</f>
        <v>—</v>
      </c>
    </row>
    <row r="34" spans="1:27" x14ac:dyDescent="0.25">
      <c r="A34" s="10" t="s">
        <v>545</v>
      </c>
      <c r="B34" s="10" t="s">
        <v>317</v>
      </c>
      <c r="C34" s="13" t="str">
        <f>_xll.BDH("BLUE US Equity","IS_OTHER_ONE_TIME_ITEMS","FQ4 2018","FQ4 2018","Currency=USD","Period=FQ","BEST_FPERIOD_OVERRIDE=FQ","FILING_STATUS=MR","SCALING_FORMAT=MLN","Sort=A","Dates=H","DateFormat=P","Fill=—","Direction=H","UseDPDF=Y")</f>
        <v>—</v>
      </c>
      <c r="D34" s="13" t="str">
        <f>_xll.BDH("BLUE US Equity","IS_OTHER_ONE_TIME_ITEMS","FQ1 2019","FQ1 2019","Currency=USD","Period=FQ","BEST_FPERIOD_OVERRIDE=FQ","FILING_STATUS=MR","SCALING_FORMAT=MLN","Sort=A","Dates=H","DateFormat=P","Fill=—","Direction=H","UseDPDF=Y")</f>
        <v>—</v>
      </c>
      <c r="E34" s="13" t="str">
        <f>_xll.BDH("BLUE US Equity","IS_OTHER_ONE_TIME_ITEMS","FQ2 2019","FQ2 2019","Currency=USD","Period=FQ","BEST_FPERIOD_OVERRIDE=FQ","FILING_STATUS=MR","SCALING_FORMAT=MLN","Sort=A","Dates=H","DateFormat=P","Fill=—","Direction=H","UseDPDF=Y")</f>
        <v>—</v>
      </c>
      <c r="F34" s="13" t="str">
        <f>_xll.BDH("BLUE US Equity","IS_OTHER_ONE_TIME_ITEMS","FQ3 2019","FQ3 2019","Currency=USD","Period=FQ","BEST_FPERIOD_OVERRIDE=FQ","FILING_STATUS=MR","SCALING_FORMAT=MLN","Sort=A","Dates=H","DateFormat=P","Fill=—","Direction=H","UseDPDF=Y")</f>
        <v>—</v>
      </c>
      <c r="G34" s="13" t="str">
        <f>_xll.BDH("BLUE US Equity","IS_OTHER_ONE_TIME_ITEMS","FQ4 2019","FQ4 2019","Currency=USD","Period=FQ","BEST_FPERIOD_OVERRIDE=FQ","FILING_STATUS=MR","SCALING_FORMAT=MLN","Sort=A","Dates=H","DateFormat=P","Fill=—","Direction=H","UseDPDF=Y")</f>
        <v>—</v>
      </c>
      <c r="H34" s="13" t="str">
        <f>_xll.BDH("BLUE US Equity","IS_OTHER_ONE_TIME_ITEMS","FQ1 2020","FQ1 2020","Currency=USD","Period=FQ","BEST_FPERIOD_OVERRIDE=FQ","FILING_STATUS=MR","SCALING_FORMAT=MLN","Sort=A","Dates=H","DateFormat=P","Fill=—","Direction=H","UseDPDF=Y")</f>
        <v>—</v>
      </c>
      <c r="I34" s="13" t="str">
        <f>_xll.BDH("BLUE US Equity","IS_OTHER_ONE_TIME_ITEMS","FQ2 2020","FQ2 2020","Currency=USD","Period=FQ","BEST_FPERIOD_OVERRIDE=FQ","FILING_STATUS=MR","SCALING_FORMAT=MLN","Sort=A","Dates=H","DateFormat=P","Fill=—","Direction=H","UseDPDF=Y")</f>
        <v>—</v>
      </c>
      <c r="J34" s="13" t="str">
        <f>_xll.BDH("BLUE US Equity","IS_OTHER_ONE_TIME_ITEMS","FQ3 2020","FQ3 2020","Currency=USD","Period=FQ","BEST_FPERIOD_OVERRIDE=FQ","FILING_STATUS=MR","SCALING_FORMAT=MLN","Sort=A","Dates=H","DateFormat=P","Fill=—","Direction=H","UseDPDF=Y")</f>
        <v>—</v>
      </c>
      <c r="K34" s="13" t="str">
        <f>_xll.BDH("BLUE US Equity","IS_OTHER_ONE_TIME_ITEMS","FQ4 2020","FQ4 2020","Currency=USD","Period=FQ","BEST_FPERIOD_OVERRIDE=FQ","FILING_STATUS=MR","SCALING_FORMAT=MLN","Sort=A","Dates=H","DateFormat=P","Fill=—","Direction=H","UseDPDF=Y")</f>
        <v>—</v>
      </c>
      <c r="L34" s="13" t="str">
        <f>_xll.BDH("BLUE US Equity","IS_OTHER_ONE_TIME_ITEMS","FQ1 2021","FQ1 2021","Currency=USD","Period=FQ","BEST_FPERIOD_OVERRIDE=FQ","FILING_STATUS=MR","SCALING_FORMAT=MLN","Sort=A","Dates=H","DateFormat=P","Fill=—","Direction=H","UseDPDF=Y")</f>
        <v>—</v>
      </c>
      <c r="M34" s="13" t="str">
        <f>_xll.BDH("BLUE US Equity","IS_OTHER_ONE_TIME_ITEMS","FQ2 2021","FQ2 2021","Currency=USD","Period=FQ","BEST_FPERIOD_OVERRIDE=FQ","FILING_STATUS=MR","SCALING_FORMAT=MLN","Sort=A","Dates=H","DateFormat=P","Fill=—","Direction=H","UseDPDF=Y")</f>
        <v>—</v>
      </c>
      <c r="N34" s="13" t="str">
        <f>_xll.BDH("BLUE US Equity","IS_OTHER_ONE_TIME_ITEMS","FQ3 2021","FQ3 2021","Currency=USD","Period=FQ","BEST_FPERIOD_OVERRIDE=FQ","FILING_STATUS=MR","SCALING_FORMAT=MLN","Sort=A","Dates=H","DateFormat=P","Fill=—","Direction=H","UseDPDF=Y")</f>
        <v>—</v>
      </c>
      <c r="O34" s="13" t="str">
        <f>_xll.BDH("BLUE US Equity","IS_OTHER_ONE_TIME_ITEMS","FQ4 2021","FQ4 2021","Currency=USD","Period=FQ","BEST_FPERIOD_OVERRIDE=FQ","FILING_STATUS=MR","SCALING_FORMAT=MLN","Sort=A","Dates=H","DateFormat=P","Fill=—","Direction=H","UseDPDF=Y")</f>
        <v>—</v>
      </c>
      <c r="P34" s="13" t="str">
        <f>_xll.BDH("BLUE US Equity","IS_OTHER_ONE_TIME_ITEMS","FQ1 2022","FQ1 2022","Currency=USD","Period=FQ","BEST_FPERIOD_OVERRIDE=FQ","FILING_STATUS=MR","SCALING_FORMAT=MLN","Sort=A","Dates=H","DateFormat=P","Fill=—","Direction=H","UseDPDF=Y")</f>
        <v>—</v>
      </c>
      <c r="Q34" s="13" t="str">
        <f>_xll.BDH("BLUE US Equity","IS_OTHER_ONE_TIME_ITEMS","FQ2 2022","FQ2 2022","Currency=USD","Period=FQ","BEST_FPERIOD_OVERRIDE=FQ","FILING_STATUS=MR","SCALING_FORMAT=MLN","Sort=A","Dates=H","DateFormat=P","Fill=—","Direction=H","UseDPDF=Y")</f>
        <v>—</v>
      </c>
      <c r="R34" s="13" t="str">
        <f>_xll.BDH("BLUE US Equity","IS_OTHER_ONE_TIME_ITEMS","FQ3 2022","FQ3 2022","Currency=USD","Period=FQ","BEST_FPERIOD_OVERRIDE=FQ","FILING_STATUS=MR","SCALING_FORMAT=MLN","Sort=A","Dates=H","DateFormat=P","Fill=—","Direction=H","UseDPDF=Y")</f>
        <v>—</v>
      </c>
      <c r="S34" s="13">
        <f>_xll.BDH("BLUE US Equity","IS_OTHER_ONE_TIME_ITEMS","FQ4 2022","FQ4 2022","Currency=USD","Period=FQ","BEST_FPERIOD_OVERRIDE=FQ","FILING_STATUS=MR","SCALING_FORMAT=MLN","Sort=A","Dates=H","DateFormat=P","Fill=—","Direction=H","UseDPDF=Y")</f>
        <v>-102</v>
      </c>
      <c r="T34" s="13">
        <f>_xll.BDH("BLUE US Equity","IS_OTHER_ONE_TIME_ITEMS","FQ1 2023","FQ1 2023","Currency=USD","Period=FQ","BEST_FPERIOD_OVERRIDE=FQ","FILING_STATUS=MR","SCALING_FORMAT=MLN","Sort=A","Dates=H","DateFormat=P","Fill=—","Direction=H","UseDPDF=Y")</f>
        <v>-92.93</v>
      </c>
      <c r="U34" s="13" t="str">
        <f>_xll.BDH("BLUE US Equity","IS_OTHER_ONE_TIME_ITEMS","FQ2 2023","FQ2 2023","Currency=USD","Period=FQ","BEST_FPERIOD_OVERRIDE=FQ","FILING_STATUS=MR","SCALING_FORMAT=MLN","Sort=A","Dates=H","DateFormat=P","Fill=—","Direction=H","UseDPDF=Y")</f>
        <v>—</v>
      </c>
      <c r="V34" s="13" t="str">
        <f>_xll.BDH("BLUE US Equity","IS_OTHER_ONE_TIME_ITEMS","FQ3 2023","FQ3 2023","Currency=USD","Period=FQ","BEST_FPERIOD_OVERRIDE=FQ","FILING_STATUS=MR","SCALING_FORMAT=MLN","Sort=A","Dates=H","DateFormat=P","Fill=—","Direction=H","UseDPDF=Y")</f>
        <v>—</v>
      </c>
      <c r="W34" s="13" t="str">
        <f>_xll.BDH("BLUE US Equity","IS_OTHER_ONE_TIME_ITEMS","FQ4 2023","FQ4 2023","Currency=USD","Period=FQ","BEST_FPERIOD_OVERRIDE=FQ","FILING_STATUS=MR","SCALING_FORMAT=MLN","Sort=A","Dates=H","DateFormat=P","Fill=—","Direction=H","UseDPDF=Y")</f>
        <v>—</v>
      </c>
      <c r="X34" s="13" t="str">
        <f>_xll.BDH("BLUE US Equity","IS_OTHER_ONE_TIME_ITEMS","FQ1 2024","FQ1 2024","Currency=USD","Period=FQ","BEST_FPERIOD_OVERRIDE=FQ","FILING_STATUS=MR","SCALING_FORMAT=MLN","Sort=A","Dates=H","DateFormat=P","Fill=—","Direction=H","UseDPDF=Y")</f>
        <v>—</v>
      </c>
      <c r="Y34" s="13" t="str">
        <f>_xll.BDH("BLUE US Equity","IS_OTHER_ONE_TIME_ITEMS","FQ2 2024","FQ2 2024","Currency=USD","Period=FQ","BEST_FPERIOD_OVERRIDE=FQ","FILING_STATUS=MR","SCALING_FORMAT=MLN","Sort=A","Dates=H","DateFormat=P","Fill=—","Direction=H","UseDPDF=Y")</f>
        <v>—</v>
      </c>
      <c r="Z34" s="13" t="str">
        <f>_xll.BDH("BLUE US Equity","IS_OTHER_ONE_TIME_ITEMS","FQ3 2024","FQ3 2024","Currency=USD","Period=FQ","BEST_FPERIOD_OVERRIDE=FQ","FILING_STATUS=MR","SCALING_FORMAT=MLN","Sort=A","Dates=H","DateFormat=P","Fill=—","Direction=H","UseDPDF=Y")</f>
        <v>—</v>
      </c>
      <c r="AA34" s="13" t="str">
        <f>_xll.BDH("BLUE US Equity","IS_OTHER_ONE_TIME_ITEMS","FQ4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6" t="s">
        <v>307</v>
      </c>
      <c r="B35" s="6" t="s">
        <v>157</v>
      </c>
      <c r="C35" s="19">
        <f>_xll.BDH("BLUE US Equity","PRETAX_INC","FQ4 2018","FQ4 2018","Currency=USD","Period=FQ","BEST_FPERIOD_OVERRIDE=FQ","FILING_STATUS=MR","SCALING_FORMAT=MLN","FA_ADJUSTED=Adjusted","Sort=A","Dates=H","DateFormat=P","Fill=—","Direction=H","UseDPDF=Y")</f>
        <v>-146.68</v>
      </c>
      <c r="D35" s="19">
        <f>_xll.BDH("BLUE US Equity","PRETAX_INC","FQ1 2019","FQ1 2019","Currency=USD","Period=FQ","BEST_FPERIOD_OVERRIDE=FQ","FILING_STATUS=MR","SCALING_FORMAT=MLN","FA_ADJUSTED=Adjusted","Sort=A","Dates=H","DateFormat=P","Fill=—","Direction=H","UseDPDF=Y")</f>
        <v>-164.16499999999999</v>
      </c>
      <c r="E35" s="19">
        <f>_xll.BDH("BLUE US Equity","PRETAX_INC","FQ2 2019","FQ2 2019","Currency=USD","Period=FQ","BEST_FPERIOD_OVERRIDE=FQ","FILING_STATUS=MR","SCALING_FORMAT=MLN","FA_ADJUSTED=Adjusted","Sort=A","Dates=H","DateFormat=P","Fill=—","Direction=H","UseDPDF=Y")</f>
        <v>-196.03700000000001</v>
      </c>
      <c r="F35" s="19">
        <f>_xll.BDH("BLUE US Equity","PRETAX_INC","FQ3 2019","FQ3 2019","Currency=USD","Period=FQ","BEST_FPERIOD_OVERRIDE=FQ","FILING_STATUS=MR","SCALING_FORMAT=MLN","FA_ADJUSTED=Adjusted","Sort=A","Dates=H","DateFormat=P","Fill=—","Direction=H","UseDPDF=Y")</f>
        <v>-205.495</v>
      </c>
      <c r="G35" s="19">
        <f>_xll.BDH("BLUE US Equity","PRETAX_INC","FQ4 2019","FQ4 2019","Currency=USD","Period=FQ","BEST_FPERIOD_OVERRIDE=FQ","FILING_STATUS=MR","SCALING_FORMAT=MLN","FA_ADJUSTED=Adjusted","Sort=A","Dates=H","DateFormat=P","Fill=—","Direction=H","UseDPDF=Y")</f>
        <v>-221.709</v>
      </c>
      <c r="H35" s="19">
        <f>_xll.BDH("BLUE US Equity","PRETAX_INC","FQ1 2020","FQ1 2020","Currency=USD","Period=FQ","BEST_FPERIOD_OVERRIDE=FQ","FILING_STATUS=MR","SCALING_FORMAT=MLN","FA_ADJUSTED=Adjusted","Sort=A","Dates=H","DateFormat=P","Fill=—","Direction=H","UseDPDF=Y")</f>
        <v>-205.625</v>
      </c>
      <c r="I35" s="19">
        <f>_xll.BDH("BLUE US Equity","PRETAX_INC","FQ2 2020","FQ2 2020","Currency=USD","Period=FQ","BEST_FPERIOD_OVERRIDE=FQ","FILING_STATUS=MR","SCALING_FORMAT=MLN","FA_ADJUSTED=Adjusted","Sort=A","Dates=H","DateFormat=P","Fill=—","Direction=H","UseDPDF=Y")</f>
        <v>-23.11</v>
      </c>
      <c r="J35" s="19">
        <f>_xll.BDH("BLUE US Equity","PRETAX_INC","FQ3 2020","FQ3 2020","Currency=USD","Period=FQ","BEST_FPERIOD_OVERRIDE=FQ","FILING_STATUS=MR","SCALING_FORMAT=MLN","FA_ADJUSTED=Adjusted","Sort=A","Dates=H","DateFormat=P","Fill=—","Direction=H","UseDPDF=Y")</f>
        <v>-195.244</v>
      </c>
      <c r="K35" s="19">
        <f>_xll.BDH("BLUE US Equity","PRETAX_INC","FQ4 2020","FQ4 2020","Currency=USD","Period=FQ","BEST_FPERIOD_OVERRIDE=FQ","FILING_STATUS=MR","SCALING_FORMAT=MLN","FA_ADJUSTED=Adjusted","Sort=A","Dates=H","DateFormat=P","Fill=—","Direction=H","UseDPDF=Y")</f>
        <v>-136.06800000000001</v>
      </c>
      <c r="L35" s="19">
        <f>_xll.BDH("BLUE US Equity","PRETAX_INC","FQ1 2021","FQ1 2021","Currency=USD","Period=FQ","BEST_FPERIOD_OVERRIDE=FQ","FILING_STATUS=MR","SCALING_FORMAT=MLN","FA_ADJUSTED=Adjusted","Sort=A","Dates=H","DateFormat=P","Fill=—","Direction=H","UseDPDF=Y")</f>
        <v>-149.441</v>
      </c>
      <c r="M35" s="19">
        <f>_xll.BDH("BLUE US Equity","PRETAX_INC","FQ2 2021","FQ2 2021","Currency=USD","Period=FQ","BEST_FPERIOD_OVERRIDE=FQ","FILING_STATUS=MR","SCALING_FORMAT=MLN","FA_ADJUSTED=Adjusted","Sort=A","Dates=H","DateFormat=P","Fill=—","Direction=H","UseDPDF=Y")</f>
        <v>-241.43899999999999</v>
      </c>
      <c r="N35" s="19">
        <f>_xll.BDH("BLUE US Equity","PRETAX_INC","FQ3 2021","FQ3 2021","Currency=USD","Period=FQ","BEST_FPERIOD_OVERRIDE=FQ","FILING_STATUS=MR","SCALING_FORMAT=MLN","FA_ADJUSTED=Adjusted","Sort=A","Dates=H","DateFormat=P","Fill=—","Direction=H","UseDPDF=Y")</f>
        <v>-161.53700000000001</v>
      </c>
      <c r="O35" s="19">
        <f>_xll.BDH("BLUE US Equity","PRETAX_INC","FQ4 2021","FQ4 2021","Currency=USD","Period=FQ","BEST_FPERIOD_OVERRIDE=FQ","FILING_STATUS=MR","SCALING_FORMAT=MLN","FA_ADJUSTED=Adjusted","Sort=A","Dates=H","DateFormat=P","Fill=—","Direction=H","UseDPDF=Y")</f>
        <v>-131.31399999999999</v>
      </c>
      <c r="P35" s="19">
        <f>_xll.BDH("BLUE US Equity","PRETAX_INC","FQ1 2022","FQ1 2022","Currency=USD","Period=FQ","BEST_FPERIOD_OVERRIDE=FQ","FILING_STATUS=MR","SCALING_FORMAT=MLN","FA_ADJUSTED=Adjusted","Sort=A","Dates=H","DateFormat=P","Fill=—","Direction=H","UseDPDF=Y")</f>
        <v>-119.64400000000001</v>
      </c>
      <c r="Q35" s="19">
        <f>_xll.BDH("BLUE US Equity","PRETAX_INC","FQ2 2022","FQ2 2022","Currency=USD","Period=FQ","BEST_FPERIOD_OVERRIDE=FQ","FILING_STATUS=MR","SCALING_FORMAT=MLN","FA_ADJUSTED=Adjusted","Sort=A","Dates=H","DateFormat=P","Fill=—","Direction=H","UseDPDF=Y")</f>
        <v>-92.872</v>
      </c>
      <c r="R35" s="19">
        <f>_xll.BDH("BLUE US Equity","PRETAX_INC","FQ3 2022","FQ3 2022","Currency=USD","Period=FQ","BEST_FPERIOD_OVERRIDE=FQ","FILING_STATUS=MR","SCALING_FORMAT=MLN","FA_ADJUSTED=Adjusted","Sort=A","Dates=H","DateFormat=P","Fill=—","Direction=H","UseDPDF=Y")</f>
        <v>-75.076999999999998</v>
      </c>
      <c r="S35" s="19">
        <f>_xll.BDH("BLUE US Equity","PRETAX_INC","FQ4 2022","FQ4 2022","Currency=USD","Period=FQ","BEST_FPERIOD_OVERRIDE=FQ","FILING_STATUS=MR","SCALING_FORMAT=MLN","FA_ADJUSTED=Adjusted","Sort=A","Dates=H","DateFormat=P","Fill=—","Direction=H","UseDPDF=Y")</f>
        <v>-39.692</v>
      </c>
      <c r="T35" s="19">
        <f>_xll.BDH("BLUE US Equity","PRETAX_INC","FQ1 2023","FQ1 2023","Currency=USD","Period=FQ","BEST_FPERIOD_OVERRIDE=FQ","FILING_STATUS=MR","SCALING_FORMAT=MLN","FA_ADJUSTED=Adjusted","Sort=A","Dates=H","DateFormat=P","Fill=—","Direction=H","UseDPDF=Y")</f>
        <v>-74</v>
      </c>
      <c r="U35" s="19">
        <f>_xll.BDH("BLUE US Equity","PRETAX_INC","FQ2 2023","FQ2 2023","Currency=USD","Period=FQ","BEST_FPERIOD_OVERRIDE=FQ","FILING_STATUS=MR","SCALING_FORMAT=MLN","FA_ADJUSTED=Adjusted","Sort=A","Dates=H","DateFormat=P","Fill=—","Direction=H","UseDPDF=Y")</f>
        <v>-62.869</v>
      </c>
      <c r="V35" s="19">
        <f>_xll.BDH("BLUE US Equity","PRETAX_INC","FQ3 2023","FQ3 2023","Currency=USD","Period=FQ","BEST_FPERIOD_OVERRIDE=FQ","FILING_STATUS=MR","SCALING_FORMAT=MLN","FA_ADJUSTED=Adjusted","Sort=A","Dates=H","DateFormat=P","Fill=—","Direction=H","UseDPDF=Y")</f>
        <v>-87.231999999999999</v>
      </c>
      <c r="W35" s="19">
        <f>_xll.BDH("BLUE US Equity","PRETAX_INC","FQ4 2023","FQ4 2023","Currency=USD","Period=FQ","BEST_FPERIOD_OVERRIDE=FQ","FILING_STATUS=MR","SCALING_FORMAT=MLN","FA_ADJUSTED=Adjusted","Sort=A","Dates=H","DateFormat=P","Fill=—","Direction=H","UseDPDF=Y")</f>
        <v>-88.56</v>
      </c>
      <c r="X35" s="19">
        <f>_xll.BDH("BLUE US Equity","PRETAX_INC","FQ1 2024","FQ1 2024","Currency=USD","Period=FQ","BEST_FPERIOD_OVERRIDE=FQ","FILING_STATUS=MR","SCALING_FORMAT=MLN","FA_ADJUSTED=Adjusted","Sort=A","Dates=H","DateFormat=P","Fill=—","Direction=H","UseDPDF=Y")</f>
        <v>-69.804000000000002</v>
      </c>
      <c r="Y35" s="19">
        <f>_xll.BDH("BLUE US Equity","PRETAX_INC","FQ2 2024","FQ2 2024","Currency=USD","Period=FQ","BEST_FPERIOD_OVERRIDE=FQ","FILING_STATUS=MR","SCALING_FORMAT=MLN","FA_ADJUSTED=Adjusted","Sort=A","Dates=H","DateFormat=P","Fill=—","Direction=H","UseDPDF=Y")</f>
        <v>-81.372</v>
      </c>
      <c r="Z35" s="19">
        <f>_xll.BDH("BLUE US Equity","PRETAX_INC","FQ3 2024","FQ3 2024","Currency=USD","Period=FQ","BEST_FPERIOD_OVERRIDE=FQ","FILING_STATUS=MR","SCALING_FORMAT=MLN","FA_ADJUSTED=Adjusted","Sort=A","Dates=H","DateFormat=P","Fill=—","Direction=H","UseDPDF=Y")</f>
        <v>-58.055</v>
      </c>
      <c r="AA35" s="19">
        <f>_xll.BDH("BLUE US Equity","PRETAX_INC","FQ4 2024","FQ4 2024","Currency=USD","Period=FQ","BEST_FPERIOD_OVERRIDE=FQ","FILING_STATUS=MR","SCALING_FORMAT=MLN","FA_ADJUSTED=Adjusted","Sort=A","Dates=H","DateFormat=P","Fill=—","Direction=H","UseDPDF=Y")</f>
        <v>-28.652000000000001</v>
      </c>
    </row>
    <row r="36" spans="1:27" x14ac:dyDescent="0.2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6" t="s">
        <v>548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6" t="s">
        <v>549</v>
      </c>
      <c r="B38" s="6" t="s">
        <v>80</v>
      </c>
      <c r="C38" s="19">
        <f>_xll.BDH("BLUE US Equity","EARN_FOR_COMMON","FQ4 2018","FQ4 2018","Currency=USD","Period=FQ","BEST_FPERIOD_OVERRIDE=FQ","FILING_STATUS=MR","SCALING_FORMAT=MLN","FA_ADJUSTED=GAAP","Sort=A","Dates=H","DateFormat=P","Fill=—","Direction=H","UseDPDF=Y")</f>
        <v>-149.023</v>
      </c>
      <c r="D38" s="19">
        <f>_xll.BDH("BLUE US Equity","EARN_FOR_COMMON","FQ1 2019","FQ1 2019","Currency=USD","Period=FQ","BEST_FPERIOD_OVERRIDE=FQ","FILING_STATUS=MR","SCALING_FORMAT=MLN","FA_ADJUSTED=GAAP","Sort=A","Dates=H","DateFormat=P","Fill=—","Direction=H","UseDPDF=Y")</f>
        <v>-164.446</v>
      </c>
      <c r="E38" s="19">
        <f>_xll.BDH("BLUE US Equity","EARN_FOR_COMMON","FQ2 2019","FQ2 2019","Currency=USD","Period=FQ","BEST_FPERIOD_OVERRIDE=FQ","FILING_STATUS=MR","SCALING_FORMAT=MLN","FA_ADJUSTED=GAAP","Sort=A","Dates=H","DateFormat=P","Fill=—","Direction=H","UseDPDF=Y")</f>
        <v>-195.78200000000001</v>
      </c>
      <c r="F38" s="19">
        <f>_xll.BDH("BLUE US Equity","EARN_FOR_COMMON","FQ3 2019","FQ3 2019","Currency=USD","Period=FQ","BEST_FPERIOD_OVERRIDE=FQ","FILING_STATUS=MR","SCALING_FORMAT=MLN","FA_ADJUSTED=GAAP","Sort=A","Dates=H","DateFormat=P","Fill=—","Direction=H","UseDPDF=Y")</f>
        <v>-206.03299999999999</v>
      </c>
      <c r="G38" s="19">
        <f>_xll.BDH("BLUE US Equity","EARN_FOR_COMMON","FQ4 2019","FQ4 2019","Currency=USD","Period=FQ","BEST_FPERIOD_OVERRIDE=FQ","FILING_STATUS=MR","SCALING_FORMAT=MLN","FA_ADJUSTED=GAAP","Sort=A","Dates=H","DateFormat=P","Fill=—","Direction=H","UseDPDF=Y")</f>
        <v>-223.34700000000001</v>
      </c>
      <c r="H38" s="19">
        <f>_xll.BDH("BLUE US Equity","EARN_FOR_COMMON","FQ1 2020","FQ1 2020","Currency=USD","Period=FQ","BEST_FPERIOD_OVERRIDE=FQ","FILING_STATUS=MR","SCALING_FORMAT=MLN","FA_ADJUSTED=GAAP","Sort=A","Dates=H","DateFormat=P","Fill=—","Direction=H","UseDPDF=Y")</f>
        <v>-202.61099999999999</v>
      </c>
      <c r="I38" s="19">
        <f>_xll.BDH("BLUE US Equity","EARN_FOR_COMMON","FQ2 2020","FQ2 2020","Currency=USD","Period=FQ","BEST_FPERIOD_OVERRIDE=FQ","FILING_STATUS=MR","SCALING_FORMAT=MLN","FA_ADJUSTED=GAAP","Sort=A","Dates=H","DateFormat=P","Fill=—","Direction=H","UseDPDF=Y")</f>
        <v>-21.465</v>
      </c>
      <c r="J38" s="19">
        <f>_xll.BDH("BLUE US Equity","EARN_FOR_COMMON","FQ3 2020","FQ3 2020","Currency=USD","Period=FQ","BEST_FPERIOD_OVERRIDE=FQ","FILING_STATUS=MR","SCALING_FORMAT=MLN","FA_ADJUSTED=GAAP","Sort=A","Dates=H","DateFormat=P","Fill=—","Direction=H","UseDPDF=Y")</f>
        <v>-194.745</v>
      </c>
      <c r="K38" s="19">
        <f>_xll.BDH("BLUE US Equity","EARN_FOR_COMMON","FQ4 2020","FQ4 2020","Currency=USD","Period=FQ","BEST_FPERIOD_OVERRIDE=FQ","FILING_STATUS=MR","SCALING_FORMAT=MLN","FA_ADJUSTED=GAAP","Sort=A","Dates=H","DateFormat=P","Fill=—","Direction=H","UseDPDF=Y")</f>
        <v>-199.874</v>
      </c>
      <c r="L38" s="19">
        <f>_xll.BDH("BLUE US Equity","EARN_FOR_COMMON","FQ1 2021","FQ1 2021","Currency=USD","Period=FQ","BEST_FPERIOD_OVERRIDE=FQ","FILING_STATUS=MR","SCALING_FORMAT=MLN","FA_ADJUSTED=GAAP","Sort=A","Dates=H","DateFormat=P","Fill=—","Direction=H","UseDPDF=Y")</f>
        <v>-205.80799999999999</v>
      </c>
      <c r="M38" s="19">
        <f>_xll.BDH("BLUE US Equity","EARN_FOR_COMMON","FQ2 2021","FQ2 2021","Currency=USD","Period=FQ","BEST_FPERIOD_OVERRIDE=FQ","FILING_STATUS=MR","SCALING_FORMAT=MLN","FA_ADJUSTED=GAAP","Sort=A","Dates=H","DateFormat=P","Fill=—","Direction=H","UseDPDF=Y")</f>
        <v>-241.702</v>
      </c>
      <c r="N38" s="19">
        <f>_xll.BDH("BLUE US Equity","EARN_FOR_COMMON","FQ3 2021","FQ3 2021","Currency=USD","Period=FQ","BEST_FPERIOD_OVERRIDE=FQ","FILING_STATUS=MR","SCALING_FORMAT=MLN","FA_ADJUSTED=GAAP","Sort=A","Dates=H","DateFormat=P","Fill=—","Direction=H","UseDPDF=Y")</f>
        <v>-216.816</v>
      </c>
      <c r="O38" s="19">
        <f>_xll.BDH("BLUE US Equity","EARN_FOR_COMMON","FQ4 2021","FQ4 2021","Currency=USD","Period=FQ","BEST_FPERIOD_OVERRIDE=FQ","FILING_STATUS=MR","SCALING_FORMAT=MLN","FA_ADJUSTED=GAAP","Sort=A","Dates=H","DateFormat=P","Fill=—","Direction=H","UseDPDF=Y")</f>
        <v>-155.05199999999999</v>
      </c>
      <c r="P38" s="19">
        <f>_xll.BDH("BLUE US Equity","EARN_FOR_COMMON","FQ1 2022","FQ1 2022","Currency=USD","Period=FQ","BEST_FPERIOD_OVERRIDE=FQ","FILING_STATUS=MR","SCALING_FORMAT=MLN","FA_ADJUSTED=GAAP","Sort=A","Dates=H","DateFormat=P","Fill=—","Direction=H","UseDPDF=Y")</f>
        <v>-122.152</v>
      </c>
      <c r="Q38" s="19">
        <f>_xll.BDH("BLUE US Equity","EARN_FOR_COMMON","FQ2 2022","FQ2 2022","Currency=USD","Period=FQ","BEST_FPERIOD_OVERRIDE=FQ","FILING_STATUS=MR","SCALING_FORMAT=MLN","FA_ADJUSTED=GAAP","Sort=A","Dates=H","DateFormat=P","Fill=—","Direction=H","UseDPDF=Y")</f>
        <v>-100.13800000000001</v>
      </c>
      <c r="R38" s="19">
        <f>_xll.BDH("BLUE US Equity","EARN_FOR_COMMON","FQ3 2022","FQ3 2022","Currency=USD","Period=FQ","BEST_FPERIOD_OVERRIDE=FQ","FILING_STATUS=MR","SCALING_FORMAT=MLN","FA_ADJUSTED=GAAP","Sort=A","Dates=H","DateFormat=P","Fill=—","Direction=H","UseDPDF=Y")</f>
        <v>-76.52</v>
      </c>
      <c r="S38" s="19">
        <f>_xll.BDH("BLUE US Equity","EARN_FOR_COMMON","FQ4 2022","FQ4 2022","Currency=USD","Period=FQ","BEST_FPERIOD_OVERRIDE=FQ","FILING_STATUS=MR","SCALING_FORMAT=MLN","FA_ADJUSTED=GAAP","Sort=A","Dates=H","DateFormat=P","Fill=—","Direction=H","UseDPDF=Y")</f>
        <v>68.468000000000004</v>
      </c>
      <c r="T38" s="19">
        <f>_xll.BDH("BLUE US Equity","EARN_FOR_COMMON","FQ1 2023","FQ1 2023","Currency=USD","Period=FQ","BEST_FPERIOD_OVERRIDE=FQ","FILING_STATUS=MR","SCALING_FORMAT=MLN","FA_ADJUSTED=GAAP","Sort=A","Dates=H","DateFormat=P","Fill=—","Direction=H","UseDPDF=Y")</f>
        <v>18.93</v>
      </c>
      <c r="U38" s="19">
        <f>_xll.BDH("BLUE US Equity","EARN_FOR_COMMON","FQ2 2023","FQ2 2023","Currency=USD","Period=FQ","BEST_FPERIOD_OVERRIDE=FQ","FILING_STATUS=MR","SCALING_FORMAT=MLN","FA_ADJUSTED=GAAP","Sort=A","Dates=H","DateFormat=P","Fill=—","Direction=H","UseDPDF=Y")</f>
        <v>-62.789000000000001</v>
      </c>
      <c r="V38" s="19">
        <f>_xll.BDH("BLUE US Equity","EARN_FOR_COMMON","FQ3 2023","FQ3 2023","Currency=USD","Period=FQ","BEST_FPERIOD_OVERRIDE=FQ","FILING_STATUS=MR","SCALING_FORMAT=MLN","FA_ADJUSTED=GAAP","Sort=A","Dates=H","DateFormat=P","Fill=—","Direction=H","UseDPDF=Y")</f>
        <v>-87.231999999999999</v>
      </c>
      <c r="W38" s="19">
        <f>_xll.BDH("BLUE US Equity","EARN_FOR_COMMON","FQ4 2023","FQ4 2023","Currency=USD","Period=FQ","BEST_FPERIOD_OVERRIDE=FQ","FILING_STATUS=MR","SCALING_FORMAT=MLN","FA_ADJUSTED=GAAP","Sort=A","Dates=H","DateFormat=P","Fill=—","Direction=H","UseDPDF=Y")</f>
        <v>-88.513999999999996</v>
      </c>
      <c r="X38" s="19">
        <f>_xll.BDH("BLUE US Equity","EARN_FOR_COMMON","FQ1 2024","FQ1 2024","Currency=USD","Period=FQ","BEST_FPERIOD_OVERRIDE=FQ","FILING_STATUS=MR","SCALING_FORMAT=MLN","FA_ADJUSTED=GAAP","Sort=A","Dates=H","DateFormat=P","Fill=—","Direction=H","UseDPDF=Y")</f>
        <v>-69.804000000000002</v>
      </c>
      <c r="Y38" s="19">
        <f>_xll.BDH("BLUE US Equity","EARN_FOR_COMMON","FQ2 2024","FQ2 2024","Currency=USD","Period=FQ","BEST_FPERIOD_OVERRIDE=FQ","FILING_STATUS=MR","SCALING_FORMAT=MLN","FA_ADJUSTED=GAAP","Sort=A","Dates=H","DateFormat=P","Fill=—","Direction=H","UseDPDF=Y")</f>
        <v>-81.393000000000001</v>
      </c>
      <c r="Z38" s="19">
        <f>_xll.BDH("BLUE US Equity","EARN_FOR_COMMON","FQ3 2024","FQ3 2024","Currency=USD","Period=FQ","BEST_FPERIOD_OVERRIDE=FQ","FILING_STATUS=MR","SCALING_FORMAT=MLN","FA_ADJUSTED=GAAP","Sort=A","Dates=H","DateFormat=P","Fill=—","Direction=H","UseDPDF=Y")</f>
        <v>-60.808</v>
      </c>
      <c r="AA38" s="19">
        <f>_xll.BDH("BLUE US Equity","EARN_FOR_COMMON","FQ4 2024","FQ4 2024","Currency=USD","Period=FQ","BEST_FPERIOD_OVERRIDE=FQ","FILING_STATUS=MR","SCALING_FORMAT=MLN","FA_ADJUSTED=GAAP","Sort=A","Dates=H","DateFormat=P","Fill=—","Direction=H","UseDPDF=Y")</f>
        <v>-28.71</v>
      </c>
    </row>
    <row r="39" spans="1:27" x14ac:dyDescent="0.25">
      <c r="A39" s="10" t="s">
        <v>550</v>
      </c>
      <c r="B39" s="10" t="s">
        <v>330</v>
      </c>
      <c r="C39" s="13">
        <f>_xll.BDH("BLUE US Equity","IS_DISCONTINUED_OPERATIONS","FQ4 2018","FQ4 2018","Currency=USD","Period=FQ","BEST_FPERIOD_OVERRIDE=FQ","FILING_STATUS=MR","SCALING_FORMAT=MLN","Sort=A","Dates=H","DateFormat=P","Fill=—","Direction=H","UseDPDF=Y")</f>
        <v>0</v>
      </c>
      <c r="D39" s="13">
        <f>_xll.BDH("BLUE US Equity","IS_DISCONTINUED_OPERATIONS","FQ1 2019","FQ1 2019","Currency=USD","Period=FQ","BEST_FPERIOD_OVERRIDE=FQ","FILING_STATUS=MR","SCALING_FORMAT=MLN","Sort=A","Dates=H","DateFormat=P","Fill=—","Direction=H","UseDPDF=Y")</f>
        <v>0</v>
      </c>
      <c r="E39" s="13">
        <f>_xll.BDH("BLUE US Equity","IS_DISCONTINUED_OPERATIONS","FQ2 2019","FQ2 2019","Currency=USD","Period=FQ","BEST_FPERIOD_OVERRIDE=FQ","FILING_STATUS=MR","SCALING_FORMAT=MLN","Sort=A","Dates=H","DateFormat=P","Fill=—","Direction=H","UseDPDF=Y")</f>
        <v>0</v>
      </c>
      <c r="F39" s="13">
        <f>_xll.BDH("BLUE US Equity","IS_DISCONTINUED_OPERATIONS","FQ3 2019","FQ3 2019","Currency=USD","Period=FQ","BEST_FPERIOD_OVERRIDE=FQ","FILING_STATUS=MR","SCALING_FORMAT=MLN","Sort=A","Dates=H","DateFormat=P","Fill=—","Direction=H","UseDPDF=Y")</f>
        <v>0</v>
      </c>
      <c r="G39" s="13">
        <f>_xll.BDH("BLUE US Equity","IS_DISCONTINUED_OPERATIONS","FQ4 2019","FQ4 2019","Currency=USD","Period=FQ","BEST_FPERIOD_OVERRIDE=FQ","FILING_STATUS=MR","SCALING_FORMAT=MLN","Sort=A","Dates=H","DateFormat=P","Fill=—","Direction=H","UseDPDF=Y")</f>
        <v>0</v>
      </c>
      <c r="H39" s="13">
        <f>_xll.BDH("BLUE US Equity","IS_DISCONTINUED_OPERATIONS","FQ1 2020","FQ1 2020","Currency=USD","Period=FQ","BEST_FPERIOD_OVERRIDE=FQ","FILING_STATUS=MR","SCALING_FORMAT=MLN","Sort=A","Dates=H","DateFormat=P","Fill=—","Direction=H","UseDPDF=Y")</f>
        <v>0</v>
      </c>
      <c r="I39" s="13">
        <f>_xll.BDH("BLUE US Equity","IS_DISCONTINUED_OPERATIONS","FQ2 2020","FQ2 2020","Currency=USD","Period=FQ","BEST_FPERIOD_OVERRIDE=FQ","FILING_STATUS=MR","SCALING_FORMAT=MLN","Sort=A","Dates=H","DateFormat=P","Fill=—","Direction=H","UseDPDF=Y")</f>
        <v>0</v>
      </c>
      <c r="J39" s="13">
        <f>_xll.BDH("BLUE US Equity","IS_DISCONTINUED_OPERATIONS","FQ3 2020","FQ3 2020","Currency=USD","Period=FQ","BEST_FPERIOD_OVERRIDE=FQ","FILING_STATUS=MR","SCALING_FORMAT=MLN","Sort=A","Dates=H","DateFormat=P","Fill=—","Direction=H","UseDPDF=Y")</f>
        <v>0</v>
      </c>
      <c r="K39" s="13">
        <f>_xll.BDH("BLUE US Equity","IS_DISCONTINUED_OPERATIONS","FQ4 2020","FQ4 2020","Currency=USD","Period=FQ","BEST_FPERIOD_OVERRIDE=FQ","FILING_STATUS=MR","SCALING_FORMAT=MLN","Sort=A","Dates=H","DateFormat=P","Fill=—","Direction=H","UseDPDF=Y")</f>
        <v>63.552999999999997</v>
      </c>
      <c r="L39" s="13">
        <f>_xll.BDH("BLUE US Equity","IS_DISCONTINUED_OPERATIONS","FQ1 2021","FQ1 2021","Currency=USD","Period=FQ","BEST_FPERIOD_OVERRIDE=FQ","FILING_STATUS=MR","SCALING_FORMAT=MLN","Sort=A","Dates=H","DateFormat=P","Fill=—","Direction=H","UseDPDF=Y")</f>
        <v>84.304000000000002</v>
      </c>
      <c r="M39" s="13">
        <f>_xll.BDH("BLUE US Equity","IS_DISCONTINUED_OPERATIONS","FQ2 2021","FQ2 2021","Currency=USD","Period=FQ","BEST_FPERIOD_OVERRIDE=FQ","FILING_STATUS=MR","SCALING_FORMAT=MLN","Sort=A","Dates=H","DateFormat=P","Fill=—","Direction=H","UseDPDF=Y")</f>
        <v>0</v>
      </c>
      <c r="N39" s="13">
        <f>_xll.BDH("BLUE US Equity","IS_DISCONTINUED_OPERATIONS","FQ3 2021","FQ3 2021","Currency=USD","Period=FQ","BEST_FPERIOD_OVERRIDE=FQ","FILING_STATUS=MR","SCALING_FORMAT=MLN","Sort=A","Dates=H","DateFormat=P","Fill=—","Direction=H","UseDPDF=Y")</f>
        <v>63.981999999999999</v>
      </c>
      <c r="O39" s="13">
        <f>_xll.BDH("BLUE US Equity","IS_DISCONTINUED_OPERATIONS","FQ4 2021","FQ4 2021","Currency=USD","Period=FQ","BEST_FPERIOD_OVERRIDE=FQ","FILING_STATUS=MR","SCALING_FORMAT=MLN","Sort=A","Dates=H","DateFormat=P","Fill=—","Direction=H","UseDPDF=Y")</f>
        <v>22.725000000000001</v>
      </c>
      <c r="P39" s="13">
        <f>_xll.BDH("BLUE US Equity","IS_DISCONTINUED_OPERATIONS","FQ1 2022","FQ1 2022","Currency=USD","Period=FQ","BEST_FPERIOD_OVERRIDE=FQ","FILING_STATUS=MR","SCALING_FORMAT=MLN","Sort=A","Dates=H","DateFormat=P","Fill=—","Direction=H","UseDPDF=Y")</f>
        <v>0</v>
      </c>
      <c r="Q39" s="13">
        <f>_xll.BDH("BLUE US Equity","IS_DISCONTINUED_OPERATIONS","FQ2 2022","FQ2 2022","Currency=USD","Period=FQ","BEST_FPERIOD_OVERRIDE=FQ","FILING_STATUS=MR","SCALING_FORMAT=MLN","Sort=A","Dates=H","DateFormat=P","Fill=—","Direction=H","UseDPDF=Y")</f>
        <v>0</v>
      </c>
      <c r="R39" s="13">
        <f>_xll.BDH("BLUE US Equity","IS_DISCONTINUED_OPERATIONS","FQ3 2022","FQ3 2022","Currency=USD","Period=FQ","BEST_FPERIOD_OVERRIDE=FQ","FILING_STATUS=MR","SCALING_FORMAT=MLN","Sort=A","Dates=H","DateFormat=P","Fill=—","Direction=H","UseDPDF=Y")</f>
        <v>0</v>
      </c>
      <c r="S39" s="13">
        <f>_xll.BDH("BLUE US Equity","IS_DISCONTINUED_OPERATIONS","FQ4 2022","FQ4 2022","Currency=USD","Period=FQ","BEST_FPERIOD_OVERRIDE=FQ","FILING_STATUS=MR","SCALING_FORMAT=MLN","Sort=A","Dates=H","DateFormat=P","Fill=—","Direction=H","UseDPDF=Y")</f>
        <v>0</v>
      </c>
      <c r="T39" s="13">
        <f>_xll.BDH("BLUE US Equity","IS_DISCONTINUED_OPERATIONS","FQ1 2023","FQ1 2023","Currency=USD","Period=FQ","BEST_FPERIOD_OVERRIDE=FQ","FILING_STATUS=MR","SCALING_FORMAT=MLN","Sort=A","Dates=H","DateFormat=P","Fill=—","Direction=H","UseDPDF=Y")</f>
        <v>0</v>
      </c>
      <c r="U39" s="13">
        <f>_xll.BDH("BLUE US Equity","IS_DISCONTINUED_OPERATIONS","FQ2 2023","FQ2 2023","Currency=USD","Period=FQ","BEST_FPERIOD_OVERRIDE=FQ","FILING_STATUS=MR","SCALING_FORMAT=MLN","Sort=A","Dates=H","DateFormat=P","Fill=—","Direction=H","UseDPDF=Y")</f>
        <v>0</v>
      </c>
      <c r="V39" s="13">
        <f>_xll.BDH("BLUE US Equity","IS_DISCONTINUED_OPERATIONS","FQ3 2023","FQ3 2023","Currency=USD","Period=FQ","BEST_FPERIOD_OVERRIDE=FQ","FILING_STATUS=MR","SCALING_FORMAT=MLN","Sort=A","Dates=H","DateFormat=P","Fill=—","Direction=H","UseDPDF=Y")</f>
        <v>0</v>
      </c>
      <c r="W39" s="13">
        <f>_xll.BDH("BLUE US Equity","IS_DISCONTINUED_OPERATIONS","FQ4 2023","FQ4 2023","Currency=USD","Period=FQ","BEST_FPERIOD_OVERRIDE=FQ","FILING_STATUS=MR","SCALING_FORMAT=MLN","Sort=A","Dates=H","DateFormat=P","Fill=—","Direction=H","UseDPDF=Y")</f>
        <v>0</v>
      </c>
      <c r="X39" s="13">
        <f>_xll.BDH("BLUE US Equity","IS_DISCONTINUED_OPERATIONS","FQ1 2024","FQ1 2024","Currency=USD","Period=FQ","BEST_FPERIOD_OVERRIDE=FQ","FILING_STATUS=MR","SCALING_FORMAT=MLN","Sort=A","Dates=H","DateFormat=P","Fill=—","Direction=H","UseDPDF=Y")</f>
        <v>0</v>
      </c>
      <c r="Y39" s="13">
        <f>_xll.BDH("BLUE US Equity","IS_DISCONTINUED_OPERATIONS","FQ2 2024","FQ2 2024","Currency=USD","Period=FQ","BEST_FPERIOD_OVERRIDE=FQ","FILING_STATUS=MR","SCALING_FORMAT=MLN","Sort=A","Dates=H","DateFormat=P","Fill=—","Direction=H","UseDPDF=Y")</f>
        <v>0</v>
      </c>
      <c r="Z39" s="13">
        <f>_xll.BDH("BLUE US Equity","IS_DISCONTINUED_OPERATIONS","FQ3 2024","FQ3 2024","Currency=USD","Period=FQ","BEST_FPERIOD_OVERRIDE=FQ","FILING_STATUS=MR","SCALING_FORMAT=MLN","Sort=A","Dates=H","DateFormat=P","Fill=—","Direction=H","UseDPDF=Y")</f>
        <v>0</v>
      </c>
      <c r="AA39" s="13">
        <f>_xll.BDH("BLUE US Equity","IS_DISCONTINUED_OPERATIONS","FQ4 2024","FQ4 2024","Currency=USD","Period=FQ","BEST_FPERIOD_OVERRIDE=FQ","FILING_STATUS=MR","SCALING_FORMAT=MLN","Sort=A","Dates=H","DateFormat=P","Fill=—","Direction=H","UseDPDF=Y")</f>
        <v>0</v>
      </c>
    </row>
    <row r="40" spans="1:27" x14ac:dyDescent="0.25">
      <c r="A40" s="10" t="s">
        <v>551</v>
      </c>
      <c r="B40" s="10" t="s">
        <v>332</v>
      </c>
      <c r="C40" s="13">
        <f>_xll.BDH("BLUE US Equity","EXTRAORD_ITEMS_ACCOUNTING_CHANGS","FQ4 2018","FQ4 2018","Currency=USD","Period=FQ","BEST_FPERIOD_OVERRIDE=FQ","FILING_STATUS=MR","SCALING_FORMAT=MLN","Sort=A","Dates=H","DateFormat=P","Fill=—","Direction=H","UseDPDF=Y")</f>
        <v>0</v>
      </c>
      <c r="D40" s="13">
        <f>_xll.BDH("BLUE US Equity","EXTRAORD_ITEMS_ACCOUNTING_CHANGS","FQ1 2019","FQ1 2019","Currency=USD","Period=FQ","BEST_FPERIOD_OVERRIDE=FQ","FILING_STATUS=MR","SCALING_FORMAT=MLN","Sort=A","Dates=H","DateFormat=P","Fill=—","Direction=H","UseDPDF=Y")</f>
        <v>0</v>
      </c>
      <c r="E40" s="13">
        <f>_xll.BDH("BLUE US Equity","EXTRAORD_ITEMS_ACCOUNTING_CHANGS","FQ2 2019","FQ2 2019","Currency=USD","Period=FQ","BEST_FPERIOD_OVERRIDE=FQ","FILING_STATUS=MR","SCALING_FORMAT=MLN","Sort=A","Dates=H","DateFormat=P","Fill=—","Direction=H","UseDPDF=Y")</f>
        <v>0</v>
      </c>
      <c r="F40" s="13">
        <f>_xll.BDH("BLUE US Equity","EXTRAORD_ITEMS_ACCOUNTING_CHANGS","FQ3 2019","FQ3 2019","Currency=USD","Period=FQ","BEST_FPERIOD_OVERRIDE=FQ","FILING_STATUS=MR","SCALING_FORMAT=MLN","Sort=A","Dates=H","DateFormat=P","Fill=—","Direction=H","UseDPDF=Y")</f>
        <v>0</v>
      </c>
      <c r="G40" s="13">
        <f>_xll.BDH("BLUE US Equity","EXTRAORD_ITEMS_ACCOUNTING_CHANGS","FQ4 2019","FQ4 2019","Currency=USD","Period=FQ","BEST_FPERIOD_OVERRIDE=FQ","FILING_STATUS=MR","SCALING_FORMAT=MLN","Sort=A","Dates=H","DateFormat=P","Fill=—","Direction=H","UseDPDF=Y")</f>
        <v>0</v>
      </c>
      <c r="H40" s="13">
        <f>_xll.BDH("BLUE US Equity","EXTRAORD_ITEMS_ACCOUNTING_CHANGS","FQ1 2020","FQ1 2020","Currency=USD","Period=FQ","BEST_FPERIOD_OVERRIDE=FQ","FILING_STATUS=MR","SCALING_FORMAT=MLN","Sort=A","Dates=H","DateFormat=P","Fill=—","Direction=H","UseDPDF=Y")</f>
        <v>0</v>
      </c>
      <c r="I40" s="13">
        <f>_xll.BDH("BLUE US Equity","EXTRAORD_ITEMS_ACCOUNTING_CHANGS","FQ2 2020","FQ2 2020","Currency=USD","Period=FQ","BEST_FPERIOD_OVERRIDE=FQ","FILING_STATUS=MR","SCALING_FORMAT=MLN","Sort=A","Dates=H","DateFormat=P","Fill=—","Direction=H","UseDPDF=Y")</f>
        <v>0</v>
      </c>
      <c r="J40" s="13">
        <f>_xll.BDH("BLUE US Equity","EXTRAORD_ITEMS_ACCOUNTING_CHANGS","FQ3 2020","FQ3 2020","Currency=USD","Period=FQ","BEST_FPERIOD_OVERRIDE=FQ","FILING_STATUS=MR","SCALING_FORMAT=MLN","Sort=A","Dates=H","DateFormat=P","Fill=—","Direction=H","UseDPDF=Y")</f>
        <v>0</v>
      </c>
      <c r="K40" s="13">
        <f>_xll.BDH("BLUE US Equity","EXTRAORD_ITEMS_ACCOUNTING_CHANGS","FQ4 2020","FQ4 2020","Currency=USD","Period=FQ","BEST_FPERIOD_OVERRIDE=FQ","FILING_STATUS=MR","SCALING_FORMAT=MLN","Sort=A","Dates=H","DateFormat=P","Fill=—","Direction=H","UseDPDF=Y")</f>
        <v>0</v>
      </c>
      <c r="L40" s="13">
        <f>_xll.BDH("BLUE US Equity","EXTRAORD_ITEMS_ACCOUNTING_CHANGS","FQ1 2021","FQ1 2021","Currency=USD","Period=FQ","BEST_FPERIOD_OVERRIDE=FQ","FILING_STATUS=MR","SCALING_FORMAT=MLN","Sort=A","Dates=H","DateFormat=P","Fill=—","Direction=H","UseDPDF=Y")</f>
        <v>0</v>
      </c>
      <c r="M40" s="13">
        <f>_xll.BDH("BLUE US Equity","EXTRAORD_ITEMS_ACCOUNTING_CHANGS","FQ2 2021","FQ2 2021","Currency=USD","Period=FQ","BEST_FPERIOD_OVERRIDE=FQ","FILING_STATUS=MR","SCALING_FORMAT=MLN","Sort=A","Dates=H","DateFormat=P","Fill=—","Direction=H","UseDPDF=Y")</f>
        <v>0</v>
      </c>
      <c r="N40" s="13">
        <f>_xll.BDH("BLUE US Equity","EXTRAORD_ITEMS_ACCOUNTING_CHANGS","FQ3 2021","FQ3 2021","Currency=USD","Period=FQ","BEST_FPERIOD_OVERRIDE=FQ","FILING_STATUS=MR","SCALING_FORMAT=MLN","Sort=A","Dates=H","DateFormat=P","Fill=—","Direction=H","UseDPDF=Y")</f>
        <v>0</v>
      </c>
      <c r="O40" s="13">
        <f>_xll.BDH("BLUE US Equity","EXTRAORD_ITEMS_ACCOUNTING_CHANGS","FQ4 2021","FQ4 2021","Currency=USD","Period=FQ","BEST_FPERIOD_OVERRIDE=FQ","FILING_STATUS=MR","SCALING_FORMAT=MLN","Sort=A","Dates=H","DateFormat=P","Fill=—","Direction=H","UseDPDF=Y")</f>
        <v>0</v>
      </c>
      <c r="P40" s="13">
        <f>_xll.BDH("BLUE US Equity","EXTRAORD_ITEMS_ACCOUNTING_CHANGS","FQ1 2022","FQ1 2022","Currency=USD","Period=FQ","BEST_FPERIOD_OVERRIDE=FQ","FILING_STATUS=MR","SCALING_FORMAT=MLN","Sort=A","Dates=H","DateFormat=P","Fill=—","Direction=H","UseDPDF=Y")</f>
        <v>0</v>
      </c>
      <c r="Q40" s="13">
        <f>_xll.BDH("BLUE US Equity","EXTRAORD_ITEMS_ACCOUNTING_CHANGS","FQ2 2022","FQ2 2022","Currency=USD","Period=FQ","BEST_FPERIOD_OVERRIDE=FQ","FILING_STATUS=MR","SCALING_FORMAT=MLN","Sort=A","Dates=H","DateFormat=P","Fill=—","Direction=H","UseDPDF=Y")</f>
        <v>0</v>
      </c>
      <c r="R40" s="13">
        <f>_xll.BDH("BLUE US Equity","EXTRAORD_ITEMS_ACCOUNTING_CHANGS","FQ3 2022","FQ3 2022","Currency=USD","Period=FQ","BEST_FPERIOD_OVERRIDE=FQ","FILING_STATUS=MR","SCALING_FORMAT=MLN","Sort=A","Dates=H","DateFormat=P","Fill=—","Direction=H","UseDPDF=Y")</f>
        <v>0</v>
      </c>
      <c r="S40" s="13">
        <f>_xll.BDH("BLUE US Equity","EXTRAORD_ITEMS_ACCOUNTING_CHANGS","FQ4 2022","FQ4 2022","Currency=USD","Period=FQ","BEST_FPERIOD_OVERRIDE=FQ","FILING_STATUS=MR","SCALING_FORMAT=MLN","Sort=A","Dates=H","DateFormat=P","Fill=—","Direction=H","UseDPDF=Y")</f>
        <v>0</v>
      </c>
      <c r="T40" s="13">
        <f>_xll.BDH("BLUE US Equity","EXTRAORD_ITEMS_ACCOUNTING_CHANGS","FQ1 2023","FQ1 2023","Currency=USD","Period=FQ","BEST_FPERIOD_OVERRIDE=FQ","FILING_STATUS=MR","SCALING_FORMAT=MLN","Sort=A","Dates=H","DateFormat=P","Fill=—","Direction=H","UseDPDF=Y")</f>
        <v>0</v>
      </c>
      <c r="U40" s="13">
        <f>_xll.BDH("BLUE US Equity","EXTRAORD_ITEMS_ACCOUNTING_CHANGS","FQ2 2023","FQ2 2023","Currency=USD","Period=FQ","BEST_FPERIOD_OVERRIDE=FQ","FILING_STATUS=MR","SCALING_FORMAT=MLN","Sort=A","Dates=H","DateFormat=P","Fill=—","Direction=H","UseDPDF=Y")</f>
        <v>0</v>
      </c>
      <c r="V40" s="13">
        <f>_xll.BDH("BLUE US Equity","EXTRAORD_ITEMS_ACCOUNTING_CHANGS","FQ3 2023","FQ3 2023","Currency=USD","Period=FQ","BEST_FPERIOD_OVERRIDE=FQ","FILING_STATUS=MR","SCALING_FORMAT=MLN","Sort=A","Dates=H","DateFormat=P","Fill=—","Direction=H","UseDPDF=Y")</f>
        <v>0</v>
      </c>
      <c r="W40" s="13">
        <f>_xll.BDH("BLUE US Equity","EXTRAORD_ITEMS_ACCOUNTING_CHANGS","FQ4 2023","FQ4 2023","Currency=USD","Period=FQ","BEST_FPERIOD_OVERRIDE=FQ","FILING_STATUS=MR","SCALING_FORMAT=MLN","Sort=A","Dates=H","DateFormat=P","Fill=—","Direction=H","UseDPDF=Y")</f>
        <v>0</v>
      </c>
      <c r="X40" s="13">
        <f>_xll.BDH("BLUE US Equity","EXTRAORD_ITEMS_ACCOUNTING_CHANGS","FQ1 2024","FQ1 2024","Currency=USD","Period=FQ","BEST_FPERIOD_OVERRIDE=FQ","FILING_STATUS=MR","SCALING_FORMAT=MLN","Sort=A","Dates=H","DateFormat=P","Fill=—","Direction=H","UseDPDF=Y")</f>
        <v>0</v>
      </c>
      <c r="Y40" s="13">
        <f>_xll.BDH("BLUE US Equity","EXTRAORD_ITEMS_ACCOUNTING_CHANGS","FQ2 2024","FQ2 2024","Currency=USD","Period=FQ","BEST_FPERIOD_OVERRIDE=FQ","FILING_STATUS=MR","SCALING_FORMAT=MLN","Sort=A","Dates=H","DateFormat=P","Fill=—","Direction=H","UseDPDF=Y")</f>
        <v>0</v>
      </c>
      <c r="Z40" s="13">
        <f>_xll.BDH("BLUE US Equity","EXTRAORD_ITEMS_ACCOUNTING_CHANGS","FQ3 2024","FQ3 2024","Currency=USD","Period=FQ","BEST_FPERIOD_OVERRIDE=FQ","FILING_STATUS=MR","SCALING_FORMAT=MLN","Sort=A","Dates=H","DateFormat=P","Fill=—","Direction=H","UseDPDF=Y")</f>
        <v>0</v>
      </c>
      <c r="AA40" s="13">
        <f>_xll.BDH("BLUE US Equity","EXTRAORD_ITEMS_ACCOUNTING_CHANGS","FQ4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6" t="s">
        <v>552</v>
      </c>
      <c r="B41" s="6" t="s">
        <v>553</v>
      </c>
      <c r="C41" s="19">
        <f>_xll.BDH("BLUE US Equity","INC_BEF_XO_LESS_MIN_INT_PREF_DVD","FQ4 2018","FQ4 2018","Currency=USD","Period=FQ","BEST_FPERIOD_OVERRIDE=FQ","FILING_STATUS=MR","SCALING_FORMAT=MLN","FA_ADJUSTED=GAAP","Sort=A","Dates=H","DateFormat=P","Fill=—","Direction=H","UseDPDF=Y")</f>
        <v>-149.023</v>
      </c>
      <c r="D41" s="19">
        <f>_xll.BDH("BLUE US Equity","INC_BEF_XO_LESS_MIN_INT_PREF_DVD","FQ1 2019","FQ1 2019","Currency=USD","Period=FQ","BEST_FPERIOD_OVERRIDE=FQ","FILING_STATUS=MR","SCALING_FORMAT=MLN","FA_ADJUSTED=GAAP","Sort=A","Dates=H","DateFormat=P","Fill=—","Direction=H","UseDPDF=Y")</f>
        <v>-164.446</v>
      </c>
      <c r="E41" s="19">
        <f>_xll.BDH("BLUE US Equity","INC_BEF_XO_LESS_MIN_INT_PREF_DVD","FQ2 2019","FQ2 2019","Currency=USD","Period=FQ","BEST_FPERIOD_OVERRIDE=FQ","FILING_STATUS=MR","SCALING_FORMAT=MLN","FA_ADJUSTED=GAAP","Sort=A","Dates=H","DateFormat=P","Fill=—","Direction=H","UseDPDF=Y")</f>
        <v>-195.78200000000001</v>
      </c>
      <c r="F41" s="19">
        <f>_xll.BDH("BLUE US Equity","INC_BEF_XO_LESS_MIN_INT_PREF_DVD","FQ3 2019","FQ3 2019","Currency=USD","Period=FQ","BEST_FPERIOD_OVERRIDE=FQ","FILING_STATUS=MR","SCALING_FORMAT=MLN","FA_ADJUSTED=GAAP","Sort=A","Dates=H","DateFormat=P","Fill=—","Direction=H","UseDPDF=Y")</f>
        <v>-206.03299999999999</v>
      </c>
      <c r="G41" s="19">
        <f>_xll.BDH("BLUE US Equity","INC_BEF_XO_LESS_MIN_INT_PREF_DVD","FQ4 2019","FQ4 2019","Currency=USD","Period=FQ","BEST_FPERIOD_OVERRIDE=FQ","FILING_STATUS=MR","SCALING_FORMAT=MLN","FA_ADJUSTED=GAAP","Sort=A","Dates=H","DateFormat=P","Fill=—","Direction=H","UseDPDF=Y")</f>
        <v>-223.34700000000001</v>
      </c>
      <c r="H41" s="19">
        <f>_xll.BDH("BLUE US Equity","INC_BEF_XO_LESS_MIN_INT_PREF_DVD","FQ1 2020","FQ1 2020","Currency=USD","Period=FQ","BEST_FPERIOD_OVERRIDE=FQ","FILING_STATUS=MR","SCALING_FORMAT=MLN","FA_ADJUSTED=GAAP","Sort=A","Dates=H","DateFormat=P","Fill=—","Direction=H","UseDPDF=Y")</f>
        <v>-202.61099999999999</v>
      </c>
      <c r="I41" s="19">
        <f>_xll.BDH("BLUE US Equity","INC_BEF_XO_LESS_MIN_INT_PREF_DVD","FQ2 2020","FQ2 2020","Currency=USD","Period=FQ","BEST_FPERIOD_OVERRIDE=FQ","FILING_STATUS=MR","SCALING_FORMAT=MLN","FA_ADJUSTED=GAAP","Sort=A","Dates=H","DateFormat=P","Fill=—","Direction=H","UseDPDF=Y")</f>
        <v>-21.465</v>
      </c>
      <c r="J41" s="19">
        <f>_xll.BDH("BLUE US Equity","INC_BEF_XO_LESS_MIN_INT_PREF_DVD","FQ3 2020","FQ3 2020","Currency=USD","Period=FQ","BEST_FPERIOD_OVERRIDE=FQ","FILING_STATUS=MR","SCALING_FORMAT=MLN","FA_ADJUSTED=GAAP","Sort=A","Dates=H","DateFormat=P","Fill=—","Direction=H","UseDPDF=Y")</f>
        <v>-194.745</v>
      </c>
      <c r="K41" s="19">
        <f>_xll.BDH("BLUE US Equity","INC_BEF_XO_LESS_MIN_INT_PREF_DVD","FQ4 2020","FQ4 2020","Currency=USD","Period=FQ","BEST_FPERIOD_OVERRIDE=FQ","FILING_STATUS=MR","SCALING_FORMAT=MLN","FA_ADJUSTED=GAAP","Sort=A","Dates=H","DateFormat=P","Fill=—","Direction=H","UseDPDF=Y")</f>
        <v>-136.321</v>
      </c>
      <c r="L41" s="19">
        <f>_xll.BDH("BLUE US Equity","INC_BEF_XO_LESS_MIN_INT_PREF_DVD","FQ1 2021","FQ1 2021","Currency=USD","Period=FQ","BEST_FPERIOD_OVERRIDE=FQ","FILING_STATUS=MR","SCALING_FORMAT=MLN","FA_ADJUSTED=GAAP","Sort=A","Dates=H","DateFormat=P","Fill=—","Direction=H","UseDPDF=Y")</f>
        <v>-121.504</v>
      </c>
      <c r="M41" s="19">
        <f>_xll.BDH("BLUE US Equity","INC_BEF_XO_LESS_MIN_INT_PREF_DVD","FQ2 2021","FQ2 2021","Currency=USD","Period=FQ","BEST_FPERIOD_OVERRIDE=FQ","FILING_STATUS=MR","SCALING_FORMAT=MLN","FA_ADJUSTED=GAAP","Sort=A","Dates=H","DateFormat=P","Fill=—","Direction=H","UseDPDF=Y")</f>
        <v>-241.702</v>
      </c>
      <c r="N41" s="19">
        <f>_xll.BDH("BLUE US Equity","INC_BEF_XO_LESS_MIN_INT_PREF_DVD","FQ3 2021","FQ3 2021","Currency=USD","Period=FQ","BEST_FPERIOD_OVERRIDE=FQ","FILING_STATUS=MR","SCALING_FORMAT=MLN","FA_ADJUSTED=GAAP","Sort=A","Dates=H","DateFormat=P","Fill=—","Direction=H","UseDPDF=Y")</f>
        <v>-152.834</v>
      </c>
      <c r="O41" s="19">
        <f>_xll.BDH("BLUE US Equity","INC_BEF_XO_LESS_MIN_INT_PREF_DVD","FQ4 2021","FQ4 2021","Currency=USD","Period=FQ","BEST_FPERIOD_OVERRIDE=FQ","FILING_STATUS=MR","SCALING_FORMAT=MLN","FA_ADJUSTED=GAAP","Sort=A","Dates=H","DateFormat=P","Fill=—","Direction=H","UseDPDF=Y")</f>
        <v>-132.327</v>
      </c>
      <c r="P41" s="19">
        <f>_xll.BDH("BLUE US Equity","INC_BEF_XO_LESS_MIN_INT_PREF_DVD","FQ1 2022","FQ1 2022","Currency=USD","Period=FQ","BEST_FPERIOD_OVERRIDE=FQ","FILING_STATUS=MR","SCALING_FORMAT=MLN","FA_ADJUSTED=GAAP","Sort=A","Dates=H","DateFormat=P","Fill=—","Direction=H","UseDPDF=Y")</f>
        <v>-122.152</v>
      </c>
      <c r="Q41" s="19">
        <f>_xll.BDH("BLUE US Equity","INC_BEF_XO_LESS_MIN_INT_PREF_DVD","FQ2 2022","FQ2 2022","Currency=USD","Period=FQ","BEST_FPERIOD_OVERRIDE=FQ","FILING_STATUS=MR","SCALING_FORMAT=MLN","FA_ADJUSTED=GAAP","Sort=A","Dates=H","DateFormat=P","Fill=—","Direction=H","UseDPDF=Y")</f>
        <v>-100.13800000000001</v>
      </c>
      <c r="R41" s="19">
        <f>_xll.BDH("BLUE US Equity","INC_BEF_XO_LESS_MIN_INT_PREF_DVD","FQ3 2022","FQ3 2022","Currency=USD","Period=FQ","BEST_FPERIOD_OVERRIDE=FQ","FILING_STATUS=MR","SCALING_FORMAT=MLN","FA_ADJUSTED=GAAP","Sort=A","Dates=H","DateFormat=P","Fill=—","Direction=H","UseDPDF=Y")</f>
        <v>-76.52</v>
      </c>
      <c r="S41" s="19">
        <f>_xll.BDH("BLUE US Equity","INC_BEF_XO_LESS_MIN_INT_PREF_DVD","FQ4 2022","FQ4 2022","Currency=USD","Period=FQ","BEST_FPERIOD_OVERRIDE=FQ","FILING_STATUS=MR","SCALING_FORMAT=MLN","FA_ADJUSTED=GAAP","Sort=A","Dates=H","DateFormat=P","Fill=—","Direction=H","UseDPDF=Y")</f>
        <v>68.468000000000004</v>
      </c>
      <c r="T41" s="19">
        <f>_xll.BDH("BLUE US Equity","INC_BEF_XO_LESS_MIN_INT_PREF_DVD","FQ1 2023","FQ1 2023","Currency=USD","Period=FQ","BEST_FPERIOD_OVERRIDE=FQ","FILING_STATUS=MR","SCALING_FORMAT=MLN","FA_ADJUSTED=GAAP","Sort=A","Dates=H","DateFormat=P","Fill=—","Direction=H","UseDPDF=Y")</f>
        <v>18.93</v>
      </c>
      <c r="U41" s="19">
        <f>_xll.BDH("BLUE US Equity","INC_BEF_XO_LESS_MIN_INT_PREF_DVD","FQ2 2023","FQ2 2023","Currency=USD","Period=FQ","BEST_FPERIOD_OVERRIDE=FQ","FILING_STATUS=MR","SCALING_FORMAT=MLN","FA_ADJUSTED=GAAP","Sort=A","Dates=H","DateFormat=P","Fill=—","Direction=H","UseDPDF=Y")</f>
        <v>-62.789000000000001</v>
      </c>
      <c r="V41" s="19">
        <f>_xll.BDH("BLUE US Equity","INC_BEF_XO_LESS_MIN_INT_PREF_DVD","FQ3 2023","FQ3 2023","Currency=USD","Period=FQ","BEST_FPERIOD_OVERRIDE=FQ","FILING_STATUS=MR","SCALING_FORMAT=MLN","FA_ADJUSTED=GAAP","Sort=A","Dates=H","DateFormat=P","Fill=—","Direction=H","UseDPDF=Y")</f>
        <v>-87.231999999999999</v>
      </c>
      <c r="W41" s="19">
        <f>_xll.BDH("BLUE US Equity","INC_BEF_XO_LESS_MIN_INT_PREF_DVD","FQ4 2023","FQ4 2023","Currency=USD","Period=FQ","BEST_FPERIOD_OVERRIDE=FQ","FILING_STATUS=MR","SCALING_FORMAT=MLN","FA_ADJUSTED=GAAP","Sort=A","Dates=H","DateFormat=P","Fill=—","Direction=H","UseDPDF=Y")</f>
        <v>-88.513999999999996</v>
      </c>
      <c r="X41" s="19">
        <f>_xll.BDH("BLUE US Equity","INC_BEF_XO_LESS_MIN_INT_PREF_DVD","FQ1 2024","FQ1 2024","Currency=USD","Period=FQ","BEST_FPERIOD_OVERRIDE=FQ","FILING_STATUS=MR","SCALING_FORMAT=MLN","FA_ADJUSTED=GAAP","Sort=A","Dates=H","DateFormat=P","Fill=—","Direction=H","UseDPDF=Y")</f>
        <v>-69.804000000000002</v>
      </c>
      <c r="Y41" s="19">
        <f>_xll.BDH("BLUE US Equity","INC_BEF_XO_LESS_MIN_INT_PREF_DVD","FQ2 2024","FQ2 2024","Currency=USD","Period=FQ","BEST_FPERIOD_OVERRIDE=FQ","FILING_STATUS=MR","SCALING_FORMAT=MLN","FA_ADJUSTED=GAAP","Sort=A","Dates=H","DateFormat=P","Fill=—","Direction=H","UseDPDF=Y")</f>
        <v>-81.393000000000001</v>
      </c>
      <c r="Z41" s="19">
        <f>_xll.BDH("BLUE US Equity","INC_BEF_XO_LESS_MIN_INT_PREF_DVD","FQ3 2024","FQ3 2024","Currency=USD","Period=FQ","BEST_FPERIOD_OVERRIDE=FQ","FILING_STATUS=MR","SCALING_FORMAT=MLN","FA_ADJUSTED=GAAP","Sort=A","Dates=H","DateFormat=P","Fill=—","Direction=H","UseDPDF=Y")</f>
        <v>-60.808</v>
      </c>
      <c r="AA41" s="19">
        <f>_xll.BDH("BLUE US Equity","INC_BEF_XO_LESS_MIN_INT_PREF_DVD","FQ4 2024","FQ4 2024","Currency=USD","Period=FQ","BEST_FPERIOD_OVERRIDE=FQ","FILING_STATUS=MR","SCALING_FORMAT=MLN","FA_ADJUSTED=GAAP","Sort=A","Dates=H","DateFormat=P","Fill=—","Direction=H","UseDPDF=Y")</f>
        <v>-28.71</v>
      </c>
    </row>
    <row r="42" spans="1:27" x14ac:dyDescent="0.25">
      <c r="A42" s="10" t="s">
        <v>539</v>
      </c>
      <c r="B42" s="10" t="s">
        <v>554</v>
      </c>
      <c r="C42" s="13">
        <f>_xll.BDH("BLUE US Equity","IS_MA_EXPENSE_AFTER_TAX","FQ4 2018","FQ4 2018","Currency=USD","Period=FQ","BEST_FPERIOD_OVERRIDE=FQ","FILING_STATUS=MR","SCALING_FORMAT=MLN","Sort=A","Dates=H","DateFormat=P","Fill=—","Direction=H","UseDPDF=Y")</f>
        <v>1.7032</v>
      </c>
      <c r="D42" s="13">
        <f>_xll.BDH("BLUE US Equity","IS_MA_EXPENSE_AFTER_TAX","FQ1 2019","FQ1 2019","Currency=USD","Period=FQ","BEST_FPERIOD_OVERRIDE=FQ","FILING_STATUS=MR","SCALING_FORMAT=MLN","Sort=A","Dates=H","DateFormat=P","Fill=—","Direction=H","UseDPDF=Y")</f>
        <v>0.23380000000000001</v>
      </c>
      <c r="E42" s="13">
        <f>_xll.BDH("BLUE US Equity","IS_MA_EXPENSE_AFTER_TAX","FQ2 2019","FQ2 2019","Currency=USD","Period=FQ","BEST_FPERIOD_OVERRIDE=FQ","FILING_STATUS=MR","SCALING_FORMAT=MLN","Sort=A","Dates=H","DateFormat=P","Fill=—","Direction=H","UseDPDF=Y")</f>
        <v>0.1691</v>
      </c>
      <c r="F42" s="13">
        <f>_xll.BDH("BLUE US Equity","IS_MA_EXPENSE_AFTER_TAX","FQ3 2019","FQ3 2019","Currency=USD","Period=FQ","BEST_FPERIOD_OVERRIDE=FQ","FILING_STATUS=MR","SCALING_FORMAT=MLN","Sort=A","Dates=H","DateFormat=P","Fill=—","Direction=H","UseDPDF=Y")</f>
        <v>0.63360000000000005</v>
      </c>
      <c r="G42" s="13">
        <f>_xll.BDH("BLUE US Equity","IS_MA_EXPENSE_AFTER_TAX","FQ4 2019","FQ4 2019","Currency=USD","Period=FQ","BEST_FPERIOD_OVERRIDE=FQ","FILING_STATUS=MR","SCALING_FORMAT=MLN","Sort=A","Dates=H","DateFormat=P","Fill=—","Direction=H","UseDPDF=Y")</f>
        <v>1.1336999999999999</v>
      </c>
      <c r="H42" s="13">
        <f>_xll.BDH("BLUE US Equity","IS_MA_EXPENSE_AFTER_TAX","FQ1 2020","FQ1 2020","Currency=USD","Period=FQ","BEST_FPERIOD_OVERRIDE=FQ","FILING_STATUS=MR","SCALING_FORMAT=MLN","Sort=A","Dates=H","DateFormat=P","Fill=—","Direction=H","UseDPDF=Y")</f>
        <v>-2.4552999999999998</v>
      </c>
      <c r="I42" s="13">
        <f>_xll.BDH("BLUE US Equity","IS_MA_EXPENSE_AFTER_TAX","FQ2 2020","FQ2 2020","Currency=USD","Period=FQ","BEST_FPERIOD_OVERRIDE=FQ","FILING_STATUS=MR","SCALING_FORMAT=MLN","Sort=A","Dates=H","DateFormat=P","Fill=—","Direction=H","UseDPDF=Y")</f>
        <v>-1.3075000000000001</v>
      </c>
      <c r="J42" s="13">
        <f>_xll.BDH("BLUE US Equity","IS_MA_EXPENSE_AFTER_TAX","FQ3 2020","FQ3 2020","Currency=USD","Period=FQ","BEST_FPERIOD_OVERRIDE=FQ","FILING_STATUS=MR","SCALING_FORMAT=MLN","Sort=A","Dates=H","DateFormat=P","Fill=—","Direction=H","UseDPDF=Y")</f>
        <v>-0.65410000000000001</v>
      </c>
      <c r="K42" s="13" t="str">
        <f>_xll.BDH("BLUE US Equity","IS_MA_EXPENSE_AFTER_TAX","FQ4 2020","FQ4 2020","Currency=USD","Period=FQ","BEST_FPERIOD_OVERRIDE=FQ","FILING_STATUS=MR","SCALING_FORMAT=MLN","Sort=A","Dates=H","DateFormat=P","Fill=—","Direction=H","UseDPDF=Y")</f>
        <v>—</v>
      </c>
      <c r="L42" s="13">
        <f>_xll.BDH("BLUE US Equity","IS_MA_EXPENSE_AFTER_TAX","FQ1 2021","FQ1 2021","Currency=USD","Period=FQ","BEST_FPERIOD_OVERRIDE=FQ","FILING_STATUS=MR","SCALING_FORMAT=MLN","Sort=A","Dates=H","DateFormat=P","Fill=—","Direction=H","UseDPDF=Y")</f>
        <v>0.29149999999999998</v>
      </c>
      <c r="M42" s="13">
        <f>_xll.BDH("BLUE US Equity","IS_MA_EXPENSE_AFTER_TAX","FQ2 2021","FQ2 2021","Currency=USD","Period=FQ","BEST_FPERIOD_OVERRIDE=FQ","FILING_STATUS=MR","SCALING_FORMAT=MLN","Sort=A","Dates=H","DateFormat=P","Fill=—","Direction=H","UseDPDF=Y")</f>
        <v>3.7100000000000001E-2</v>
      </c>
      <c r="N42" s="13" t="str">
        <f>_xll.BDH("BLUE US Equity","IS_MA_EXPENSE_AFTER_TAX","FQ3 2021","FQ3 2021","Currency=USD","Period=FQ","BEST_FPERIOD_OVERRIDE=FQ","FILING_STATUS=MR","SCALING_FORMAT=MLN","Sort=A","Dates=H","DateFormat=P","Fill=—","Direction=H","UseDPDF=Y")</f>
        <v>—</v>
      </c>
      <c r="O42" s="13">
        <f>_xll.BDH("BLUE US Equity","IS_MA_EXPENSE_AFTER_TAX","FQ4 2021","FQ4 2021","Currency=USD","Period=FQ","BEST_FPERIOD_OVERRIDE=FQ","FILING_STATUS=MR","SCALING_FORMAT=MLN","Sort=A","Dates=H","DateFormat=P","Fill=—","Direction=H","UseDPDF=Y")</f>
        <v>-6.08E-2</v>
      </c>
      <c r="P42" s="13" t="str">
        <f>_xll.BDH("BLUE US Equity","IS_MA_EXPENSE_AFTER_TAX","FQ1 2022","FQ1 2022","Currency=USD","Period=FQ","BEST_FPERIOD_OVERRIDE=FQ","FILING_STATUS=MR","SCALING_FORMAT=MLN","Sort=A","Dates=H","DateFormat=P","Fill=—","Direction=H","UseDPDF=Y")</f>
        <v>—</v>
      </c>
      <c r="Q42" s="13" t="str">
        <f>_xll.BDH("BLUE US Equity","IS_MA_EXPENSE_AFTER_TAX","FQ2 2022","FQ2 2022","Currency=USD","Period=FQ","BEST_FPERIOD_OVERRIDE=FQ","FILING_STATUS=MR","SCALING_FORMAT=MLN","Sort=A","Dates=H","DateFormat=P","Fill=—","Direction=H","UseDPDF=Y")</f>
        <v>—</v>
      </c>
      <c r="R42" s="13" t="str">
        <f>_xll.BDH("BLUE US Equity","IS_MA_EXPENSE_AFTER_TAX","FQ3 2022","FQ3 2022","Currency=USD","Period=FQ","BEST_FPERIOD_OVERRIDE=FQ","FILING_STATUS=MR","SCALING_FORMAT=MLN","Sort=A","Dates=H","DateFormat=P","Fill=—","Direction=H","UseDPDF=Y")</f>
        <v>—</v>
      </c>
      <c r="S42" s="13" t="str">
        <f>_xll.BDH("BLUE US Equity","IS_MA_EXPENSE_AFTER_TAX","FQ4 2022","FQ4 2022","Currency=USD","Period=FQ","BEST_FPERIOD_OVERRIDE=FQ","FILING_STATUS=MR","SCALING_FORMAT=MLN","Sort=A","Dates=H","DateFormat=P","Fill=—","Direction=H","UseDPDF=Y")</f>
        <v>—</v>
      </c>
      <c r="T42" s="13" t="str">
        <f>_xll.BDH("BLUE US Equity","IS_MA_EXPENSE_AFTER_TAX","FQ1 2023","FQ1 2023","Currency=USD","Period=FQ","BEST_FPERIOD_OVERRIDE=FQ","FILING_STATUS=MR","SCALING_FORMAT=MLN","Sort=A","Dates=H","DateFormat=P","Fill=—","Direction=H","UseDPDF=Y")</f>
        <v>—</v>
      </c>
      <c r="U42" s="13" t="str">
        <f>_xll.BDH("BLUE US Equity","IS_MA_EXPENSE_AFTER_TAX","FQ2 2023","FQ2 2023","Currency=USD","Period=FQ","BEST_FPERIOD_OVERRIDE=FQ","FILING_STATUS=MR","SCALING_FORMAT=MLN","Sort=A","Dates=H","DateFormat=P","Fill=—","Direction=H","UseDPDF=Y")</f>
        <v>—</v>
      </c>
      <c r="V42" s="13" t="str">
        <f>_xll.BDH("BLUE US Equity","IS_MA_EXPENSE_AFTER_TAX","FQ3 2023","FQ3 2023","Currency=USD","Period=FQ","BEST_FPERIOD_OVERRIDE=FQ","FILING_STATUS=MR","SCALING_FORMAT=MLN","Sort=A","Dates=H","DateFormat=P","Fill=—","Direction=H","UseDPDF=Y")</f>
        <v>—</v>
      </c>
      <c r="W42" s="13" t="str">
        <f>_xll.BDH("BLUE US Equity","IS_MA_EXPENSE_AFTER_TAX","FQ4 2023","FQ4 2023","Currency=USD","Period=FQ","BEST_FPERIOD_OVERRIDE=FQ","FILING_STATUS=MR","SCALING_FORMAT=MLN","Sort=A","Dates=H","DateFormat=P","Fill=—","Direction=H","UseDPDF=Y")</f>
        <v>—</v>
      </c>
      <c r="X42" s="13" t="str">
        <f>_xll.BDH("BLUE US Equity","IS_MA_EXPENSE_AFTER_TAX","FQ1 2024","FQ1 2024","Currency=USD","Period=FQ","BEST_FPERIOD_OVERRIDE=FQ","FILING_STATUS=MR","SCALING_FORMAT=MLN","Sort=A","Dates=H","DateFormat=P","Fill=—","Direction=H","UseDPDF=Y")</f>
        <v>—</v>
      </c>
      <c r="Y42" s="13" t="str">
        <f>_xll.BDH("BLUE US Equity","IS_MA_EXPENSE_AFTER_TAX","FQ2 2024","FQ2 2024","Currency=USD","Period=FQ","BEST_FPERIOD_OVERRIDE=FQ","FILING_STATUS=MR","SCALING_FORMAT=MLN","Sort=A","Dates=H","DateFormat=P","Fill=—","Direction=H","UseDPDF=Y")</f>
        <v>—</v>
      </c>
      <c r="Z42" s="13" t="str">
        <f>_xll.BDH("BLUE US Equity","IS_MA_EXPENSE_AFTER_TAX","FQ3 2024","FQ3 2024","Currency=USD","Period=FQ","BEST_FPERIOD_OVERRIDE=FQ","FILING_STATUS=MR","SCALING_FORMAT=MLN","Sort=A","Dates=H","DateFormat=P","Fill=—","Direction=H","UseDPDF=Y")</f>
        <v>—</v>
      </c>
      <c r="AA42" s="13" t="str">
        <f>_xll.BDH("BLUE US Equity","IS_MA_EXPENSE_AFTER_TAX","FQ4 2024","FQ4 2024","Currency=USD","Period=FQ","BEST_FPERIOD_OVERRIDE=FQ","FILING_STATUS=MR","SCALING_FORMAT=MLN","Sort=A","Dates=H","DateFormat=P","Fill=—","Direction=H","UseDPDF=Y")</f>
        <v>—</v>
      </c>
    </row>
    <row r="43" spans="1:27" x14ac:dyDescent="0.25">
      <c r="A43" s="10" t="s">
        <v>541</v>
      </c>
      <c r="B43" s="10" t="s">
        <v>555</v>
      </c>
      <c r="C43" s="13" t="str">
        <f>_xll.BDH("BLUE US Equity","IS_RESTRUCTURING_CHRG_AFTER_TAX","FQ4 2018","FQ4 2018","Currency=USD","Period=FQ","BEST_FPERIOD_OVERRIDE=FQ","FILING_STATUS=MR","SCALING_FORMAT=MLN","Sort=A","Dates=H","DateFormat=P","Fill=—","Direction=H","UseDPDF=Y")</f>
        <v>—</v>
      </c>
      <c r="D43" s="13" t="str">
        <f>_xll.BDH("BLUE US Equity","IS_RESTRUCTURING_CHRG_AFTER_TAX","FQ1 2019","FQ1 2019","Currency=USD","Period=FQ","BEST_FPERIOD_OVERRIDE=FQ","FILING_STATUS=MR","SCALING_FORMAT=MLN","Sort=A","Dates=H","DateFormat=P","Fill=—","Direction=H","UseDPDF=Y")</f>
        <v>—</v>
      </c>
      <c r="E43" s="13" t="str">
        <f>_xll.BDH("BLUE US Equity","IS_RESTRUCTURING_CHRG_AFTER_TAX","FQ2 2019","FQ2 2019","Currency=USD","Period=FQ","BEST_FPERIOD_OVERRIDE=FQ","FILING_STATUS=MR","SCALING_FORMAT=MLN","Sort=A","Dates=H","DateFormat=P","Fill=—","Direction=H","UseDPDF=Y")</f>
        <v>—</v>
      </c>
      <c r="F43" s="13" t="str">
        <f>_xll.BDH("BLUE US Equity","IS_RESTRUCTURING_CHRG_AFTER_TAX","FQ3 2019","FQ3 2019","Currency=USD","Period=FQ","BEST_FPERIOD_OVERRIDE=FQ","FILING_STATUS=MR","SCALING_FORMAT=MLN","Sort=A","Dates=H","DateFormat=P","Fill=—","Direction=H","UseDPDF=Y")</f>
        <v>—</v>
      </c>
      <c r="G43" s="13" t="str">
        <f>_xll.BDH("BLUE US Equity","IS_RESTRUCTURING_CHRG_AFTER_TAX","FQ4 2019","FQ4 2019","Currency=USD","Period=FQ","BEST_FPERIOD_OVERRIDE=FQ","FILING_STATUS=MR","SCALING_FORMAT=MLN","Sort=A","Dates=H","DateFormat=P","Fill=—","Direction=H","UseDPDF=Y")</f>
        <v>—</v>
      </c>
      <c r="H43" s="13" t="str">
        <f>_xll.BDH("BLUE US Equity","IS_RESTRUCTURING_CHRG_AFTER_TAX","FQ1 2020","FQ1 2020","Currency=USD","Period=FQ","BEST_FPERIOD_OVERRIDE=FQ","FILING_STATUS=MR","SCALING_FORMAT=MLN","Sort=A","Dates=H","DateFormat=P","Fill=—","Direction=H","UseDPDF=Y")</f>
        <v>—</v>
      </c>
      <c r="I43" s="13" t="str">
        <f>_xll.BDH("BLUE US Equity","IS_RESTRUCTURING_CHRG_AFTER_TAX","FQ2 2020","FQ2 2020","Currency=USD","Period=FQ","BEST_FPERIOD_OVERRIDE=FQ","FILING_STATUS=MR","SCALING_FORMAT=MLN","Sort=A","Dates=H","DateFormat=P","Fill=—","Direction=H","UseDPDF=Y")</f>
        <v>—</v>
      </c>
      <c r="J43" s="13" t="str">
        <f>_xll.BDH("BLUE US Equity","IS_RESTRUCTURING_CHRG_AFTER_TAX","FQ3 2020","FQ3 2020","Currency=USD","Period=FQ","BEST_FPERIOD_OVERRIDE=FQ","FILING_STATUS=MR","SCALING_FORMAT=MLN","Sort=A","Dates=H","DateFormat=P","Fill=—","Direction=H","UseDPDF=Y")</f>
        <v>—</v>
      </c>
      <c r="K43" s="13" t="str">
        <f>_xll.BDH("BLUE US Equity","IS_RESTRUCTURING_CHRG_AFTER_TAX","FQ4 2020","FQ4 2020","Currency=USD","Period=FQ","BEST_FPERIOD_OVERRIDE=FQ","FILING_STATUS=MR","SCALING_FORMAT=MLN","Sort=A","Dates=H","DateFormat=P","Fill=—","Direction=H","UseDPDF=Y")</f>
        <v>—</v>
      </c>
      <c r="L43" s="13" t="str">
        <f>_xll.BDH("BLUE US Equity","IS_RESTRUCTURING_CHRG_AFTER_TAX","FQ1 2021","FQ1 2021","Currency=USD","Period=FQ","BEST_FPERIOD_OVERRIDE=FQ","FILING_STATUS=MR","SCALING_FORMAT=MLN","Sort=A","Dates=H","DateFormat=P","Fill=—","Direction=H","UseDPDF=Y")</f>
        <v>—</v>
      </c>
      <c r="M43" s="13" t="str">
        <f>_xll.BDH("BLUE US Equity","IS_RESTRUCTURING_CHRG_AFTER_TAX","FQ2 2021","FQ2 2021","Currency=USD","Period=FQ","BEST_FPERIOD_OVERRIDE=FQ","FILING_STATUS=MR","SCALING_FORMAT=MLN","Sort=A","Dates=H","DateFormat=P","Fill=—","Direction=H","UseDPDF=Y")</f>
        <v>—</v>
      </c>
      <c r="N43" s="13">
        <f>_xll.BDH("BLUE US Equity","IS_RESTRUCTURING_CHRG_AFTER_TAX","FQ3 2021","FQ3 2021","Currency=USD","Period=FQ","BEST_FPERIOD_OVERRIDE=FQ","FILING_STATUS=MR","SCALING_FORMAT=MLN","Sort=A","Dates=H","DateFormat=P","Fill=—","Direction=H","UseDPDF=Y")</f>
        <v>15.9383</v>
      </c>
      <c r="O43" s="13">
        <f>_xll.BDH("BLUE US Equity","IS_RESTRUCTURING_CHRG_AFTER_TAX","FQ4 2021","FQ4 2021","Currency=USD","Period=FQ","BEST_FPERIOD_OVERRIDE=FQ","FILING_STATUS=MR","SCALING_FORMAT=MLN","Sort=A","Dates=H","DateFormat=P","Fill=—","Direction=H","UseDPDF=Y")</f>
        <v>0.79079999999999995</v>
      </c>
      <c r="P43" s="13" t="str">
        <f>_xll.BDH("BLUE US Equity","IS_RESTRUCTURING_CHRG_AFTER_TAX","FQ1 2022","FQ1 2022","Currency=USD","Period=FQ","BEST_FPERIOD_OVERRIDE=FQ","FILING_STATUS=MR","SCALING_FORMAT=MLN","Sort=A","Dates=H","DateFormat=P","Fill=—","Direction=H","UseDPDF=Y")</f>
        <v>—</v>
      </c>
      <c r="Q43" s="13">
        <f>_xll.BDH("BLUE US Equity","IS_RESTRUCTURING_CHRG_AFTER_TAX","FQ2 2022","FQ2 2022","Currency=USD","Period=FQ","BEST_FPERIOD_OVERRIDE=FQ","FILING_STATUS=MR","SCALING_FORMAT=MLN","Sort=A","Dates=H","DateFormat=P","Fill=—","Direction=H","UseDPDF=Y")</f>
        <v>5.2447999999999997</v>
      </c>
      <c r="R43" s="13">
        <f>_xll.BDH("BLUE US Equity","IS_RESTRUCTURING_CHRG_AFTER_TAX","FQ3 2022","FQ3 2022","Currency=USD","Period=FQ","BEST_FPERIOD_OVERRIDE=FQ","FILING_STATUS=MR","SCALING_FORMAT=MLN","Sort=A","Dates=H","DateFormat=P","Fill=—","Direction=H","UseDPDF=Y")</f>
        <v>-1.3422000000000001</v>
      </c>
      <c r="S43" s="13" t="str">
        <f>_xll.BDH("BLUE US Equity","IS_RESTRUCTURING_CHRG_AFTER_TAX","FQ4 2022","FQ4 2022","Currency=USD","Period=FQ","BEST_FPERIOD_OVERRIDE=FQ","FILING_STATUS=MR","SCALING_FORMAT=MLN","Sort=A","Dates=H","DateFormat=P","Fill=—","Direction=H","UseDPDF=Y")</f>
        <v>—</v>
      </c>
      <c r="T43" s="13" t="str">
        <f>_xll.BDH("BLUE US Equity","IS_RESTRUCTURING_CHRG_AFTER_TAX","FQ1 2023","FQ1 2023","Currency=USD","Period=FQ","BEST_FPERIOD_OVERRIDE=FQ","FILING_STATUS=MR","SCALING_FORMAT=MLN","Sort=A","Dates=H","DateFormat=P","Fill=—","Direction=H","UseDPDF=Y")</f>
        <v>—</v>
      </c>
      <c r="U43" s="13" t="str">
        <f>_xll.BDH("BLUE US Equity","IS_RESTRUCTURING_CHRG_AFTER_TAX","FQ2 2023","FQ2 2023","Currency=USD","Period=FQ","BEST_FPERIOD_OVERRIDE=FQ","FILING_STATUS=MR","SCALING_FORMAT=MLN","Sort=A","Dates=H","DateFormat=P","Fill=—","Direction=H","UseDPDF=Y")</f>
        <v>—</v>
      </c>
      <c r="V43" s="13" t="str">
        <f>_xll.BDH("BLUE US Equity","IS_RESTRUCTURING_CHRG_AFTER_TAX","FQ3 2023","FQ3 2023","Currency=USD","Period=FQ","BEST_FPERIOD_OVERRIDE=FQ","FILING_STATUS=MR","SCALING_FORMAT=MLN","Sort=A","Dates=H","DateFormat=P","Fill=—","Direction=H","UseDPDF=Y")</f>
        <v>—</v>
      </c>
      <c r="W43" s="13" t="str">
        <f>_xll.BDH("BLUE US Equity","IS_RESTRUCTURING_CHRG_AFTER_TAX","FQ4 2023","FQ4 2023","Currency=USD","Period=FQ","BEST_FPERIOD_OVERRIDE=FQ","FILING_STATUS=MR","SCALING_FORMAT=MLN","Sort=A","Dates=H","DateFormat=P","Fill=—","Direction=H","UseDPDF=Y")</f>
        <v>—</v>
      </c>
      <c r="X43" s="13" t="str">
        <f>_xll.BDH("BLUE US Equity","IS_RESTRUCTURING_CHRG_AFTER_TAX","FQ1 2024","FQ1 2024","Currency=USD","Period=FQ","BEST_FPERIOD_OVERRIDE=FQ","FILING_STATUS=MR","SCALING_FORMAT=MLN","Sort=A","Dates=H","DateFormat=P","Fill=—","Direction=H","UseDPDF=Y")</f>
        <v>—</v>
      </c>
      <c r="Y43" s="13" t="str">
        <f>_xll.BDH("BLUE US Equity","IS_RESTRUCTURING_CHRG_AFTER_TAX","FQ2 2024","FQ2 2024","Currency=USD","Period=FQ","BEST_FPERIOD_OVERRIDE=FQ","FILING_STATUS=MR","SCALING_FORMAT=MLN","Sort=A","Dates=H","DateFormat=P","Fill=—","Direction=H","UseDPDF=Y")</f>
        <v>—</v>
      </c>
      <c r="Z43" s="13">
        <f>_xll.BDH("BLUE US Equity","IS_RESTRUCTURING_CHRG_AFTER_TAX","FQ3 2024","FQ3 2024","Currency=USD","Period=FQ","BEST_FPERIOD_OVERRIDE=FQ","FILING_STATUS=MR","SCALING_FORMAT=MLN","Sort=A","Dates=H","DateFormat=P","Fill=—","Direction=H","UseDPDF=Y")</f>
        <v>2.2206999999999999</v>
      </c>
      <c r="AA43" s="13">
        <f>_xll.BDH("BLUE US Equity","IS_RESTRUCTURING_CHRG_AFTER_TAX","FQ4 2024","FQ4 2024","Currency=USD","Period=FQ","BEST_FPERIOD_OVERRIDE=FQ","FILING_STATUS=MR","SCALING_FORMAT=MLN","Sort=A","Dates=H","DateFormat=P","Fill=—","Direction=H","UseDPDF=Y")</f>
        <v>-3.8699999999999998E-2</v>
      </c>
    </row>
    <row r="44" spans="1:27" x14ac:dyDescent="0.25">
      <c r="A44" s="10" t="s">
        <v>543</v>
      </c>
      <c r="B44" s="10" t="s">
        <v>556</v>
      </c>
      <c r="C44" s="13" t="str">
        <f>_xll.BDH("BLUE US Equity","IS_SALE_OF_INVESTMENTS_AFTER_TAX","FQ4 2018","FQ4 2018","Currency=USD","Period=FQ","BEST_FPERIOD_OVERRIDE=FQ","FILING_STATUS=MR","SCALING_FORMAT=MLN","Sort=A","Dates=H","DateFormat=P","Fill=—","Direction=H","UseDPDF=Y")</f>
        <v>—</v>
      </c>
      <c r="D44" s="13" t="str">
        <f>_xll.BDH("BLUE US Equity","IS_SALE_OF_INVESTMENTS_AFTER_TAX","FQ1 2019","FQ1 2019","Currency=USD","Period=FQ","BEST_FPERIOD_OVERRIDE=FQ","FILING_STATUS=MR","SCALING_FORMAT=MLN","Sort=A","Dates=H","DateFormat=P","Fill=—","Direction=H","UseDPDF=Y")</f>
        <v>—</v>
      </c>
      <c r="E44" s="13" t="str">
        <f>_xll.BDH("BLUE US Equity","IS_SALE_OF_INVESTMENTS_AFTER_TAX","FQ2 2019","FQ2 2019","Currency=USD","Period=FQ","BEST_FPERIOD_OVERRIDE=FQ","FILING_STATUS=MR","SCALING_FORMAT=MLN","Sort=A","Dates=H","DateFormat=P","Fill=—","Direction=H","UseDPDF=Y")</f>
        <v>—</v>
      </c>
      <c r="F44" s="13" t="str">
        <f>_xll.BDH("BLUE US Equity","IS_SALE_OF_INVESTMENTS_AFTER_TAX","FQ3 2019","FQ3 2019","Currency=USD","Period=FQ","BEST_FPERIOD_OVERRIDE=FQ","FILING_STATUS=MR","SCALING_FORMAT=MLN","Sort=A","Dates=H","DateFormat=P","Fill=—","Direction=H","UseDPDF=Y")</f>
        <v>—</v>
      </c>
      <c r="G44" s="13" t="str">
        <f>_xll.BDH("BLUE US Equity","IS_SALE_OF_INVESTMENTS_AFTER_TAX","FQ4 2019","FQ4 2019","Currency=USD","Period=FQ","BEST_FPERIOD_OVERRIDE=FQ","FILING_STATUS=MR","SCALING_FORMAT=MLN","Sort=A","Dates=H","DateFormat=P","Fill=—","Direction=H","UseDPDF=Y")</f>
        <v>—</v>
      </c>
      <c r="H44" s="13" t="str">
        <f>_xll.BDH("BLUE US Equity","IS_SALE_OF_INVESTMENTS_AFTER_TAX","FQ1 2020","FQ1 2020","Currency=USD","Period=FQ","BEST_FPERIOD_OVERRIDE=FQ","FILING_STATUS=MR","SCALING_FORMAT=MLN","Sort=A","Dates=H","DateFormat=P","Fill=—","Direction=H","UseDPDF=Y")</f>
        <v>—</v>
      </c>
      <c r="I44" s="13" t="str">
        <f>_xll.BDH("BLUE US Equity","IS_SALE_OF_INVESTMENTS_AFTER_TAX","FQ2 2020","FQ2 2020","Currency=USD","Period=FQ","BEST_FPERIOD_OVERRIDE=FQ","FILING_STATUS=MR","SCALING_FORMAT=MLN","Sort=A","Dates=H","DateFormat=P","Fill=—","Direction=H","UseDPDF=Y")</f>
        <v>—</v>
      </c>
      <c r="J44" s="13" t="str">
        <f>_xll.BDH("BLUE US Equity","IS_SALE_OF_INVESTMENTS_AFTER_TAX","FQ3 2020","FQ3 2020","Currency=USD","Period=FQ","BEST_FPERIOD_OVERRIDE=FQ","FILING_STATUS=MR","SCALING_FORMAT=MLN","Sort=A","Dates=H","DateFormat=P","Fill=—","Direction=H","UseDPDF=Y")</f>
        <v>—</v>
      </c>
      <c r="K44" s="13" t="str">
        <f>_xll.BDH("BLUE US Equity","IS_SALE_OF_INVESTMENTS_AFTER_TAX","FQ4 2020","FQ4 2020","Currency=USD","Period=FQ","BEST_FPERIOD_OVERRIDE=FQ","FILING_STATUS=MR","SCALING_FORMAT=MLN","Sort=A","Dates=H","DateFormat=P","Fill=—","Direction=H","UseDPDF=Y")</f>
        <v>—</v>
      </c>
      <c r="L44" s="13">
        <f>_xll.BDH("BLUE US Equity","IS_SALE_OF_INVESTMENTS_AFTER_TAX","FQ1 2021","FQ1 2021","Currency=USD","Period=FQ","BEST_FPERIOD_OVERRIDE=FQ","FILING_STATUS=MR","SCALING_FORMAT=MLN","Sort=A","Dates=H","DateFormat=P","Fill=—","Direction=H","UseDPDF=Y")</f>
        <v>-22.413900000000002</v>
      </c>
      <c r="M44" s="13" t="str">
        <f>_xll.BDH("BLUE US Equity","IS_SALE_OF_INVESTMENTS_AFTER_TAX","FQ2 2021","FQ2 2021","Currency=USD","Period=FQ","BEST_FPERIOD_OVERRIDE=FQ","FILING_STATUS=MR","SCALING_FORMAT=MLN","Sort=A","Dates=H","DateFormat=P","Fill=—","Direction=H","UseDPDF=Y")</f>
        <v>—</v>
      </c>
      <c r="N44" s="13">
        <f>_xll.BDH("BLUE US Equity","IS_SALE_OF_INVESTMENTS_AFTER_TAX","FQ3 2021","FQ3 2021","Currency=USD","Period=FQ","BEST_FPERIOD_OVERRIDE=FQ","FILING_STATUS=MR","SCALING_FORMAT=MLN","Sort=A","Dates=H","DateFormat=P","Fill=—","Direction=H","UseDPDF=Y")</f>
        <v>-22.724399999999999</v>
      </c>
      <c r="O44" s="13" t="str">
        <f>_xll.BDH("BLUE US Equity","IS_SALE_OF_INVESTMENTS_AFTER_TAX","FQ4 2021","FQ4 2021","Currency=USD","Period=FQ","BEST_FPERIOD_OVERRIDE=FQ","FILING_STATUS=MR","SCALING_FORMAT=MLN","Sort=A","Dates=H","DateFormat=P","Fill=—","Direction=H","UseDPDF=Y")</f>
        <v>—</v>
      </c>
      <c r="P44" s="13">
        <f>_xll.BDH("BLUE US Equity","IS_SALE_OF_INVESTMENTS_AFTER_TAX","FQ1 2022","FQ1 2022","Currency=USD","Period=FQ","BEST_FPERIOD_OVERRIDE=FQ","FILING_STATUS=MR","SCALING_FORMAT=MLN","Sort=A","Dates=H","DateFormat=P","Fill=—","Direction=H","UseDPDF=Y")</f>
        <v>1.9813000000000001</v>
      </c>
      <c r="Q44" s="13">
        <f>_xll.BDH("BLUE US Equity","IS_SALE_OF_INVESTMENTS_AFTER_TAX","FQ2 2022","FQ2 2022","Currency=USD","Period=FQ","BEST_FPERIOD_OVERRIDE=FQ","FILING_STATUS=MR","SCALING_FORMAT=MLN","Sort=A","Dates=H","DateFormat=P","Fill=—","Direction=H","UseDPDF=Y")</f>
        <v>0.49530000000000002</v>
      </c>
      <c r="R44" s="13">
        <f>_xll.BDH("BLUE US Equity","IS_SALE_OF_INVESTMENTS_AFTER_TAX","FQ3 2022","FQ3 2022","Currency=USD","Period=FQ","BEST_FPERIOD_OVERRIDE=FQ","FILING_STATUS=MR","SCALING_FORMAT=MLN","Sort=A","Dates=H","DateFormat=P","Fill=—","Direction=H","UseDPDF=Y")</f>
        <v>2.4765999999999999</v>
      </c>
      <c r="S44" s="13">
        <f>_xll.BDH("BLUE US Equity","IS_SALE_OF_INVESTMENTS_AFTER_TAX","FQ4 2022","FQ4 2022","Currency=USD","Period=FQ","BEST_FPERIOD_OVERRIDE=FQ","FILING_STATUS=MR","SCALING_FORMAT=MLN","Sort=A","Dates=H","DateFormat=P","Fill=—","Direction=H","UseDPDF=Y")</f>
        <v>-4.9532999999999996</v>
      </c>
      <c r="T44" s="13" t="str">
        <f>_xll.BDH("BLUE US Equity","IS_SALE_OF_INVESTMENTS_AFTER_TAX","FQ1 2023","FQ1 2023","Currency=USD","Period=FQ","BEST_FPERIOD_OVERRIDE=FQ","FILING_STATUS=MR","SCALING_FORMAT=MLN","Sort=A","Dates=H","DateFormat=P","Fill=—","Direction=H","UseDPDF=Y")</f>
        <v>—</v>
      </c>
      <c r="U44" s="13" t="str">
        <f>_xll.BDH("BLUE US Equity","IS_SALE_OF_INVESTMENTS_AFTER_TAX","FQ2 2023","FQ2 2023","Currency=USD","Period=FQ","BEST_FPERIOD_OVERRIDE=FQ","FILING_STATUS=MR","SCALING_FORMAT=MLN","Sort=A","Dates=H","DateFormat=P","Fill=—","Direction=H","UseDPDF=Y")</f>
        <v>—</v>
      </c>
      <c r="V44" s="13" t="str">
        <f>_xll.BDH("BLUE US Equity","IS_SALE_OF_INVESTMENTS_AFTER_TAX","FQ3 2023","FQ3 2023","Currency=USD","Period=FQ","BEST_FPERIOD_OVERRIDE=FQ","FILING_STATUS=MR","SCALING_FORMAT=MLN","Sort=A","Dates=H","DateFormat=P","Fill=—","Direction=H","UseDPDF=Y")</f>
        <v>—</v>
      </c>
      <c r="W44" s="13" t="str">
        <f>_xll.BDH("BLUE US Equity","IS_SALE_OF_INVESTMENTS_AFTER_TAX","FQ4 2023","FQ4 2023","Currency=USD","Period=FQ","BEST_FPERIOD_OVERRIDE=FQ","FILING_STATUS=MR","SCALING_FORMAT=MLN","Sort=A","Dates=H","DateFormat=P","Fill=—","Direction=H","UseDPDF=Y")</f>
        <v>—</v>
      </c>
      <c r="X44" s="13" t="str">
        <f>_xll.BDH("BLUE US Equity","IS_SALE_OF_INVESTMENTS_AFTER_TAX","FQ1 2024","FQ1 2024","Currency=USD","Period=FQ","BEST_FPERIOD_OVERRIDE=FQ","FILING_STATUS=MR","SCALING_FORMAT=MLN","Sort=A","Dates=H","DateFormat=P","Fill=—","Direction=H","UseDPDF=Y")</f>
        <v>—</v>
      </c>
      <c r="Y44" s="13" t="str">
        <f>_xll.BDH("BLUE US Equity","IS_SALE_OF_INVESTMENTS_AFTER_TAX","FQ2 2024","FQ2 2024","Currency=USD","Period=FQ","BEST_FPERIOD_OVERRIDE=FQ","FILING_STATUS=MR","SCALING_FORMAT=MLN","Sort=A","Dates=H","DateFormat=P","Fill=—","Direction=H","UseDPDF=Y")</f>
        <v>—</v>
      </c>
      <c r="Z44" s="13" t="str">
        <f>_xll.BDH("BLUE US Equity","IS_SALE_OF_INVESTMENTS_AFTER_TAX","FQ3 2024","FQ3 2024","Currency=USD","Period=FQ","BEST_FPERIOD_OVERRIDE=FQ","FILING_STATUS=MR","SCALING_FORMAT=MLN","Sort=A","Dates=H","DateFormat=P","Fill=—","Direction=H","UseDPDF=Y")</f>
        <v>—</v>
      </c>
      <c r="AA44" s="13" t="str">
        <f>_xll.BDH("BLUE US Equity","IS_SALE_OF_INVESTMENTS_AFTER_TAX","FQ4 2024","FQ4 2024","Currency=USD","Period=FQ","BEST_FPERIOD_OVERRIDE=FQ","FILING_STATUS=MR","SCALING_FORMAT=MLN","Sort=A","Dates=H","DateFormat=P","Fill=—","Direction=H","UseDPDF=Y")</f>
        <v>—</v>
      </c>
    </row>
    <row r="45" spans="1:27" x14ac:dyDescent="0.25">
      <c r="A45" s="10" t="s">
        <v>545</v>
      </c>
      <c r="B45" s="10" t="s">
        <v>557</v>
      </c>
      <c r="C45" s="13" t="str">
        <f>_xll.BDH("BLUE US Equity","IS_OTH_ONE_TIME_ITEMS_AFTER_TAX","FQ4 2018","FQ4 2018","Currency=USD","Period=FQ","BEST_FPERIOD_OVERRIDE=FQ","FILING_STATUS=MR","SCALING_FORMAT=MLN","Sort=A","Dates=H","DateFormat=P","Fill=—","Direction=H","UseDPDF=Y")</f>
        <v>—</v>
      </c>
      <c r="D45" s="13" t="str">
        <f>_xll.BDH("BLUE US Equity","IS_OTH_ONE_TIME_ITEMS_AFTER_TAX","FQ1 2019","FQ1 2019","Currency=USD","Period=FQ","BEST_FPERIOD_OVERRIDE=FQ","FILING_STATUS=MR","SCALING_FORMAT=MLN","Sort=A","Dates=H","DateFormat=P","Fill=—","Direction=H","UseDPDF=Y")</f>
        <v>—</v>
      </c>
      <c r="E45" s="13" t="str">
        <f>_xll.BDH("BLUE US Equity","IS_OTH_ONE_TIME_ITEMS_AFTER_TAX","FQ2 2019","FQ2 2019","Currency=USD","Period=FQ","BEST_FPERIOD_OVERRIDE=FQ","FILING_STATUS=MR","SCALING_FORMAT=MLN","Sort=A","Dates=H","DateFormat=P","Fill=—","Direction=H","UseDPDF=Y")</f>
        <v>—</v>
      </c>
      <c r="F45" s="13" t="str">
        <f>_xll.BDH("BLUE US Equity","IS_OTH_ONE_TIME_ITEMS_AFTER_TAX","FQ3 2019","FQ3 2019","Currency=USD","Period=FQ","BEST_FPERIOD_OVERRIDE=FQ","FILING_STATUS=MR","SCALING_FORMAT=MLN","Sort=A","Dates=H","DateFormat=P","Fill=—","Direction=H","UseDPDF=Y")</f>
        <v>—</v>
      </c>
      <c r="G45" s="13" t="str">
        <f>_xll.BDH("BLUE US Equity","IS_OTH_ONE_TIME_ITEMS_AFTER_TAX","FQ4 2019","FQ4 2019","Currency=USD","Period=FQ","BEST_FPERIOD_OVERRIDE=FQ","FILING_STATUS=MR","SCALING_FORMAT=MLN","Sort=A","Dates=H","DateFormat=P","Fill=—","Direction=H","UseDPDF=Y")</f>
        <v>—</v>
      </c>
      <c r="H45" s="13" t="str">
        <f>_xll.BDH("BLUE US Equity","IS_OTH_ONE_TIME_ITEMS_AFTER_TAX","FQ1 2020","FQ1 2020","Currency=USD","Period=FQ","BEST_FPERIOD_OVERRIDE=FQ","FILING_STATUS=MR","SCALING_FORMAT=MLN","Sort=A","Dates=H","DateFormat=P","Fill=—","Direction=H","UseDPDF=Y")</f>
        <v>—</v>
      </c>
      <c r="I45" s="13" t="str">
        <f>_xll.BDH("BLUE US Equity","IS_OTH_ONE_TIME_ITEMS_AFTER_TAX","FQ2 2020","FQ2 2020","Currency=USD","Period=FQ","BEST_FPERIOD_OVERRIDE=FQ","FILING_STATUS=MR","SCALING_FORMAT=MLN","Sort=A","Dates=H","DateFormat=P","Fill=—","Direction=H","UseDPDF=Y")</f>
        <v>—</v>
      </c>
      <c r="J45" s="13" t="str">
        <f>_xll.BDH("BLUE US Equity","IS_OTH_ONE_TIME_ITEMS_AFTER_TAX","FQ3 2020","FQ3 2020","Currency=USD","Period=FQ","BEST_FPERIOD_OVERRIDE=FQ","FILING_STATUS=MR","SCALING_FORMAT=MLN","Sort=A","Dates=H","DateFormat=P","Fill=—","Direction=H","UseDPDF=Y")</f>
        <v>—</v>
      </c>
      <c r="K45" s="13" t="str">
        <f>_xll.BDH("BLUE US Equity","IS_OTH_ONE_TIME_ITEMS_AFTER_TAX","FQ4 2020","FQ4 2020","Currency=USD","Period=FQ","BEST_FPERIOD_OVERRIDE=FQ","FILING_STATUS=MR","SCALING_FORMAT=MLN","Sort=A","Dates=H","DateFormat=P","Fill=—","Direction=H","UseDPDF=Y")</f>
        <v>—</v>
      </c>
      <c r="L45" s="13" t="str">
        <f>_xll.BDH("BLUE US Equity","IS_OTH_ONE_TIME_ITEMS_AFTER_TAX","FQ1 2021","FQ1 2021","Currency=USD","Period=FQ","BEST_FPERIOD_OVERRIDE=FQ","FILING_STATUS=MR","SCALING_FORMAT=MLN","Sort=A","Dates=H","DateFormat=P","Fill=—","Direction=H","UseDPDF=Y")</f>
        <v>—</v>
      </c>
      <c r="M45" s="13" t="str">
        <f>_xll.BDH("BLUE US Equity","IS_OTH_ONE_TIME_ITEMS_AFTER_TAX","FQ2 2021","FQ2 2021","Currency=USD","Period=FQ","BEST_FPERIOD_OVERRIDE=FQ","FILING_STATUS=MR","SCALING_FORMAT=MLN","Sort=A","Dates=H","DateFormat=P","Fill=—","Direction=H","UseDPDF=Y")</f>
        <v>—</v>
      </c>
      <c r="N45" s="13" t="str">
        <f>_xll.BDH("BLUE US Equity","IS_OTH_ONE_TIME_ITEMS_AFTER_TAX","FQ3 2021","FQ3 2021","Currency=USD","Period=FQ","BEST_FPERIOD_OVERRIDE=FQ","FILING_STATUS=MR","SCALING_FORMAT=MLN","Sort=A","Dates=H","DateFormat=P","Fill=—","Direction=H","UseDPDF=Y")</f>
        <v>—</v>
      </c>
      <c r="O45" s="13" t="str">
        <f>_xll.BDH("BLUE US Equity","IS_OTH_ONE_TIME_ITEMS_AFTER_TAX","FQ4 2021","FQ4 2021","Currency=USD","Period=FQ","BEST_FPERIOD_OVERRIDE=FQ","FILING_STATUS=MR","SCALING_FORMAT=MLN","Sort=A","Dates=H","DateFormat=P","Fill=—","Direction=H","UseDPDF=Y")</f>
        <v>—</v>
      </c>
      <c r="P45" s="13" t="str">
        <f>_xll.BDH("BLUE US Equity","IS_OTH_ONE_TIME_ITEMS_AFTER_TAX","FQ1 2022","FQ1 2022","Currency=USD","Period=FQ","BEST_FPERIOD_OVERRIDE=FQ","FILING_STATUS=MR","SCALING_FORMAT=MLN","Sort=A","Dates=H","DateFormat=P","Fill=—","Direction=H","UseDPDF=Y")</f>
        <v>—</v>
      </c>
      <c r="Q45" s="13" t="str">
        <f>_xll.BDH("BLUE US Equity","IS_OTH_ONE_TIME_ITEMS_AFTER_TAX","FQ2 2022","FQ2 2022","Currency=USD","Period=FQ","BEST_FPERIOD_OVERRIDE=FQ","FILING_STATUS=MR","SCALING_FORMAT=MLN","Sort=A","Dates=H","DateFormat=P","Fill=—","Direction=H","UseDPDF=Y")</f>
        <v>—</v>
      </c>
      <c r="R45" s="13" t="str">
        <f>_xll.BDH("BLUE US Equity","IS_OTH_ONE_TIME_ITEMS_AFTER_TAX","FQ3 2022","FQ3 2022","Currency=USD","Period=FQ","BEST_FPERIOD_OVERRIDE=FQ","FILING_STATUS=MR","SCALING_FORMAT=MLN","Sort=A","Dates=H","DateFormat=P","Fill=—","Direction=H","UseDPDF=Y")</f>
        <v>—</v>
      </c>
      <c r="S45" s="13">
        <f>_xll.BDH("BLUE US Equity","IS_OTH_ONE_TIME_ITEMS_AFTER_TAX","FQ4 2022","FQ4 2022","Currency=USD","Period=FQ","BEST_FPERIOD_OVERRIDE=FQ","FILING_STATUS=MR","SCALING_FORMAT=MLN","Sort=A","Dates=H","DateFormat=P","Fill=—","Direction=H","UseDPDF=Y")</f>
        <v>-80.58</v>
      </c>
      <c r="T45" s="13">
        <f>_xll.BDH("BLUE US Equity","IS_OTH_ONE_TIME_ITEMS_AFTER_TAX","FQ1 2023","FQ1 2023","Currency=USD","Period=FQ","BEST_FPERIOD_OVERRIDE=FQ","FILING_STATUS=MR","SCALING_FORMAT=MLN","Sort=A","Dates=H","DateFormat=P","Fill=—","Direction=H","UseDPDF=Y")</f>
        <v>-73.414699999999996</v>
      </c>
      <c r="U45" s="13" t="str">
        <f>_xll.BDH("BLUE US Equity","IS_OTH_ONE_TIME_ITEMS_AFTER_TAX","FQ2 2023","FQ2 2023","Currency=USD","Period=FQ","BEST_FPERIOD_OVERRIDE=FQ","FILING_STATUS=MR","SCALING_FORMAT=MLN","Sort=A","Dates=H","DateFormat=P","Fill=—","Direction=H","UseDPDF=Y")</f>
        <v>—</v>
      </c>
      <c r="V45" s="13" t="str">
        <f>_xll.BDH("BLUE US Equity","IS_OTH_ONE_TIME_ITEMS_AFTER_TAX","FQ3 2023","FQ3 2023","Currency=USD","Period=FQ","BEST_FPERIOD_OVERRIDE=FQ","FILING_STATUS=MR","SCALING_FORMAT=MLN","Sort=A","Dates=H","DateFormat=P","Fill=—","Direction=H","UseDPDF=Y")</f>
        <v>—</v>
      </c>
      <c r="W45" s="13">
        <f>_xll.BDH("BLUE US Equity","IS_OTH_ONE_TIME_ITEMS_AFTER_TAX","FQ4 2023","FQ4 2023","Currency=USD","Period=FQ","BEST_FPERIOD_OVERRIDE=FQ","FILING_STATUS=MR","SCALING_FORMAT=MLN","Sort=A","Dates=H","DateFormat=P","Fill=—","Direction=H","UseDPDF=Y")</f>
        <v>0</v>
      </c>
      <c r="X45" s="13" t="str">
        <f>_xll.BDH("BLUE US Equity","IS_OTH_ONE_TIME_ITEMS_AFTER_TAX","FQ1 2024","FQ1 2024","Currency=USD","Period=FQ","BEST_FPERIOD_OVERRIDE=FQ","FILING_STATUS=MR","SCALING_FORMAT=MLN","Sort=A","Dates=H","DateFormat=P","Fill=—","Direction=H","UseDPDF=Y")</f>
        <v>—</v>
      </c>
      <c r="Y45" s="13" t="str">
        <f>_xll.BDH("BLUE US Equity","IS_OTH_ONE_TIME_ITEMS_AFTER_TAX","FQ2 2024","FQ2 2024","Currency=USD","Period=FQ","BEST_FPERIOD_OVERRIDE=FQ","FILING_STATUS=MR","SCALING_FORMAT=MLN","Sort=A","Dates=H","DateFormat=P","Fill=—","Direction=H","UseDPDF=Y")</f>
        <v>—</v>
      </c>
      <c r="Z45" s="13" t="str">
        <f>_xll.BDH("BLUE US Equity","IS_OTH_ONE_TIME_ITEMS_AFTER_TAX","FQ3 2024","FQ3 2024","Currency=USD","Period=FQ","BEST_FPERIOD_OVERRIDE=FQ","FILING_STATUS=MR","SCALING_FORMAT=MLN","Sort=A","Dates=H","DateFormat=P","Fill=—","Direction=H","UseDPDF=Y")</f>
        <v>—</v>
      </c>
      <c r="AA45" s="13" t="str">
        <f>_xll.BDH("BLUE US Equity","IS_OTH_ONE_TIME_ITEMS_AFTER_TAX","FQ4 2024","FQ4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6" t="s">
        <v>344</v>
      </c>
      <c r="B46" s="6" t="s">
        <v>80</v>
      </c>
      <c r="C46" s="19">
        <f>_xll.BDH("BLUE US Equity","EARN_FOR_COMMON","FQ4 2018","FQ4 2018","Currency=USD","Period=FQ","BEST_FPERIOD_OVERRIDE=FQ","FILING_STATUS=MR","SCALING_FORMAT=MLN","FA_ADJUSTED=Adjusted","Sort=A","Dates=H","DateFormat=P","Fill=—","Direction=H","UseDPDF=Y")</f>
        <v>-147.31979999999999</v>
      </c>
      <c r="D46" s="19">
        <f>_xll.BDH("BLUE US Equity","EARN_FOR_COMMON","FQ1 2019","FQ1 2019","Currency=USD","Period=FQ","BEST_FPERIOD_OVERRIDE=FQ","FILING_STATUS=MR","SCALING_FORMAT=MLN","FA_ADJUSTED=Adjusted","Sort=A","Dates=H","DateFormat=P","Fill=—","Direction=H","UseDPDF=Y")</f>
        <v>-164.2122</v>
      </c>
      <c r="E46" s="19">
        <f>_xll.BDH("BLUE US Equity","EARN_FOR_COMMON","FQ2 2019","FQ2 2019","Currency=USD","Period=FQ","BEST_FPERIOD_OVERRIDE=FQ","FILING_STATUS=MR","SCALING_FORMAT=MLN","FA_ADJUSTED=Adjusted","Sort=A","Dates=H","DateFormat=P","Fill=—","Direction=H","UseDPDF=Y")</f>
        <v>-195.6129</v>
      </c>
      <c r="F46" s="19">
        <f>_xll.BDH("BLUE US Equity","EARN_FOR_COMMON","FQ3 2019","FQ3 2019","Currency=USD","Period=FQ","BEST_FPERIOD_OVERRIDE=FQ","FILING_STATUS=MR","SCALING_FORMAT=MLN","FA_ADJUSTED=Adjusted","Sort=A","Dates=H","DateFormat=P","Fill=—","Direction=H","UseDPDF=Y")</f>
        <v>-205.39940000000001</v>
      </c>
      <c r="G46" s="19">
        <f>_xll.BDH("BLUE US Equity","EARN_FOR_COMMON","FQ4 2019","FQ4 2019","Currency=USD","Period=FQ","BEST_FPERIOD_OVERRIDE=FQ","FILING_STATUS=MR","SCALING_FORMAT=MLN","FA_ADJUSTED=Adjusted","Sort=A","Dates=H","DateFormat=P","Fill=—","Direction=H","UseDPDF=Y")</f>
        <v>-222.21340000000001</v>
      </c>
      <c r="H46" s="19">
        <f>_xll.BDH("BLUE US Equity","EARN_FOR_COMMON","FQ1 2020","FQ1 2020","Currency=USD","Period=FQ","BEST_FPERIOD_OVERRIDE=FQ","FILING_STATUS=MR","SCALING_FORMAT=MLN","FA_ADJUSTED=Adjusted","Sort=A","Dates=H","DateFormat=P","Fill=—","Direction=H","UseDPDF=Y")</f>
        <v>-205.06630000000001</v>
      </c>
      <c r="I46" s="19">
        <f>_xll.BDH("BLUE US Equity","EARN_FOR_COMMON","FQ2 2020","FQ2 2020","Currency=USD","Period=FQ","BEST_FPERIOD_OVERRIDE=FQ","FILING_STATUS=MR","SCALING_FORMAT=MLN","FA_ADJUSTED=Adjusted","Sort=A","Dates=H","DateFormat=P","Fill=—","Direction=H","UseDPDF=Y")</f>
        <v>-22.772500000000001</v>
      </c>
      <c r="J46" s="19">
        <f>_xll.BDH("BLUE US Equity","EARN_FOR_COMMON","FQ3 2020","FQ3 2020","Currency=USD","Period=FQ","BEST_FPERIOD_OVERRIDE=FQ","FILING_STATUS=MR","SCALING_FORMAT=MLN","FA_ADJUSTED=Adjusted","Sort=A","Dates=H","DateFormat=P","Fill=—","Direction=H","UseDPDF=Y")</f>
        <v>-195.3991</v>
      </c>
      <c r="K46" s="19">
        <f>_xll.BDH("BLUE US Equity","EARN_FOR_COMMON","FQ4 2020","FQ4 2020","Currency=USD","Period=FQ","BEST_FPERIOD_OVERRIDE=FQ","FILING_STATUS=MR","SCALING_FORMAT=MLN","FA_ADJUSTED=Adjusted","Sort=A","Dates=H","DateFormat=P","Fill=—","Direction=H","UseDPDF=Y")</f>
        <v>-136.321</v>
      </c>
      <c r="L46" s="19">
        <f>_xll.BDH("BLUE US Equity","EARN_FOR_COMMON","FQ1 2021","FQ1 2021","Currency=USD","Period=FQ","BEST_FPERIOD_OVERRIDE=FQ","FILING_STATUS=MR","SCALING_FORMAT=MLN","FA_ADJUSTED=Adjusted","Sort=A","Dates=H","DateFormat=P","Fill=—","Direction=H","UseDPDF=Y")</f>
        <v>-143.62639999999999</v>
      </c>
      <c r="M46" s="19">
        <f>_xll.BDH("BLUE US Equity","EARN_FOR_COMMON","FQ2 2021","FQ2 2021","Currency=USD","Period=FQ","BEST_FPERIOD_OVERRIDE=FQ","FILING_STATUS=MR","SCALING_FORMAT=MLN","FA_ADJUSTED=Adjusted","Sort=A","Dates=H","DateFormat=P","Fill=—","Direction=H","UseDPDF=Y")</f>
        <v>-241.66489999999999</v>
      </c>
      <c r="N46" s="19">
        <f>_xll.BDH("BLUE US Equity","EARN_FOR_COMMON","FQ3 2021","FQ3 2021","Currency=USD","Period=FQ","BEST_FPERIOD_OVERRIDE=FQ","FILING_STATUS=MR","SCALING_FORMAT=MLN","FA_ADJUSTED=Adjusted","Sort=A","Dates=H","DateFormat=P","Fill=—","Direction=H","UseDPDF=Y")</f>
        <v>-159.62010000000001</v>
      </c>
      <c r="O46" s="19">
        <f>_xll.BDH("BLUE US Equity","EARN_FOR_COMMON","FQ4 2021","FQ4 2021","Currency=USD","Period=FQ","BEST_FPERIOD_OVERRIDE=FQ","FILING_STATUS=MR","SCALING_FORMAT=MLN","FA_ADJUSTED=Adjusted","Sort=A","Dates=H","DateFormat=P","Fill=—","Direction=H","UseDPDF=Y")</f>
        <v>-131.59700000000001</v>
      </c>
      <c r="P46" s="19">
        <f>_xll.BDH("BLUE US Equity","EARN_FOR_COMMON","FQ1 2022","FQ1 2022","Currency=USD","Period=FQ","BEST_FPERIOD_OVERRIDE=FQ","FILING_STATUS=MR","SCALING_FORMAT=MLN","FA_ADJUSTED=Adjusted","Sort=A","Dates=H","DateFormat=P","Fill=—","Direction=H","UseDPDF=Y")</f>
        <v>-120.1707</v>
      </c>
      <c r="Q46" s="19">
        <f>_xll.BDH("BLUE US Equity","EARN_FOR_COMMON","FQ2 2022","FQ2 2022","Currency=USD","Period=FQ","BEST_FPERIOD_OVERRIDE=FQ","FILING_STATUS=MR","SCALING_FORMAT=MLN","FA_ADJUSTED=Adjusted","Sort=A","Dates=H","DateFormat=P","Fill=—","Direction=H","UseDPDF=Y")</f>
        <v>-94.397900000000007</v>
      </c>
      <c r="R46" s="19">
        <f>_xll.BDH("BLUE US Equity","EARN_FOR_COMMON","FQ3 2022","FQ3 2022","Currency=USD","Period=FQ","BEST_FPERIOD_OVERRIDE=FQ","FILING_STATUS=MR","SCALING_FORMAT=MLN","FA_ADJUSTED=Adjusted","Sort=A","Dates=H","DateFormat=P","Fill=—","Direction=H","UseDPDF=Y")</f>
        <v>-75.385599999999997</v>
      </c>
      <c r="S46" s="19">
        <f>_xll.BDH("BLUE US Equity","EARN_FOR_COMMON","FQ4 2022","FQ4 2022","Currency=USD","Period=FQ","BEST_FPERIOD_OVERRIDE=FQ","FILING_STATUS=MR","SCALING_FORMAT=MLN","FA_ADJUSTED=Adjusted","Sort=A","Dates=H","DateFormat=P","Fill=—","Direction=H","UseDPDF=Y")</f>
        <v>-17.065300000000001</v>
      </c>
      <c r="T46" s="19">
        <f>_xll.BDH("BLUE US Equity","EARN_FOR_COMMON","FQ1 2023","FQ1 2023","Currency=USD","Period=FQ","BEST_FPERIOD_OVERRIDE=FQ","FILING_STATUS=MR","SCALING_FORMAT=MLN","FA_ADJUSTED=Adjusted","Sort=A","Dates=H","DateFormat=P","Fill=—","Direction=H","UseDPDF=Y")</f>
        <v>-54.484699999999997</v>
      </c>
      <c r="U46" s="19">
        <f>_xll.BDH("BLUE US Equity","EARN_FOR_COMMON","FQ2 2023","FQ2 2023","Currency=USD","Period=FQ","BEST_FPERIOD_OVERRIDE=FQ","FILING_STATUS=MR","SCALING_FORMAT=MLN","FA_ADJUSTED=Adjusted","Sort=A","Dates=H","DateFormat=P","Fill=—","Direction=H","UseDPDF=Y")</f>
        <v>-62.789000000000001</v>
      </c>
      <c r="V46" s="19">
        <f>_xll.BDH("BLUE US Equity","EARN_FOR_COMMON","FQ3 2023","FQ3 2023","Currency=USD","Period=FQ","BEST_FPERIOD_OVERRIDE=FQ","FILING_STATUS=MR","SCALING_FORMAT=MLN","FA_ADJUSTED=Adjusted","Sort=A","Dates=H","DateFormat=P","Fill=—","Direction=H","UseDPDF=Y")</f>
        <v>-87.231999999999999</v>
      </c>
      <c r="W46" s="19">
        <f>_xll.BDH("BLUE US Equity","EARN_FOR_COMMON","FQ4 2023","FQ4 2023","Currency=USD","Period=FQ","BEST_FPERIOD_OVERRIDE=FQ","FILING_STATUS=MR","SCALING_FORMAT=MLN","FA_ADJUSTED=Adjusted","Sort=A","Dates=H","DateFormat=P","Fill=—","Direction=H","UseDPDF=Y")</f>
        <v>-88.513999999999996</v>
      </c>
      <c r="X46" s="19">
        <f>_xll.BDH("BLUE US Equity","EARN_FOR_COMMON","FQ1 2024","FQ1 2024","Currency=USD","Period=FQ","BEST_FPERIOD_OVERRIDE=FQ","FILING_STATUS=MR","SCALING_FORMAT=MLN","FA_ADJUSTED=Adjusted","Sort=A","Dates=H","DateFormat=P","Fill=—","Direction=H","UseDPDF=Y")</f>
        <v>-69.804000000000002</v>
      </c>
      <c r="Y46" s="19">
        <f>_xll.BDH("BLUE US Equity","EARN_FOR_COMMON","FQ2 2024","FQ2 2024","Currency=USD","Period=FQ","BEST_FPERIOD_OVERRIDE=FQ","FILING_STATUS=MR","SCALING_FORMAT=MLN","FA_ADJUSTED=Adjusted","Sort=A","Dates=H","DateFormat=P","Fill=—","Direction=H","UseDPDF=Y")</f>
        <v>-81.393000000000001</v>
      </c>
      <c r="Z46" s="19">
        <f>_xll.BDH("BLUE US Equity","EARN_FOR_COMMON","FQ3 2024","FQ3 2024","Currency=USD","Period=FQ","BEST_FPERIOD_OVERRIDE=FQ","FILING_STATUS=MR","SCALING_FORMAT=MLN","FA_ADJUSTED=Adjusted","Sort=A","Dates=H","DateFormat=P","Fill=—","Direction=H","UseDPDF=Y")</f>
        <v>-58.587299999999999</v>
      </c>
      <c r="AA46" s="19">
        <f>_xll.BDH("BLUE US Equity","EARN_FOR_COMMON","FQ4 2024","FQ4 2024","Currency=USD","Period=FQ","BEST_FPERIOD_OVERRIDE=FQ","FILING_STATUS=MR","SCALING_FORMAT=MLN","FA_ADJUSTED=Adjusted","Sort=A","Dates=H","DateFormat=P","Fill=—","Direction=H","UseDPDF=Y")</f>
        <v>-28.748699999999999</v>
      </c>
    </row>
    <row r="47" spans="1:27" x14ac:dyDescent="0.25">
      <c r="A47" s="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6" t="s">
        <v>558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6" t="s">
        <v>103</v>
      </c>
      <c r="B49" s="6" t="s">
        <v>104</v>
      </c>
      <c r="C49" s="20">
        <f>_xll.BDH("BLUE US Equity","IS_DILUTED_EPS","FQ4 2018","FQ4 2018","Currency=USD","Period=FQ","BEST_FPERIOD_OVERRIDE=FQ","FILING_STATUS=MR","FA_ADJUSTED=GAAP","Sort=A","Dates=H","DateFormat=P","Fill=—","Direction=H","UseDPDF=Y")</f>
        <v>-54.4</v>
      </c>
      <c r="D49" s="20">
        <f>_xll.BDH("BLUE US Equity","IS_DILUTED_EPS","FQ1 2019","FQ1 2019","Currency=USD","Period=FQ","BEST_FPERIOD_OVERRIDE=FQ","FILING_STATUS=MR","FA_ADJUSTED=GAAP","Sort=A","Dates=H","DateFormat=P","Fill=—","Direction=H","UseDPDF=Y")</f>
        <v>-59.8</v>
      </c>
      <c r="E49" s="20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F49" s="20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G49" s="20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H49" s="20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I49" s="20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J49" s="20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K49" s="20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L49" s="20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M49" s="20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N49" s="20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O49" s="20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P49" s="20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Q49" s="20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R49" s="20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S49" s="20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T49" s="20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U49" s="20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V49" s="20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W49" s="20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X49" s="20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Y49" s="20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Z49" s="20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AA49" s="20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</row>
    <row r="50" spans="1:27" x14ac:dyDescent="0.25">
      <c r="A50" s="10" t="s">
        <v>550</v>
      </c>
      <c r="B50" s="10" t="s">
        <v>559</v>
      </c>
      <c r="C50" s="14" t="str">
        <f>_xll.BDH("BLUE US Equity","IS_DISC_OPS_DILUTED_SH","FQ4 2018","FQ4 2018","Currency=USD","Period=FQ","BEST_FPERIOD_OVERRIDE=FQ","FILING_STATUS=MR","Sort=A","Dates=H","DateFormat=P","Fill=—","Direction=H","UseDPDF=Y")</f>
        <v>—</v>
      </c>
      <c r="D50" s="14">
        <f>_xll.BDH("BLUE US Equity","IS_DISC_OPS_DILUTED_SH","FQ1 2019","FQ1 2019","Currency=USD","Period=FQ","BEST_FPERIOD_OVERRIDE=FQ","FILING_STATUS=MR","Sort=A","Dates=H","DateFormat=P","Fill=—","Direction=H","UseDPDF=Y")</f>
        <v>0</v>
      </c>
      <c r="E50" s="14">
        <f>_xll.BDH("BLUE US Equity","IS_DISC_OPS_DILUTED_SH","FQ2 2019","FQ2 2019","Currency=USD","Period=FQ","BEST_FPERIOD_OVERRIDE=FQ","FILING_STATUS=MR","Sort=A","Dates=H","DateFormat=P","Fill=—","Direction=H","UseDPDF=Y")</f>
        <v>0</v>
      </c>
      <c r="F50" s="14">
        <f>_xll.BDH("BLUE US Equity","IS_DISC_OPS_DILUTED_SH","FQ3 2019","FQ3 2019","Currency=USD","Period=FQ","BEST_FPERIOD_OVERRIDE=FQ","FILING_STATUS=MR","Sort=A","Dates=H","DateFormat=P","Fill=—","Direction=H","UseDPDF=Y")</f>
        <v>0</v>
      </c>
      <c r="G50" s="14">
        <f>_xll.BDH("BLUE US Equity","IS_DISC_OPS_DILUTED_SH","FQ4 2019","FQ4 2019","Currency=USD","Period=FQ","BEST_FPERIOD_OVERRIDE=FQ","FILING_STATUS=MR","Sort=A","Dates=H","DateFormat=P","Fill=—","Direction=H","UseDPDF=Y")</f>
        <v>0</v>
      </c>
      <c r="H50" s="14">
        <f>_xll.BDH("BLUE US Equity","IS_DISC_OPS_DILUTED_SH","FQ1 2020","FQ1 2020","Currency=USD","Period=FQ","BEST_FPERIOD_OVERRIDE=FQ","FILING_STATUS=MR","Sort=A","Dates=H","DateFormat=P","Fill=—","Direction=H","UseDPDF=Y")</f>
        <v>0</v>
      </c>
      <c r="I50" s="14">
        <f>_xll.BDH("BLUE US Equity","IS_DISC_OPS_DILUTED_SH","FQ2 2020","FQ2 2020","Currency=USD","Period=FQ","BEST_FPERIOD_OVERRIDE=FQ","FILING_STATUS=MR","Sort=A","Dates=H","DateFormat=P","Fill=—","Direction=H","UseDPDF=Y")</f>
        <v>0</v>
      </c>
      <c r="J50" s="14">
        <f>_xll.BDH("BLUE US Equity","IS_DISC_OPS_DILUTED_SH","FQ3 2020","FQ3 2020","Currency=USD","Period=FQ","BEST_FPERIOD_OVERRIDE=FQ","FILING_STATUS=MR","Sort=A","Dates=H","DateFormat=P","Fill=—","Direction=H","UseDPDF=Y")</f>
        <v>0</v>
      </c>
      <c r="K50" s="14">
        <f>_xll.BDH("BLUE US Equity","IS_DISC_OPS_DILUTED_SH","FQ4 2020","FQ4 2020","Currency=USD","Period=FQ","BEST_FPERIOD_OVERRIDE=FQ","FILING_STATUS=MR","Sort=A","Dates=H","DateFormat=P","Fill=—","Direction=H","UseDPDF=Y")</f>
        <v>19.2</v>
      </c>
      <c r="L50" s="14">
        <f>_xll.BDH("BLUE US Equity","IS_DISC_OPS_DILUTED_SH","FQ1 2021","FQ1 2021","Currency=USD","Period=FQ","BEST_FPERIOD_OVERRIDE=FQ","FILING_STATUS=MR","Sort=A","Dates=H","DateFormat=P","Fill=—","Direction=H","UseDPDF=Y")</f>
        <v>-25.2</v>
      </c>
      <c r="M50" s="14">
        <f>_xll.BDH("BLUE US Equity","IS_DISC_OPS_DILUTED_SH","FQ2 2021","FQ2 2021","Currency=USD","Period=FQ","BEST_FPERIOD_OVERRIDE=FQ","FILING_STATUS=MR","Sort=A","Dates=H","DateFormat=P","Fill=—","Direction=H","UseDPDF=Y")</f>
        <v>0</v>
      </c>
      <c r="N50" s="14">
        <f>_xll.BDH("BLUE US Equity","IS_DISC_OPS_DILUTED_SH","FQ3 2021","FQ3 2021","Currency=USD","Period=FQ","BEST_FPERIOD_OVERRIDE=FQ","FILING_STATUS=MR","Sort=A","Dates=H","DateFormat=P","Fill=—","Direction=H","UseDPDF=Y")</f>
        <v>-18.600000000000001</v>
      </c>
      <c r="O50" s="14">
        <f>_xll.BDH("BLUE US Equity","IS_DISC_OPS_DILUTED_SH","FQ4 2021","FQ4 2021","Currency=USD","Period=FQ","BEST_FPERIOD_OVERRIDE=FQ","FILING_STATUS=MR","Sort=A","Dates=H","DateFormat=P","Fill=—","Direction=H","UseDPDF=Y")</f>
        <v>6.2</v>
      </c>
      <c r="P50" s="14">
        <f>_xll.BDH("BLUE US Equity","IS_DISC_OPS_DILUTED_SH","FQ1 2022","FQ1 2022","Currency=USD","Period=FQ","BEST_FPERIOD_OVERRIDE=FQ","FILING_STATUS=MR","Sort=A","Dates=H","DateFormat=P","Fill=—","Direction=H","UseDPDF=Y")</f>
        <v>0</v>
      </c>
      <c r="Q50" s="14">
        <f>_xll.BDH("BLUE US Equity","IS_DISC_OPS_DILUTED_SH","FQ2 2022","FQ2 2022","Currency=USD","Period=FQ","BEST_FPERIOD_OVERRIDE=FQ","FILING_STATUS=MR","Sort=A","Dates=H","DateFormat=P","Fill=—","Direction=H","UseDPDF=Y")</f>
        <v>0</v>
      </c>
      <c r="R50" s="14">
        <f>_xll.BDH("BLUE US Equity","IS_DISC_OPS_DILUTED_SH","FQ3 2022","FQ3 2022","Currency=USD","Period=FQ","BEST_FPERIOD_OVERRIDE=FQ","FILING_STATUS=MR","Sort=A","Dates=H","DateFormat=P","Fill=—","Direction=H","UseDPDF=Y")</f>
        <v>0</v>
      </c>
      <c r="S50" s="14">
        <f>_xll.BDH("BLUE US Equity","IS_DISC_OPS_DILUTED_SH","FQ4 2022","FQ4 2022","Currency=USD","Period=FQ","BEST_FPERIOD_OVERRIDE=FQ","FILING_STATUS=MR","Sort=A","Dates=H","DateFormat=P","Fill=—","Direction=H","UseDPDF=Y")</f>
        <v>0</v>
      </c>
      <c r="T50" s="14" t="str">
        <f>_xll.BDH("BLUE US Equity","IS_DISC_OPS_DILUTED_SH","FQ1 2023","FQ1 2023","Currency=USD","Period=FQ","BEST_FPERIOD_OVERRIDE=FQ","FILING_STATUS=MR","Sort=A","Dates=H","DateFormat=P","Fill=—","Direction=H","UseDPDF=Y")</f>
        <v>—</v>
      </c>
      <c r="U50" s="14">
        <f>_xll.BDH("BLUE US Equity","IS_DISC_OPS_DILUTED_SH","FQ2 2023","FQ2 2023","Currency=USD","Period=FQ","BEST_FPERIOD_OVERRIDE=FQ","FILING_STATUS=MR","Sort=A","Dates=H","DateFormat=P","Fill=—","Direction=H","UseDPDF=Y")</f>
        <v>0</v>
      </c>
      <c r="V50" s="14" t="str">
        <f>_xll.BDH("BLUE US Equity","IS_DISC_OPS_DILUTED_SH","FQ3 2023","FQ3 2023","Currency=USD","Period=FQ","BEST_FPERIOD_OVERRIDE=FQ","FILING_STATUS=MR","Sort=A","Dates=H","DateFormat=P","Fill=—","Direction=H","UseDPDF=Y")</f>
        <v>—</v>
      </c>
      <c r="W50" s="14">
        <f>_xll.BDH("BLUE US Equity","IS_DISC_OPS_DILUTED_SH","FQ4 2023","FQ4 2023","Currency=USD","Period=FQ","BEST_FPERIOD_OVERRIDE=FQ","FILING_STATUS=MR","Sort=A","Dates=H","DateFormat=P","Fill=—","Direction=H","UseDPDF=Y")</f>
        <v>0</v>
      </c>
      <c r="X50" s="14" t="str">
        <f>_xll.BDH("BLUE US Equity","IS_DISC_OPS_DILUTED_SH","FQ1 2024","FQ1 2024","Currency=USD","Period=FQ","BEST_FPERIOD_OVERRIDE=FQ","FILING_STATUS=MR","Sort=A","Dates=H","DateFormat=P","Fill=—","Direction=H","UseDPDF=Y")</f>
        <v>—</v>
      </c>
      <c r="Y50" s="14">
        <f>_xll.BDH("BLUE US Equity","IS_DISC_OPS_DILUTED_SH","FQ2 2024","FQ2 2024","Currency=USD","Period=FQ","BEST_FPERIOD_OVERRIDE=FQ","FILING_STATUS=MR","Sort=A","Dates=H","DateFormat=P","Fill=—","Direction=H","UseDPDF=Y")</f>
        <v>0</v>
      </c>
      <c r="Z50" s="14">
        <f>_xll.BDH("BLUE US Equity","IS_DISC_OPS_DILUTED_SH","FQ3 2024","FQ3 2024","Currency=USD","Period=FQ","BEST_FPERIOD_OVERRIDE=FQ","FILING_STATUS=MR","Sort=A","Dates=H","DateFormat=P","Fill=—","Direction=H","UseDPDF=Y")</f>
        <v>0</v>
      </c>
      <c r="AA50" s="14">
        <f>_xll.BDH("BLUE US Equity","IS_DISC_OPS_DILUTED_SH","FQ4 2024","FQ4 2024","Currency=USD","Period=FQ","BEST_FPERIOD_OVERRIDE=FQ","FILING_STATUS=MR","Sort=A","Dates=H","DateFormat=P","Fill=—","Direction=H","UseDPDF=Y")</f>
        <v>0</v>
      </c>
    </row>
    <row r="51" spans="1:27" x14ac:dyDescent="0.25">
      <c r="A51" s="10" t="s">
        <v>551</v>
      </c>
      <c r="B51" s="10" t="s">
        <v>560</v>
      </c>
      <c r="C51" s="14">
        <f>_xll.BDH("BLUE US Equity","IS_XO_ITEMS_ACCT_CHG_DIL_SH","FQ4 2018","FQ4 2018","Currency=USD","Period=FQ","BEST_FPERIOD_OVERRIDE=FQ","FILING_STATUS=MR","Sort=A","Dates=H","DateFormat=P","Fill=—","Direction=H","UseDPDF=Y")</f>
        <v>0</v>
      </c>
      <c r="D51" s="14">
        <f>_xll.BDH("BLUE US Equity","IS_XO_ITEMS_ACCT_CHG_DIL_SH","FQ1 2019","FQ1 2019","Currency=USD","Period=FQ","BEST_FPERIOD_OVERRIDE=FQ","FILING_STATUS=MR","Sort=A","Dates=H","DateFormat=P","Fill=—","Direction=H","UseDPDF=Y")</f>
        <v>0</v>
      </c>
      <c r="E51" s="14">
        <f>_xll.BDH("BLUE US Equity","IS_XO_ITEMS_ACCT_CHG_DIL_SH","FQ2 2019","FQ2 2019","Currency=USD","Period=FQ","BEST_FPERIOD_OVERRIDE=FQ","FILING_STATUS=MR","Sort=A","Dates=H","DateFormat=P","Fill=—","Direction=H","UseDPDF=Y")</f>
        <v>0</v>
      </c>
      <c r="F51" s="14">
        <f>_xll.BDH("BLUE US Equity","IS_XO_ITEMS_ACCT_CHG_DIL_SH","FQ3 2019","FQ3 2019","Currency=USD","Period=FQ","BEST_FPERIOD_OVERRIDE=FQ","FILING_STATUS=MR","Sort=A","Dates=H","DateFormat=P","Fill=—","Direction=H","UseDPDF=Y")</f>
        <v>0</v>
      </c>
      <c r="G51" s="14">
        <f>_xll.BDH("BLUE US Equity","IS_XO_ITEMS_ACCT_CHG_DIL_SH","FQ4 2019","FQ4 2019","Currency=USD","Period=FQ","BEST_FPERIOD_OVERRIDE=FQ","FILING_STATUS=MR","Sort=A","Dates=H","DateFormat=P","Fill=—","Direction=H","UseDPDF=Y")</f>
        <v>0</v>
      </c>
      <c r="H51" s="14">
        <f>_xll.BDH("BLUE US Equity","IS_XO_ITEMS_ACCT_CHG_DIL_SH","FQ1 2020","FQ1 2020","Currency=USD","Period=FQ","BEST_FPERIOD_OVERRIDE=FQ","FILING_STATUS=MR","Sort=A","Dates=H","DateFormat=P","Fill=—","Direction=H","UseDPDF=Y")</f>
        <v>0</v>
      </c>
      <c r="I51" s="14">
        <f>_xll.BDH("BLUE US Equity","IS_XO_ITEMS_ACCT_CHG_DIL_SH","FQ2 2020","FQ2 2020","Currency=USD","Period=FQ","BEST_FPERIOD_OVERRIDE=FQ","FILING_STATUS=MR","Sort=A","Dates=H","DateFormat=P","Fill=—","Direction=H","UseDPDF=Y")</f>
        <v>0</v>
      </c>
      <c r="J51" s="14">
        <f>_xll.BDH("BLUE US Equity","IS_XO_ITEMS_ACCT_CHG_DIL_SH","FQ3 2020","FQ3 2020","Currency=USD","Period=FQ","BEST_FPERIOD_OVERRIDE=FQ","FILING_STATUS=MR","Sort=A","Dates=H","DateFormat=P","Fill=—","Direction=H","UseDPDF=Y")</f>
        <v>0</v>
      </c>
      <c r="K51" s="14">
        <f>_xll.BDH("BLUE US Equity","IS_XO_ITEMS_ACCT_CHG_DIL_SH","FQ4 2020","FQ4 2020","Currency=USD","Period=FQ","BEST_FPERIOD_OVERRIDE=FQ","FILING_STATUS=MR","Sort=A","Dates=H","DateFormat=P","Fill=—","Direction=H","UseDPDF=Y")</f>
        <v>0</v>
      </c>
      <c r="L51" s="14">
        <f>_xll.BDH("BLUE US Equity","IS_XO_ITEMS_ACCT_CHG_DIL_SH","FQ1 2021","FQ1 2021","Currency=USD","Period=FQ","BEST_FPERIOD_OVERRIDE=FQ","FILING_STATUS=MR","Sort=A","Dates=H","DateFormat=P","Fill=—","Direction=H","UseDPDF=Y")</f>
        <v>0</v>
      </c>
      <c r="M51" s="14">
        <f>_xll.BDH("BLUE US Equity","IS_XO_ITEMS_ACCT_CHG_DIL_SH","FQ2 2021","FQ2 2021","Currency=USD","Period=FQ","BEST_FPERIOD_OVERRIDE=FQ","FILING_STATUS=MR","Sort=A","Dates=H","DateFormat=P","Fill=—","Direction=H","UseDPDF=Y")</f>
        <v>0</v>
      </c>
      <c r="N51" s="14">
        <f>_xll.BDH("BLUE US Equity","IS_XO_ITEMS_ACCT_CHG_DIL_SH","FQ3 2021","FQ3 2021","Currency=USD","Period=FQ","BEST_FPERIOD_OVERRIDE=FQ","FILING_STATUS=MR","Sort=A","Dates=H","DateFormat=P","Fill=—","Direction=H","UseDPDF=Y")</f>
        <v>0</v>
      </c>
      <c r="O51" s="14">
        <f>_xll.BDH("BLUE US Equity","IS_XO_ITEMS_ACCT_CHG_DIL_SH","FQ4 2021","FQ4 2021","Currency=USD","Period=FQ","BEST_FPERIOD_OVERRIDE=FQ","FILING_STATUS=MR","Sort=A","Dates=H","DateFormat=P","Fill=—","Direction=H","UseDPDF=Y")</f>
        <v>0</v>
      </c>
      <c r="P51" s="14">
        <f>_xll.BDH("BLUE US Equity","IS_XO_ITEMS_ACCT_CHG_DIL_SH","FQ1 2022","FQ1 2022","Currency=USD","Period=FQ","BEST_FPERIOD_OVERRIDE=FQ","FILING_STATUS=MR","Sort=A","Dates=H","DateFormat=P","Fill=—","Direction=H","UseDPDF=Y")</f>
        <v>0</v>
      </c>
      <c r="Q51" s="14">
        <f>_xll.BDH("BLUE US Equity","IS_XO_ITEMS_ACCT_CHG_DIL_SH","FQ2 2022","FQ2 2022","Currency=USD","Period=FQ","BEST_FPERIOD_OVERRIDE=FQ","FILING_STATUS=MR","Sort=A","Dates=H","DateFormat=P","Fill=—","Direction=H","UseDPDF=Y")</f>
        <v>0</v>
      </c>
      <c r="R51" s="14">
        <f>_xll.BDH("BLUE US Equity","IS_XO_ITEMS_ACCT_CHG_DIL_SH","FQ3 2022","FQ3 2022","Currency=USD","Period=FQ","BEST_FPERIOD_OVERRIDE=FQ","FILING_STATUS=MR","Sort=A","Dates=H","DateFormat=P","Fill=—","Direction=H","UseDPDF=Y")</f>
        <v>0</v>
      </c>
      <c r="S51" s="14">
        <f>_xll.BDH("BLUE US Equity","IS_XO_ITEMS_ACCT_CHG_DIL_SH","FQ4 2022","FQ4 2022","Currency=USD","Period=FQ","BEST_FPERIOD_OVERRIDE=FQ","FILING_STATUS=MR","Sort=A","Dates=H","DateFormat=P","Fill=—","Direction=H","UseDPDF=Y")</f>
        <v>0</v>
      </c>
      <c r="T51" s="14">
        <f>_xll.BDH("BLUE US Equity","IS_XO_ITEMS_ACCT_CHG_DIL_SH","FQ1 2023","FQ1 2023","Currency=USD","Period=FQ","BEST_FPERIOD_OVERRIDE=FQ","FILING_STATUS=MR","Sort=A","Dates=H","DateFormat=P","Fill=—","Direction=H","UseDPDF=Y")</f>
        <v>0</v>
      </c>
      <c r="U51" s="14">
        <f>_xll.BDH("BLUE US Equity","IS_XO_ITEMS_ACCT_CHG_DIL_SH","FQ2 2023","FQ2 2023","Currency=USD","Period=FQ","BEST_FPERIOD_OVERRIDE=FQ","FILING_STATUS=MR","Sort=A","Dates=H","DateFormat=P","Fill=—","Direction=H","UseDPDF=Y")</f>
        <v>0</v>
      </c>
      <c r="V51" s="14">
        <f>_xll.BDH("BLUE US Equity","IS_XO_ITEMS_ACCT_CHG_DIL_SH","FQ3 2023","FQ3 2023","Currency=USD","Period=FQ","BEST_FPERIOD_OVERRIDE=FQ","FILING_STATUS=MR","Sort=A","Dates=H","DateFormat=P","Fill=—","Direction=H","UseDPDF=Y")</f>
        <v>0</v>
      </c>
      <c r="W51" s="14">
        <f>_xll.BDH("BLUE US Equity","IS_XO_ITEMS_ACCT_CHG_DIL_SH","FQ4 2023","FQ4 2023","Currency=USD","Period=FQ","BEST_FPERIOD_OVERRIDE=FQ","FILING_STATUS=MR","Sort=A","Dates=H","DateFormat=P","Fill=—","Direction=H","UseDPDF=Y")</f>
        <v>0</v>
      </c>
      <c r="X51" s="14">
        <f>_xll.BDH("BLUE US Equity","IS_XO_ITEMS_ACCT_CHG_DIL_SH","FQ1 2024","FQ1 2024","Currency=USD","Period=FQ","BEST_FPERIOD_OVERRIDE=FQ","FILING_STATUS=MR","Sort=A","Dates=H","DateFormat=P","Fill=—","Direction=H","UseDPDF=Y")</f>
        <v>0</v>
      </c>
      <c r="Y51" s="14">
        <f>_xll.BDH("BLUE US Equity","IS_XO_ITEMS_ACCT_CHG_DIL_SH","FQ2 2024","FQ2 2024","Currency=USD","Period=FQ","BEST_FPERIOD_OVERRIDE=FQ","FILING_STATUS=MR","Sort=A","Dates=H","DateFormat=P","Fill=—","Direction=H","UseDPDF=Y")</f>
        <v>0</v>
      </c>
      <c r="Z51" s="14">
        <f>_xll.BDH("BLUE US Equity","IS_XO_ITEMS_ACCT_CHG_DIL_SH","FQ3 2024","FQ3 2024","Currency=USD","Period=FQ","BEST_FPERIOD_OVERRIDE=FQ","FILING_STATUS=MR","Sort=A","Dates=H","DateFormat=P","Fill=—","Direction=H","UseDPDF=Y")</f>
        <v>0</v>
      </c>
      <c r="AA51" s="14">
        <f>_xll.BDH("BLUE US Equity","IS_XO_ITEMS_ACCT_CHG_DIL_SH","FQ4 2024","FQ4 2024","Currency=USD","Period=FQ","BEST_FPERIOD_OVERRIDE=FQ","FILING_STATUS=MR","Sort=A","Dates=H","DateFormat=P","Fill=—","Direction=H","UseDPDF=Y")</f>
        <v>0</v>
      </c>
    </row>
    <row r="52" spans="1:27" x14ac:dyDescent="0.25">
      <c r="A52" s="6" t="s">
        <v>350</v>
      </c>
      <c r="B52" s="6" t="s">
        <v>239</v>
      </c>
      <c r="C52" s="20">
        <f>_xll.BDH("BLUE US Equity","IS_DIL_EPS_BEF_XO","FQ4 2018","FQ4 2018","Currency=USD","Period=FQ","BEST_FPERIOD_OVERRIDE=FQ","FILING_STATUS=MR","Sort=A","Dates=H","DateFormat=P","Fill=—","Direction=H","UseDPDF=Y")</f>
        <v>-54.4</v>
      </c>
      <c r="D52" s="20">
        <f>_xll.BDH("BLUE US Equity","IS_DIL_EPS_BEF_XO","FQ1 2019","FQ1 2019","Currency=USD","Period=FQ","BEST_FPERIOD_OVERRIDE=FQ","FILING_STATUS=MR","Sort=A","Dates=H","DateFormat=P","Fill=—","Direction=H","UseDPDF=Y")</f>
        <v>-59.8</v>
      </c>
      <c r="E52" s="20">
        <f>_xll.BDH("BLUE US Equity","IS_DIL_EPS_BEF_XO","FQ2 2019","FQ2 2019","Currency=USD","Period=FQ","BEST_FPERIOD_OVERRIDE=FQ","FILING_STATUS=MR","Sort=A","Dates=H","DateFormat=P","Fill=—","Direction=H","UseDPDF=Y")</f>
        <v>-71</v>
      </c>
      <c r="F52" s="20">
        <f>_xll.BDH("BLUE US Equity","IS_DIL_EPS_BEF_XO","FQ3 2019","FQ3 2019","Currency=USD","Period=FQ","BEST_FPERIOD_OVERRIDE=FQ","FILING_STATUS=MR","Sort=A","Dates=H","DateFormat=P","Fill=—","Direction=H","UseDPDF=Y")</f>
        <v>-74.599999999999994</v>
      </c>
      <c r="G52" s="20">
        <f>_xll.BDH("BLUE US Equity","IS_DIL_EPS_BEF_XO","FQ4 2019","FQ4 2019","Currency=USD","Period=FQ","BEST_FPERIOD_OVERRIDE=FQ","FILING_STATUS=MR","Sort=A","Dates=H","DateFormat=P","Fill=—","Direction=H","UseDPDF=Y")</f>
        <v>-80.8</v>
      </c>
      <c r="H52" s="20">
        <f>_xll.BDH("BLUE US Equity","IS_DIL_EPS_BEF_XO","FQ1 2020","FQ1 2020","Currency=USD","Period=FQ","BEST_FPERIOD_OVERRIDE=FQ","FILING_STATUS=MR","Sort=A","Dates=H","DateFormat=P","Fill=—","Direction=H","UseDPDF=Y")</f>
        <v>-72.8</v>
      </c>
      <c r="I52" s="20">
        <f>_xll.BDH("BLUE US Equity","IS_DIL_EPS_BEF_XO","FQ2 2020","FQ2 2020","Currency=USD","Period=FQ","BEST_FPERIOD_OVERRIDE=FQ","FILING_STATUS=MR","Sort=A","Dates=H","DateFormat=P","Fill=—","Direction=H","UseDPDF=Y")</f>
        <v>-7.2</v>
      </c>
      <c r="J52" s="20">
        <f>_xll.BDH("BLUE US Equity","IS_DIL_EPS_BEF_XO","FQ3 2020","FQ3 2020","Currency=USD","Period=FQ","BEST_FPERIOD_OVERRIDE=FQ","FILING_STATUS=MR","Sort=A","Dates=H","DateFormat=P","Fill=—","Direction=H","UseDPDF=Y")</f>
        <v>-58.8</v>
      </c>
      <c r="K52" s="20">
        <f>_xll.BDH("BLUE US Equity","IS_DIL_EPS_BEF_XO","FQ4 2020","FQ4 2020","Currency=USD","Period=FQ","BEST_FPERIOD_OVERRIDE=FQ","FILING_STATUS=MR","Sort=A","Dates=H","DateFormat=P","Fill=—","Direction=H","UseDPDF=Y")</f>
        <v>-41</v>
      </c>
      <c r="L52" s="20">
        <f>_xll.BDH("BLUE US Equity","IS_DIL_EPS_BEF_XO","FQ1 2021","FQ1 2021","Currency=USD","Period=FQ","BEST_FPERIOD_OVERRIDE=FQ","FILING_STATUS=MR","Sort=A","Dates=H","DateFormat=P","Fill=—","Direction=H","UseDPDF=Y")</f>
        <v>-36.200000000000003</v>
      </c>
      <c r="M52" s="20">
        <f>_xll.BDH("BLUE US Equity","IS_DIL_EPS_BEF_XO","FQ2 2021","FQ2 2021","Currency=USD","Period=FQ","BEST_FPERIOD_OVERRIDE=FQ","FILING_STATUS=MR","Sort=A","Dates=H","DateFormat=P","Fill=—","Direction=H","UseDPDF=Y")</f>
        <v>-71.599999999999994</v>
      </c>
      <c r="N52" s="20">
        <f>_xll.BDH("BLUE US Equity","IS_DIL_EPS_BEF_XO","FQ3 2021","FQ3 2021","Currency=USD","Period=FQ","BEST_FPERIOD_OVERRIDE=FQ","FILING_STATUS=MR","Sort=A","Dates=H","DateFormat=P","Fill=—","Direction=H","UseDPDF=Y")</f>
        <v>-44.6</v>
      </c>
      <c r="O52" s="20">
        <f>_xll.BDH("BLUE US Equity","IS_DIL_EPS_BEF_XO","FQ4 2021","FQ4 2021","Currency=USD","Period=FQ","BEST_FPERIOD_OVERRIDE=FQ","FILING_STATUS=MR","Sort=A","Dates=H","DateFormat=P","Fill=—","Direction=H","UseDPDF=Y")</f>
        <v>-36.6</v>
      </c>
      <c r="P52" s="20">
        <f>_xll.BDH("BLUE US Equity","IS_DIL_EPS_BEF_XO","FQ1 2022","FQ1 2022","Currency=USD","Period=FQ","BEST_FPERIOD_OVERRIDE=FQ","FILING_STATUS=MR","Sort=A","Dates=H","DateFormat=P","Fill=—","Direction=H","UseDPDF=Y")</f>
        <v>-33.200000000000003</v>
      </c>
      <c r="Q52" s="20">
        <f>_xll.BDH("BLUE US Equity","IS_DIL_EPS_BEF_XO","FQ2 2022","FQ2 2022","Currency=USD","Period=FQ","BEST_FPERIOD_OVERRIDE=FQ","FILING_STATUS=MR","Sort=A","Dates=H","DateFormat=P","Fill=—","Direction=H","UseDPDF=Y")</f>
        <v>-27.2</v>
      </c>
      <c r="R52" s="20">
        <f>_xll.BDH("BLUE US Equity","IS_DIL_EPS_BEF_XO","FQ3 2022","FQ3 2022","Currency=USD","Period=FQ","BEST_FPERIOD_OVERRIDE=FQ","FILING_STATUS=MR","Sort=A","Dates=H","DateFormat=P","Fill=—","Direction=H","UseDPDF=Y")</f>
        <v>-18.8</v>
      </c>
      <c r="S52" s="20">
        <f>_xll.BDH("BLUE US Equity","IS_DIL_EPS_BEF_XO","FQ4 2022","FQ4 2022","Currency=USD","Period=FQ","BEST_FPERIOD_OVERRIDE=FQ","FILING_STATUS=MR","Sort=A","Dates=H","DateFormat=P","Fill=—","Direction=H","UseDPDF=Y")</f>
        <v>16.0456</v>
      </c>
      <c r="T52" s="20">
        <f>_xll.BDH("BLUE US Equity","IS_DIL_EPS_BEF_XO","FQ1 2023","FQ1 2023","Currency=USD","Period=FQ","BEST_FPERIOD_OVERRIDE=FQ","FILING_STATUS=MR","Sort=A","Dates=H","DateFormat=P","Fill=—","Direction=H","UseDPDF=Y")</f>
        <v>3.6</v>
      </c>
      <c r="U52" s="20">
        <f>_xll.BDH("BLUE US Equity","IS_DIL_EPS_BEF_XO","FQ2 2023","FQ2 2023","Currency=USD","Period=FQ","BEST_FPERIOD_OVERRIDE=FQ","FILING_STATUS=MR","Sort=A","Dates=H","DateFormat=P","Fill=—","Direction=H","UseDPDF=Y")</f>
        <v>-11.6</v>
      </c>
      <c r="V52" s="20">
        <f>_xll.BDH("BLUE US Equity","IS_DIL_EPS_BEF_XO","FQ3 2023","FQ3 2023","Currency=USD","Period=FQ","BEST_FPERIOD_OVERRIDE=FQ","FILING_STATUS=MR","Sort=A","Dates=H","DateFormat=P","Fill=—","Direction=H","UseDPDF=Y")</f>
        <v>-16</v>
      </c>
      <c r="W52" s="20">
        <f>_xll.BDH("BLUE US Equity","IS_DIL_EPS_BEF_XO","FQ4 2023","FQ4 2023","Currency=USD","Period=FQ","BEST_FPERIOD_OVERRIDE=FQ","FILING_STATUS=MR","Sort=A","Dates=H","DateFormat=P","Fill=—","Direction=H","UseDPDF=Y")</f>
        <v>-14.9269</v>
      </c>
      <c r="X52" s="20">
        <f>_xll.BDH("BLUE US Equity","IS_DIL_EPS_BEF_XO","FQ1 2024","FQ1 2024","Currency=USD","Period=FQ","BEST_FPERIOD_OVERRIDE=FQ","FILING_STATUS=MR","Sort=A","Dates=H","DateFormat=P","Fill=—","Direction=H","UseDPDF=Y")</f>
        <v>-7.2</v>
      </c>
      <c r="Y52" s="20">
        <f>_xll.BDH("BLUE US Equity","IS_DIL_EPS_BEF_XO","FQ2 2024","FQ2 2024","Currency=USD","Period=FQ","BEST_FPERIOD_OVERRIDE=FQ","FILING_STATUS=MR","Sort=A","Dates=H","DateFormat=P","Fill=—","Direction=H","UseDPDF=Y")</f>
        <v>-8.4</v>
      </c>
      <c r="Z52" s="20">
        <f>_xll.BDH("BLUE US Equity","IS_DIL_EPS_BEF_XO","FQ3 2024","FQ3 2024","Currency=USD","Period=FQ","BEST_FPERIOD_OVERRIDE=FQ","FILING_STATUS=MR","Sort=A","Dates=H","DateFormat=P","Fill=—","Direction=H","UseDPDF=Y")</f>
        <v>-6.2</v>
      </c>
      <c r="AA52" s="20">
        <f>_xll.BDH("BLUE US Equity","IS_DIL_EPS_BEF_XO","FQ4 2024","FQ4 2024","Currency=USD","Period=FQ","BEST_FPERIOD_OVERRIDE=FQ","FILING_STATUS=MR","Sort=A","Dates=H","DateFormat=P","Fill=—","Direction=H","UseDPDF=Y")</f>
        <v>-2.9571000000000001</v>
      </c>
    </row>
    <row r="53" spans="1:27" x14ac:dyDescent="0.25">
      <c r="A53" s="10" t="s">
        <v>539</v>
      </c>
      <c r="B53" s="10" t="s">
        <v>561</v>
      </c>
      <c r="C53" s="14">
        <f>_xll.BDH("BLUE US Equity","IS_MERGER_ACQUIS_EXPN_DILUTED_SH","FQ4 2018","FQ4 2018","Currency=USD","Period=FQ","BEST_FPERIOD_OVERRIDE=FQ","FILING_STATUS=MR","Sort=A","Dates=H","DateFormat=P","Fill=—","Direction=H","UseDPDF=Y")</f>
        <v>0.62260000000000004</v>
      </c>
      <c r="D53" s="14">
        <f>_xll.BDH("BLUE US Equity","IS_MERGER_ACQUIS_EXPN_DILUTED_SH","FQ1 2019","FQ1 2019","Currency=USD","Period=FQ","BEST_FPERIOD_OVERRIDE=FQ","FILING_STATUS=MR","Sort=A","Dates=H","DateFormat=P","Fill=—","Direction=H","UseDPDF=Y")</f>
        <v>8.5099999999999995E-2</v>
      </c>
      <c r="E53" s="14">
        <f>_xll.BDH("BLUE US Equity","IS_MERGER_ACQUIS_EXPN_DILUTED_SH","FQ2 2019","FQ2 2019","Currency=USD","Period=FQ","BEST_FPERIOD_OVERRIDE=FQ","FILING_STATUS=MR","Sort=A","Dates=H","DateFormat=P","Fill=—","Direction=H","UseDPDF=Y")</f>
        <v>6.13E-2</v>
      </c>
      <c r="F53" s="14">
        <f>_xll.BDH("BLUE US Equity","IS_MERGER_ACQUIS_EXPN_DILUTED_SH","FQ3 2019","FQ3 2019","Currency=USD","Period=FQ","BEST_FPERIOD_OVERRIDE=FQ","FILING_STATUS=MR","Sort=A","Dates=H","DateFormat=P","Fill=—","Direction=H","UseDPDF=Y")</f>
        <v>0.22919999999999999</v>
      </c>
      <c r="G53" s="14">
        <f>_xll.BDH("BLUE US Equity","IS_MERGER_ACQUIS_EXPN_DILUTED_SH","FQ4 2019","FQ4 2019","Currency=USD","Period=FQ","BEST_FPERIOD_OVERRIDE=FQ","FILING_STATUS=MR","Sort=A","Dates=H","DateFormat=P","Fill=—","Direction=H","UseDPDF=Y")</f>
        <v>0.40970000000000001</v>
      </c>
      <c r="H53" s="14">
        <f>_xll.BDH("BLUE US Equity","IS_MERGER_ACQUIS_EXPN_DILUTED_SH","FQ1 2020","FQ1 2020","Currency=USD","Period=FQ","BEST_FPERIOD_OVERRIDE=FQ","FILING_STATUS=MR","Sort=A","Dates=H","DateFormat=P","Fill=—","Direction=H","UseDPDF=Y")</f>
        <v>-0.88339999999999996</v>
      </c>
      <c r="I53" s="14">
        <f>_xll.BDH("BLUE US Equity","IS_MERGER_ACQUIS_EXPN_DILUTED_SH","FQ2 2020","FQ2 2020","Currency=USD","Period=FQ","BEST_FPERIOD_OVERRIDE=FQ","FILING_STATUS=MR","Sort=A","Dates=H","DateFormat=P","Fill=—","Direction=H","UseDPDF=Y")</f>
        <v>-0.433</v>
      </c>
      <c r="J53" s="14">
        <f>_xll.BDH("BLUE US Equity","IS_MERGER_ACQUIS_EXPN_DILUTED_SH","FQ3 2020","FQ3 2020","Currency=USD","Period=FQ","BEST_FPERIOD_OVERRIDE=FQ","FILING_STATUS=MR","Sort=A","Dates=H","DateFormat=P","Fill=—","Direction=H","UseDPDF=Y")</f>
        <v>-0.19750000000000001</v>
      </c>
      <c r="K53" s="14" t="str">
        <f>_xll.BDH("BLUE US Equity","IS_MERGER_ACQUIS_EXPN_DILUTED_SH","FQ4 2020","FQ4 2020","Currency=USD","Period=FQ","BEST_FPERIOD_OVERRIDE=FQ","FILING_STATUS=MR","Sort=A","Dates=H","DateFormat=P","Fill=—","Direction=H","UseDPDF=Y")</f>
        <v>—</v>
      </c>
      <c r="L53" s="14">
        <f>_xll.BDH("BLUE US Equity","IS_MERGER_ACQUIS_EXPN_DILUTED_SH","FQ1 2021","FQ1 2021","Currency=USD","Period=FQ","BEST_FPERIOD_OVERRIDE=FQ","FILING_STATUS=MR","Sort=A","Dates=H","DateFormat=P","Fill=—","Direction=H","UseDPDF=Y")</f>
        <v>8.6999999999999994E-2</v>
      </c>
      <c r="M53" s="14">
        <f>_xll.BDH("BLUE US Equity","IS_MERGER_ACQUIS_EXPN_DILUTED_SH","FQ2 2021","FQ2 2021","Currency=USD","Period=FQ","BEST_FPERIOD_OVERRIDE=FQ","FILING_STATUS=MR","Sort=A","Dates=H","DateFormat=P","Fill=—","Direction=H","UseDPDF=Y")</f>
        <v>1.0999999999999999E-2</v>
      </c>
      <c r="N53" s="14" t="str">
        <f>_xll.BDH("BLUE US Equity","IS_MERGER_ACQUIS_EXPN_DILUTED_SH","FQ3 2021","FQ3 2021","Currency=USD","Period=FQ","BEST_FPERIOD_OVERRIDE=FQ","FILING_STATUS=MR","Sort=A","Dates=H","DateFormat=P","Fill=—","Direction=H","UseDPDF=Y")</f>
        <v>—</v>
      </c>
      <c r="O53" s="14">
        <f>_xll.BDH("BLUE US Equity","IS_MERGER_ACQUIS_EXPN_DILUTED_SH","FQ4 2021","FQ4 2021","Currency=USD","Period=FQ","BEST_FPERIOD_OVERRIDE=FQ","FILING_STATUS=MR","Sort=A","Dates=H","DateFormat=P","Fill=—","Direction=H","UseDPDF=Y")</f>
        <v>-1.6799999999999999E-2</v>
      </c>
      <c r="P53" s="14" t="str">
        <f>_xll.BDH("BLUE US Equity","IS_MERGER_ACQUIS_EXPN_DILUTED_SH","FQ1 2022","FQ1 2022","Currency=USD","Period=FQ","BEST_FPERIOD_OVERRIDE=FQ","FILING_STATUS=MR","Sort=A","Dates=H","DateFormat=P","Fill=—","Direction=H","UseDPDF=Y")</f>
        <v>—</v>
      </c>
      <c r="Q53" s="14" t="str">
        <f>_xll.BDH("BLUE US Equity","IS_MERGER_ACQUIS_EXPN_DILUTED_SH","FQ2 2022","FQ2 2022","Currency=USD","Period=FQ","BEST_FPERIOD_OVERRIDE=FQ","FILING_STATUS=MR","Sort=A","Dates=H","DateFormat=P","Fill=—","Direction=H","UseDPDF=Y")</f>
        <v>—</v>
      </c>
      <c r="R53" s="14" t="str">
        <f>_xll.BDH("BLUE US Equity","IS_MERGER_ACQUIS_EXPN_DILUTED_SH","FQ3 2022","FQ3 2022","Currency=USD","Period=FQ","BEST_FPERIOD_OVERRIDE=FQ","FILING_STATUS=MR","Sort=A","Dates=H","DateFormat=P","Fill=—","Direction=H","UseDPDF=Y")</f>
        <v>—</v>
      </c>
      <c r="S53" s="14" t="str">
        <f>_xll.BDH("BLUE US Equity","IS_MERGER_ACQUIS_EXPN_DILUTED_SH","FQ4 2022","FQ4 2022","Currency=USD","Period=FQ","BEST_FPERIOD_OVERRIDE=FQ","FILING_STATUS=MR","Sort=A","Dates=H","DateFormat=P","Fill=—","Direction=H","UseDPDF=Y")</f>
        <v>—</v>
      </c>
      <c r="T53" s="14" t="str">
        <f>_xll.BDH("BLUE US Equity","IS_MERGER_ACQUIS_EXPN_DILUTED_SH","FQ1 2023","FQ1 2023","Currency=USD","Period=FQ","BEST_FPERIOD_OVERRIDE=FQ","FILING_STATUS=MR","Sort=A","Dates=H","DateFormat=P","Fill=—","Direction=H","UseDPDF=Y")</f>
        <v>—</v>
      </c>
      <c r="U53" s="14" t="str">
        <f>_xll.BDH("BLUE US Equity","IS_MERGER_ACQUIS_EXPN_DILUTED_SH","FQ2 2023","FQ2 2023","Currency=USD","Period=FQ","BEST_FPERIOD_OVERRIDE=FQ","FILING_STATUS=MR","Sort=A","Dates=H","DateFormat=P","Fill=—","Direction=H","UseDPDF=Y")</f>
        <v>—</v>
      </c>
      <c r="V53" s="14" t="str">
        <f>_xll.BDH("BLUE US Equity","IS_MERGER_ACQUIS_EXPN_DILUTED_SH","FQ3 2023","FQ3 2023","Currency=USD","Period=FQ","BEST_FPERIOD_OVERRIDE=FQ","FILING_STATUS=MR","Sort=A","Dates=H","DateFormat=P","Fill=—","Direction=H","UseDPDF=Y")</f>
        <v>—</v>
      </c>
      <c r="W53" s="14" t="str">
        <f>_xll.BDH("BLUE US Equity","IS_MERGER_ACQUIS_EXPN_DILUTED_SH","FQ4 2023","FQ4 2023","Currency=USD","Period=FQ","BEST_FPERIOD_OVERRIDE=FQ","FILING_STATUS=MR","Sort=A","Dates=H","DateFormat=P","Fill=—","Direction=H","UseDPDF=Y")</f>
        <v>—</v>
      </c>
      <c r="X53" s="14" t="str">
        <f>_xll.BDH("BLUE US Equity","IS_MERGER_ACQUIS_EXPN_DILUTED_SH","FQ1 2024","FQ1 2024","Currency=USD","Period=FQ","BEST_FPERIOD_OVERRIDE=FQ","FILING_STATUS=MR","Sort=A","Dates=H","DateFormat=P","Fill=—","Direction=H","UseDPDF=Y")</f>
        <v>—</v>
      </c>
      <c r="Y53" s="14" t="str">
        <f>_xll.BDH("BLUE US Equity","IS_MERGER_ACQUIS_EXPN_DILUTED_SH","FQ2 2024","FQ2 2024","Currency=USD","Period=FQ","BEST_FPERIOD_OVERRIDE=FQ","FILING_STATUS=MR","Sort=A","Dates=H","DateFormat=P","Fill=—","Direction=H","UseDPDF=Y")</f>
        <v>—</v>
      </c>
      <c r="Z53" s="14" t="str">
        <f>_xll.BDH("BLUE US Equity","IS_MERGER_ACQUIS_EXPN_DILUTED_SH","FQ3 2024","FQ3 2024","Currency=USD","Period=FQ","BEST_FPERIOD_OVERRIDE=FQ","FILING_STATUS=MR","Sort=A","Dates=H","DateFormat=P","Fill=—","Direction=H","UseDPDF=Y")</f>
        <v>—</v>
      </c>
      <c r="AA53" s="14" t="str">
        <f>_xll.BDH("BLUE US Equity","IS_MERGER_ACQUIS_EXPN_DILUTED_SH","FQ4 2024","FQ4 2024","Currency=USD","Period=FQ","BEST_FPERIOD_OVERRIDE=FQ","FILING_STATUS=MR","Sort=A","Dates=H","DateFormat=P","Fill=—","Direction=H","UseDPDF=Y")</f>
        <v>—</v>
      </c>
    </row>
    <row r="54" spans="1:27" x14ac:dyDescent="0.25">
      <c r="A54" s="10" t="s">
        <v>541</v>
      </c>
      <c r="B54" s="10" t="s">
        <v>562</v>
      </c>
      <c r="C54" s="14" t="str">
        <f>_xll.BDH("BLUE US Equity","IS_RESTRUCTURING_CHRG_DILUTED_SH","FQ4 2018","FQ4 2018","Currency=USD","Period=FQ","BEST_FPERIOD_OVERRIDE=FQ","FILING_STATUS=MR","Sort=A","Dates=H","DateFormat=P","Fill=—","Direction=H","UseDPDF=Y")</f>
        <v>—</v>
      </c>
      <c r="D54" s="14" t="str">
        <f>_xll.BDH("BLUE US Equity","IS_RESTRUCTURING_CHRG_DILUTED_SH","FQ1 2019","FQ1 2019","Currency=USD","Period=FQ","BEST_FPERIOD_OVERRIDE=FQ","FILING_STATUS=MR","Sort=A","Dates=H","DateFormat=P","Fill=—","Direction=H","UseDPDF=Y")</f>
        <v>—</v>
      </c>
      <c r="E54" s="14" t="str">
        <f>_xll.BDH("BLUE US Equity","IS_RESTRUCTURING_CHRG_DILUTED_SH","FQ2 2019","FQ2 2019","Currency=USD","Period=FQ","BEST_FPERIOD_OVERRIDE=FQ","FILING_STATUS=MR","Sort=A","Dates=H","DateFormat=P","Fill=—","Direction=H","UseDPDF=Y")</f>
        <v>—</v>
      </c>
      <c r="F54" s="14" t="str">
        <f>_xll.BDH("BLUE US Equity","IS_RESTRUCTURING_CHRG_DILUTED_SH","FQ3 2019","FQ3 2019","Currency=USD","Period=FQ","BEST_FPERIOD_OVERRIDE=FQ","FILING_STATUS=MR","Sort=A","Dates=H","DateFormat=P","Fill=—","Direction=H","UseDPDF=Y")</f>
        <v>—</v>
      </c>
      <c r="G54" s="14" t="str">
        <f>_xll.BDH("BLUE US Equity","IS_RESTRUCTURING_CHRG_DILUTED_SH","FQ4 2019","FQ4 2019","Currency=USD","Period=FQ","BEST_FPERIOD_OVERRIDE=FQ","FILING_STATUS=MR","Sort=A","Dates=H","DateFormat=P","Fill=—","Direction=H","UseDPDF=Y")</f>
        <v>—</v>
      </c>
      <c r="H54" s="14" t="str">
        <f>_xll.BDH("BLUE US Equity","IS_RESTRUCTURING_CHRG_DILUTED_SH","FQ1 2020","FQ1 2020","Currency=USD","Period=FQ","BEST_FPERIOD_OVERRIDE=FQ","FILING_STATUS=MR","Sort=A","Dates=H","DateFormat=P","Fill=—","Direction=H","UseDPDF=Y")</f>
        <v>—</v>
      </c>
      <c r="I54" s="14" t="str">
        <f>_xll.BDH("BLUE US Equity","IS_RESTRUCTURING_CHRG_DILUTED_SH","FQ2 2020","FQ2 2020","Currency=USD","Period=FQ","BEST_FPERIOD_OVERRIDE=FQ","FILING_STATUS=MR","Sort=A","Dates=H","DateFormat=P","Fill=—","Direction=H","UseDPDF=Y")</f>
        <v>—</v>
      </c>
      <c r="J54" s="14" t="str">
        <f>_xll.BDH("BLUE US Equity","IS_RESTRUCTURING_CHRG_DILUTED_SH","FQ3 2020","FQ3 2020","Currency=USD","Period=FQ","BEST_FPERIOD_OVERRIDE=FQ","FILING_STATUS=MR","Sort=A","Dates=H","DateFormat=P","Fill=—","Direction=H","UseDPDF=Y")</f>
        <v>—</v>
      </c>
      <c r="K54" s="14" t="str">
        <f>_xll.BDH("BLUE US Equity","IS_RESTRUCTURING_CHRG_DILUTED_SH","FQ4 2020","FQ4 2020","Currency=USD","Period=FQ","BEST_FPERIOD_OVERRIDE=FQ","FILING_STATUS=MR","Sort=A","Dates=H","DateFormat=P","Fill=—","Direction=H","UseDPDF=Y")</f>
        <v>—</v>
      </c>
      <c r="L54" s="14" t="str">
        <f>_xll.BDH("BLUE US Equity","IS_RESTRUCTURING_CHRG_DILUTED_SH","FQ1 2021","FQ1 2021","Currency=USD","Period=FQ","BEST_FPERIOD_OVERRIDE=FQ","FILING_STATUS=MR","Sort=A","Dates=H","DateFormat=P","Fill=—","Direction=H","UseDPDF=Y")</f>
        <v>—</v>
      </c>
      <c r="M54" s="14" t="str">
        <f>_xll.BDH("BLUE US Equity","IS_RESTRUCTURING_CHRG_DILUTED_SH","FQ2 2021","FQ2 2021","Currency=USD","Period=FQ","BEST_FPERIOD_OVERRIDE=FQ","FILING_STATUS=MR","Sort=A","Dates=H","DateFormat=P","Fill=—","Direction=H","UseDPDF=Y")</f>
        <v>—</v>
      </c>
      <c r="N54" s="14">
        <f>_xll.BDH("BLUE US Equity","IS_RESTRUCTURING_CHRG_DILUTED_SH","FQ3 2021","FQ3 2021","Currency=USD","Period=FQ","BEST_FPERIOD_OVERRIDE=FQ","FILING_STATUS=MR","Sort=A","Dates=H","DateFormat=P","Fill=—","Direction=H","UseDPDF=Y")</f>
        <v>4.6452999999999998</v>
      </c>
      <c r="O54" s="14">
        <f>_xll.BDH("BLUE US Equity","IS_RESTRUCTURING_CHRG_DILUTED_SH","FQ4 2021","FQ4 2021","Currency=USD","Period=FQ","BEST_FPERIOD_OVERRIDE=FQ","FILING_STATUS=MR","Sort=A","Dates=H","DateFormat=P","Fill=—","Direction=H","UseDPDF=Y")</f>
        <v>0.21820000000000001</v>
      </c>
      <c r="P54" s="14" t="str">
        <f>_xll.BDH("BLUE US Equity","IS_RESTRUCTURING_CHRG_DILUTED_SH","FQ1 2022","FQ1 2022","Currency=USD","Period=FQ","BEST_FPERIOD_OVERRIDE=FQ","FILING_STATUS=MR","Sort=A","Dates=H","DateFormat=P","Fill=—","Direction=H","UseDPDF=Y")</f>
        <v>—</v>
      </c>
      <c r="Q54" s="14">
        <f>_xll.BDH("BLUE US Equity","IS_RESTRUCTURING_CHRG_DILUTED_SH","FQ2 2022","FQ2 2022","Currency=USD","Period=FQ","BEST_FPERIOD_OVERRIDE=FQ","FILING_STATUS=MR","Sort=A","Dates=H","DateFormat=P","Fill=—","Direction=H","UseDPDF=Y")</f>
        <v>1.4219999999999999</v>
      </c>
      <c r="R54" s="14">
        <f>_xll.BDH("BLUE US Equity","IS_RESTRUCTURING_CHRG_DILUTED_SH","FQ3 2022","FQ3 2022","Currency=USD","Period=FQ","BEST_FPERIOD_OVERRIDE=FQ","FILING_STATUS=MR","Sort=A","Dates=H","DateFormat=P","Fill=—","Direction=H","UseDPDF=Y")</f>
        <v>-0.32919999999999999</v>
      </c>
      <c r="S54" s="14" t="str">
        <f>_xll.BDH("BLUE US Equity","IS_RESTRUCTURING_CHRG_DILUTED_SH","FQ4 2022","FQ4 2022","Currency=USD","Period=FQ","BEST_FPERIOD_OVERRIDE=FQ","FILING_STATUS=MR","Sort=A","Dates=H","DateFormat=P","Fill=—","Direction=H","UseDPDF=Y")</f>
        <v>—</v>
      </c>
      <c r="T54" s="14" t="str">
        <f>_xll.BDH("BLUE US Equity","IS_RESTRUCTURING_CHRG_DILUTED_SH","FQ1 2023","FQ1 2023","Currency=USD","Period=FQ","BEST_FPERIOD_OVERRIDE=FQ","FILING_STATUS=MR","Sort=A","Dates=H","DateFormat=P","Fill=—","Direction=H","UseDPDF=Y")</f>
        <v>—</v>
      </c>
      <c r="U54" s="14" t="str">
        <f>_xll.BDH("BLUE US Equity","IS_RESTRUCTURING_CHRG_DILUTED_SH","FQ2 2023","FQ2 2023","Currency=USD","Period=FQ","BEST_FPERIOD_OVERRIDE=FQ","FILING_STATUS=MR","Sort=A","Dates=H","DateFormat=P","Fill=—","Direction=H","UseDPDF=Y")</f>
        <v>—</v>
      </c>
      <c r="V54" s="14" t="str">
        <f>_xll.BDH("BLUE US Equity","IS_RESTRUCTURING_CHRG_DILUTED_SH","FQ3 2023","FQ3 2023","Currency=USD","Period=FQ","BEST_FPERIOD_OVERRIDE=FQ","FILING_STATUS=MR","Sort=A","Dates=H","DateFormat=P","Fill=—","Direction=H","UseDPDF=Y")</f>
        <v>—</v>
      </c>
      <c r="W54" s="14" t="str">
        <f>_xll.BDH("BLUE US Equity","IS_RESTRUCTURING_CHRG_DILUTED_SH","FQ4 2023","FQ4 2023","Currency=USD","Period=FQ","BEST_FPERIOD_OVERRIDE=FQ","FILING_STATUS=MR","Sort=A","Dates=H","DateFormat=P","Fill=—","Direction=H","UseDPDF=Y")</f>
        <v>—</v>
      </c>
      <c r="X54" s="14" t="str">
        <f>_xll.BDH("BLUE US Equity","IS_RESTRUCTURING_CHRG_DILUTED_SH","FQ1 2024","FQ1 2024","Currency=USD","Period=FQ","BEST_FPERIOD_OVERRIDE=FQ","FILING_STATUS=MR","Sort=A","Dates=H","DateFormat=P","Fill=—","Direction=H","UseDPDF=Y")</f>
        <v>—</v>
      </c>
      <c r="Y54" s="14" t="str">
        <f>_xll.BDH("BLUE US Equity","IS_RESTRUCTURING_CHRG_DILUTED_SH","FQ2 2024","FQ2 2024","Currency=USD","Period=FQ","BEST_FPERIOD_OVERRIDE=FQ","FILING_STATUS=MR","Sort=A","Dates=H","DateFormat=P","Fill=—","Direction=H","UseDPDF=Y")</f>
        <v>—</v>
      </c>
      <c r="Z54" s="14">
        <f>_xll.BDH("BLUE US Equity","IS_RESTRUCTURING_CHRG_DILUTED_SH","FQ3 2024","FQ3 2024","Currency=USD","Period=FQ","BEST_FPERIOD_OVERRIDE=FQ","FILING_STATUS=MR","Sort=A","Dates=H","DateFormat=P","Fill=—","Direction=H","UseDPDF=Y")</f>
        <v>0.2291</v>
      </c>
      <c r="AA54" s="14">
        <f>_xll.BDH("BLUE US Equity","IS_RESTRUCTURING_CHRG_DILUTED_SH","FQ4 2024","FQ4 2024","Currency=USD","Period=FQ","BEST_FPERIOD_OVERRIDE=FQ","FILING_STATUS=MR","Sort=A","Dates=H","DateFormat=P","Fill=—","Direction=H","UseDPDF=Y")</f>
        <v>1E-4</v>
      </c>
    </row>
    <row r="55" spans="1:27" x14ac:dyDescent="0.25">
      <c r="A55" s="10" t="s">
        <v>543</v>
      </c>
      <c r="B55" s="10" t="s">
        <v>563</v>
      </c>
      <c r="C55" s="14" t="str">
        <f>_xll.BDH("BLUE US Equity","IS_SALE_INVESTMENTS_DILUTED_SH","FQ4 2018","FQ4 2018","Currency=USD","Period=FQ","BEST_FPERIOD_OVERRIDE=FQ","FILING_STATUS=MR","Sort=A","Dates=H","DateFormat=P","Fill=—","Direction=H","UseDPDF=Y")</f>
        <v>—</v>
      </c>
      <c r="D55" s="14" t="str">
        <f>_xll.BDH("BLUE US Equity","IS_SALE_INVESTMENTS_DILUTED_SH","FQ1 2019","FQ1 2019","Currency=USD","Period=FQ","BEST_FPERIOD_OVERRIDE=FQ","FILING_STATUS=MR","Sort=A","Dates=H","DateFormat=P","Fill=—","Direction=H","UseDPDF=Y")</f>
        <v>—</v>
      </c>
      <c r="E55" s="14" t="str">
        <f>_xll.BDH("BLUE US Equity","IS_SALE_INVESTMENTS_DILUTED_SH","FQ2 2019","FQ2 2019","Currency=USD","Period=FQ","BEST_FPERIOD_OVERRIDE=FQ","FILING_STATUS=MR","Sort=A","Dates=H","DateFormat=P","Fill=—","Direction=H","UseDPDF=Y")</f>
        <v>—</v>
      </c>
      <c r="F55" s="14" t="str">
        <f>_xll.BDH("BLUE US Equity","IS_SALE_INVESTMENTS_DILUTED_SH","FQ3 2019","FQ3 2019","Currency=USD","Period=FQ","BEST_FPERIOD_OVERRIDE=FQ","FILING_STATUS=MR","Sort=A","Dates=H","DateFormat=P","Fill=—","Direction=H","UseDPDF=Y")</f>
        <v>—</v>
      </c>
      <c r="G55" s="14" t="str">
        <f>_xll.BDH("BLUE US Equity","IS_SALE_INVESTMENTS_DILUTED_SH","FQ4 2019","FQ4 2019","Currency=USD","Period=FQ","BEST_FPERIOD_OVERRIDE=FQ","FILING_STATUS=MR","Sort=A","Dates=H","DateFormat=P","Fill=—","Direction=H","UseDPDF=Y")</f>
        <v>—</v>
      </c>
      <c r="H55" s="14" t="str">
        <f>_xll.BDH("BLUE US Equity","IS_SALE_INVESTMENTS_DILUTED_SH","FQ1 2020","FQ1 2020","Currency=USD","Period=FQ","BEST_FPERIOD_OVERRIDE=FQ","FILING_STATUS=MR","Sort=A","Dates=H","DateFormat=P","Fill=—","Direction=H","UseDPDF=Y")</f>
        <v>—</v>
      </c>
      <c r="I55" s="14" t="str">
        <f>_xll.BDH("BLUE US Equity","IS_SALE_INVESTMENTS_DILUTED_SH","FQ2 2020","FQ2 2020","Currency=USD","Period=FQ","BEST_FPERIOD_OVERRIDE=FQ","FILING_STATUS=MR","Sort=A","Dates=H","DateFormat=P","Fill=—","Direction=H","UseDPDF=Y")</f>
        <v>—</v>
      </c>
      <c r="J55" s="14" t="str">
        <f>_xll.BDH("BLUE US Equity","IS_SALE_INVESTMENTS_DILUTED_SH","FQ3 2020","FQ3 2020","Currency=USD","Period=FQ","BEST_FPERIOD_OVERRIDE=FQ","FILING_STATUS=MR","Sort=A","Dates=H","DateFormat=P","Fill=—","Direction=H","UseDPDF=Y")</f>
        <v>—</v>
      </c>
      <c r="K55" s="14" t="str">
        <f>_xll.BDH("BLUE US Equity","IS_SALE_INVESTMENTS_DILUTED_SH","FQ4 2020","FQ4 2020","Currency=USD","Period=FQ","BEST_FPERIOD_OVERRIDE=FQ","FILING_STATUS=MR","Sort=A","Dates=H","DateFormat=P","Fill=—","Direction=H","UseDPDF=Y")</f>
        <v>—</v>
      </c>
      <c r="L55" s="14">
        <f>_xll.BDH("BLUE US Equity","IS_SALE_INVESTMENTS_DILUTED_SH","FQ1 2021","FQ1 2021","Currency=USD","Period=FQ","BEST_FPERIOD_OVERRIDE=FQ","FILING_STATUS=MR","Sort=A","Dates=H","DateFormat=P","Fill=—","Direction=H","UseDPDF=Y")</f>
        <v>-6.6931000000000003</v>
      </c>
      <c r="M55" s="14" t="str">
        <f>_xll.BDH("BLUE US Equity","IS_SALE_INVESTMENTS_DILUTED_SH","FQ2 2021","FQ2 2021","Currency=USD","Period=FQ","BEST_FPERIOD_OVERRIDE=FQ","FILING_STATUS=MR","Sort=A","Dates=H","DateFormat=P","Fill=—","Direction=H","UseDPDF=Y")</f>
        <v>—</v>
      </c>
      <c r="N55" s="14">
        <f>_xll.BDH("BLUE US Equity","IS_SALE_INVESTMENTS_DILUTED_SH","FQ3 2021","FQ3 2021","Currency=USD","Period=FQ","BEST_FPERIOD_OVERRIDE=FQ","FILING_STATUS=MR","Sort=A","Dates=H","DateFormat=P","Fill=—","Direction=H","UseDPDF=Y")</f>
        <v>-6.6231</v>
      </c>
      <c r="O55" s="14" t="str">
        <f>_xll.BDH("BLUE US Equity","IS_SALE_INVESTMENTS_DILUTED_SH","FQ4 2021","FQ4 2021","Currency=USD","Period=FQ","BEST_FPERIOD_OVERRIDE=FQ","FILING_STATUS=MR","Sort=A","Dates=H","DateFormat=P","Fill=—","Direction=H","UseDPDF=Y")</f>
        <v>—</v>
      </c>
      <c r="P55" s="14">
        <f>_xll.BDH("BLUE US Equity","IS_SALE_INVESTMENTS_DILUTED_SH","FQ1 2022","FQ1 2022","Currency=USD","Period=FQ","BEST_FPERIOD_OVERRIDE=FQ","FILING_STATUS=MR","Sort=A","Dates=H","DateFormat=P","Fill=—","Direction=H","UseDPDF=Y")</f>
        <v>0.53779999999999994</v>
      </c>
      <c r="Q55" s="14">
        <f>_xll.BDH("BLUE US Equity","IS_SALE_INVESTMENTS_DILUTED_SH","FQ2 2022","FQ2 2022","Currency=USD","Period=FQ","BEST_FPERIOD_OVERRIDE=FQ","FILING_STATUS=MR","Sort=A","Dates=H","DateFormat=P","Fill=—","Direction=H","UseDPDF=Y")</f>
        <v>0.1343</v>
      </c>
      <c r="R55" s="14">
        <f>_xll.BDH("BLUE US Equity","IS_SALE_INVESTMENTS_DILUTED_SH","FQ3 2022","FQ3 2022","Currency=USD","Period=FQ","BEST_FPERIOD_OVERRIDE=FQ","FILING_STATUS=MR","Sort=A","Dates=H","DateFormat=P","Fill=—","Direction=H","UseDPDF=Y")</f>
        <v>0.60740000000000005</v>
      </c>
      <c r="S55" s="14">
        <f>_xll.BDH("BLUE US Equity","IS_SALE_INVESTMENTS_DILUTED_SH","FQ4 2022","FQ4 2022","Currency=USD","Period=FQ","BEST_FPERIOD_OVERRIDE=FQ","FILING_STATUS=MR","Sort=A","Dates=H","DateFormat=P","Fill=—","Direction=H","UseDPDF=Y")</f>
        <v>-1.1608000000000001</v>
      </c>
      <c r="T55" s="14" t="str">
        <f>_xll.BDH("BLUE US Equity","IS_SALE_INVESTMENTS_DILUTED_SH","FQ1 2023","FQ1 2023","Currency=USD","Period=FQ","BEST_FPERIOD_OVERRIDE=FQ","FILING_STATUS=MR","Sort=A","Dates=H","DateFormat=P","Fill=—","Direction=H","UseDPDF=Y")</f>
        <v>—</v>
      </c>
      <c r="U55" s="14" t="str">
        <f>_xll.BDH("BLUE US Equity","IS_SALE_INVESTMENTS_DILUTED_SH","FQ2 2023","FQ2 2023","Currency=USD","Period=FQ","BEST_FPERIOD_OVERRIDE=FQ","FILING_STATUS=MR","Sort=A","Dates=H","DateFormat=P","Fill=—","Direction=H","UseDPDF=Y")</f>
        <v>—</v>
      </c>
      <c r="V55" s="14" t="str">
        <f>_xll.BDH("BLUE US Equity","IS_SALE_INVESTMENTS_DILUTED_SH","FQ3 2023","FQ3 2023","Currency=USD","Period=FQ","BEST_FPERIOD_OVERRIDE=FQ","FILING_STATUS=MR","Sort=A","Dates=H","DateFormat=P","Fill=—","Direction=H","UseDPDF=Y")</f>
        <v>—</v>
      </c>
      <c r="W55" s="14" t="str">
        <f>_xll.BDH("BLUE US Equity","IS_SALE_INVESTMENTS_DILUTED_SH","FQ4 2023","FQ4 2023","Currency=USD","Period=FQ","BEST_FPERIOD_OVERRIDE=FQ","FILING_STATUS=MR","Sort=A","Dates=H","DateFormat=P","Fill=—","Direction=H","UseDPDF=Y")</f>
        <v>—</v>
      </c>
      <c r="X55" s="14" t="str">
        <f>_xll.BDH("BLUE US Equity","IS_SALE_INVESTMENTS_DILUTED_SH","FQ1 2024","FQ1 2024","Currency=USD","Period=FQ","BEST_FPERIOD_OVERRIDE=FQ","FILING_STATUS=MR","Sort=A","Dates=H","DateFormat=P","Fill=—","Direction=H","UseDPDF=Y")</f>
        <v>—</v>
      </c>
      <c r="Y55" s="14" t="str">
        <f>_xll.BDH("BLUE US Equity","IS_SALE_INVESTMENTS_DILUTED_SH","FQ2 2024","FQ2 2024","Currency=USD","Period=FQ","BEST_FPERIOD_OVERRIDE=FQ","FILING_STATUS=MR","Sort=A","Dates=H","DateFormat=P","Fill=—","Direction=H","UseDPDF=Y")</f>
        <v>—</v>
      </c>
      <c r="Z55" s="14" t="str">
        <f>_xll.BDH("BLUE US Equity","IS_SALE_INVESTMENTS_DILUTED_SH","FQ3 2024","FQ3 2024","Currency=USD","Period=FQ","BEST_FPERIOD_OVERRIDE=FQ","FILING_STATUS=MR","Sort=A","Dates=H","DateFormat=P","Fill=—","Direction=H","UseDPDF=Y")</f>
        <v>—</v>
      </c>
      <c r="AA55" s="14" t="str">
        <f>_xll.BDH("BLUE US Equity","IS_SALE_INVESTMENTS_DILUTED_SH","FQ4 2024","FQ4 2024","Currency=USD","Period=FQ","BEST_FPERIOD_OVERRIDE=FQ","FILING_STATUS=MR","Sort=A","Dates=H","DateFormat=P","Fill=—","Direction=H","UseDPDF=Y")</f>
        <v>—</v>
      </c>
    </row>
    <row r="56" spans="1:27" x14ac:dyDescent="0.25">
      <c r="A56" s="10" t="s">
        <v>545</v>
      </c>
      <c r="B56" s="10" t="s">
        <v>564</v>
      </c>
      <c r="C56" s="14" t="str">
        <f>_xll.BDH("BLUE US Equity","IS_OTH_ONE_TIME_ITEMS_DILUTED_SH","FQ4 2018","FQ4 2018","Currency=USD","Period=FQ","BEST_FPERIOD_OVERRIDE=FQ","FILING_STATUS=MR","Sort=A","Dates=H","DateFormat=P","Fill=—","Direction=H","UseDPDF=Y")</f>
        <v>—</v>
      </c>
      <c r="D56" s="14" t="str">
        <f>_xll.BDH("BLUE US Equity","IS_OTH_ONE_TIME_ITEMS_DILUTED_SH","FQ1 2019","FQ1 2019","Currency=USD","Period=FQ","BEST_FPERIOD_OVERRIDE=FQ","FILING_STATUS=MR","Sort=A","Dates=H","DateFormat=P","Fill=—","Direction=H","UseDPDF=Y")</f>
        <v>—</v>
      </c>
      <c r="E56" s="14" t="str">
        <f>_xll.BDH("BLUE US Equity","IS_OTH_ONE_TIME_ITEMS_DILUTED_SH","FQ2 2019","FQ2 2019","Currency=USD","Period=FQ","BEST_FPERIOD_OVERRIDE=FQ","FILING_STATUS=MR","Sort=A","Dates=H","DateFormat=P","Fill=—","Direction=H","UseDPDF=Y")</f>
        <v>—</v>
      </c>
      <c r="F56" s="14" t="str">
        <f>_xll.BDH("BLUE US Equity","IS_OTH_ONE_TIME_ITEMS_DILUTED_SH","FQ3 2019","FQ3 2019","Currency=USD","Period=FQ","BEST_FPERIOD_OVERRIDE=FQ","FILING_STATUS=MR","Sort=A","Dates=H","DateFormat=P","Fill=—","Direction=H","UseDPDF=Y")</f>
        <v>—</v>
      </c>
      <c r="G56" s="14" t="str">
        <f>_xll.BDH("BLUE US Equity","IS_OTH_ONE_TIME_ITEMS_DILUTED_SH","FQ4 2019","FQ4 2019","Currency=USD","Period=FQ","BEST_FPERIOD_OVERRIDE=FQ","FILING_STATUS=MR","Sort=A","Dates=H","DateFormat=P","Fill=—","Direction=H","UseDPDF=Y")</f>
        <v>—</v>
      </c>
      <c r="H56" s="14" t="str">
        <f>_xll.BDH("BLUE US Equity","IS_OTH_ONE_TIME_ITEMS_DILUTED_SH","FQ1 2020","FQ1 2020","Currency=USD","Period=FQ","BEST_FPERIOD_OVERRIDE=FQ","FILING_STATUS=MR","Sort=A","Dates=H","DateFormat=P","Fill=—","Direction=H","UseDPDF=Y")</f>
        <v>—</v>
      </c>
      <c r="I56" s="14" t="str">
        <f>_xll.BDH("BLUE US Equity","IS_OTH_ONE_TIME_ITEMS_DILUTED_SH","FQ2 2020","FQ2 2020","Currency=USD","Period=FQ","BEST_FPERIOD_OVERRIDE=FQ","FILING_STATUS=MR","Sort=A","Dates=H","DateFormat=P","Fill=—","Direction=H","UseDPDF=Y")</f>
        <v>—</v>
      </c>
      <c r="J56" s="14" t="str">
        <f>_xll.BDH("BLUE US Equity","IS_OTH_ONE_TIME_ITEMS_DILUTED_SH","FQ3 2020","FQ3 2020","Currency=USD","Period=FQ","BEST_FPERIOD_OVERRIDE=FQ","FILING_STATUS=MR","Sort=A","Dates=H","DateFormat=P","Fill=—","Direction=H","UseDPDF=Y")</f>
        <v>—</v>
      </c>
      <c r="K56" s="14" t="str">
        <f>_xll.BDH("BLUE US Equity","IS_OTH_ONE_TIME_ITEMS_DILUTED_SH","FQ4 2020","FQ4 2020","Currency=USD","Period=FQ","BEST_FPERIOD_OVERRIDE=FQ","FILING_STATUS=MR","Sort=A","Dates=H","DateFormat=P","Fill=—","Direction=H","UseDPDF=Y")</f>
        <v>—</v>
      </c>
      <c r="L56" s="14" t="str">
        <f>_xll.BDH("BLUE US Equity","IS_OTH_ONE_TIME_ITEMS_DILUTED_SH","FQ1 2021","FQ1 2021","Currency=USD","Period=FQ","BEST_FPERIOD_OVERRIDE=FQ","FILING_STATUS=MR","Sort=A","Dates=H","DateFormat=P","Fill=—","Direction=H","UseDPDF=Y")</f>
        <v>—</v>
      </c>
      <c r="M56" s="14" t="str">
        <f>_xll.BDH("BLUE US Equity","IS_OTH_ONE_TIME_ITEMS_DILUTED_SH","FQ2 2021","FQ2 2021","Currency=USD","Period=FQ","BEST_FPERIOD_OVERRIDE=FQ","FILING_STATUS=MR","Sort=A","Dates=H","DateFormat=P","Fill=—","Direction=H","UseDPDF=Y")</f>
        <v>—</v>
      </c>
      <c r="N56" s="14" t="str">
        <f>_xll.BDH("BLUE US Equity","IS_OTH_ONE_TIME_ITEMS_DILUTED_SH","FQ3 2021","FQ3 2021","Currency=USD","Period=FQ","BEST_FPERIOD_OVERRIDE=FQ","FILING_STATUS=MR","Sort=A","Dates=H","DateFormat=P","Fill=—","Direction=H","UseDPDF=Y")</f>
        <v>—</v>
      </c>
      <c r="O56" s="14" t="str">
        <f>_xll.BDH("BLUE US Equity","IS_OTH_ONE_TIME_ITEMS_DILUTED_SH","FQ4 2021","FQ4 2021","Currency=USD","Period=FQ","BEST_FPERIOD_OVERRIDE=FQ","FILING_STATUS=MR","Sort=A","Dates=H","DateFormat=P","Fill=—","Direction=H","UseDPDF=Y")</f>
        <v>—</v>
      </c>
      <c r="P56" s="14" t="str">
        <f>_xll.BDH("BLUE US Equity","IS_OTH_ONE_TIME_ITEMS_DILUTED_SH","FQ1 2022","FQ1 2022","Currency=USD","Period=FQ","BEST_FPERIOD_OVERRIDE=FQ","FILING_STATUS=MR","Sort=A","Dates=H","DateFormat=P","Fill=—","Direction=H","UseDPDF=Y")</f>
        <v>—</v>
      </c>
      <c r="Q56" s="14" t="str">
        <f>_xll.BDH("BLUE US Equity","IS_OTH_ONE_TIME_ITEMS_DILUTED_SH","FQ2 2022","FQ2 2022","Currency=USD","Period=FQ","BEST_FPERIOD_OVERRIDE=FQ","FILING_STATUS=MR","Sort=A","Dates=H","DateFormat=P","Fill=—","Direction=H","UseDPDF=Y")</f>
        <v>—</v>
      </c>
      <c r="R56" s="14" t="str">
        <f>_xll.BDH("BLUE US Equity","IS_OTH_ONE_TIME_ITEMS_DILUTED_SH","FQ3 2022","FQ3 2022","Currency=USD","Period=FQ","BEST_FPERIOD_OVERRIDE=FQ","FILING_STATUS=MR","Sort=A","Dates=H","DateFormat=P","Fill=—","Direction=H","UseDPDF=Y")</f>
        <v>—</v>
      </c>
      <c r="S56" s="14">
        <f>_xll.BDH("BLUE US Equity","IS_OTH_ONE_TIME_ITEMS_DILUTED_SH","FQ4 2022","FQ4 2022","Currency=USD","Period=FQ","BEST_FPERIOD_OVERRIDE=FQ","FILING_STATUS=MR","Sort=A","Dates=H","DateFormat=P","Fill=—","Direction=H","UseDPDF=Y")</f>
        <v>-18.884</v>
      </c>
      <c r="T56" s="14">
        <f>_xll.BDH("BLUE US Equity","IS_OTH_ONE_TIME_ITEMS_DILUTED_SH","FQ1 2023","FQ1 2023","Currency=USD","Period=FQ","BEST_FPERIOD_OVERRIDE=FQ","FILING_STATUS=MR","Sort=A","Dates=H","DateFormat=P","Fill=—","Direction=H","UseDPDF=Y")</f>
        <v>-14.2135</v>
      </c>
      <c r="U56" s="14" t="str">
        <f>_xll.BDH("BLUE US Equity","IS_OTH_ONE_TIME_ITEMS_DILUTED_SH","FQ2 2023","FQ2 2023","Currency=USD","Period=FQ","BEST_FPERIOD_OVERRIDE=FQ","FILING_STATUS=MR","Sort=A","Dates=H","DateFormat=P","Fill=—","Direction=H","UseDPDF=Y")</f>
        <v>—</v>
      </c>
      <c r="V56" s="14" t="str">
        <f>_xll.BDH("BLUE US Equity","IS_OTH_ONE_TIME_ITEMS_DILUTED_SH","FQ3 2023","FQ3 2023","Currency=USD","Period=FQ","BEST_FPERIOD_OVERRIDE=FQ","FILING_STATUS=MR","Sort=A","Dates=H","DateFormat=P","Fill=—","Direction=H","UseDPDF=Y")</f>
        <v>—</v>
      </c>
      <c r="W56" s="14">
        <f>_xll.BDH("BLUE US Equity","IS_OTH_ONE_TIME_ITEMS_DILUTED_SH","FQ4 2023","FQ4 2023","Currency=USD","Period=FQ","BEST_FPERIOD_OVERRIDE=FQ","FILING_STATUS=MR","Sort=A","Dates=H","DateFormat=P","Fill=—","Direction=H","UseDPDF=Y")</f>
        <v>0</v>
      </c>
      <c r="X56" s="14" t="str">
        <f>_xll.BDH("BLUE US Equity","IS_OTH_ONE_TIME_ITEMS_DILUTED_SH","FQ1 2024","FQ1 2024","Currency=USD","Period=FQ","BEST_FPERIOD_OVERRIDE=FQ","FILING_STATUS=MR","Sort=A","Dates=H","DateFormat=P","Fill=—","Direction=H","UseDPDF=Y")</f>
        <v>—</v>
      </c>
      <c r="Y56" s="14" t="str">
        <f>_xll.BDH("BLUE US Equity","IS_OTH_ONE_TIME_ITEMS_DILUTED_SH","FQ2 2024","FQ2 2024","Currency=USD","Period=FQ","BEST_FPERIOD_OVERRIDE=FQ","FILING_STATUS=MR","Sort=A","Dates=H","DateFormat=P","Fill=—","Direction=H","UseDPDF=Y")</f>
        <v>—</v>
      </c>
      <c r="Z56" s="14" t="str">
        <f>_xll.BDH("BLUE US Equity","IS_OTH_ONE_TIME_ITEMS_DILUTED_SH","FQ3 2024","FQ3 2024","Currency=USD","Period=FQ","BEST_FPERIOD_OVERRIDE=FQ","FILING_STATUS=MR","Sort=A","Dates=H","DateFormat=P","Fill=—","Direction=H","UseDPDF=Y")</f>
        <v>—</v>
      </c>
      <c r="AA56" s="14" t="str">
        <f>_xll.BDH("BLUE US Equity","IS_OTH_ONE_TIME_ITEMS_DILUTED_SH","FQ4 2024","FQ4 2024","Currency=USD","Period=FQ","BEST_FPERIOD_OVERRIDE=FQ","FILING_STATUS=MR","Sort=A","Dates=H","DateFormat=P","Fill=—","Direction=H","UseDPDF=Y")</f>
        <v>—</v>
      </c>
    </row>
    <row r="57" spans="1:27" x14ac:dyDescent="0.25">
      <c r="A57" s="6" t="s">
        <v>565</v>
      </c>
      <c r="B57" s="6" t="s">
        <v>82</v>
      </c>
      <c r="C57" s="20">
        <f>_xll.BDH("BLUE US Equity","IS_DIL_EPS_CONT_OPS","FQ4 2018","FQ4 2018","Currency=USD","Period=FQ","BEST_FPERIOD_OVERRIDE=FQ","FILING_STATUS=MR","Sort=A","Dates=H","DateFormat=P","Fill=—","Direction=H","UseDPDF=Y")</f>
        <v>-53.8538</v>
      </c>
      <c r="D57" s="20">
        <f>_xll.BDH("BLUE US Equity","IS_DIL_EPS_CONT_OPS","FQ1 2019","FQ1 2019","Currency=USD","Period=FQ","BEST_FPERIOD_OVERRIDE=FQ","FILING_STATUS=MR","Sort=A","Dates=H","DateFormat=P","Fill=—","Direction=H","UseDPDF=Y")</f>
        <v>-59.760199999999998</v>
      </c>
      <c r="E57" s="20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F57" s="20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G57" s="20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H57" s="20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I57" s="20">
        <f>_xll.BDH("BLUE US Equity","IS_DIL_EPS_CONT_OPS","FQ2 2020","FQ2 2020","Currency=USD","Period=FQ","BEST_FPERIOD_OVERRIDE=FQ","FILING_STATUS=MR","Sort=A","Dates=H","DateFormat=P","Fill=—","Direction=H","UseDPDF=Y")</f>
        <v>-7.633</v>
      </c>
      <c r="J57" s="20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K57" s="20">
        <f>_xll.BDH("BLUE US Equity","IS_DIL_EPS_CONT_OPS","FQ4 2020","FQ4 2020","Currency=USD","Period=FQ","BEST_FPERIOD_OVERRIDE=FQ","FILING_STATUS=MR","Sort=A","Dates=H","DateFormat=P","Fill=—","Direction=H","UseDPDF=Y")</f>
        <v>-41</v>
      </c>
      <c r="L57" s="20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M57" s="20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N57" s="20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O57" s="20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P57" s="20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Q57" s="20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R57" s="20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S57" s="20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T57" s="20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U57" s="20">
        <f>_xll.BDH("BLUE US Equity","IS_DIL_EPS_CONT_OPS","FQ2 2023","FQ2 2023","Currency=USD","Period=FQ","BEST_FPERIOD_OVERRIDE=FQ","FILING_STATUS=MR","Sort=A","Dates=H","DateFormat=P","Fill=—","Direction=H","UseDPDF=Y")</f>
        <v>-11.6</v>
      </c>
      <c r="V57" s="20">
        <f>_xll.BDH("BLUE US Equity","IS_DIL_EPS_CONT_OPS","FQ3 2023","FQ3 2023","Currency=USD","Period=FQ","BEST_FPERIOD_OVERRIDE=FQ","FILING_STATUS=MR","Sort=A","Dates=H","DateFormat=P","Fill=—","Direction=H","UseDPDF=Y")</f>
        <v>-16</v>
      </c>
      <c r="W57" s="20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X57" s="20">
        <f>_xll.BDH("BLUE US Equity","IS_DIL_EPS_CONT_OPS","FQ1 2024","FQ1 2024","Currency=USD","Period=FQ","BEST_FPERIOD_OVERRIDE=FQ","FILING_STATUS=MR","Sort=A","Dates=H","DateFormat=P","Fill=—","Direction=H","UseDPDF=Y")</f>
        <v>-7.2</v>
      </c>
      <c r="Y57" s="20">
        <f>_xll.BDH("BLUE US Equity","IS_DIL_EPS_CONT_OPS","FQ2 2024","FQ2 2024","Currency=USD","Period=FQ","BEST_FPERIOD_OVERRIDE=FQ","FILING_STATUS=MR","Sort=A","Dates=H","DateFormat=P","Fill=—","Direction=H","UseDPDF=Y")</f>
        <v>-8.4</v>
      </c>
      <c r="Z57" s="20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AA57" s="20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</row>
    <row r="58" spans="1:27" x14ac:dyDescent="0.25">
      <c r="A58" s="7" t="s">
        <v>90</v>
      </c>
      <c r="B58" s="7"/>
      <c r="C58" s="7" t="s">
        <v>5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558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0" t="s">
        <v>567</v>
      </c>
      <c r="B7" s="10" t="s">
        <v>568</v>
      </c>
      <c r="C7" s="14">
        <f>_xll.BDH("BLUE US Equity","BASIC_EPS_EX_STK_BASED_COMP","FQ4 2018","FQ4 2018","Currency=USD","Period=FQ","BEST_FPERIOD_OVERRIDE=FQ","FILING_STATUS=MR","Sort=A","Dates=H","DateFormat=P","Fill=—","Direction=H","UseDPDF=Y")</f>
        <v>-45.193800000000003</v>
      </c>
      <c r="D7" s="14">
        <f>_xll.BDH("BLUE US Equity","BASIC_EPS_EX_STK_BASED_COMP","FQ1 2019","FQ1 2019","Currency=USD","Period=FQ","BEST_FPERIOD_OVERRIDE=FQ","FILING_STATUS=MR","Sort=A","Dates=H","DateFormat=P","Fill=—","Direction=H","UseDPDF=Y")</f>
        <v>-50.462299999999999</v>
      </c>
      <c r="E7" s="14">
        <f>_xll.BDH("BLUE US Equity","BASIC_EPS_EX_STK_BASED_COMP","FQ2 2019","FQ2 2019","Currency=USD","Period=FQ","BEST_FPERIOD_OVERRIDE=FQ","FILING_STATUS=MR","Sort=A","Dates=H","DateFormat=P","Fill=—","Direction=H","UseDPDF=Y")</f>
        <v>-55.134700000000002</v>
      </c>
      <c r="F7" s="14">
        <f>_xll.BDH("BLUE US Equity","BASIC_EPS_EX_STK_BASED_COMP","FQ3 2019","FQ3 2019","Currency=USD","Period=FQ","BEST_FPERIOD_OVERRIDE=FQ","FILING_STATUS=MR","Sort=A","Dates=H","DateFormat=P","Fill=—","Direction=H","UseDPDF=Y")</f>
        <v>-63.281500000000001</v>
      </c>
      <c r="G7" s="14">
        <f>_xll.BDH("BLUE US Equity","BASIC_EPS_EX_STK_BASED_COMP","FQ4 2019","FQ4 2019","Currency=USD","Period=FQ","BEST_FPERIOD_OVERRIDE=FQ","FILING_STATUS=MR","Sort=A","Dates=H","DateFormat=P","Fill=—","Direction=H","UseDPDF=Y")</f>
        <v>-70.415899999999993</v>
      </c>
      <c r="H7" s="14">
        <f>_xll.BDH("BLUE US Equity","BASIC_EPS_EX_STK_BASED_COMP","FQ1 2020","FQ1 2020","Currency=USD","Period=FQ","BEST_FPERIOD_OVERRIDE=FQ","FILING_STATUS=MR","Sort=A","Dates=H","DateFormat=P","Fill=—","Direction=H","UseDPDF=Y")</f>
        <v>-63.462800000000001</v>
      </c>
      <c r="I7" s="14">
        <f>_xll.BDH("BLUE US Equity","BASIC_EPS_EX_STK_BASED_COMP","FQ2 2020","FQ2 2020","Currency=USD","Period=FQ","BEST_FPERIOD_OVERRIDE=FQ","FILING_STATUS=MR","Sort=A","Dates=H","DateFormat=P","Fill=—","Direction=H","UseDPDF=Y")</f>
        <v>5.1555</v>
      </c>
      <c r="J7" s="14">
        <f>_xll.BDH("BLUE US Equity","BASIC_EPS_EX_STK_BASED_COMP","FQ3 2020","FQ3 2020","Currency=USD","Period=FQ","BEST_FPERIOD_OVERRIDE=FQ","FILING_STATUS=MR","Sort=A","Dates=H","DateFormat=P","Fill=—","Direction=H","UseDPDF=Y")</f>
        <v>-49.729900000000001</v>
      </c>
      <c r="K7" s="14">
        <f>_xll.BDH("BLUE US Equity","BASIC_EPS_EX_STK_BASED_COMP","FQ4 2020","FQ4 2020","Currency=USD","Period=FQ","BEST_FPERIOD_OVERRIDE=FQ","FILING_STATUS=MR","Sort=A","Dates=H","DateFormat=P","Fill=—","Direction=H","UseDPDF=Y")</f>
        <v>-33.149099999999997</v>
      </c>
      <c r="L7" s="14">
        <f>_xll.BDH("BLUE US Equity","BASIC_EPS_EX_STK_BASED_COMP","FQ1 2021","FQ1 2021","Currency=USD","Period=FQ","BEST_FPERIOD_OVERRIDE=FQ","FILING_STATUS=MR","Sort=A","Dates=H","DateFormat=P","Fill=—","Direction=H","UseDPDF=Y")</f>
        <v>-32.8566</v>
      </c>
      <c r="M7" s="14">
        <f>_xll.BDH("BLUE US Equity","BASIC_EPS_EX_STK_BASED_COMP","FQ2 2021","FQ2 2021","Currency=USD","Period=FQ","BEST_FPERIOD_OVERRIDE=FQ","FILING_STATUS=MR","Sort=A","Dates=H","DateFormat=P","Fill=—","Direction=H","UseDPDF=Y")</f>
        <v>-64.348600000000005</v>
      </c>
      <c r="N7" s="14">
        <f>_xll.BDH("BLUE US Equity","BASIC_EPS_EX_STK_BASED_COMP","FQ3 2021","FQ3 2021","Currency=USD","Period=FQ","BEST_FPERIOD_OVERRIDE=FQ","FILING_STATUS=MR","Sort=A","Dates=H","DateFormat=P","Fill=—","Direction=H","UseDPDF=Y")</f>
        <v>-40.042499999999997</v>
      </c>
      <c r="O7" s="14">
        <f>_xll.BDH("BLUE US Equity","BASIC_EPS_EX_STK_BASED_COMP","FQ4 2021","FQ4 2021","Currency=USD","Period=FQ","BEST_FPERIOD_OVERRIDE=FQ","FILING_STATUS=MR","Sort=A","Dates=H","DateFormat=P","Fill=—","Direction=H","UseDPDF=Y")</f>
        <v>-30.618500000000001</v>
      </c>
      <c r="P7" s="14">
        <f>_xll.BDH("BLUE US Equity","BASIC_EPS_EX_STK_BASED_COMP","FQ1 2022","FQ1 2022","Currency=USD","Period=FQ","BEST_FPERIOD_OVERRIDE=FQ","FILING_STATUS=MR","Sort=A","Dates=H","DateFormat=P","Fill=—","Direction=H","UseDPDF=Y")</f>
        <v>-29.959399999999999</v>
      </c>
      <c r="Q7" s="14">
        <f>_xll.BDH("BLUE US Equity","BASIC_EPS_EX_STK_BASED_COMP","FQ2 2022","FQ2 2022","Currency=USD","Period=FQ","BEST_FPERIOD_OVERRIDE=FQ","FILING_STATUS=MR","Sort=A","Dates=H","DateFormat=P","Fill=—","Direction=H","UseDPDF=Y")</f>
        <v>-23.685500000000001</v>
      </c>
      <c r="R7" s="14">
        <f>_xll.BDH("BLUE US Equity","BASIC_EPS_EX_STK_BASED_COMP","FQ3 2022","FQ3 2022","Currency=USD","Period=FQ","BEST_FPERIOD_OVERRIDE=FQ","FILING_STATUS=MR","Sort=A","Dates=H","DateFormat=P","Fill=—","Direction=H","UseDPDF=Y")</f>
        <v>-16.704799999999999</v>
      </c>
      <c r="S7" s="14">
        <f>_xll.BDH("BLUE US Equity","BASIC_EPS_EX_STK_BASED_COMP","FQ4 2022","FQ4 2022","Currency=USD","Period=FQ","BEST_FPERIOD_OVERRIDE=FQ","FILING_STATUS=MR","Sort=A","Dates=H","DateFormat=P","Fill=—","Direction=H","UseDPDF=Y")</f>
        <v>-3.1514000000000002</v>
      </c>
      <c r="T7" s="14">
        <f>_xll.BDH("BLUE US Equity","BASIC_EPS_EX_STK_BASED_COMP","FQ1 2023","FQ1 2023","Currency=USD","Period=FQ","BEST_FPERIOD_OVERRIDE=FQ","FILING_STATUS=MR","Sort=A","Dates=H","DateFormat=P","Fill=—","Direction=H","UseDPDF=Y")</f>
        <v>-9.7601999999999993</v>
      </c>
      <c r="U7" s="14">
        <f>_xll.BDH("BLUE US Equity","BASIC_EPS_EX_STK_BASED_COMP","FQ2 2023","FQ2 2023","Currency=USD","Period=FQ","BEST_FPERIOD_OVERRIDE=FQ","FILING_STATUS=MR","Sort=A","Dates=H","DateFormat=P","Fill=—","Direction=H","UseDPDF=Y")</f>
        <v>-10.763500000000001</v>
      </c>
      <c r="V7" s="14">
        <f>_xll.BDH("BLUE US Equity","BASIC_EPS_EX_STK_BASED_COMP","FQ3 2023","FQ3 2023","Currency=USD","Period=FQ","BEST_FPERIOD_OVERRIDE=FQ","FILING_STATUS=MR","Sort=A","Dates=H","DateFormat=P","Fill=—","Direction=H","UseDPDF=Y")</f>
        <v>-15.295</v>
      </c>
      <c r="W7" s="14">
        <f>_xll.BDH("BLUE US Equity","BASIC_EPS_EX_STK_BASED_COMP","FQ4 2023","FQ4 2023","Currency=USD","Period=FQ","BEST_FPERIOD_OVERRIDE=FQ","FILING_STATUS=MR","Sort=A","Dates=H","DateFormat=P","Fill=—","Direction=H","UseDPDF=Y")</f>
        <v>-14.473100000000001</v>
      </c>
      <c r="X7" s="14">
        <f>_xll.BDH("BLUE US Equity","BASIC_EPS_EX_STK_BASED_COMP","FQ1 2024","FQ1 2024","Currency=USD","Period=FQ","BEST_FPERIOD_OVERRIDE=FQ","FILING_STATUS=MR","Sort=A","Dates=H","DateFormat=P","Fill=—","Direction=H","UseDPDF=Y")</f>
        <v>-6.8922999999999996</v>
      </c>
      <c r="Y7" s="14">
        <f>_xll.BDH("BLUE US Equity","BASIC_EPS_EX_STK_BASED_COMP","FQ2 2024","FQ2 2024","Currency=USD","Period=FQ","BEST_FPERIOD_OVERRIDE=FQ","FILING_STATUS=MR","Sort=A","Dates=H","DateFormat=P","Fill=—","Direction=H","UseDPDF=Y")</f>
        <v>-8.1384000000000007</v>
      </c>
      <c r="Z7" s="14">
        <f>_xll.BDH("BLUE US Equity","BASIC_EPS_EX_STK_BASED_COMP","FQ3 2024","FQ3 2024","Currency=USD","Period=FQ","BEST_FPERIOD_OVERRIDE=FQ","FILING_STATUS=MR","Sort=A","Dates=H","DateFormat=P","Fill=—","Direction=H","UseDPDF=Y")</f>
        <v>-5.8231999999999999</v>
      </c>
      <c r="AA7" s="14">
        <f>_xll.BDH("BLUE US Equity","BASIC_EPS_EX_STK_BASED_COMP","FQ4 2024","FQ4 2024","Currency=USD","Period=FQ","BEST_FPERIOD_OVERRIDE=FQ","FILING_STATUS=MR","Sort=A","Dates=H","DateFormat=P","Fill=—","Direction=H","UseDPDF=Y")</f>
        <v>-2.9870000000000001</v>
      </c>
    </row>
    <row r="8" spans="1:27" x14ac:dyDescent="0.25">
      <c r="A8" s="10" t="s">
        <v>569</v>
      </c>
      <c r="B8" s="10" t="s">
        <v>570</v>
      </c>
      <c r="C8" s="14">
        <f>_xll.BDH("BLUE US Equity","DILUTED_EPS_EX_STK_BASED_COMP","FQ4 2018","FQ4 2018","Currency=USD","Period=FQ","BEST_FPERIOD_OVERRIDE=FQ","FILING_STATUS=MR","Sort=A","Dates=H","DateFormat=P","Fill=—","Direction=H","UseDPDF=Y")</f>
        <v>-45.193800000000003</v>
      </c>
      <c r="D8" s="14">
        <f>_xll.BDH("BLUE US Equity","DILUTED_EPS_EX_STK_BASED_COMP","FQ1 2019","FQ1 2019","Currency=USD","Period=FQ","BEST_FPERIOD_OVERRIDE=FQ","FILING_STATUS=MR","Sort=A","Dates=H","DateFormat=P","Fill=—","Direction=H","UseDPDF=Y")</f>
        <v>-50.462299999999999</v>
      </c>
      <c r="E8" s="14">
        <f>_xll.BDH("BLUE US Equity","DILUTED_EPS_EX_STK_BASED_COMP","FQ2 2019","FQ2 2019","Currency=USD","Period=FQ","BEST_FPERIOD_OVERRIDE=FQ","FILING_STATUS=MR","Sort=A","Dates=H","DateFormat=P","Fill=—","Direction=H","UseDPDF=Y")</f>
        <v>-55.154200000000003</v>
      </c>
      <c r="F8" s="14">
        <f>_xll.BDH("BLUE US Equity","DILUTED_EPS_EX_STK_BASED_COMP","FQ3 2019","FQ3 2019","Currency=USD","Period=FQ","BEST_FPERIOD_OVERRIDE=FQ","FILING_STATUS=MR","Sort=A","Dates=H","DateFormat=P","Fill=—","Direction=H","UseDPDF=Y")</f>
        <v>-63.356099999999998</v>
      </c>
      <c r="G8" s="14">
        <f>_xll.BDH("BLUE US Equity","DILUTED_EPS_EX_STK_BASED_COMP","FQ4 2019","FQ4 2019","Currency=USD","Period=FQ","BEST_FPERIOD_OVERRIDE=FQ","FILING_STATUS=MR","Sort=A","Dates=H","DateFormat=P","Fill=—","Direction=H","UseDPDF=Y")</f>
        <v>-70.503600000000006</v>
      </c>
      <c r="H8" s="14">
        <f>_xll.BDH("BLUE US Equity","DILUTED_EPS_EX_STK_BASED_COMP","FQ1 2020","FQ1 2020","Currency=USD","Period=FQ","BEST_FPERIOD_OVERRIDE=FQ","FILING_STATUS=MR","Sort=A","Dates=H","DateFormat=P","Fill=—","Direction=H","UseDPDF=Y")</f>
        <v>-63.462800000000001</v>
      </c>
      <c r="I8" s="14">
        <f>_xll.BDH("BLUE US Equity","DILUTED_EPS_EX_STK_BASED_COMP","FQ2 2020","FQ2 2020","Currency=USD","Period=FQ","BEST_FPERIOD_OVERRIDE=FQ","FILING_STATUS=MR","Sort=A","Dates=H","DateFormat=P","Fill=—","Direction=H","UseDPDF=Y")</f>
        <v>5.0650000000000004</v>
      </c>
      <c r="J8" s="14">
        <f>_xll.BDH("BLUE US Equity","DILUTED_EPS_EX_STK_BASED_COMP","FQ3 2020","FQ3 2020","Currency=USD","Period=FQ","BEST_FPERIOD_OVERRIDE=FQ","FILING_STATUS=MR","Sort=A","Dates=H","DateFormat=P","Fill=—","Direction=H","UseDPDF=Y")</f>
        <v>-49.739899999999999</v>
      </c>
      <c r="K8" s="14">
        <f>_xll.BDH("BLUE US Equity","DILUTED_EPS_EX_STK_BASED_COMP","FQ4 2020","FQ4 2020","Currency=USD","Period=FQ","BEST_FPERIOD_OVERRIDE=FQ","FILING_STATUS=MR","Sort=A","Dates=H","DateFormat=P","Fill=—","Direction=H","UseDPDF=Y")</f>
        <v>-33.149099999999997</v>
      </c>
      <c r="L8" s="14">
        <f>_xll.BDH("BLUE US Equity","DILUTED_EPS_EX_STK_BASED_COMP","FQ1 2021","FQ1 2021","Currency=USD","Period=FQ","BEST_FPERIOD_OVERRIDE=FQ","FILING_STATUS=MR","Sort=A","Dates=H","DateFormat=P","Fill=—","Direction=H","UseDPDF=Y")</f>
        <v>-32.8566</v>
      </c>
      <c r="M8" s="14">
        <f>_xll.BDH("BLUE US Equity","DILUTED_EPS_EX_STK_BASED_COMP","FQ2 2021","FQ2 2021","Currency=USD","Period=FQ","BEST_FPERIOD_OVERRIDE=FQ","FILING_STATUS=MR","Sort=A","Dates=H","DateFormat=P","Fill=—","Direction=H","UseDPDF=Y")</f>
        <v>-64.348600000000005</v>
      </c>
      <c r="N8" s="14">
        <f>_xll.BDH("BLUE US Equity","DILUTED_EPS_EX_STK_BASED_COMP","FQ3 2021","FQ3 2021","Currency=USD","Period=FQ","BEST_FPERIOD_OVERRIDE=FQ","FILING_STATUS=MR","Sort=A","Dates=H","DateFormat=P","Fill=—","Direction=H","UseDPDF=Y")</f>
        <v>-40.098100000000002</v>
      </c>
      <c r="O8" s="14">
        <f>_xll.BDH("BLUE US Equity","DILUTED_EPS_EX_STK_BASED_COMP","FQ4 2021","FQ4 2021","Currency=USD","Period=FQ","BEST_FPERIOD_OVERRIDE=FQ","FILING_STATUS=MR","Sort=A","Dates=H","DateFormat=P","Fill=—","Direction=H","UseDPDF=Y")</f>
        <v>-30.7135</v>
      </c>
      <c r="P8" s="14">
        <f>_xll.BDH("BLUE US Equity","DILUTED_EPS_EX_STK_BASED_COMP","FQ1 2022","FQ1 2022","Currency=USD","Period=FQ","BEST_FPERIOD_OVERRIDE=FQ","FILING_STATUS=MR","Sort=A","Dates=H","DateFormat=P","Fill=—","Direction=H","UseDPDF=Y")</f>
        <v>-30.005600000000001</v>
      </c>
      <c r="Q8" s="14">
        <f>_xll.BDH("BLUE US Equity","DILUTED_EPS_EX_STK_BASED_COMP","FQ2 2022","FQ2 2022","Currency=USD","Period=FQ","BEST_FPERIOD_OVERRIDE=FQ","FILING_STATUS=MR","Sort=A","Dates=H","DateFormat=P","Fill=—","Direction=H","UseDPDF=Y")</f>
        <v>-23.735700000000001</v>
      </c>
      <c r="R8" s="14">
        <f>_xll.BDH("BLUE US Equity","DILUTED_EPS_EX_STK_BASED_COMP","FQ3 2022","FQ3 2022","Currency=USD","Period=FQ","BEST_FPERIOD_OVERRIDE=FQ","FILING_STATUS=MR","Sort=A","Dates=H","DateFormat=P","Fill=—","Direction=H","UseDPDF=Y")</f>
        <v>-16.736799999999999</v>
      </c>
      <c r="S8" s="14">
        <f>_xll.BDH("BLUE US Equity","DILUTED_EPS_EX_STK_BASED_COMP","FQ4 2022","FQ4 2022","Currency=USD","Period=FQ","BEST_FPERIOD_OVERRIDE=FQ","FILING_STATUS=MR","Sort=A","Dates=H","DateFormat=P","Fill=—","Direction=H","UseDPDF=Y")</f>
        <v>-3.1514000000000002</v>
      </c>
      <c r="T8" s="14">
        <f>_xll.BDH("BLUE US Equity","DILUTED_EPS_EX_STK_BASED_COMP","FQ1 2023","FQ1 2023","Currency=USD","Period=FQ","BEST_FPERIOD_OVERRIDE=FQ","FILING_STATUS=MR","Sort=A","Dates=H","DateFormat=P","Fill=—","Direction=H","UseDPDF=Y")</f>
        <v>-9.7888999999999999</v>
      </c>
      <c r="U8" s="14">
        <f>_xll.BDH("BLUE US Equity","DILUTED_EPS_EX_STK_BASED_COMP","FQ2 2023","FQ2 2023","Currency=USD","Period=FQ","BEST_FPERIOD_OVERRIDE=FQ","FILING_STATUS=MR","Sort=A","Dates=H","DateFormat=P","Fill=—","Direction=H","UseDPDF=Y")</f>
        <v>-10.763500000000001</v>
      </c>
      <c r="V8" s="14">
        <f>_xll.BDH("BLUE US Equity","DILUTED_EPS_EX_STK_BASED_COMP","FQ3 2023","FQ3 2023","Currency=USD","Period=FQ","BEST_FPERIOD_OVERRIDE=FQ","FILING_STATUS=MR","Sort=A","Dates=H","DateFormat=P","Fill=—","Direction=H","UseDPDF=Y")</f>
        <v>-15.295</v>
      </c>
      <c r="W8" s="14">
        <f>_xll.BDH("BLUE US Equity","DILUTED_EPS_EX_STK_BASED_COMP","FQ4 2023","FQ4 2023","Currency=USD","Period=FQ","BEST_FPERIOD_OVERRIDE=FQ","FILING_STATUS=MR","Sort=A","Dates=H","DateFormat=P","Fill=—","Direction=H","UseDPDF=Y")</f>
        <v>-14.473100000000001</v>
      </c>
      <c r="X8" s="14">
        <f>_xll.BDH("BLUE US Equity","DILUTED_EPS_EX_STK_BASED_COMP","FQ1 2024","FQ1 2024","Currency=USD","Period=FQ","BEST_FPERIOD_OVERRIDE=FQ","FILING_STATUS=MR","Sort=A","Dates=H","DateFormat=P","Fill=—","Direction=H","UseDPDF=Y")</f>
        <v>-6.8922999999999996</v>
      </c>
      <c r="Y8" s="14">
        <f>_xll.BDH("BLUE US Equity","DILUTED_EPS_EX_STK_BASED_COMP","FQ2 2024","FQ2 2024","Currency=USD","Period=FQ","BEST_FPERIOD_OVERRIDE=FQ","FILING_STATUS=MR","Sort=A","Dates=H","DateFormat=P","Fill=—","Direction=H","UseDPDF=Y")</f>
        <v>-8.1384000000000007</v>
      </c>
      <c r="Z8" s="14">
        <f>_xll.BDH("BLUE US Equity","DILUTED_EPS_EX_STK_BASED_COMP","FQ3 2024","FQ3 2024","Currency=USD","Period=FQ","BEST_FPERIOD_OVERRIDE=FQ","FILING_STATUS=MR","Sort=A","Dates=H","DateFormat=P","Fill=—","Direction=H","UseDPDF=Y")</f>
        <v>-5.8231999999999999</v>
      </c>
      <c r="AA8" s="14">
        <f>_xll.BDH("BLUE US Equity","DILUTED_EPS_EX_STK_BASED_COMP","FQ4 2024","FQ4 2024","Currency=USD","Period=FQ","BEST_FPERIOD_OVERRIDE=FQ","FILING_STATUS=MR","Sort=A","Dates=H","DateFormat=P","Fill=—","Direction=H","UseDPDF=Y")</f>
        <v>-2.9870000000000001</v>
      </c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10" t="s">
        <v>571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5">
      <c r="A11" s="10" t="s">
        <v>572</v>
      </c>
      <c r="B11" s="10" t="s">
        <v>573</v>
      </c>
      <c r="C11" s="13">
        <f>_xll.BDH("BLUE US Equity","IS_EXPENSE_STOCK_BASED_COMP","FQ4 2018","FQ4 2018","Currency=USD","Period=FQ","BEST_FPERIOD_OVERRIDE=FQ","FILING_STATUS=MR","SCALING_FORMAT=MLN","Sort=A","Dates=H","DateFormat=P","Fill=—","Direction=H","UseDPDF=Y")</f>
        <v>29.986999999999998</v>
      </c>
      <c r="D11" s="13">
        <f>_xll.BDH("BLUE US Equity","IS_EXPENSE_STOCK_BASED_COMP","FQ1 2019","FQ1 2019","Currency=USD","Period=FQ","BEST_FPERIOD_OVERRIDE=FQ","FILING_STATUS=MR","SCALING_FORMAT=MLN","Sort=A","Dates=H","DateFormat=P","Fill=—","Direction=H","UseDPDF=Y")</f>
        <v>32.341000000000001</v>
      </c>
      <c r="E11" s="13">
        <f>_xll.BDH("BLUE US Equity","IS_EXPENSE_STOCK_BASED_COMP","FQ2 2019","FQ2 2019","Currency=USD","Period=FQ","BEST_FPERIOD_OVERRIDE=FQ","FILING_STATUS=MR","SCALING_FORMAT=MLN","Sort=A","Dates=H","DateFormat=P","Fill=—","Direction=H","UseDPDF=Y")</f>
        <v>55.110999999999997</v>
      </c>
      <c r="F11" s="13">
        <f>_xll.BDH("BLUE US Equity","IS_EXPENSE_STOCK_BASED_COMP","FQ3 2019","FQ3 2019","Currency=USD","Period=FQ","BEST_FPERIOD_OVERRIDE=FQ","FILING_STATUS=MR","SCALING_FORMAT=MLN","Sort=A","Dates=H","DateFormat=P","Fill=—","Direction=H","UseDPDF=Y")</f>
        <v>38.545999999999999</v>
      </c>
      <c r="G11" s="13">
        <f>_xll.BDH("BLUE US Equity","IS_EXPENSE_STOCK_BASED_COMP","FQ4 2019","FQ4 2019","Currency=USD","Period=FQ","BEST_FPERIOD_OVERRIDE=FQ","FILING_STATUS=MR","SCALING_FORMAT=MLN","Sort=A","Dates=H","DateFormat=P","Fill=—","Direction=H","UseDPDF=Y")</f>
        <v>34.631</v>
      </c>
      <c r="H11" s="13">
        <f>_xll.BDH("BLUE US Equity","IS_EXPENSE_STOCK_BASED_COMP","FQ1 2020","FQ1 2020","Currency=USD","Period=FQ","BEST_FPERIOD_OVERRIDE=FQ","FILING_STATUS=MR","SCALING_FORMAT=MLN","Sort=A","Dates=H","DateFormat=P","Fill=—","Direction=H","UseDPDF=Y")</f>
        <v>36.292999999999999</v>
      </c>
      <c r="I11" s="13">
        <f>_xll.BDH("BLUE US Equity","IS_EXPENSE_STOCK_BASED_COMP","FQ2 2020","FQ2 2020","Currency=USD","Period=FQ","BEST_FPERIOD_OVERRIDE=FQ","FILING_STATUS=MR","SCALING_FORMAT=MLN","Sort=A","Dates=H","DateFormat=P","Fill=—","Direction=H","UseDPDF=Y")</f>
        <v>48.529000000000003</v>
      </c>
      <c r="J11" s="13">
        <f>_xll.BDH("BLUE US Equity","IS_EXPENSE_STOCK_BASED_COMP","FQ3 2020","FQ3 2020","Currency=USD","Period=FQ","BEST_FPERIOD_OVERRIDE=FQ","FILING_STATUS=MR","SCALING_FORMAT=MLN","Sort=A","Dates=H","DateFormat=P","Fill=—","Direction=H","UseDPDF=Y")</f>
        <v>38.817999999999998</v>
      </c>
      <c r="K11" s="13">
        <f>_xll.BDH("BLUE US Equity","IS_EXPENSE_STOCK_BASED_COMP","FQ4 2020","FQ4 2020","Currency=USD","Period=FQ","BEST_FPERIOD_OVERRIDE=FQ","FILING_STATUS=MR","SCALING_FORMAT=MLN","Sort=A","Dates=H","DateFormat=P","Fill=—","Direction=H","UseDPDF=Y")</f>
        <v>32.991</v>
      </c>
      <c r="L11" s="13">
        <f>_xll.BDH("BLUE US Equity","IS_EXPENSE_STOCK_BASED_COMP","FQ1 2021","FQ1 2021","Currency=USD","Period=FQ","BEST_FPERIOD_OVERRIDE=FQ","FILING_STATUS=MR","SCALING_FORMAT=MLN","Sort=A","Dates=H","DateFormat=P","Fill=—","Direction=H","UseDPDF=Y")</f>
        <v>42.527000000000001</v>
      </c>
      <c r="M11" s="13">
        <f>_xll.BDH("BLUE US Equity","IS_EXPENSE_STOCK_BASED_COMP","FQ2 2021","FQ2 2021","Currency=USD","Period=FQ","BEST_FPERIOD_OVERRIDE=FQ","FILING_STATUS=MR","SCALING_FORMAT=MLN","Sort=A","Dates=H","DateFormat=P","Fill=—","Direction=H","UseDPDF=Y")</f>
        <v>31.050999999999998</v>
      </c>
      <c r="N11" s="13">
        <f>_xll.BDH("BLUE US Equity","IS_EXPENSE_STOCK_BASED_COMP","FQ3 2021","FQ3 2021","Currency=USD","Period=FQ","BEST_FPERIOD_OVERRIDE=FQ","FILING_STATUS=MR","SCALING_FORMAT=MLN","Sort=A","Dates=H","DateFormat=P","Fill=—","Direction=H","UseDPDF=Y")</f>
        <v>28.141999999999999</v>
      </c>
      <c r="O11" s="13">
        <f>_xll.BDH("BLUE US Equity","IS_EXPENSE_STOCK_BASED_COMP","FQ4 2021","FQ4 2021","Currency=USD","Period=FQ","BEST_FPERIOD_OVERRIDE=FQ","FILING_STATUS=MR","SCALING_FORMAT=MLN","Sort=A","Dates=H","DateFormat=P","Fill=—","Direction=H","UseDPDF=Y")</f>
        <v>26.085999999999999</v>
      </c>
      <c r="P11" s="13">
        <f>_xll.BDH("BLUE US Equity","IS_EXPENSE_STOCK_BASED_COMP","FQ1 2022","FQ1 2022","Currency=USD","Period=FQ","BEST_FPERIOD_OVERRIDE=FQ","FILING_STATUS=MR","SCALING_FORMAT=MLN","Sort=A","Dates=H","DateFormat=P","Fill=—","Direction=H","UseDPDF=Y")</f>
        <v>12.39</v>
      </c>
      <c r="Q11" s="13">
        <f>_xll.BDH("BLUE US Equity","IS_EXPENSE_STOCK_BASED_COMP","FQ2 2022","FQ2 2022","Currency=USD","Period=FQ","BEST_FPERIOD_OVERRIDE=FQ","FILING_STATUS=MR","SCALING_FORMAT=MLN","Sort=A","Dates=H","DateFormat=P","Fill=—","Direction=H","UseDPDF=Y")</f>
        <v>8.9079999999999995</v>
      </c>
      <c r="R11" s="13">
        <f>_xll.BDH("BLUE US Equity","IS_EXPENSE_STOCK_BASED_COMP","FQ3 2022","FQ3 2022","Currency=USD","Period=FQ","BEST_FPERIOD_OVERRIDE=FQ","FILING_STATUS=MR","SCALING_FORMAT=MLN","Sort=A","Dates=H","DateFormat=P","Fill=—","Direction=H","UseDPDF=Y")</f>
        <v>9.2119999999999997</v>
      </c>
      <c r="S11" s="13">
        <f>_xll.BDH("BLUE US Equity","IS_EXPENSE_STOCK_BASED_COMP","FQ4 2022","FQ4 2022","Currency=USD","Period=FQ","BEST_FPERIOD_OVERRIDE=FQ","FILING_STATUS=MR","SCALING_FORMAT=MLN","Sort=A","Dates=H","DateFormat=P","Fill=—","Direction=H","UseDPDF=Y")</f>
        <v>4.58</v>
      </c>
      <c r="T11" s="13">
        <f>_xll.BDH("BLUE US Equity","IS_EXPENSE_STOCK_BASED_COMP","FQ1 2023","FQ1 2023","Currency=USD","Period=FQ","BEST_FPERIOD_OVERRIDE=FQ","FILING_STATUS=MR","SCALING_FORMAT=MLN","Sort=A","Dates=H","DateFormat=P","Fill=—","Direction=H","UseDPDF=Y")</f>
        <v>5.391</v>
      </c>
      <c r="U11" s="13">
        <f>_xll.BDH("BLUE US Equity","IS_EXPENSE_STOCK_BASED_COMP","FQ2 2023","FQ2 2023","Currency=USD","Period=FQ","BEST_FPERIOD_OVERRIDE=FQ","FILING_STATUS=MR","SCALING_FORMAT=MLN","Sort=A","Dates=H","DateFormat=P","Fill=—","Direction=H","UseDPDF=Y")</f>
        <v>5.7539999999999996</v>
      </c>
      <c r="V11" s="13">
        <f>_xll.BDH("BLUE US Equity","IS_EXPENSE_STOCK_BASED_COMP","FQ3 2023","FQ3 2023","Currency=USD","Period=FQ","BEST_FPERIOD_OVERRIDE=FQ","FILING_STATUS=MR","SCALING_FORMAT=MLN","Sort=A","Dates=H","DateFormat=P","Fill=—","Direction=H","UseDPDF=Y")</f>
        <v>4.8680000000000003</v>
      </c>
      <c r="W11" s="13">
        <f>_xll.BDH("BLUE US Equity","IS_EXPENSE_STOCK_BASED_COMP","FQ4 2023","FQ4 2023","Currency=USD","Period=FQ","BEST_FPERIOD_OVERRIDE=FQ","FILING_STATUS=MR","SCALING_FORMAT=MLN","Sort=A","Dates=H","DateFormat=P","Fill=—","Direction=H","UseDPDF=Y")</f>
        <v>3.4060000000000001</v>
      </c>
      <c r="X11" s="13">
        <f>_xll.BDH("BLUE US Equity","IS_EXPENSE_STOCK_BASED_COMP","FQ1 2024","FQ1 2024","Currency=USD","Period=FQ","BEST_FPERIOD_OVERRIDE=FQ","FILING_STATUS=MR","SCALING_FORMAT=MLN","Sort=A","Dates=H","DateFormat=P","Fill=—","Direction=H","UseDPDF=Y")</f>
        <v>3.7610000000000001</v>
      </c>
      <c r="Y11" s="13">
        <f>_xll.BDH("BLUE US Equity","IS_EXPENSE_STOCK_BASED_COMP","FQ2 2024","FQ2 2024","Currency=USD","Period=FQ","BEST_FPERIOD_OVERRIDE=FQ","FILING_STATUS=MR","SCALING_FORMAT=MLN","Sort=A","Dates=H","DateFormat=P","Fill=—","Direction=H","UseDPDF=Y")</f>
        <v>3.2069999999999999</v>
      </c>
      <c r="Z11" s="13">
        <f>_xll.BDH("BLUE US Equity","IS_EXPENSE_STOCK_BASED_COMP","FQ3 2024","FQ3 2024","Currency=USD","Period=FQ","BEST_FPERIOD_OVERRIDE=FQ","FILING_STATUS=MR","SCALING_FORMAT=MLN","Sort=A","Dates=H","DateFormat=P","Fill=—","Direction=H","UseDPDF=Y")</f>
        <v>2.7010000000000001</v>
      </c>
      <c r="AA11" s="13">
        <f>_xll.BDH("BLUE US Equity","IS_EXPENSE_STOCK_BASED_COMP","FQ4 2024","FQ4 2024","Currency=USD","Period=FQ","BEST_FPERIOD_OVERRIDE=FQ","FILING_STATUS=MR","SCALING_FORMAT=MLN","Sort=A","Dates=H","DateFormat=P","Fill=—","Direction=H","UseDPDF=Y")</f>
        <v>17.803999999999998</v>
      </c>
    </row>
    <row r="12" spans="1:27" x14ac:dyDescent="0.25">
      <c r="A12" s="10" t="s">
        <v>574</v>
      </c>
      <c r="B12" s="10" t="s">
        <v>575</v>
      </c>
      <c r="C12" s="13">
        <f>_xll.BDH("BLUE US Equity","IS_STK_BASED_COMP_AFT_TAX","FQ4 2018","FQ4 2018","Currency=USD","Period=FQ","BEST_FPERIOD_OVERRIDE=FQ","FILING_STATUS=MR","SCALING_FORMAT=MLN","Sort=A","Dates=H","DateFormat=P","Fill=—","Direction=H","UseDPDF=Y")</f>
        <v>23.689699999999998</v>
      </c>
      <c r="D12" s="13">
        <f>_xll.BDH("BLUE US Equity","IS_STK_BASED_COMP_AFT_TAX","FQ1 2019","FQ1 2019","Currency=USD","Period=FQ","BEST_FPERIOD_OVERRIDE=FQ","FILING_STATUS=MR","SCALING_FORMAT=MLN","Sort=A","Dates=H","DateFormat=P","Fill=—","Direction=H","UseDPDF=Y")</f>
        <v>25.549399999999999</v>
      </c>
      <c r="E12" s="13">
        <f>_xll.BDH("BLUE US Equity","IS_STK_BASED_COMP_AFT_TAX","FQ2 2019","FQ2 2019","Currency=USD","Period=FQ","BEST_FPERIOD_OVERRIDE=FQ","FILING_STATUS=MR","SCALING_FORMAT=MLN","Sort=A","Dates=H","DateFormat=P","Fill=—","Direction=H","UseDPDF=Y")</f>
        <v>43.537700000000001</v>
      </c>
      <c r="F12" s="13">
        <f>_xll.BDH("BLUE US Equity","IS_STK_BASED_COMP_AFT_TAX","FQ3 2019","FQ3 2019","Currency=USD","Period=FQ","BEST_FPERIOD_OVERRIDE=FQ","FILING_STATUS=MR","SCALING_FORMAT=MLN","Sort=A","Dates=H","DateFormat=P","Fill=—","Direction=H","UseDPDF=Y")</f>
        <v>30.4513</v>
      </c>
      <c r="G12" s="13">
        <f>_xll.BDH("BLUE US Equity","IS_STK_BASED_COMP_AFT_TAX","FQ4 2019","FQ4 2019","Currency=USD","Period=FQ","BEST_FPERIOD_OVERRIDE=FQ","FILING_STATUS=MR","SCALING_FORMAT=MLN","Sort=A","Dates=H","DateFormat=P","Fill=—","Direction=H","UseDPDF=Y")</f>
        <v>27.358499999999999</v>
      </c>
      <c r="H12" s="13">
        <f>_xll.BDH("BLUE US Equity","IS_STK_BASED_COMP_AFT_TAX","FQ1 2020","FQ1 2020","Currency=USD","Period=FQ","BEST_FPERIOD_OVERRIDE=FQ","FILING_STATUS=MR","SCALING_FORMAT=MLN","Sort=A","Dates=H","DateFormat=P","Fill=—","Direction=H","UseDPDF=Y")</f>
        <v>28.671500000000002</v>
      </c>
      <c r="I12" s="13">
        <f>_xll.BDH("BLUE US Equity","IS_STK_BASED_COMP_AFT_TAX","FQ2 2020","FQ2 2020","Currency=USD","Period=FQ","BEST_FPERIOD_OVERRIDE=FQ","FILING_STATUS=MR","SCALING_FORMAT=MLN","Sort=A","Dates=H","DateFormat=P","Fill=—","Direction=H","UseDPDF=Y")</f>
        <v>38.337899999999998</v>
      </c>
      <c r="J12" s="13">
        <f>_xll.BDH("BLUE US Equity","IS_STK_BASED_COMP_AFT_TAX","FQ3 2020","FQ3 2020","Currency=USD","Period=FQ","BEST_FPERIOD_OVERRIDE=FQ","FILING_STATUS=MR","SCALING_FORMAT=MLN","Sort=A","Dates=H","DateFormat=P","Fill=—","Direction=H","UseDPDF=Y")</f>
        <v>30.6662</v>
      </c>
      <c r="K12" s="13">
        <f>_xll.BDH("BLUE US Equity","IS_STK_BASED_COMP_AFT_TAX","FQ4 2020","FQ4 2020","Currency=USD","Period=FQ","BEST_FPERIOD_OVERRIDE=FQ","FILING_STATUS=MR","SCALING_FORMAT=MLN","Sort=A","Dates=H","DateFormat=P","Fill=—","Direction=H","UseDPDF=Y")</f>
        <v>26.062899999999999</v>
      </c>
      <c r="L12" s="13">
        <f>_xll.BDH("BLUE US Equity","IS_STK_BASED_COMP_AFT_TAX","FQ1 2021","FQ1 2021","Currency=USD","Period=FQ","BEST_FPERIOD_OVERRIDE=FQ","FILING_STATUS=MR","SCALING_FORMAT=MLN","Sort=A","Dates=H","DateFormat=P","Fill=—","Direction=H","UseDPDF=Y")</f>
        <v>33.596299999999999</v>
      </c>
      <c r="M12" s="13">
        <f>_xll.BDH("BLUE US Equity","IS_STK_BASED_COMP_AFT_TAX","FQ2 2021","FQ2 2021","Currency=USD","Period=FQ","BEST_FPERIOD_OVERRIDE=FQ","FILING_STATUS=MR","SCALING_FORMAT=MLN","Sort=A","Dates=H","DateFormat=P","Fill=—","Direction=H","UseDPDF=Y")</f>
        <v>24.5303</v>
      </c>
      <c r="N12" s="13">
        <f>_xll.BDH("BLUE US Equity","IS_STK_BASED_COMP_AFT_TAX","FQ3 2021","FQ3 2021","Currency=USD","Period=FQ","BEST_FPERIOD_OVERRIDE=FQ","FILING_STATUS=MR","SCALING_FORMAT=MLN","Sort=A","Dates=H","DateFormat=P","Fill=—","Direction=H","UseDPDF=Y")</f>
        <v>22.232199999999999</v>
      </c>
      <c r="O12" s="13">
        <f>_xll.BDH("BLUE US Equity","IS_STK_BASED_COMP_AFT_TAX","FQ4 2021","FQ4 2021","Currency=USD","Period=FQ","BEST_FPERIOD_OVERRIDE=FQ","FILING_STATUS=MR","SCALING_FORMAT=MLN","Sort=A","Dates=H","DateFormat=P","Fill=—","Direction=H","UseDPDF=Y")</f>
        <v>20.607900000000001</v>
      </c>
      <c r="P12" s="13">
        <f>_xll.BDH("BLUE US Equity","IS_STK_BASED_COMP_AFT_TAX","FQ1 2022","FQ1 2022","Currency=USD","Period=FQ","BEST_FPERIOD_OVERRIDE=FQ","FILING_STATUS=MR","SCALING_FORMAT=MLN","Sort=A","Dates=H","DateFormat=P","Fill=—","Direction=H","UseDPDF=Y")</f>
        <v>9.7881</v>
      </c>
      <c r="Q12" s="13">
        <f>_xll.BDH("BLUE US Equity","IS_STK_BASED_COMP_AFT_TAX","FQ2 2022","FQ2 2022","Currency=USD","Period=FQ","BEST_FPERIOD_OVERRIDE=FQ","FILING_STATUS=MR","SCALING_FORMAT=MLN","Sort=A","Dates=H","DateFormat=P","Fill=—","Direction=H","UseDPDF=Y")</f>
        <v>7.0373000000000001</v>
      </c>
      <c r="R12" s="13">
        <f>_xll.BDH("BLUE US Equity","IS_STK_BASED_COMP_AFT_TAX","FQ3 2022","FQ3 2022","Currency=USD","Period=FQ","BEST_FPERIOD_OVERRIDE=FQ","FILING_STATUS=MR","SCALING_FORMAT=MLN","Sort=A","Dates=H","DateFormat=P","Fill=—","Direction=H","UseDPDF=Y")</f>
        <v>7.2774999999999999</v>
      </c>
      <c r="S12" s="13">
        <f>_xll.BDH("BLUE US Equity","IS_STK_BASED_COMP_AFT_TAX","FQ4 2022","FQ4 2022","Currency=USD","Period=FQ","BEST_FPERIOD_OVERRIDE=FQ","FILING_STATUS=MR","SCALING_FORMAT=MLN","Sort=A","Dates=H","DateFormat=P","Fill=—","Direction=H","UseDPDF=Y")</f>
        <v>3.6181999999999999</v>
      </c>
      <c r="T12" s="13">
        <f>_xll.BDH("BLUE US Equity","IS_STK_BASED_COMP_AFT_TAX","FQ1 2023","FQ1 2023","Currency=USD","Period=FQ","BEST_FPERIOD_OVERRIDE=FQ","FILING_STATUS=MR","SCALING_FORMAT=MLN","Sort=A","Dates=H","DateFormat=P","Fill=—","Direction=H","UseDPDF=Y")</f>
        <v>4.2588999999999997</v>
      </c>
      <c r="U12" s="13">
        <f>_xll.BDH("BLUE US Equity","IS_STK_BASED_COMP_AFT_TAX","FQ2 2023","FQ2 2023","Currency=USD","Period=FQ","BEST_FPERIOD_OVERRIDE=FQ","FILING_STATUS=MR","SCALING_FORMAT=MLN","Sort=A","Dates=H","DateFormat=P","Fill=—","Direction=H","UseDPDF=Y")</f>
        <v>4.5457000000000001</v>
      </c>
      <c r="V12" s="13">
        <f>_xll.BDH("BLUE US Equity","IS_STK_BASED_COMP_AFT_TAX","FQ3 2023","FQ3 2023","Currency=USD","Period=FQ","BEST_FPERIOD_OVERRIDE=FQ","FILING_STATUS=MR","SCALING_FORMAT=MLN","Sort=A","Dates=H","DateFormat=P","Fill=—","Direction=H","UseDPDF=Y")</f>
        <v>3.8456999999999999</v>
      </c>
      <c r="W12" s="13">
        <f>_xll.BDH("BLUE US Equity","IS_STK_BASED_COMP_AFT_TAX","FQ4 2023","FQ4 2023","Currency=USD","Period=FQ","BEST_FPERIOD_OVERRIDE=FQ","FILING_STATUS=MR","SCALING_FORMAT=MLN","Sort=A","Dates=H","DateFormat=P","Fill=—","Direction=H","UseDPDF=Y")</f>
        <v>2.6907000000000001</v>
      </c>
      <c r="X12" s="13">
        <f>_xll.BDH("BLUE US Equity","IS_STK_BASED_COMP_AFT_TAX","FQ1 2024","FQ1 2024","Currency=USD","Period=FQ","BEST_FPERIOD_OVERRIDE=FQ","FILING_STATUS=MR","SCALING_FORMAT=MLN","Sort=A","Dates=H","DateFormat=P","Fill=—","Direction=H","UseDPDF=Y")</f>
        <v>2.9712000000000001</v>
      </c>
      <c r="Y12" s="13">
        <f>_xll.BDH("BLUE US Equity","IS_STK_BASED_COMP_AFT_TAX","FQ2 2024","FQ2 2024","Currency=USD","Period=FQ","BEST_FPERIOD_OVERRIDE=FQ","FILING_STATUS=MR","SCALING_FORMAT=MLN","Sort=A","Dates=H","DateFormat=P","Fill=—","Direction=H","UseDPDF=Y")</f>
        <v>2.5335000000000001</v>
      </c>
      <c r="Z12" s="13">
        <f>_xll.BDH("BLUE US Equity","IS_STK_BASED_COMP_AFT_TAX","FQ3 2024","FQ3 2024","Currency=USD","Period=FQ","BEST_FPERIOD_OVERRIDE=FQ","FILING_STATUS=MR","SCALING_FORMAT=MLN","Sort=A","Dates=H","DateFormat=P","Fill=—","Direction=H","UseDPDF=Y")</f>
        <v>2.1337999999999999</v>
      </c>
      <c r="AA12" s="13">
        <f>_xll.BDH("BLUE US Equity","IS_STK_BASED_COMP_AFT_TAX","FQ4 2024","FQ4 2024","Currency=USD","Period=FQ","BEST_FPERIOD_OVERRIDE=FQ","FILING_STATUS=MR","SCALING_FORMAT=MLN","Sort=A","Dates=H","DateFormat=P","Fill=—","Direction=H","UseDPDF=Y")</f>
        <v>14.065200000000001</v>
      </c>
    </row>
    <row r="13" spans="1:27" x14ac:dyDescent="0.25">
      <c r="A13" s="10" t="s">
        <v>576</v>
      </c>
      <c r="B13" s="10" t="s">
        <v>577</v>
      </c>
      <c r="C13" s="14">
        <f>_xll.BDH("BLUE US Equity","IS_STK_BASED_COMP_PER_BAS_SH","FQ4 2018","FQ4 2018","Currency=USD","Period=FQ","BEST_FPERIOD_OVERRIDE=FQ","FILING_STATUS=MR","Sort=A","Dates=H","DateFormat=P","Fill=—","Direction=H","UseDPDF=Y")</f>
        <v>8.66</v>
      </c>
      <c r="D13" s="14">
        <f>_xll.BDH("BLUE US Equity","IS_STK_BASED_COMP_PER_BAS_SH","FQ1 2019","FQ1 2019","Currency=USD","Period=FQ","BEST_FPERIOD_OVERRIDE=FQ","FILING_STATUS=MR","Sort=A","Dates=H","DateFormat=P","Fill=—","Direction=H","UseDPDF=Y")</f>
        <v>9.298</v>
      </c>
      <c r="E13" s="14">
        <f>_xll.BDH("BLUE US Equity","IS_STK_BASED_COMP_PER_BAS_SH","FQ2 2019","FQ2 2019","Currency=USD","Period=FQ","BEST_FPERIOD_OVERRIDE=FQ","FILING_STATUS=MR","Sort=A","Dates=H","DateFormat=P","Fill=—","Direction=H","UseDPDF=Y")</f>
        <v>15.7845</v>
      </c>
      <c r="F13" s="14">
        <f>_xll.BDH("BLUE US Equity","IS_STK_BASED_COMP_PER_BAS_SH","FQ3 2019","FQ3 2019","Currency=USD","Period=FQ","BEST_FPERIOD_OVERRIDE=FQ","FILING_STATUS=MR","Sort=A","Dates=H","DateFormat=P","Fill=—","Direction=H","UseDPDF=Y")</f>
        <v>11.014699999999999</v>
      </c>
      <c r="G13" s="14">
        <f>_xll.BDH("BLUE US Equity","IS_STK_BASED_COMP_PER_BAS_SH","FQ4 2019","FQ4 2019","Currency=USD","Period=FQ","BEST_FPERIOD_OVERRIDE=FQ","FILING_STATUS=MR","Sort=A","Dates=H","DateFormat=P","Fill=—","Direction=H","UseDPDF=Y")</f>
        <v>9.8866999999999994</v>
      </c>
      <c r="H13" s="14">
        <f>_xll.BDH("BLUE US Equity","IS_STK_BASED_COMP_PER_BAS_SH","FQ1 2020","FQ1 2020","Currency=USD","Period=FQ","BEST_FPERIOD_OVERRIDE=FQ","FILING_STATUS=MR","Sort=A","Dates=H","DateFormat=P","Fill=—","Direction=H","UseDPDF=Y")</f>
        <v>10.315300000000001</v>
      </c>
      <c r="I13" s="14">
        <f>_xll.BDH("BLUE US Equity","IS_STK_BASED_COMP_PER_BAS_SH","FQ2 2020","FQ2 2020","Currency=USD","Period=FQ","BEST_FPERIOD_OVERRIDE=FQ","FILING_STATUS=MR","Sort=A","Dates=H","DateFormat=P","Fill=—","Direction=H","UseDPDF=Y")</f>
        <v>12.698</v>
      </c>
      <c r="J13" s="14">
        <f>_xll.BDH("BLUE US Equity","IS_STK_BASED_COMP_PER_BAS_SH","FQ3 2020","FQ3 2020","Currency=USD","Period=FQ","BEST_FPERIOD_OVERRIDE=FQ","FILING_STATUS=MR","Sort=A","Dates=H","DateFormat=P","Fill=—","Direction=H","UseDPDF=Y")</f>
        <v>9.2576000000000001</v>
      </c>
      <c r="K13" s="14">
        <f>_xll.BDH("BLUE US Equity","IS_STK_BASED_COMP_PER_BAS_SH","FQ4 2020","FQ4 2020","Currency=USD","Period=FQ","BEST_FPERIOD_OVERRIDE=FQ","FILING_STATUS=MR","Sort=A","Dates=H","DateFormat=P","Fill=—","Direction=H","UseDPDF=Y")</f>
        <v>7.8509000000000002</v>
      </c>
      <c r="L13" s="14">
        <f>_xll.BDH("BLUE US Equity","IS_STK_BASED_COMP_PER_BAS_SH","FQ1 2021","FQ1 2021","Currency=USD","Period=FQ","BEST_FPERIOD_OVERRIDE=FQ","FILING_STATUS=MR","Sort=A","Dates=H","DateFormat=P","Fill=—","Direction=H","UseDPDF=Y")</f>
        <v>10.032299999999999</v>
      </c>
      <c r="M13" s="14">
        <f>_xll.BDH("BLUE US Equity","IS_STK_BASED_COMP_PER_BAS_SH","FQ2 2021","FQ2 2021","Currency=USD","Period=FQ","BEST_FPERIOD_OVERRIDE=FQ","FILING_STATUS=MR","Sort=A","Dates=H","DateFormat=P","Fill=—","Direction=H","UseDPDF=Y")</f>
        <v>7.2695999999999996</v>
      </c>
      <c r="N13" s="14">
        <f>_xll.BDH("BLUE US Equity","IS_STK_BASED_COMP_PER_BAS_SH","FQ3 2021","FQ3 2021","Currency=USD","Period=FQ","BEST_FPERIOD_OVERRIDE=FQ","FILING_STATUS=MR","Sort=A","Dates=H","DateFormat=P","Fill=—","Direction=H","UseDPDF=Y")</f>
        <v>6.4797000000000002</v>
      </c>
      <c r="O13" s="14">
        <f>_xll.BDH("BLUE US Equity","IS_STK_BASED_COMP_PER_BAS_SH","FQ4 2021","FQ4 2021","Currency=USD","Period=FQ","BEST_FPERIOD_OVERRIDE=FQ","FILING_STATUS=MR","Sort=A","Dates=H","DateFormat=P","Fill=—","Direction=H","UseDPDF=Y")</f>
        <v>5.6851000000000003</v>
      </c>
      <c r="P13" s="14">
        <f>_xll.BDH("BLUE US Equity","IS_STK_BASED_COMP_PER_BAS_SH","FQ1 2022","FQ1 2022","Currency=USD","Period=FQ","BEST_FPERIOD_OVERRIDE=FQ","FILING_STATUS=MR","Sort=A","Dates=H","DateFormat=P","Fill=—","Direction=H","UseDPDF=Y")</f>
        <v>2.6566000000000001</v>
      </c>
      <c r="Q13" s="14">
        <f>_xll.BDH("BLUE US Equity","IS_STK_BASED_COMP_PER_BAS_SH","FQ2 2022","FQ2 2022","Currency=USD","Period=FQ","BEST_FPERIOD_OVERRIDE=FQ","FILING_STATUS=MR","Sort=A","Dates=H","DateFormat=P","Fill=—","Direction=H","UseDPDF=Y")</f>
        <v>1.9079999999999999</v>
      </c>
      <c r="R13" s="14">
        <f>_xll.BDH("BLUE US Equity","IS_STK_BASED_COMP_PER_BAS_SH","FQ3 2022","FQ3 2022","Currency=USD","Period=FQ","BEST_FPERIOD_OVERRIDE=FQ","FILING_STATUS=MR","Sort=A","Dates=H","DateFormat=P","Fill=—","Direction=H","UseDPDF=Y")</f>
        <v>1.7848999999999999</v>
      </c>
      <c r="S13" s="14">
        <f>_xll.BDH("BLUE US Equity","IS_STK_BASED_COMP_PER_BAS_SH","FQ4 2022","FQ4 2022","Currency=USD","Period=FQ","BEST_FPERIOD_OVERRIDE=FQ","FILING_STATUS=MR","Sort=A","Dates=H","DateFormat=P","Fill=—","Direction=H","UseDPDF=Y")</f>
        <v>0.84789999999999999</v>
      </c>
      <c r="T13" s="14">
        <f>_xll.BDH("BLUE US Equity","IS_STK_BASED_COMP_PER_BAS_SH","FQ1 2023","FQ1 2023","Currency=USD","Period=FQ","BEST_FPERIOD_OVERRIDE=FQ","FILING_STATUS=MR","Sort=A","Dates=H","DateFormat=P","Fill=—","Direction=H","UseDPDF=Y")</f>
        <v>0.8276</v>
      </c>
      <c r="U13" s="14">
        <f>_xll.BDH("BLUE US Equity","IS_STK_BASED_COMP_PER_BAS_SH","FQ2 2023","FQ2 2023","Currency=USD","Period=FQ","BEST_FPERIOD_OVERRIDE=FQ","FILING_STATUS=MR","Sort=A","Dates=H","DateFormat=P","Fill=—","Direction=H","UseDPDF=Y")</f>
        <v>0.83650000000000002</v>
      </c>
      <c r="V13" s="14">
        <f>_xll.BDH("BLUE US Equity","IS_STK_BASED_COMP_PER_BAS_SH","FQ3 2023","FQ3 2023","Currency=USD","Period=FQ","BEST_FPERIOD_OVERRIDE=FQ","FILING_STATUS=MR","Sort=A","Dates=H","DateFormat=P","Fill=—","Direction=H","UseDPDF=Y")</f>
        <v>0.70499999999999996</v>
      </c>
      <c r="W13" s="14">
        <f>_xll.BDH("BLUE US Equity","IS_STK_BASED_COMP_PER_BAS_SH","FQ4 2023","FQ4 2023","Currency=USD","Period=FQ","BEST_FPERIOD_OVERRIDE=FQ","FILING_STATUS=MR","Sort=A","Dates=H","DateFormat=P","Fill=—","Direction=H","UseDPDF=Y")</f>
        <v>0.45379999999999998</v>
      </c>
      <c r="X13" s="14">
        <f>_xll.BDH("BLUE US Equity","IS_STK_BASED_COMP_PER_BAS_SH","FQ1 2024","FQ1 2024","Currency=USD","Period=FQ","BEST_FPERIOD_OVERRIDE=FQ","FILING_STATUS=MR","Sort=A","Dates=H","DateFormat=P","Fill=—","Direction=H","UseDPDF=Y")</f>
        <v>0.30769999999999997</v>
      </c>
      <c r="Y13" s="14">
        <f>_xll.BDH("BLUE US Equity","IS_STK_BASED_COMP_PER_BAS_SH","FQ2 2024","FQ2 2024","Currency=USD","Period=FQ","BEST_FPERIOD_OVERRIDE=FQ","FILING_STATUS=MR","Sort=A","Dates=H","DateFormat=P","Fill=—","Direction=H","UseDPDF=Y")</f>
        <v>0.2616</v>
      </c>
      <c r="Z13" s="14">
        <f>_xll.BDH("BLUE US Equity","IS_STK_BASED_COMP_PER_BAS_SH","FQ3 2024","FQ3 2024","Currency=USD","Period=FQ","BEST_FPERIOD_OVERRIDE=FQ","FILING_STATUS=MR","Sort=A","Dates=H","DateFormat=P","Fill=—","Direction=H","UseDPDF=Y")</f>
        <v>0.22009999999999999</v>
      </c>
      <c r="AA13" s="14">
        <f>_xll.BDH("BLUE US Equity","IS_STK_BASED_COMP_PER_BAS_SH","FQ4 2024","FQ4 2024","Currency=USD","Period=FQ","BEST_FPERIOD_OVERRIDE=FQ","FILING_STATUS=MR","Sort=A","Dates=H","DateFormat=P","Fill=—","Direction=H","UseDPDF=Y")</f>
        <v>-2.5999999999999999E-2</v>
      </c>
    </row>
    <row r="14" spans="1:27" x14ac:dyDescent="0.25">
      <c r="A14" s="10" t="s">
        <v>578</v>
      </c>
      <c r="B14" s="10" t="s">
        <v>579</v>
      </c>
      <c r="C14" s="14">
        <f>_xll.BDH("BLUE US Equity","IS_STK_BASED_COMP_PER_DIL_SH","FQ4 2018","FQ4 2018","Currency=USD","Period=FQ","BEST_FPERIOD_OVERRIDE=FQ","FILING_STATUS=MR","Sort=A","Dates=H","DateFormat=P","Fill=—","Direction=H","UseDPDF=Y")</f>
        <v>8.66</v>
      </c>
      <c r="D14" s="14">
        <f>_xll.BDH("BLUE US Equity","IS_STK_BASED_COMP_PER_DIL_SH","FQ1 2019","FQ1 2019","Currency=USD","Period=FQ","BEST_FPERIOD_OVERRIDE=FQ","FILING_STATUS=MR","Sort=A","Dates=H","DateFormat=P","Fill=—","Direction=H","UseDPDF=Y")</f>
        <v>9.298</v>
      </c>
      <c r="E14" s="14">
        <f>_xll.BDH("BLUE US Equity","IS_STK_BASED_COMP_PER_DIL_SH","FQ2 2019","FQ2 2019","Currency=USD","Period=FQ","BEST_FPERIOD_OVERRIDE=FQ","FILING_STATUS=MR","Sort=A","Dates=H","DateFormat=P","Fill=—","Direction=H","UseDPDF=Y")</f>
        <v>15.7845</v>
      </c>
      <c r="F14" s="14">
        <f>_xll.BDH("BLUE US Equity","IS_STK_BASED_COMP_PER_DIL_SH","FQ3 2019","FQ3 2019","Currency=USD","Period=FQ","BEST_FPERIOD_OVERRIDE=FQ","FILING_STATUS=MR","Sort=A","Dates=H","DateFormat=P","Fill=—","Direction=H","UseDPDF=Y")</f>
        <v>11.014699999999999</v>
      </c>
      <c r="G14" s="14">
        <f>_xll.BDH("BLUE US Equity","IS_STK_BASED_COMP_PER_DIL_SH","FQ4 2019","FQ4 2019","Currency=USD","Period=FQ","BEST_FPERIOD_OVERRIDE=FQ","FILING_STATUS=MR","Sort=A","Dates=H","DateFormat=P","Fill=—","Direction=H","UseDPDF=Y")</f>
        <v>9.8866999999999994</v>
      </c>
      <c r="H14" s="14">
        <f>_xll.BDH("BLUE US Equity","IS_STK_BASED_COMP_PER_DIL_SH","FQ1 2020","FQ1 2020","Currency=USD","Period=FQ","BEST_FPERIOD_OVERRIDE=FQ","FILING_STATUS=MR","Sort=A","Dates=H","DateFormat=P","Fill=—","Direction=H","UseDPDF=Y")</f>
        <v>10.315300000000001</v>
      </c>
      <c r="I14" s="14">
        <f>_xll.BDH("BLUE US Equity","IS_STK_BASED_COMP_PER_DIL_SH","FQ2 2020","FQ2 2020","Currency=USD","Period=FQ","BEST_FPERIOD_OVERRIDE=FQ","FILING_STATUS=MR","Sort=A","Dates=H","DateFormat=P","Fill=—","Direction=H","UseDPDF=Y")</f>
        <v>12.698</v>
      </c>
      <c r="J14" s="14">
        <f>_xll.BDH("BLUE US Equity","IS_STK_BASED_COMP_PER_DIL_SH","FQ3 2020","FQ3 2020","Currency=USD","Period=FQ","BEST_FPERIOD_OVERRIDE=FQ","FILING_STATUS=MR","Sort=A","Dates=H","DateFormat=P","Fill=—","Direction=H","UseDPDF=Y")</f>
        <v>9.2576000000000001</v>
      </c>
      <c r="K14" s="14">
        <f>_xll.BDH("BLUE US Equity","IS_STK_BASED_COMP_PER_DIL_SH","FQ4 2020","FQ4 2020","Currency=USD","Period=FQ","BEST_FPERIOD_OVERRIDE=FQ","FILING_STATUS=MR","Sort=A","Dates=H","DateFormat=P","Fill=—","Direction=H","UseDPDF=Y")</f>
        <v>7.8509000000000002</v>
      </c>
      <c r="L14" s="14">
        <f>_xll.BDH("BLUE US Equity","IS_STK_BASED_COMP_PER_DIL_SH","FQ1 2021","FQ1 2021","Currency=USD","Period=FQ","BEST_FPERIOD_OVERRIDE=FQ","FILING_STATUS=MR","Sort=A","Dates=H","DateFormat=P","Fill=—","Direction=H","UseDPDF=Y")</f>
        <v>10.032299999999999</v>
      </c>
      <c r="M14" s="14">
        <f>_xll.BDH("BLUE US Equity","IS_STK_BASED_COMP_PER_DIL_SH","FQ2 2021","FQ2 2021","Currency=USD","Period=FQ","BEST_FPERIOD_OVERRIDE=FQ","FILING_STATUS=MR","Sort=A","Dates=H","DateFormat=P","Fill=—","Direction=H","UseDPDF=Y")</f>
        <v>7.2695999999999996</v>
      </c>
      <c r="N14" s="14">
        <f>_xll.BDH("BLUE US Equity","IS_STK_BASED_COMP_PER_DIL_SH","FQ3 2021","FQ3 2021","Currency=USD","Period=FQ","BEST_FPERIOD_OVERRIDE=FQ","FILING_STATUS=MR","Sort=A","Dates=H","DateFormat=P","Fill=—","Direction=H","UseDPDF=Y")</f>
        <v>6.4797000000000002</v>
      </c>
      <c r="O14" s="14">
        <f>_xll.BDH("BLUE US Equity","IS_STK_BASED_COMP_PER_DIL_SH","FQ4 2021","FQ4 2021","Currency=USD","Period=FQ","BEST_FPERIOD_OVERRIDE=FQ","FILING_STATUS=MR","Sort=A","Dates=H","DateFormat=P","Fill=—","Direction=H","UseDPDF=Y")</f>
        <v>5.6851000000000003</v>
      </c>
      <c r="P14" s="14">
        <f>_xll.BDH("BLUE US Equity","IS_STK_BASED_COMP_PER_DIL_SH","FQ1 2022","FQ1 2022","Currency=USD","Period=FQ","BEST_FPERIOD_OVERRIDE=FQ","FILING_STATUS=MR","Sort=A","Dates=H","DateFormat=P","Fill=—","Direction=H","UseDPDF=Y")</f>
        <v>2.6566000000000001</v>
      </c>
      <c r="Q14" s="14">
        <f>_xll.BDH("BLUE US Equity","IS_STK_BASED_COMP_PER_DIL_SH","FQ2 2022","FQ2 2022","Currency=USD","Period=FQ","BEST_FPERIOD_OVERRIDE=FQ","FILING_STATUS=MR","Sort=A","Dates=H","DateFormat=P","Fill=—","Direction=H","UseDPDF=Y")</f>
        <v>1.9079999999999999</v>
      </c>
      <c r="R14" s="14">
        <f>_xll.BDH("BLUE US Equity","IS_STK_BASED_COMP_PER_DIL_SH","FQ3 2022","FQ3 2022","Currency=USD","Period=FQ","BEST_FPERIOD_OVERRIDE=FQ","FILING_STATUS=MR","Sort=A","Dates=H","DateFormat=P","Fill=—","Direction=H","UseDPDF=Y")</f>
        <v>1.7848999999999999</v>
      </c>
      <c r="S14" s="14">
        <f>_xll.BDH("BLUE US Equity","IS_STK_BASED_COMP_PER_DIL_SH","FQ4 2022","FQ4 2022","Currency=USD","Period=FQ","BEST_FPERIOD_OVERRIDE=FQ","FILING_STATUS=MR","Sort=A","Dates=H","DateFormat=P","Fill=—","Direction=H","UseDPDF=Y")</f>
        <v>0.84789999999999999</v>
      </c>
      <c r="T14" s="14">
        <f>_xll.BDH("BLUE US Equity","IS_STK_BASED_COMP_PER_DIL_SH","FQ1 2023","FQ1 2023","Currency=USD","Period=FQ","BEST_FPERIOD_OVERRIDE=FQ","FILING_STATUS=MR","Sort=A","Dates=H","DateFormat=P","Fill=—","Direction=H","UseDPDF=Y")</f>
        <v>0.82450000000000001</v>
      </c>
      <c r="U14" s="14">
        <f>_xll.BDH("BLUE US Equity","IS_STK_BASED_COMP_PER_DIL_SH","FQ2 2023","FQ2 2023","Currency=USD","Period=FQ","BEST_FPERIOD_OVERRIDE=FQ","FILING_STATUS=MR","Sort=A","Dates=H","DateFormat=P","Fill=—","Direction=H","UseDPDF=Y")</f>
        <v>0.83650000000000002</v>
      </c>
      <c r="V14" s="14">
        <f>_xll.BDH("BLUE US Equity","IS_STK_BASED_COMP_PER_DIL_SH","FQ3 2023","FQ3 2023","Currency=USD","Period=FQ","BEST_FPERIOD_OVERRIDE=FQ","FILING_STATUS=MR","Sort=A","Dates=H","DateFormat=P","Fill=—","Direction=H","UseDPDF=Y")</f>
        <v>0.70499999999999996</v>
      </c>
      <c r="W14" s="14">
        <f>_xll.BDH("BLUE US Equity","IS_STK_BASED_COMP_PER_DIL_SH","FQ4 2023","FQ4 2023","Currency=USD","Period=FQ","BEST_FPERIOD_OVERRIDE=FQ","FILING_STATUS=MR","Sort=A","Dates=H","DateFormat=P","Fill=—","Direction=H","UseDPDF=Y")</f>
        <v>0.45379999999999998</v>
      </c>
      <c r="X14" s="14">
        <f>_xll.BDH("BLUE US Equity","IS_STK_BASED_COMP_PER_DIL_SH","FQ1 2024","FQ1 2024","Currency=USD","Period=FQ","BEST_FPERIOD_OVERRIDE=FQ","FILING_STATUS=MR","Sort=A","Dates=H","DateFormat=P","Fill=—","Direction=H","UseDPDF=Y")</f>
        <v>0.30769999999999997</v>
      </c>
      <c r="Y14" s="14">
        <f>_xll.BDH("BLUE US Equity","IS_STK_BASED_COMP_PER_DIL_SH","FQ2 2024","FQ2 2024","Currency=USD","Period=FQ","BEST_FPERIOD_OVERRIDE=FQ","FILING_STATUS=MR","Sort=A","Dates=H","DateFormat=P","Fill=—","Direction=H","UseDPDF=Y")</f>
        <v>0.2616</v>
      </c>
      <c r="Z14" s="14">
        <f>_xll.BDH("BLUE US Equity","IS_STK_BASED_COMP_PER_DIL_SH","FQ3 2024","FQ3 2024","Currency=USD","Period=FQ","BEST_FPERIOD_OVERRIDE=FQ","FILING_STATUS=MR","Sort=A","Dates=H","DateFormat=P","Fill=—","Direction=H","UseDPDF=Y")</f>
        <v>0.22009999999999999</v>
      </c>
      <c r="AA14" s="14">
        <f>_xll.BDH("BLUE US Equity","IS_STK_BASED_COMP_PER_DIL_SH","FQ4 2024","FQ4 2024","Currency=USD","Period=FQ","BEST_FPERIOD_OVERRIDE=FQ","FILING_STATUS=MR","Sort=A","Dates=H","DateFormat=P","Fill=—","Direction=H","UseDPDF=Y")</f>
        <v>-2.5999999999999999E-2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580</v>
      </c>
      <c r="B16" s="10" t="s">
        <v>581</v>
      </c>
      <c r="C16" s="13" t="str">
        <f>_xll.BDH("BLUE US Equity","IS_SBC_ATTRIB_TO_COGS_PRETX","FQ4 2018","FQ4 2018","Currency=USD","Period=FQ","BEST_FPERIOD_OVERRIDE=FQ","FILING_STATUS=MR","SCALING_FORMAT=MLN","Sort=A","Dates=H","DateFormat=P","Fill=—","Direction=H","UseDPDF=Y")</f>
        <v>—</v>
      </c>
      <c r="D16" s="13" t="str">
        <f>_xll.BDH("BLUE US Equity","IS_SBC_ATTRIB_TO_COGS_PRETX","FQ1 2019","FQ1 2019","Currency=USD","Period=FQ","BEST_FPERIOD_OVERRIDE=FQ","FILING_STATUS=MR","SCALING_FORMAT=MLN","Sort=A","Dates=H","DateFormat=P","Fill=—","Direction=H","UseDPDF=Y")</f>
        <v>—</v>
      </c>
      <c r="E16" s="13" t="str">
        <f>_xll.BDH("BLUE US Equity","IS_SBC_ATTRIB_TO_COGS_PRETX","FQ2 2019","FQ2 2019","Currency=USD","Period=FQ","BEST_FPERIOD_OVERRIDE=FQ","FILING_STATUS=MR","SCALING_FORMAT=MLN","Sort=A","Dates=H","DateFormat=P","Fill=—","Direction=H","UseDPDF=Y")</f>
        <v>—</v>
      </c>
      <c r="F16" s="13" t="str">
        <f>_xll.BDH("BLUE US Equity","IS_SBC_ATTRIB_TO_COGS_PRETX","FQ3 2019","FQ3 2019","Currency=USD","Period=FQ","BEST_FPERIOD_OVERRIDE=FQ","FILING_STATUS=MR","SCALING_FORMAT=MLN","Sort=A","Dates=H","DateFormat=P","Fill=—","Direction=H","UseDPDF=Y")</f>
        <v>—</v>
      </c>
      <c r="G16" s="13" t="str">
        <f>_xll.BDH("BLUE US Equity","IS_SBC_ATTRIB_TO_COGS_PRETX","FQ4 2019","FQ4 2019","Currency=USD","Period=FQ","BEST_FPERIOD_OVERRIDE=FQ","FILING_STATUS=MR","SCALING_FORMAT=MLN","Sort=A","Dates=H","DateFormat=P","Fill=—","Direction=H","UseDPDF=Y")</f>
        <v>—</v>
      </c>
      <c r="H16" s="13" t="str">
        <f>_xll.BDH("BLUE US Equity","IS_SBC_ATTRIB_TO_COGS_PRETX","FQ1 2020","FQ1 2020","Currency=USD","Period=FQ","BEST_FPERIOD_OVERRIDE=FQ","FILING_STATUS=MR","SCALING_FORMAT=MLN","Sort=A","Dates=H","DateFormat=P","Fill=—","Direction=H","UseDPDF=Y")</f>
        <v>—</v>
      </c>
      <c r="I16" s="13" t="str">
        <f>_xll.BDH("BLUE US Equity","IS_SBC_ATTRIB_TO_COGS_PRETX","FQ2 2020","FQ2 2020","Currency=USD","Period=FQ","BEST_FPERIOD_OVERRIDE=FQ","FILING_STATUS=MR","SCALING_FORMAT=MLN","Sort=A","Dates=H","DateFormat=P","Fill=—","Direction=H","UseDPDF=Y")</f>
        <v>—</v>
      </c>
      <c r="J16" s="13" t="str">
        <f>_xll.BDH("BLUE US Equity","IS_SBC_ATTRIB_TO_COGS_PRETX","FQ3 2020","FQ3 2020","Currency=USD","Period=FQ","BEST_FPERIOD_OVERRIDE=FQ","FILING_STATUS=MR","SCALING_FORMAT=MLN","Sort=A","Dates=H","DateFormat=P","Fill=—","Direction=H","UseDPDF=Y")</f>
        <v>—</v>
      </c>
      <c r="K16" s="13" t="str">
        <f>_xll.BDH("BLUE US Equity","IS_SBC_ATTRIB_TO_COGS_PRETX","FQ4 2020","FQ4 2020","Currency=USD","Period=FQ","BEST_FPERIOD_OVERRIDE=FQ","FILING_STATUS=MR","SCALING_FORMAT=MLN","Sort=A","Dates=H","DateFormat=P","Fill=—","Direction=H","UseDPDF=Y")</f>
        <v>—</v>
      </c>
      <c r="L16" s="13" t="str">
        <f>_xll.BDH("BLUE US Equity","IS_SBC_ATTRIB_TO_COGS_PRETX","FQ1 2021","FQ1 2021","Currency=USD","Period=FQ","BEST_FPERIOD_OVERRIDE=FQ","FILING_STATUS=MR","SCALING_FORMAT=MLN","Sort=A","Dates=H","DateFormat=P","Fill=—","Direction=H","UseDPDF=Y")</f>
        <v>—</v>
      </c>
      <c r="M16" s="13" t="str">
        <f>_xll.BDH("BLUE US Equity","IS_SBC_ATTRIB_TO_COGS_PRETX","FQ2 2021","FQ2 2021","Currency=USD","Period=FQ","BEST_FPERIOD_OVERRIDE=FQ","FILING_STATUS=MR","SCALING_FORMAT=MLN","Sort=A","Dates=H","DateFormat=P","Fill=—","Direction=H","UseDPDF=Y")</f>
        <v>—</v>
      </c>
      <c r="N16" s="13" t="str">
        <f>_xll.BDH("BLUE US Equity","IS_SBC_ATTRIB_TO_COGS_PRETX","FQ3 2021","FQ3 2021","Currency=USD","Period=FQ","BEST_FPERIOD_OVERRIDE=FQ","FILING_STATUS=MR","SCALING_FORMAT=MLN","Sort=A","Dates=H","DateFormat=P","Fill=—","Direction=H","UseDPDF=Y")</f>
        <v>—</v>
      </c>
      <c r="O16" s="13" t="str">
        <f>_xll.BDH("BLUE US Equity","IS_SBC_ATTRIB_TO_COGS_PRETX","FQ4 2021","FQ4 2021","Currency=USD","Period=FQ","BEST_FPERIOD_OVERRIDE=FQ","FILING_STATUS=MR","SCALING_FORMAT=MLN","Sort=A","Dates=H","DateFormat=P","Fill=—","Direction=H","UseDPDF=Y")</f>
        <v>—</v>
      </c>
      <c r="P16" s="13" t="str">
        <f>_xll.BDH("BLUE US Equity","IS_SBC_ATTRIB_TO_COGS_PRETX","FQ1 2022","FQ1 2022","Currency=USD","Period=FQ","BEST_FPERIOD_OVERRIDE=FQ","FILING_STATUS=MR","SCALING_FORMAT=MLN","Sort=A","Dates=H","DateFormat=P","Fill=—","Direction=H","UseDPDF=Y")</f>
        <v>—</v>
      </c>
      <c r="Q16" s="13" t="str">
        <f>_xll.BDH("BLUE US Equity","IS_SBC_ATTRIB_TO_COGS_PRETX","FQ2 2022","FQ2 2022","Currency=USD","Period=FQ","BEST_FPERIOD_OVERRIDE=FQ","FILING_STATUS=MR","SCALING_FORMAT=MLN","Sort=A","Dates=H","DateFormat=P","Fill=—","Direction=H","UseDPDF=Y")</f>
        <v>—</v>
      </c>
      <c r="R16" s="13" t="str">
        <f>_xll.BDH("BLUE US Equity","IS_SBC_ATTRIB_TO_COGS_PRETX","FQ3 2022","FQ3 2022","Currency=USD","Period=FQ","BEST_FPERIOD_OVERRIDE=FQ","FILING_STATUS=MR","SCALING_FORMAT=MLN","Sort=A","Dates=H","DateFormat=P","Fill=—","Direction=H","UseDPDF=Y")</f>
        <v>—</v>
      </c>
      <c r="S16" s="13" t="str">
        <f>_xll.BDH("BLUE US Equity","IS_SBC_ATTRIB_TO_COGS_PRETX","FQ4 2022","FQ4 2022","Currency=USD","Period=FQ","BEST_FPERIOD_OVERRIDE=FQ","FILING_STATUS=MR","SCALING_FORMAT=MLN","Sort=A","Dates=H","DateFormat=P","Fill=—","Direction=H","UseDPDF=Y")</f>
        <v>—</v>
      </c>
      <c r="T16" s="13">
        <f>_xll.BDH("BLUE US Equity","IS_SBC_ATTRIB_TO_COGS_PRETX","FQ1 2023","FQ1 2023","Currency=USD","Period=FQ","BEST_FPERIOD_OVERRIDE=FQ","FILING_STATUS=MR","SCALING_FORMAT=MLN","Sort=A","Dates=H","DateFormat=P","Fill=—","Direction=H","UseDPDF=Y")</f>
        <v>0.10299999999999999</v>
      </c>
      <c r="U16" s="13">
        <f>_xll.BDH("BLUE US Equity","IS_SBC_ATTRIB_TO_COGS_PRETX","FQ2 2023","FQ2 2023","Currency=USD","Period=FQ","BEST_FPERIOD_OVERRIDE=FQ","FILING_STATUS=MR","SCALING_FORMAT=MLN","Sort=A","Dates=H","DateFormat=P","Fill=—","Direction=H","UseDPDF=Y")</f>
        <v>-0.01</v>
      </c>
      <c r="V16" s="13">
        <f>_xll.BDH("BLUE US Equity","IS_SBC_ATTRIB_TO_COGS_PRETX","FQ3 2023","FQ3 2023","Currency=USD","Period=FQ","BEST_FPERIOD_OVERRIDE=FQ","FILING_STATUS=MR","SCALING_FORMAT=MLN","Sort=A","Dates=H","DateFormat=P","Fill=—","Direction=H","UseDPDF=Y")</f>
        <v>0.34200000000000003</v>
      </c>
      <c r="W16" s="13" t="str">
        <f>_xll.BDH("BLUE US Equity","IS_SBC_ATTRIB_TO_COGS_PRETX","FQ4 2023","FQ4 2023","Currency=USD","Period=FQ","BEST_FPERIOD_OVERRIDE=FQ","FILING_STATUS=MR","SCALING_FORMAT=MLN","Sort=A","Dates=H","DateFormat=P","Fill=—","Direction=H","UseDPDF=Y")</f>
        <v>—</v>
      </c>
      <c r="X16" s="13">
        <f>_xll.BDH("BLUE US Equity","IS_SBC_ATTRIB_TO_COGS_PRETX","FQ1 2024","FQ1 2024","Currency=USD","Period=FQ","BEST_FPERIOD_OVERRIDE=FQ","FILING_STATUS=MR","SCALING_FORMAT=MLN","Sort=A","Dates=H","DateFormat=P","Fill=—","Direction=H","UseDPDF=Y")</f>
        <v>0.49099999999999999</v>
      </c>
      <c r="Y16" s="13">
        <f>_xll.BDH("BLUE US Equity","IS_SBC_ATTRIB_TO_COGS_PRETX","FQ2 2024","FQ2 2024","Currency=USD","Period=FQ","BEST_FPERIOD_OVERRIDE=FQ","FILING_STATUS=MR","SCALING_FORMAT=MLN","Sort=A","Dates=H","DateFormat=P","Fill=—","Direction=H","UseDPDF=Y")</f>
        <v>0.28899999999999998</v>
      </c>
      <c r="Z16" s="13">
        <f>_xll.BDH("BLUE US Equity","IS_SBC_ATTRIB_TO_COGS_PRETX","FQ3 2024","FQ3 2024","Currency=USD","Period=FQ","BEST_FPERIOD_OVERRIDE=FQ","FILING_STATUS=MR","SCALING_FORMAT=MLN","Sort=A","Dates=H","DateFormat=P","Fill=—","Direction=H","UseDPDF=Y")</f>
        <v>0.10199999999999999</v>
      </c>
      <c r="AA16" s="13">
        <f>_xll.BDH("BLUE US Equity","IS_SBC_ATTRIB_TO_COGS_PRETX","FQ4 2024","FQ4 2024","Currency=USD","Period=FQ","BEST_FPERIOD_OVERRIDE=FQ","FILING_STATUS=MR","SCALING_FORMAT=MLN","Sort=A","Dates=H","DateFormat=P","Fill=—","Direction=H","UseDPDF=Y")</f>
        <v>0.45700000000000002</v>
      </c>
    </row>
    <row r="17" spans="1:27" x14ac:dyDescent="0.25">
      <c r="A17" s="10" t="s">
        <v>582</v>
      </c>
      <c r="B17" s="10" t="s">
        <v>583</v>
      </c>
      <c r="C17" s="13" t="str">
        <f>_xll.BDH("BLUE US Equity","IS_SBC_INCL_SELLING","FQ4 2018","FQ4 2018","Currency=USD","Period=FQ","BEST_FPERIOD_OVERRIDE=FQ","FILING_STATUS=MR","SCALING_FORMAT=MLN","Sort=A","Dates=H","DateFormat=P","Fill=—","Direction=H","UseDPDF=Y")</f>
        <v>—</v>
      </c>
      <c r="D17" s="13" t="str">
        <f>_xll.BDH("BLUE US Equity","IS_SBC_INCL_SELLING","FQ1 2019","FQ1 2019","Currency=USD","Period=FQ","BEST_FPERIOD_OVERRIDE=FQ","FILING_STATUS=MR","SCALING_FORMAT=MLN","Sort=A","Dates=H","DateFormat=P","Fill=—","Direction=H","UseDPDF=Y")</f>
        <v>—</v>
      </c>
      <c r="E17" s="13" t="str">
        <f>_xll.BDH("BLUE US Equity","IS_SBC_INCL_SELLING","FQ2 2019","FQ2 2019","Currency=USD","Period=FQ","BEST_FPERIOD_OVERRIDE=FQ","FILING_STATUS=MR","SCALING_FORMAT=MLN","Sort=A","Dates=H","DateFormat=P","Fill=—","Direction=H","UseDPDF=Y")</f>
        <v>—</v>
      </c>
      <c r="F17" s="13" t="str">
        <f>_xll.BDH("BLUE US Equity","IS_SBC_INCL_SELLING","FQ3 2019","FQ3 2019","Currency=USD","Period=FQ","BEST_FPERIOD_OVERRIDE=FQ","FILING_STATUS=MR","SCALING_FORMAT=MLN","Sort=A","Dates=H","DateFormat=P","Fill=—","Direction=H","UseDPDF=Y")</f>
        <v>—</v>
      </c>
      <c r="G17" s="13" t="str">
        <f>_xll.BDH("BLUE US Equity","IS_SBC_INCL_SELLING","FQ4 2019","FQ4 2019","Currency=USD","Period=FQ","BEST_FPERIOD_OVERRIDE=FQ","FILING_STATUS=MR","SCALING_FORMAT=MLN","Sort=A","Dates=H","DateFormat=P","Fill=—","Direction=H","UseDPDF=Y")</f>
        <v>—</v>
      </c>
      <c r="H17" s="13" t="str">
        <f>_xll.BDH("BLUE US Equity","IS_SBC_INCL_SELLING","FQ1 2020","FQ1 2020","Currency=USD","Period=FQ","BEST_FPERIOD_OVERRIDE=FQ","FILING_STATUS=MR","SCALING_FORMAT=MLN","Sort=A","Dates=H","DateFormat=P","Fill=—","Direction=H","UseDPDF=Y")</f>
        <v>—</v>
      </c>
      <c r="I17" s="13" t="str">
        <f>_xll.BDH("BLUE US Equity","IS_SBC_INCL_SELLING","FQ2 2020","FQ2 2020","Currency=USD","Period=FQ","BEST_FPERIOD_OVERRIDE=FQ","FILING_STATUS=MR","SCALING_FORMAT=MLN","Sort=A","Dates=H","DateFormat=P","Fill=—","Direction=H","UseDPDF=Y")</f>
        <v>—</v>
      </c>
      <c r="J17" s="13" t="str">
        <f>_xll.BDH("BLUE US Equity","IS_SBC_INCL_SELLING","FQ3 2020","FQ3 2020","Currency=USD","Period=FQ","BEST_FPERIOD_OVERRIDE=FQ","FILING_STATUS=MR","SCALING_FORMAT=MLN","Sort=A","Dates=H","DateFormat=P","Fill=—","Direction=H","UseDPDF=Y")</f>
        <v>—</v>
      </c>
      <c r="K17" s="13">
        <f>_xll.BDH("BLUE US Equity","IS_SBC_INCL_SELLING","FQ4 2020","FQ4 2020","Currency=USD","Period=FQ","BEST_FPERIOD_OVERRIDE=FQ","FILING_STATUS=MR","SCALING_FORMAT=MLN","Sort=A","Dates=H","DateFormat=P","Fill=—","Direction=H","UseDPDF=Y")</f>
        <v>7.3940000000000001</v>
      </c>
      <c r="L17" s="13">
        <f>_xll.BDH("BLUE US Equity","IS_SBC_INCL_SELLING","FQ1 2021","FQ1 2021","Currency=USD","Period=FQ","BEST_FPERIOD_OVERRIDE=FQ","FILING_STATUS=MR","SCALING_FORMAT=MLN","Sort=A","Dates=H","DateFormat=P","Fill=—","Direction=H","UseDPDF=Y")</f>
        <v>18.904</v>
      </c>
      <c r="M17" s="13" t="str">
        <f>_xll.BDH("BLUE US Equity","IS_SBC_INCL_SELLING","FQ2 2021","FQ2 2021","Currency=USD","Period=FQ","BEST_FPERIOD_OVERRIDE=FQ","FILING_STATUS=MR","SCALING_FORMAT=MLN","Sort=A","Dates=H","DateFormat=P","Fill=—","Direction=H","UseDPDF=Y")</f>
        <v>—</v>
      </c>
      <c r="N17" s="13" t="str">
        <f>_xll.BDH("BLUE US Equity","IS_SBC_INCL_SELLING","FQ3 2021","FQ3 2021","Currency=USD","Period=FQ","BEST_FPERIOD_OVERRIDE=FQ","FILING_STATUS=MR","SCALING_FORMAT=MLN","Sort=A","Dates=H","DateFormat=P","Fill=—","Direction=H","UseDPDF=Y")</f>
        <v>—</v>
      </c>
      <c r="O17" s="13">
        <f>_xll.BDH("BLUE US Equity","IS_SBC_INCL_SELLING","FQ4 2021","FQ4 2021","Currency=USD","Period=FQ","BEST_FPERIOD_OVERRIDE=FQ","FILING_STATUS=MR","SCALING_FORMAT=MLN","Sort=A","Dates=H","DateFormat=P","Fill=—","Direction=H","UseDPDF=Y")</f>
        <v>3.2120000000000002</v>
      </c>
      <c r="P17" s="13">
        <f>_xll.BDH("BLUE US Equity","IS_SBC_INCL_SELLING","FQ1 2022","FQ1 2022","Currency=USD","Period=FQ","BEST_FPERIOD_OVERRIDE=FQ","FILING_STATUS=MR","SCALING_FORMAT=MLN","Sort=A","Dates=H","DateFormat=P","Fill=—","Direction=H","UseDPDF=Y")</f>
        <v>5.835</v>
      </c>
      <c r="Q17" s="13">
        <f>_xll.BDH("BLUE US Equity","IS_SBC_INCL_SELLING","FQ2 2022","FQ2 2022","Currency=USD","Period=FQ","BEST_FPERIOD_OVERRIDE=FQ","FILING_STATUS=MR","SCALING_FORMAT=MLN","Sort=A","Dates=H","DateFormat=P","Fill=—","Direction=H","UseDPDF=Y")</f>
        <v>3.6520000000000001</v>
      </c>
      <c r="R17" s="13" t="str">
        <f>_xll.BDH("BLUE US Equity","IS_SBC_INCL_SELLING","FQ3 2022","FQ3 2022","Currency=USD","Period=FQ","BEST_FPERIOD_OVERRIDE=FQ","FILING_STATUS=MR","SCALING_FORMAT=MLN","Sort=A","Dates=H","DateFormat=P","Fill=—","Direction=H","UseDPDF=Y")</f>
        <v>—</v>
      </c>
      <c r="S17" s="13">
        <f>_xll.BDH("BLUE US Equity","IS_SBC_INCL_SELLING","FQ4 2022","FQ4 2022","Currency=USD","Period=FQ","BEST_FPERIOD_OVERRIDE=FQ","FILING_STATUS=MR","SCALING_FORMAT=MLN","Sort=A","Dates=H","DateFormat=P","Fill=—","Direction=H","UseDPDF=Y")</f>
        <v>6.3440000000000003</v>
      </c>
      <c r="T17" s="13">
        <f>_xll.BDH("BLUE US Equity","IS_SBC_INCL_SELLING","FQ1 2023","FQ1 2023","Currency=USD","Period=FQ","BEST_FPERIOD_OVERRIDE=FQ","FILING_STATUS=MR","SCALING_FORMAT=MLN","Sort=A","Dates=H","DateFormat=P","Fill=—","Direction=H","UseDPDF=Y")</f>
        <v>2.3610000000000002</v>
      </c>
      <c r="U17" s="13">
        <f>_xll.BDH("BLUE US Equity","IS_SBC_INCL_SELLING","FQ2 2023","FQ2 2023","Currency=USD","Period=FQ","BEST_FPERIOD_OVERRIDE=FQ","FILING_STATUS=MR","SCALING_FORMAT=MLN","Sort=A","Dates=H","DateFormat=P","Fill=—","Direction=H","UseDPDF=Y")</f>
        <v>2.681</v>
      </c>
      <c r="V17" s="13">
        <f>_xll.BDH("BLUE US Equity","IS_SBC_INCL_SELLING","FQ3 2023","FQ3 2023","Currency=USD","Period=FQ","BEST_FPERIOD_OVERRIDE=FQ","FILING_STATUS=MR","SCALING_FORMAT=MLN","Sort=A","Dates=H","DateFormat=P","Fill=—","Direction=H","UseDPDF=Y")</f>
        <v>2.4609999999999999</v>
      </c>
      <c r="W17" s="13">
        <f>_xll.BDH("BLUE US Equity","IS_SBC_INCL_SELLING","FQ4 2023","FQ4 2023","Currency=USD","Period=FQ","BEST_FPERIOD_OVERRIDE=FQ","FILING_STATUS=MR","SCALING_FORMAT=MLN","Sort=A","Dates=H","DateFormat=P","Fill=—","Direction=H","UseDPDF=Y")</f>
        <v>4.5060000000000002</v>
      </c>
      <c r="X17" s="13">
        <f>_xll.BDH("BLUE US Equity","IS_SBC_INCL_SELLING","FQ1 2024","FQ1 2024","Currency=USD","Period=FQ","BEST_FPERIOD_OVERRIDE=FQ","FILING_STATUS=MR","SCALING_FORMAT=MLN","Sort=A","Dates=H","DateFormat=P","Fill=—","Direction=H","UseDPDF=Y")</f>
        <v>2.335</v>
      </c>
      <c r="Y17" s="13">
        <f>_xll.BDH("BLUE US Equity","IS_SBC_INCL_SELLING","FQ2 2024","FQ2 2024","Currency=USD","Period=FQ","BEST_FPERIOD_OVERRIDE=FQ","FILING_STATUS=MR","SCALING_FORMAT=MLN","Sort=A","Dates=H","DateFormat=P","Fill=—","Direction=H","UseDPDF=Y")</f>
        <v>1.798</v>
      </c>
      <c r="Z17" s="13">
        <f>_xll.BDH("BLUE US Equity","IS_SBC_INCL_SELLING","FQ3 2024","FQ3 2024","Currency=USD","Period=FQ","BEST_FPERIOD_OVERRIDE=FQ","FILING_STATUS=MR","SCALING_FORMAT=MLN","Sort=A","Dates=H","DateFormat=P","Fill=—","Direction=H","UseDPDF=Y")</f>
        <v>1.65</v>
      </c>
      <c r="AA17" s="13">
        <f>_xll.BDH("BLUE US Equity","IS_SBC_INCL_SELLING","FQ4 2024","FQ4 2024","Currency=USD","Period=FQ","BEST_FPERIOD_OVERRIDE=FQ","FILING_STATUS=MR","SCALING_FORMAT=MLN","Sort=A","Dates=H","DateFormat=P","Fill=—","Direction=H","UseDPDF=Y")</f>
        <v>2.3639999999999999</v>
      </c>
    </row>
    <row r="18" spans="1:27" x14ac:dyDescent="0.25">
      <c r="A18" s="10" t="s">
        <v>584</v>
      </c>
      <c r="B18" s="10" t="s">
        <v>585</v>
      </c>
      <c r="C18" s="13">
        <f>_xll.BDH("BLUE US Equity","IS_SBC_INCL_GEN_ADMIN","FQ4 2018","FQ4 2018","Currency=USD","Period=FQ","BEST_FPERIOD_OVERRIDE=FQ","FILING_STATUS=MR","SCALING_FORMAT=MLN","Sort=A","Dates=H","DateFormat=P","Fill=—","Direction=H","UseDPDF=Y")</f>
        <v>15.83</v>
      </c>
      <c r="D18" s="13">
        <f>_xll.BDH("BLUE US Equity","IS_SBC_INCL_GEN_ADMIN","FQ1 2019","FQ1 2019","Currency=USD","Period=FQ","BEST_FPERIOD_OVERRIDE=FQ","FILING_STATUS=MR","SCALING_FORMAT=MLN","Sort=A","Dates=H","DateFormat=P","Fill=—","Direction=H","UseDPDF=Y")</f>
        <v>16.824999999999999</v>
      </c>
      <c r="E18" s="13">
        <f>_xll.BDH("BLUE US Equity","IS_SBC_INCL_GEN_ADMIN","FQ2 2019","FQ2 2019","Currency=USD","Period=FQ","BEST_FPERIOD_OVERRIDE=FQ","FILING_STATUS=MR","SCALING_FORMAT=MLN","Sort=A","Dates=H","DateFormat=P","Fill=—","Direction=H","UseDPDF=Y")</f>
        <v>25.417000000000002</v>
      </c>
      <c r="F18" s="13">
        <f>_xll.BDH("BLUE US Equity","IS_SBC_INCL_GEN_ADMIN","FQ3 2019","FQ3 2019","Currency=USD","Period=FQ","BEST_FPERIOD_OVERRIDE=FQ","FILING_STATUS=MR","SCALING_FORMAT=MLN","Sort=A","Dates=H","DateFormat=P","Fill=—","Direction=H","UseDPDF=Y")</f>
        <v>19.946000000000002</v>
      </c>
      <c r="G18" s="13">
        <f>_xll.BDH("BLUE US Equity","IS_SBC_INCL_GEN_ADMIN","FQ4 2019","FQ4 2019","Currency=USD","Period=FQ","BEST_FPERIOD_OVERRIDE=FQ","FILING_STATUS=MR","SCALING_FORMAT=MLN","Sort=A","Dates=H","DateFormat=P","Fill=—","Direction=H","UseDPDF=Y")</f>
        <v>16.329000000000001</v>
      </c>
      <c r="H18" s="13">
        <f>_xll.BDH("BLUE US Equity","IS_SBC_INCL_GEN_ADMIN","FQ1 2020","FQ1 2020","Currency=USD","Period=FQ","BEST_FPERIOD_OVERRIDE=FQ","FILING_STATUS=MR","SCALING_FORMAT=MLN","Sort=A","Dates=H","DateFormat=P","Fill=—","Direction=H","UseDPDF=Y")</f>
        <v>20.024000000000001</v>
      </c>
      <c r="I18" s="13">
        <f>_xll.BDH("BLUE US Equity","IS_SBC_INCL_GEN_ADMIN","FQ2 2020","FQ2 2020","Currency=USD","Period=FQ","BEST_FPERIOD_OVERRIDE=FQ","FILING_STATUS=MR","SCALING_FORMAT=MLN","Sort=A","Dates=H","DateFormat=P","Fill=—","Direction=H","UseDPDF=Y")</f>
        <v>25.431000000000001</v>
      </c>
      <c r="J18" s="13">
        <f>_xll.BDH("BLUE US Equity","IS_SBC_INCL_GEN_ADMIN","FQ3 2020","FQ3 2020","Currency=USD","Period=FQ","BEST_FPERIOD_OVERRIDE=FQ","FILING_STATUS=MR","SCALING_FORMAT=MLN","Sort=A","Dates=H","DateFormat=P","Fill=—","Direction=H","UseDPDF=Y")</f>
        <v>19.981000000000002</v>
      </c>
      <c r="K18" s="13" t="str">
        <f>_xll.BDH("BLUE US Equity","IS_SBC_INCL_GEN_ADMIN","FQ4 2020","FQ4 2020","Currency=USD","Period=FQ","BEST_FPERIOD_OVERRIDE=FQ","FILING_STATUS=MR","SCALING_FORMAT=MLN","Sort=A","Dates=H","DateFormat=P","Fill=—","Direction=H","UseDPDF=Y")</f>
        <v>—</v>
      </c>
      <c r="L18" s="13" t="str">
        <f>_xll.BDH("BLUE US Equity","IS_SBC_INCL_GEN_ADMIN","FQ1 2021","FQ1 2021","Currency=USD","Period=FQ","BEST_FPERIOD_OVERRIDE=FQ","FILING_STATUS=MR","SCALING_FORMAT=MLN","Sort=A","Dates=H","DateFormat=P","Fill=—","Direction=H","UseDPDF=Y")</f>
        <v>—</v>
      </c>
      <c r="M18" s="13">
        <f>_xll.BDH("BLUE US Equity","IS_SBC_INCL_GEN_ADMIN","FQ2 2021","FQ2 2021","Currency=USD","Period=FQ","BEST_FPERIOD_OVERRIDE=FQ","FILING_STATUS=MR","SCALING_FORMAT=MLN","Sort=A","Dates=H","DateFormat=P","Fill=—","Direction=H","UseDPDF=Y")</f>
        <v>15.282999999999999</v>
      </c>
      <c r="N18" s="13">
        <f>_xll.BDH("BLUE US Equity","IS_SBC_INCL_GEN_ADMIN","FQ3 2021","FQ3 2021","Currency=USD","Period=FQ","BEST_FPERIOD_OVERRIDE=FQ","FILING_STATUS=MR","SCALING_FORMAT=MLN","Sort=A","Dates=H","DateFormat=P","Fill=—","Direction=H","UseDPDF=Y")</f>
        <v>12.238</v>
      </c>
      <c r="O18" s="13" t="str">
        <f>_xll.BDH("BLUE US Equity","IS_SBC_INCL_GEN_ADMIN","FQ4 2021","FQ4 2021","Currency=USD","Period=FQ","BEST_FPERIOD_OVERRIDE=FQ","FILING_STATUS=MR","SCALING_FORMAT=MLN","Sort=A","Dates=H","DateFormat=P","Fill=—","Direction=H","UseDPDF=Y")</f>
        <v>—</v>
      </c>
      <c r="P18" s="13" t="str">
        <f>_xll.BDH("BLUE US Equity","IS_SBC_INCL_GEN_ADMIN","FQ1 2022","FQ1 2022","Currency=USD","Period=FQ","BEST_FPERIOD_OVERRIDE=FQ","FILING_STATUS=MR","SCALING_FORMAT=MLN","Sort=A","Dates=H","DateFormat=P","Fill=—","Direction=H","UseDPDF=Y")</f>
        <v>—</v>
      </c>
      <c r="Q18" s="13" t="str">
        <f>_xll.BDH("BLUE US Equity","IS_SBC_INCL_GEN_ADMIN","FQ2 2022","FQ2 2022","Currency=USD","Period=FQ","BEST_FPERIOD_OVERRIDE=FQ","FILING_STATUS=MR","SCALING_FORMAT=MLN","Sort=A","Dates=H","DateFormat=P","Fill=—","Direction=H","UseDPDF=Y")</f>
        <v>—</v>
      </c>
      <c r="R18" s="13">
        <f>_xll.BDH("BLUE US Equity","IS_SBC_INCL_GEN_ADMIN","FQ3 2022","FQ3 2022","Currency=USD","Period=FQ","BEST_FPERIOD_OVERRIDE=FQ","FILING_STATUS=MR","SCALING_FORMAT=MLN","Sort=A","Dates=H","DateFormat=P","Fill=—","Direction=H","UseDPDF=Y")</f>
        <v>3.9750000000000001</v>
      </c>
      <c r="S18" s="13" t="str">
        <f>_xll.BDH("BLUE US Equity","IS_SBC_INCL_GEN_ADMIN","FQ4 2022","FQ4 2022","Currency=USD","Period=FQ","BEST_FPERIOD_OVERRIDE=FQ","FILING_STATUS=MR","SCALING_FORMAT=MLN","Sort=A","Dates=H","DateFormat=P","Fill=—","Direction=H","UseDPDF=Y")</f>
        <v>—</v>
      </c>
      <c r="T18" s="13" t="str">
        <f>_xll.BDH("BLUE US Equity","IS_SBC_INCL_GEN_ADMIN","FQ1 2023","FQ1 2023","Currency=USD","Period=FQ","BEST_FPERIOD_OVERRIDE=FQ","FILING_STATUS=MR","SCALING_FORMAT=MLN","Sort=A","Dates=H","DateFormat=P","Fill=—","Direction=H","UseDPDF=Y")</f>
        <v>—</v>
      </c>
      <c r="U18" s="13" t="str">
        <f>_xll.BDH("BLUE US Equity","IS_SBC_INCL_GEN_ADMIN","FQ2 2023","FQ2 2023","Currency=USD","Period=FQ","BEST_FPERIOD_OVERRIDE=FQ","FILING_STATUS=MR","SCALING_FORMAT=MLN","Sort=A","Dates=H","DateFormat=P","Fill=—","Direction=H","UseDPDF=Y")</f>
        <v>—</v>
      </c>
      <c r="V18" s="13" t="str">
        <f>_xll.BDH("BLUE US Equity","IS_SBC_INCL_GEN_ADMIN","FQ3 2023","FQ3 2023","Currency=USD","Period=FQ","BEST_FPERIOD_OVERRIDE=FQ","FILING_STATUS=MR","SCALING_FORMAT=MLN","Sort=A","Dates=H","DateFormat=P","Fill=—","Direction=H","UseDPDF=Y")</f>
        <v>—</v>
      </c>
      <c r="W18" s="13" t="str">
        <f>_xll.BDH("BLUE US Equity","IS_SBC_INCL_GEN_ADMIN","FQ4 2023","FQ4 2023","Currency=USD","Period=FQ","BEST_FPERIOD_OVERRIDE=FQ","FILING_STATUS=MR","SCALING_FORMAT=MLN","Sort=A","Dates=H","DateFormat=P","Fill=—","Direction=H","UseDPDF=Y")</f>
        <v>—</v>
      </c>
      <c r="X18" s="13" t="str">
        <f>_xll.BDH("BLUE US Equity","IS_SBC_INCL_GEN_ADMIN","FQ1 2024","FQ1 2024","Currency=USD","Period=FQ","BEST_FPERIOD_OVERRIDE=FQ","FILING_STATUS=MR","SCALING_FORMAT=MLN","Sort=A","Dates=H","DateFormat=P","Fill=—","Direction=H","UseDPDF=Y")</f>
        <v>—</v>
      </c>
      <c r="Y18" s="13" t="str">
        <f>_xll.BDH("BLUE US Equity","IS_SBC_INCL_GEN_ADMIN","FQ2 2024","FQ2 2024","Currency=USD","Period=FQ","BEST_FPERIOD_OVERRIDE=FQ","FILING_STATUS=MR","SCALING_FORMAT=MLN","Sort=A","Dates=H","DateFormat=P","Fill=—","Direction=H","UseDPDF=Y")</f>
        <v>—</v>
      </c>
      <c r="Z18" s="13" t="str">
        <f>_xll.BDH("BLUE US Equity","IS_SBC_INCL_GEN_ADMIN","FQ3 2024","FQ3 2024","Currency=USD","Period=FQ","BEST_FPERIOD_OVERRIDE=FQ","FILING_STATUS=MR","SCALING_FORMAT=MLN","Sort=A","Dates=H","DateFormat=P","Fill=—","Direction=H","UseDPDF=Y")</f>
        <v>—</v>
      </c>
      <c r="AA18" s="13" t="str">
        <f>_xll.BDH("BLUE US Equity","IS_SBC_INCL_GEN_ADMIN","FQ4 2024","FQ4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586</v>
      </c>
      <c r="B19" s="10" t="s">
        <v>587</v>
      </c>
      <c r="C19" s="13">
        <f>_xll.BDH("BLUE US Equity","IS_SBC_INCL_RD","FQ4 2018","FQ4 2018","Currency=USD","Period=FQ","BEST_FPERIOD_OVERRIDE=FQ","FILING_STATUS=MR","SCALING_FORMAT=MLN","Sort=A","Dates=H","DateFormat=P","Fill=—","Direction=H","UseDPDF=Y")</f>
        <v>14.157</v>
      </c>
      <c r="D19" s="13">
        <f>_xll.BDH("BLUE US Equity","IS_SBC_INCL_RD","FQ1 2019","FQ1 2019","Currency=USD","Period=FQ","BEST_FPERIOD_OVERRIDE=FQ","FILING_STATUS=MR","SCALING_FORMAT=MLN","Sort=A","Dates=H","DateFormat=P","Fill=—","Direction=H","UseDPDF=Y")</f>
        <v>15.516</v>
      </c>
      <c r="E19" s="13">
        <f>_xll.BDH("BLUE US Equity","IS_SBC_INCL_RD","FQ2 2019","FQ2 2019","Currency=USD","Period=FQ","BEST_FPERIOD_OVERRIDE=FQ","FILING_STATUS=MR","SCALING_FORMAT=MLN","Sort=A","Dates=H","DateFormat=P","Fill=—","Direction=H","UseDPDF=Y")</f>
        <v>29.693999999999999</v>
      </c>
      <c r="F19" s="13">
        <f>_xll.BDH("BLUE US Equity","IS_SBC_INCL_RD","FQ3 2019","FQ3 2019","Currency=USD","Period=FQ","BEST_FPERIOD_OVERRIDE=FQ","FILING_STATUS=MR","SCALING_FORMAT=MLN","Sort=A","Dates=H","DateFormat=P","Fill=—","Direction=H","UseDPDF=Y")</f>
        <v>18.600000000000001</v>
      </c>
      <c r="G19" s="13">
        <f>_xll.BDH("BLUE US Equity","IS_SBC_INCL_RD","FQ4 2019","FQ4 2019","Currency=USD","Period=FQ","BEST_FPERIOD_OVERRIDE=FQ","FILING_STATUS=MR","SCALING_FORMAT=MLN","Sort=A","Dates=H","DateFormat=P","Fill=—","Direction=H","UseDPDF=Y")</f>
        <v>16.329000000000001</v>
      </c>
      <c r="H19" s="13">
        <f>_xll.BDH("BLUE US Equity","IS_SBC_INCL_RD","FQ1 2020","FQ1 2020","Currency=USD","Period=FQ","BEST_FPERIOD_OVERRIDE=FQ","FILING_STATUS=MR","SCALING_FORMAT=MLN","Sort=A","Dates=H","DateFormat=P","Fill=—","Direction=H","UseDPDF=Y")</f>
        <v>16.268999999999998</v>
      </c>
      <c r="I19" s="13">
        <f>_xll.BDH("BLUE US Equity","IS_SBC_INCL_RD","FQ2 2020","FQ2 2020","Currency=USD","Period=FQ","BEST_FPERIOD_OVERRIDE=FQ","FILING_STATUS=MR","SCALING_FORMAT=MLN","Sort=A","Dates=H","DateFormat=P","Fill=—","Direction=H","UseDPDF=Y")</f>
        <v>23.097999999999999</v>
      </c>
      <c r="J19" s="13">
        <f>_xll.BDH("BLUE US Equity","IS_SBC_INCL_RD","FQ3 2020","FQ3 2020","Currency=USD","Period=FQ","BEST_FPERIOD_OVERRIDE=FQ","FILING_STATUS=MR","SCALING_FORMAT=MLN","Sort=A","Dates=H","DateFormat=P","Fill=—","Direction=H","UseDPDF=Y")</f>
        <v>18.837</v>
      </c>
      <c r="K19" s="13">
        <f>_xll.BDH("BLUE US Equity","IS_SBC_INCL_RD","FQ4 2020","FQ4 2020","Currency=USD","Period=FQ","BEST_FPERIOD_OVERRIDE=FQ","FILING_STATUS=MR","SCALING_FORMAT=MLN","Sort=A","Dates=H","DateFormat=P","Fill=—","Direction=H","UseDPDF=Y")</f>
        <v>-8.4380000000000006</v>
      </c>
      <c r="L19" s="13">
        <f>_xll.BDH("BLUE US Equity","IS_SBC_INCL_RD","FQ1 2021","FQ1 2021","Currency=USD","Period=FQ","BEST_FPERIOD_OVERRIDE=FQ","FILING_STATUS=MR","SCALING_FORMAT=MLN","Sort=A","Dates=H","DateFormat=P","Fill=—","Direction=H","UseDPDF=Y")</f>
        <v>12.39</v>
      </c>
      <c r="M19" s="13">
        <f>_xll.BDH("BLUE US Equity","IS_SBC_INCL_RD","FQ2 2021","FQ2 2021","Currency=USD","Period=FQ","BEST_FPERIOD_OVERRIDE=FQ","FILING_STATUS=MR","SCALING_FORMAT=MLN","Sort=A","Dates=H","DateFormat=P","Fill=—","Direction=H","UseDPDF=Y")</f>
        <v>15.768000000000001</v>
      </c>
      <c r="N19" s="13">
        <f>_xll.BDH("BLUE US Equity","IS_SBC_INCL_RD","FQ3 2021","FQ3 2021","Currency=USD","Period=FQ","BEST_FPERIOD_OVERRIDE=FQ","FILING_STATUS=MR","SCALING_FORMAT=MLN","Sort=A","Dates=H","DateFormat=P","Fill=—","Direction=H","UseDPDF=Y")</f>
        <v>9.016</v>
      </c>
      <c r="O19" s="13">
        <f>_xll.BDH("BLUE US Equity","IS_SBC_INCL_RD","FQ4 2021","FQ4 2021","Currency=USD","Period=FQ","BEST_FPERIOD_OVERRIDE=FQ","FILING_STATUS=MR","SCALING_FORMAT=MLN","Sort=A","Dates=H","DateFormat=P","Fill=—","Direction=H","UseDPDF=Y")</f>
        <v>-6.335</v>
      </c>
      <c r="P19" s="13">
        <f>_xll.BDH("BLUE US Equity","IS_SBC_INCL_RD","FQ1 2022","FQ1 2022","Currency=USD","Period=FQ","BEST_FPERIOD_OVERRIDE=FQ","FILING_STATUS=MR","SCALING_FORMAT=MLN","Sort=A","Dates=H","DateFormat=P","Fill=—","Direction=H","UseDPDF=Y")</f>
        <v>6.5549999999999997</v>
      </c>
      <c r="Q19" s="13">
        <f>_xll.BDH("BLUE US Equity","IS_SBC_INCL_RD","FQ2 2022","FQ2 2022","Currency=USD","Period=FQ","BEST_FPERIOD_OVERRIDE=FQ","FILING_STATUS=MR","SCALING_FORMAT=MLN","Sort=A","Dates=H","DateFormat=P","Fill=—","Direction=H","UseDPDF=Y")</f>
        <v>5.2549999999999999</v>
      </c>
      <c r="R19" s="13">
        <f>_xll.BDH("BLUE US Equity","IS_SBC_INCL_RD","FQ3 2022","FQ3 2022","Currency=USD","Period=FQ","BEST_FPERIOD_OVERRIDE=FQ","FILING_STATUS=MR","SCALING_FORMAT=MLN","Sort=A","Dates=H","DateFormat=P","Fill=—","Direction=H","UseDPDF=Y")</f>
        <v>5.2370000000000001</v>
      </c>
      <c r="S19" s="13">
        <f>_xll.BDH("BLUE US Equity","IS_SBC_INCL_RD","FQ4 2022","FQ4 2022","Currency=USD","Period=FQ","BEST_FPERIOD_OVERRIDE=FQ","FILING_STATUS=MR","SCALING_FORMAT=MLN","Sort=A","Dates=H","DateFormat=P","Fill=—","Direction=H","UseDPDF=Y")</f>
        <v>2.2120000000000002</v>
      </c>
      <c r="T19" s="13">
        <f>_xll.BDH("BLUE US Equity","IS_SBC_INCL_RD","FQ1 2023","FQ1 2023","Currency=USD","Period=FQ","BEST_FPERIOD_OVERRIDE=FQ","FILING_STATUS=MR","SCALING_FORMAT=MLN","Sort=A","Dates=H","DateFormat=P","Fill=—","Direction=H","UseDPDF=Y")</f>
        <v>2.927</v>
      </c>
      <c r="U19" s="13">
        <f>_xll.BDH("BLUE US Equity","IS_SBC_INCL_RD","FQ2 2023","FQ2 2023","Currency=USD","Period=FQ","BEST_FPERIOD_OVERRIDE=FQ","FILING_STATUS=MR","SCALING_FORMAT=MLN","Sort=A","Dates=H","DateFormat=P","Fill=—","Direction=H","UseDPDF=Y")</f>
        <v>3.0830000000000002</v>
      </c>
      <c r="V19" s="13">
        <f>_xll.BDH("BLUE US Equity","IS_SBC_INCL_RD","FQ3 2023","FQ3 2023","Currency=USD","Period=FQ","BEST_FPERIOD_OVERRIDE=FQ","FILING_STATUS=MR","SCALING_FORMAT=MLN","Sort=A","Dates=H","DateFormat=P","Fill=—","Direction=H","UseDPDF=Y")</f>
        <v>2.0649999999999999</v>
      </c>
      <c r="W19" s="13">
        <f>_xll.BDH("BLUE US Equity","IS_SBC_INCL_RD","FQ4 2023","FQ4 2023","Currency=USD","Period=FQ","BEST_FPERIOD_OVERRIDE=FQ","FILING_STATUS=MR","SCALING_FORMAT=MLN","Sort=A","Dates=H","DateFormat=P","Fill=—","Direction=H","UseDPDF=Y")</f>
        <v>0.70599999999999996</v>
      </c>
      <c r="X19" s="13">
        <f>_xll.BDH("BLUE US Equity","IS_SBC_INCL_RD","FQ1 2024","FQ1 2024","Currency=USD","Period=FQ","BEST_FPERIOD_OVERRIDE=FQ","FILING_STATUS=MR","SCALING_FORMAT=MLN","Sort=A","Dates=H","DateFormat=P","Fill=—","Direction=H","UseDPDF=Y")</f>
        <v>0.93500000000000005</v>
      </c>
      <c r="Y19" s="13">
        <f>_xll.BDH("BLUE US Equity","IS_SBC_INCL_RD","FQ2 2024","FQ2 2024","Currency=USD","Period=FQ","BEST_FPERIOD_OVERRIDE=FQ","FILING_STATUS=MR","SCALING_FORMAT=MLN","Sort=A","Dates=H","DateFormat=P","Fill=—","Direction=H","UseDPDF=Y")</f>
        <v>1.119</v>
      </c>
      <c r="Z19" s="13">
        <f>_xll.BDH("BLUE US Equity","IS_SBC_INCL_RD","FQ3 2024","FQ3 2024","Currency=USD","Period=FQ","BEST_FPERIOD_OVERRIDE=FQ","FILING_STATUS=MR","SCALING_FORMAT=MLN","Sort=A","Dates=H","DateFormat=P","Fill=—","Direction=H","UseDPDF=Y")</f>
        <v>0.68100000000000005</v>
      </c>
      <c r="AA19" s="13">
        <f>_xll.BDH("BLUE US Equity","IS_SBC_INCL_RD","FQ4 2024","FQ4 2024","Currency=USD","Period=FQ","BEST_FPERIOD_OVERRIDE=FQ","FILING_STATUS=MR","SCALING_FORMAT=MLN","Sort=A","Dates=H","DateFormat=P","Fill=—","Direction=H","UseDPDF=Y")</f>
        <v>1.2470000000000001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588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 t="s">
        <v>589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_xll.BDH("BLUE US Equity","SALES_REV_TURN","FQ2 2019","FQ2 2019","Currency=USD","Period=FQ","BEST_FPERIOD_OVERRIDE=FQ","FILING_STATUS=MR","SCALING_FORMAT=MLN","FA_ADJUSTED=Adjusted","Sort=A","Dates=H","DateFormat=P","Fill=—","Direction=H","UseDPDF=Y")</f>
        <v>13.295999999999999</v>
      </c>
      <c r="D6" s="19">
        <f>_xll.BDH("BLUE US Equity","SALES_REV_TURN","FQ3 2019","FQ3 2019","Currency=USD","Period=FQ","BEST_FPERIOD_OVERRIDE=FQ","FILING_STATUS=MR","SCALING_FORMAT=MLN","FA_ADJUSTED=Adjusted","Sort=A","Dates=H","DateFormat=P","Fill=—","Direction=H","UseDPDF=Y")</f>
        <v>8.91</v>
      </c>
      <c r="E6" s="19">
        <f>_xll.BDH("BLUE US Equity","SALES_REV_TURN","FQ4 2019","FQ4 2019","Currency=USD","Period=FQ","BEST_FPERIOD_OVERRIDE=FQ","FILING_STATUS=MR","SCALING_FORMAT=MLN","FA_ADJUSTED=Adjusted","Sort=A","Dates=H","DateFormat=P","Fill=—","Direction=H","UseDPDF=Y")</f>
        <v>9.9969999999999999</v>
      </c>
      <c r="F6" s="19">
        <f>_xll.BDH("BLUE US Equity","SALES_REV_TURN","FQ1 2020","FQ1 2020","Currency=USD","Period=FQ","BEST_FPERIOD_OVERRIDE=FQ","FILING_STATUS=MR","SCALING_FORMAT=MLN","FA_ADJUSTED=Adjusted","Sort=A","Dates=H","DateFormat=P","Fill=—","Direction=H","UseDPDF=Y")</f>
        <v>21.863</v>
      </c>
      <c r="G6" s="19">
        <f>_xll.BDH("BLUE US Equity","SALES_REV_TURN","FQ2 2020","FQ2 2020","Currency=USD","Period=FQ","BEST_FPERIOD_OVERRIDE=FQ","FILING_STATUS=MR","SCALING_FORMAT=MLN","FA_ADJUSTED=Adjusted","Sort=A","Dates=H","DateFormat=P","Fill=—","Direction=H","UseDPDF=Y")</f>
        <v>198.89</v>
      </c>
      <c r="H6" s="19">
        <f>_xll.BDH("BLUE US Equity","SALES_REV_TURN","FQ3 2020","FQ3 2020","Currency=USD","Period=FQ","BEST_FPERIOD_OVERRIDE=FQ","FILING_STATUS=MR","SCALING_FORMAT=MLN","FA_ADJUSTED=Adjusted","Sort=A","Dates=H","DateFormat=P","Fill=—","Direction=H","UseDPDF=Y")</f>
        <v>19.273</v>
      </c>
      <c r="I6" s="19">
        <f>_xll.BDH("BLUE US Equity","SALES_REV_TURN","FQ4 2020","FQ4 2020","Currency=USD","Period=FQ","BEST_FPERIOD_OVERRIDE=FQ","FILING_STATUS=MR","SCALING_FORMAT=MLN","FA_ADJUSTED=Adjusted","Sort=A","Dates=H","DateFormat=P","Fill=—","Direction=H","UseDPDF=Y")</f>
        <v>0</v>
      </c>
      <c r="J6" s="19">
        <f>_xll.BDH("BLUE US Equity","SALES_REV_TURN","FQ1 2021","FQ1 2021","Currency=USD","Period=FQ","BEST_FPERIOD_OVERRIDE=FQ","FILING_STATUS=MR","SCALING_FORMAT=MLN","FA_ADJUSTED=Adjusted","Sort=A","Dates=H","DateFormat=P","Fill=—","Direction=H","UseDPDF=Y")</f>
        <v>0.89400000000000002</v>
      </c>
      <c r="K6" s="19">
        <f>_xll.BDH("BLUE US Equity","SALES_REV_TURN","FQ2 2021","FQ2 2021","Currency=USD","Period=FQ","BEST_FPERIOD_OVERRIDE=FQ","FILING_STATUS=MR","SCALING_FORMAT=MLN","FA_ADJUSTED=Adjusted","Sort=A","Dates=H","DateFormat=P","Fill=—","Direction=H","UseDPDF=Y")</f>
        <v>7.4720000000000004</v>
      </c>
      <c r="L6" s="19">
        <f>_xll.BDH("BLUE US Equity","SALES_REV_TURN","FQ3 2021","FQ3 2021","Currency=USD","Period=FQ","BEST_FPERIOD_OVERRIDE=FQ","FILING_STATUS=MR","SCALING_FORMAT=MLN","FA_ADJUSTED=Adjusted","Sort=A","Dates=H","DateFormat=P","Fill=—","Direction=H","UseDPDF=Y")</f>
        <v>1.0189999999999999</v>
      </c>
      <c r="M6" s="19">
        <f>_xll.BDH("BLUE US Equity","SALES_REV_TURN","FQ4 2021","FQ4 2021","Currency=USD","Period=FQ","BEST_FPERIOD_OVERRIDE=FQ","FILING_STATUS=MR","SCALING_FORMAT=MLN","FA_ADJUSTED=Adjusted","Sort=A","Dates=H","DateFormat=P","Fill=—","Direction=H","UseDPDF=Y")</f>
        <v>1.6060000000000001</v>
      </c>
      <c r="N6" s="19">
        <f>_xll.BDH("BLUE US Equity","SALES_REV_TURN","FQ1 2022","FQ1 2022","Currency=USD","Period=FQ","BEST_FPERIOD_OVERRIDE=FQ","FILING_STATUS=MR","SCALING_FORMAT=MLN","FA_ADJUSTED=Adjusted","Sort=A","Dates=H","DateFormat=P","Fill=—","Direction=H","UseDPDF=Y")</f>
        <v>1.9450000000000001</v>
      </c>
      <c r="O6" s="19">
        <f>_xll.BDH("BLUE US Equity","SALES_REV_TURN","FQ2 2022","FQ2 2022","Currency=USD","Period=FQ","BEST_FPERIOD_OVERRIDE=FQ","FILING_STATUS=MR","SCALING_FORMAT=MLN","FA_ADJUSTED=Adjusted","Sort=A","Dates=H","DateFormat=P","Fill=—","Direction=H","UseDPDF=Y")</f>
        <v>1.5189999999999999</v>
      </c>
      <c r="P6" s="19">
        <f>_xll.BDH("BLUE US Equity","SALES_REV_TURN","FQ3 2022","FQ3 2022","Currency=USD","Period=FQ","BEST_FPERIOD_OVERRIDE=FQ","FILING_STATUS=MR","SCALING_FORMAT=MLN","FA_ADJUSTED=Adjusted","Sort=A","Dates=H","DateFormat=P","Fill=—","Direction=H","UseDPDF=Y")</f>
        <v>7.0999999999999994E-2</v>
      </c>
      <c r="Q6" s="19">
        <f>_xll.BDH("BLUE US Equity","SALES_REV_TURN","FQ4 2022","FQ4 2022","Currency=USD","Period=FQ","BEST_FPERIOD_OVERRIDE=FQ","FILING_STATUS=MR","SCALING_FORMAT=MLN","FA_ADJUSTED=Adjusted","Sort=A","Dates=H","DateFormat=P","Fill=—","Direction=H","UseDPDF=Y")</f>
        <v>6.2E-2</v>
      </c>
      <c r="R6" s="19">
        <f>_xll.BDH("BLUE US Equity","SALES_REV_TURN","FQ1 2023","FQ1 2023","Currency=USD","Period=FQ","BEST_FPERIOD_OVERRIDE=FQ","FILING_STATUS=MR","SCALING_FORMAT=MLN","FA_ADJUSTED=Adjusted","Sort=A","Dates=H","DateFormat=P","Fill=—","Direction=H","UseDPDF=Y")</f>
        <v>2.3809999999999998</v>
      </c>
      <c r="S6" s="19">
        <f>_xll.BDH("BLUE US Equity","SALES_REV_TURN","FQ2 2023","FQ2 2023","Currency=USD","Period=FQ","BEST_FPERIOD_OVERRIDE=FQ","FILING_STATUS=MR","SCALING_FORMAT=MLN","FA_ADJUSTED=Adjusted","Sort=A","Dates=H","DateFormat=P","Fill=—","Direction=H","UseDPDF=Y")</f>
        <v>6.89</v>
      </c>
      <c r="T6" s="19">
        <f>_xll.BDH("BLUE US Equity","SALES_REV_TURN","FQ3 2023","FQ3 2023","Currency=USD","Period=FQ","BEST_FPERIOD_OVERRIDE=FQ","FILING_STATUS=MR","SCALING_FORMAT=MLN","FA_ADJUSTED=Adjusted","Sort=A","Dates=H","DateFormat=P","Fill=—","Direction=H","UseDPDF=Y")</f>
        <v>12.391999999999999</v>
      </c>
      <c r="U6" s="19">
        <f>_xll.BDH("BLUE US Equity","SALES_REV_TURN","FQ4 2023","FQ4 2023","Currency=USD","Period=FQ","BEST_FPERIOD_OVERRIDE=FQ","FILING_STATUS=MR","SCALING_FORMAT=MLN","FA_ADJUSTED=Adjusted","Sort=A","Dates=H","DateFormat=P","Fill=—","Direction=H","UseDPDF=Y")</f>
        <v>7.8339999999999996</v>
      </c>
      <c r="V6" s="19">
        <f>_xll.BDH("BLUE US Equity","SALES_REV_TURN","FQ1 2024","FQ1 2024","Currency=USD","Period=FQ","BEST_FPERIOD_OVERRIDE=FQ","FILING_STATUS=MR","SCALING_FORMAT=MLN","FA_ADJUSTED=Adjusted","Sort=A","Dates=H","DateFormat=P","Fill=—","Direction=H","UseDPDF=Y")</f>
        <v>18.573</v>
      </c>
      <c r="W6" s="19">
        <f>_xll.BDH("BLUE US Equity","SALES_REV_TURN","FQ2 2024","FQ2 2024","Currency=USD","Period=FQ","BEST_FPERIOD_OVERRIDE=FQ","FILING_STATUS=MR","SCALING_FORMAT=MLN","FA_ADJUSTED=Adjusted","Sort=A","Dates=H","DateFormat=P","Fill=—","Direction=H","UseDPDF=Y")</f>
        <v>16.100999999999999</v>
      </c>
      <c r="X6" s="19">
        <f>_xll.BDH("BLUE US Equity","SALES_REV_TURN","FQ3 2024","FQ3 2024","Currency=USD","Period=FQ","BEST_FPERIOD_OVERRIDE=FQ","FILING_STATUS=MR","SCALING_FORMAT=MLN","FA_ADJUSTED=Adjusted","Sort=A","Dates=H","DateFormat=P","Fill=—","Direction=H","UseDPDF=Y")</f>
        <v>10.612</v>
      </c>
      <c r="Y6" s="19">
        <f>_xll.BDH("BLUE US Equity","SALES_REV_TURN","FQ4 2024","FQ4 2024","Currency=USD","Period=FQ","BEST_FPERIOD_OVERRIDE=FQ","FILING_STATUS=MR","SCALING_FORMAT=MLN","FA_ADJUSTED=Adjusted","Sort=A","Dates=H","DateFormat=P","Fill=—","Direction=H","UseDPDF=Y")</f>
        <v>38.521000000000001</v>
      </c>
      <c r="Z6" s="19">
        <v>36.517000000000003</v>
      </c>
      <c r="AA6" s="19">
        <v>57.783000000000001</v>
      </c>
    </row>
    <row r="7" spans="1:27" x14ac:dyDescent="0.25">
      <c r="A7" s="10" t="s">
        <v>276</v>
      </c>
      <c r="B7" s="10" t="s">
        <v>277</v>
      </c>
      <c r="C7" s="13" t="s">
        <v>76</v>
      </c>
      <c r="D7" s="13" t="s">
        <v>76</v>
      </c>
      <c r="E7" s="13" t="s">
        <v>76</v>
      </c>
      <c r="F7" s="13">
        <v>76.993093354068506</v>
      </c>
      <c r="G7" s="13">
        <v>39.397154205842398</v>
      </c>
      <c r="H7" s="13">
        <v>69.278264930213297</v>
      </c>
      <c r="I7" s="13" t="s">
        <v>76</v>
      </c>
      <c r="J7" s="13">
        <v>80.984340044742694</v>
      </c>
      <c r="K7" s="13">
        <v>71.118843683083497</v>
      </c>
      <c r="L7" s="13">
        <v>75.368007850834204</v>
      </c>
      <c r="M7" s="13">
        <v>84.557907845579095</v>
      </c>
      <c r="N7" s="13">
        <v>72.390745501285295</v>
      </c>
      <c r="O7" s="13">
        <v>87.623436471362695</v>
      </c>
      <c r="P7" s="13">
        <v>0</v>
      </c>
      <c r="Q7" s="13">
        <v>0</v>
      </c>
      <c r="R7" s="13">
        <v>96.430071398571997</v>
      </c>
      <c r="S7" s="13">
        <v>99.230769230769198</v>
      </c>
      <c r="T7" s="13">
        <v>99.104260813427999</v>
      </c>
      <c r="U7" s="13">
        <v>97.664028593311201</v>
      </c>
      <c r="V7" s="13">
        <v>99.935390082377594</v>
      </c>
      <c r="W7" s="13">
        <v>100</v>
      </c>
      <c r="X7" s="13">
        <v>100</v>
      </c>
      <c r="Y7" s="13">
        <v>100</v>
      </c>
      <c r="Z7" s="13"/>
      <c r="AA7" s="13"/>
    </row>
    <row r="8" spans="1:27" x14ac:dyDescent="0.25">
      <c r="A8" s="10" t="s">
        <v>278</v>
      </c>
      <c r="B8" s="10" t="s">
        <v>279</v>
      </c>
      <c r="C8" s="13">
        <v>100</v>
      </c>
      <c r="D8" s="13">
        <v>100</v>
      </c>
      <c r="E8" s="13">
        <v>100</v>
      </c>
      <c r="F8" s="13">
        <v>23.006906645931501</v>
      </c>
      <c r="G8" s="13">
        <v>60.602845794157602</v>
      </c>
      <c r="H8" s="13">
        <v>30.7217350697867</v>
      </c>
      <c r="I8" s="13" t="s">
        <v>76</v>
      </c>
      <c r="J8" s="13">
        <v>19.015659955257298</v>
      </c>
      <c r="K8" s="13">
        <v>28.881156316916499</v>
      </c>
      <c r="L8" s="13">
        <v>24.6319921491659</v>
      </c>
      <c r="M8" s="13">
        <v>15.4420921544209</v>
      </c>
      <c r="N8" s="13">
        <v>27.609254498714701</v>
      </c>
      <c r="O8" s="13">
        <v>12.3765635286373</v>
      </c>
      <c r="P8" s="13">
        <v>100</v>
      </c>
      <c r="Q8" s="13">
        <v>100</v>
      </c>
      <c r="R8" s="13">
        <v>3.5699286014279701</v>
      </c>
      <c r="S8" s="13">
        <v>0.76923076923076905</v>
      </c>
      <c r="T8" s="13">
        <v>0.89573918657198204</v>
      </c>
      <c r="U8" s="13">
        <v>2.33597140668879</v>
      </c>
      <c r="V8" s="13">
        <v>6.4609917622355004E-2</v>
      </c>
      <c r="W8" s="13" t="s">
        <v>76</v>
      </c>
      <c r="X8" s="13" t="s">
        <v>76</v>
      </c>
      <c r="Y8" s="13" t="s">
        <v>76</v>
      </c>
      <c r="Z8" s="13"/>
      <c r="AA8" s="13"/>
    </row>
    <row r="9" spans="1:27" x14ac:dyDescent="0.25">
      <c r="A9" s="10" t="s">
        <v>280</v>
      </c>
      <c r="B9" s="10" t="s">
        <v>281</v>
      </c>
      <c r="C9" s="13" t="s">
        <v>76</v>
      </c>
      <c r="D9" s="13" t="s">
        <v>76</v>
      </c>
      <c r="E9" s="13" t="s">
        <v>76</v>
      </c>
      <c r="F9" s="13" t="s">
        <v>76</v>
      </c>
      <c r="G9" s="13" t="s">
        <v>76</v>
      </c>
      <c r="H9" s="13" t="s">
        <v>76</v>
      </c>
      <c r="I9" s="13" t="s">
        <v>76</v>
      </c>
      <c r="J9" s="13">
        <v>64.429530201342303</v>
      </c>
      <c r="K9" s="13" t="s">
        <v>76</v>
      </c>
      <c r="L9" s="13">
        <v>1902.3552502453399</v>
      </c>
      <c r="M9" s="13">
        <v>229.26525529265299</v>
      </c>
      <c r="N9" s="13">
        <v>427.24935732647799</v>
      </c>
      <c r="O9" s="13">
        <v>114.878209348255</v>
      </c>
      <c r="P9" s="13" t="s">
        <v>76</v>
      </c>
      <c r="Q9" s="13">
        <v>35.4838709677419</v>
      </c>
      <c r="R9" s="13">
        <v>231.4993700126</v>
      </c>
      <c r="S9" s="13">
        <v>97.198838896952097</v>
      </c>
      <c r="T9" s="13">
        <v>73.644286636539704</v>
      </c>
      <c r="U9" s="13">
        <v>122.951238192494</v>
      </c>
      <c r="V9" s="13">
        <v>139.25590911538299</v>
      </c>
      <c r="W9" s="13">
        <v>179.77765356189099</v>
      </c>
      <c r="X9" s="13">
        <v>111.015831134565</v>
      </c>
      <c r="Y9" s="13">
        <v>59.1599387347161</v>
      </c>
      <c r="Z9" s="13"/>
      <c r="AA9" s="13"/>
    </row>
    <row r="10" spans="1:27" x14ac:dyDescent="0.25">
      <c r="A10" s="10" t="s">
        <v>282</v>
      </c>
      <c r="B10" s="10" t="s">
        <v>283</v>
      </c>
      <c r="C10" s="13" t="s">
        <v>76</v>
      </c>
      <c r="D10" s="13" t="s">
        <v>76</v>
      </c>
      <c r="E10" s="13" t="s">
        <v>76</v>
      </c>
      <c r="F10" s="13" t="s">
        <v>76</v>
      </c>
      <c r="G10" s="13" t="s">
        <v>76</v>
      </c>
      <c r="H10" s="13" t="s">
        <v>76</v>
      </c>
      <c r="I10" s="13" t="s">
        <v>76</v>
      </c>
      <c r="J10" s="13">
        <v>64.429530201342303</v>
      </c>
      <c r="K10" s="13" t="s">
        <v>76</v>
      </c>
      <c r="L10" s="13">
        <v>1902.3552502453399</v>
      </c>
      <c r="M10" s="13">
        <v>229.26525529265299</v>
      </c>
      <c r="N10" s="13">
        <v>427.24935732647799</v>
      </c>
      <c r="O10" s="13">
        <v>114.878209348255</v>
      </c>
      <c r="P10" s="13" t="s">
        <v>76</v>
      </c>
      <c r="Q10" s="13">
        <v>35.4838709677419</v>
      </c>
      <c r="R10" s="13">
        <v>231.4993700126</v>
      </c>
      <c r="S10" s="13">
        <v>97.198838896952097</v>
      </c>
      <c r="T10" s="13">
        <v>73.644286636539704</v>
      </c>
      <c r="U10" s="13">
        <v>122.951238192494</v>
      </c>
      <c r="V10" s="13">
        <v>139.25590911538299</v>
      </c>
      <c r="W10" s="13">
        <v>179.77765356189099</v>
      </c>
      <c r="X10" s="13">
        <v>111.015831134565</v>
      </c>
      <c r="Y10" s="13">
        <v>59.1599387347161</v>
      </c>
      <c r="Z10" s="13"/>
      <c r="AA10" s="13"/>
    </row>
    <row r="11" spans="1:27" x14ac:dyDescent="0.25">
      <c r="A11" s="6" t="s">
        <v>2</v>
      </c>
      <c r="B11" s="6" t="s">
        <v>74</v>
      </c>
      <c r="C11" s="19" t="s">
        <v>76</v>
      </c>
      <c r="D11" s="19" t="s">
        <v>76</v>
      </c>
      <c r="E11" s="19" t="s">
        <v>76</v>
      </c>
      <c r="F11" s="19" t="s">
        <v>76</v>
      </c>
      <c r="G11" s="19" t="s">
        <v>76</v>
      </c>
      <c r="H11" s="19" t="s">
        <v>76</v>
      </c>
      <c r="I11" s="19" t="s">
        <v>76</v>
      </c>
      <c r="J11" s="19">
        <v>35.570469798657697</v>
      </c>
      <c r="K11" s="19" t="s">
        <v>76</v>
      </c>
      <c r="L11" s="19">
        <v>-1802.3552502453399</v>
      </c>
      <c r="M11" s="19">
        <v>-129.26525529265299</v>
      </c>
      <c r="N11" s="19">
        <v>-327.24935732647799</v>
      </c>
      <c r="O11" s="19">
        <v>-14.8782093482554</v>
      </c>
      <c r="P11" s="19" t="s">
        <v>76</v>
      </c>
      <c r="Q11" s="19">
        <v>64.516129032258107</v>
      </c>
      <c r="R11" s="19">
        <v>-131.4993700126</v>
      </c>
      <c r="S11" s="19">
        <v>2.8011611030479</v>
      </c>
      <c r="T11" s="19">
        <v>26.3557133634603</v>
      </c>
      <c r="U11" s="19">
        <v>-22.951238192494301</v>
      </c>
      <c r="V11" s="19">
        <v>-39.2559091153826</v>
      </c>
      <c r="W11" s="19">
        <v>-79.777653561890602</v>
      </c>
      <c r="X11" s="19">
        <v>-11.0158311345646</v>
      </c>
      <c r="Y11" s="19">
        <v>40.8400612652839</v>
      </c>
      <c r="Z11" s="19"/>
      <c r="AA11" s="19"/>
    </row>
    <row r="12" spans="1:27" x14ac:dyDescent="0.25">
      <c r="A12" s="10" t="s">
        <v>284</v>
      </c>
      <c r="B12" s="10" t="s">
        <v>285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 t="s">
        <v>76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/>
    </row>
    <row r="13" spans="1:27" x14ac:dyDescent="0.25">
      <c r="A13" s="10" t="s">
        <v>286</v>
      </c>
      <c r="B13" s="10" t="s">
        <v>287</v>
      </c>
      <c r="C13" s="13">
        <v>1622.92418772563</v>
      </c>
      <c r="D13" s="13">
        <v>2452.5701459034799</v>
      </c>
      <c r="E13" s="13">
        <v>2391.67750325098</v>
      </c>
      <c r="F13" s="13">
        <v>1044.6690756071901</v>
      </c>
      <c r="G13" s="13">
        <v>113.87701744683</v>
      </c>
      <c r="H13" s="13">
        <v>1088.54355834587</v>
      </c>
      <c r="I13" s="13" t="s">
        <v>76</v>
      </c>
      <c r="J13" s="13">
        <v>19509.5078299776</v>
      </c>
      <c r="K13" s="13">
        <v>3322.5776231263399</v>
      </c>
      <c r="L13" s="13">
        <v>11374.6810598626</v>
      </c>
      <c r="M13" s="13">
        <v>8260.7098381070991</v>
      </c>
      <c r="N13" s="13">
        <v>5731.2596401028304</v>
      </c>
      <c r="O13" s="13">
        <v>6577.2218564845298</v>
      </c>
      <c r="P13" s="13">
        <v>121902.816901408</v>
      </c>
      <c r="Q13" s="13">
        <v>69085.483870967699</v>
      </c>
      <c r="R13" s="13">
        <v>3320.2015959680798</v>
      </c>
      <c r="S13" s="13">
        <v>1043.68650217707</v>
      </c>
      <c r="T13" s="13">
        <v>801.09748224661098</v>
      </c>
      <c r="U13" s="13">
        <v>1032.3589481746201</v>
      </c>
      <c r="V13" s="13">
        <v>384.43439401281398</v>
      </c>
      <c r="W13" s="13">
        <v>469.20688156015098</v>
      </c>
      <c r="X13" s="13">
        <v>593.09272521673597</v>
      </c>
      <c r="Y13" s="13">
        <v>135.61174424340001</v>
      </c>
      <c r="Z13" s="13"/>
      <c r="AA13" s="13"/>
    </row>
    <row r="14" spans="1:27" x14ac:dyDescent="0.25">
      <c r="A14" s="10" t="s">
        <v>288</v>
      </c>
      <c r="B14" s="10" t="s">
        <v>289</v>
      </c>
      <c r="C14" s="13">
        <v>516.17779783393496</v>
      </c>
      <c r="D14" s="13">
        <v>743.54657687991005</v>
      </c>
      <c r="E14" s="13">
        <v>762.24867460238102</v>
      </c>
      <c r="F14" s="13">
        <v>335.03178886703603</v>
      </c>
      <c r="G14" s="13">
        <v>34.505505555834901</v>
      </c>
      <c r="H14" s="13">
        <v>353.06387173766399</v>
      </c>
      <c r="I14" s="13" t="s">
        <v>76</v>
      </c>
      <c r="J14" s="13">
        <v>7110.6263982102901</v>
      </c>
      <c r="K14" s="13">
        <v>1051.60599571734</v>
      </c>
      <c r="L14" s="13">
        <v>4144.1609421001003</v>
      </c>
      <c r="M14" s="13">
        <v>3312.9514321295101</v>
      </c>
      <c r="N14" s="13">
        <v>1856.3496143958901</v>
      </c>
      <c r="O14" s="13">
        <v>2415.6682027649799</v>
      </c>
      <c r="P14" s="13">
        <v>47045.070422535202</v>
      </c>
      <c r="Q14" s="13">
        <v>55038.7096774194</v>
      </c>
      <c r="R14" s="13">
        <v>1573.58252834943</v>
      </c>
      <c r="S14" s="13">
        <v>587.25689404934701</v>
      </c>
      <c r="T14" s="13">
        <v>329.01065203357001</v>
      </c>
      <c r="U14" s="13">
        <v>601.27648710747997</v>
      </c>
      <c r="V14" s="13">
        <v>249.442739460507</v>
      </c>
      <c r="W14" s="13">
        <v>312.93087385876697</v>
      </c>
      <c r="X14" s="13">
        <v>374.71730116848897</v>
      </c>
      <c r="Y14" s="13">
        <v>81.500999454842798</v>
      </c>
      <c r="Z14" s="13"/>
      <c r="AA14" s="13"/>
    </row>
    <row r="15" spans="1:27" x14ac:dyDescent="0.25">
      <c r="A15" s="11" t="s">
        <v>290</v>
      </c>
      <c r="B15" s="11" t="s">
        <v>291</v>
      </c>
      <c r="C15" s="25">
        <v>516.17779783393496</v>
      </c>
      <c r="D15" s="25">
        <v>743.54657687991005</v>
      </c>
      <c r="E15" s="25" t="s">
        <v>76</v>
      </c>
      <c r="F15" s="25" t="s">
        <v>76</v>
      </c>
      <c r="G15" s="25" t="s">
        <v>76</v>
      </c>
      <c r="H15" s="25" t="s">
        <v>76</v>
      </c>
      <c r="I15" s="25" t="s">
        <v>76</v>
      </c>
      <c r="J15" s="25" t="s">
        <v>76</v>
      </c>
      <c r="K15" s="25" t="s">
        <v>76</v>
      </c>
      <c r="L15" s="25" t="s">
        <v>76</v>
      </c>
      <c r="M15" s="25" t="s">
        <v>76</v>
      </c>
      <c r="N15" s="25" t="s">
        <v>76</v>
      </c>
      <c r="O15" s="25" t="s">
        <v>76</v>
      </c>
      <c r="P15" s="25" t="s">
        <v>76</v>
      </c>
      <c r="Q15" s="25" t="s">
        <v>76</v>
      </c>
      <c r="R15" s="25" t="s">
        <v>76</v>
      </c>
      <c r="S15" s="25" t="s">
        <v>76</v>
      </c>
      <c r="T15" s="25" t="s">
        <v>76</v>
      </c>
      <c r="U15" s="25" t="s">
        <v>76</v>
      </c>
      <c r="V15" s="25" t="s">
        <v>76</v>
      </c>
      <c r="W15" s="25" t="s">
        <v>76</v>
      </c>
      <c r="X15" s="25" t="s">
        <v>76</v>
      </c>
      <c r="Y15" s="25" t="s">
        <v>76</v>
      </c>
      <c r="Z15" s="25"/>
      <c r="AA15" s="25"/>
    </row>
    <row r="16" spans="1:27" x14ac:dyDescent="0.25">
      <c r="A16" s="10" t="s">
        <v>292</v>
      </c>
      <c r="B16" s="10" t="s">
        <v>293</v>
      </c>
      <c r="C16" s="13">
        <v>1102.1359807460899</v>
      </c>
      <c r="D16" s="13">
        <v>1699.34904601571</v>
      </c>
      <c r="E16" s="13">
        <v>1618.6956086826001</v>
      </c>
      <c r="F16" s="13">
        <v>704.94900059461202</v>
      </c>
      <c r="G16" s="13">
        <v>78.590175473879995</v>
      </c>
      <c r="H16" s="13">
        <v>728.64110413531898</v>
      </c>
      <c r="I16" s="13" t="s">
        <v>76</v>
      </c>
      <c r="J16" s="13">
        <v>9266.5548098433992</v>
      </c>
      <c r="K16" s="13">
        <v>1931.41059957173</v>
      </c>
      <c r="L16" s="13">
        <v>7230.5201177625104</v>
      </c>
      <c r="M16" s="13">
        <v>4942.96388542964</v>
      </c>
      <c r="N16" s="13">
        <v>4003.85604113111</v>
      </c>
      <c r="O16" s="13">
        <v>4202.83080974325</v>
      </c>
      <c r="P16" s="13">
        <v>74857.746478873203</v>
      </c>
      <c r="Q16" s="13">
        <v>8990.3225806451592</v>
      </c>
      <c r="R16" s="13">
        <v>1746.61906761865</v>
      </c>
      <c r="S16" s="13">
        <v>456.429608127721</v>
      </c>
      <c r="T16" s="13">
        <v>472.08683021304103</v>
      </c>
      <c r="U16" s="13">
        <v>431.08246106714302</v>
      </c>
      <c r="V16" s="13">
        <v>134.99165455230701</v>
      </c>
      <c r="W16" s="13">
        <v>156.276007701385</v>
      </c>
      <c r="X16" s="13">
        <v>218.375424048247</v>
      </c>
      <c r="Y16" s="13">
        <v>54.1107447885569</v>
      </c>
      <c r="Z16" s="13"/>
      <c r="AA16" s="13"/>
    </row>
    <row r="17" spans="1:27" x14ac:dyDescent="0.25">
      <c r="A17" s="10" t="s">
        <v>294</v>
      </c>
      <c r="B17" s="10" t="s">
        <v>295</v>
      </c>
      <c r="C17" s="13">
        <v>4.6104091456076999</v>
      </c>
      <c r="D17" s="13">
        <v>9.6745230078563402</v>
      </c>
      <c r="E17" s="13">
        <v>10.7332199659898</v>
      </c>
      <c r="F17" s="13">
        <v>4.6882861455427003</v>
      </c>
      <c r="G17" s="13">
        <v>0.78133641711498802</v>
      </c>
      <c r="H17" s="13">
        <v>6.8385824728895299</v>
      </c>
      <c r="I17" s="13" t="s">
        <v>76</v>
      </c>
      <c r="J17" s="13">
        <v>3132.3266219239399</v>
      </c>
      <c r="K17" s="13">
        <v>339.56102783725902</v>
      </c>
      <c r="L17" s="13">
        <v>0</v>
      </c>
      <c r="M17" s="13">
        <v>4.7945205479452104</v>
      </c>
      <c r="N17" s="13">
        <v>-128.94601542416501</v>
      </c>
      <c r="O17" s="13">
        <v>-41.277156023699803</v>
      </c>
      <c r="P17" s="13">
        <v>0</v>
      </c>
      <c r="Q17" s="13">
        <v>5056.4516129032299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/>
      <c r="AA17" s="13"/>
    </row>
    <row r="18" spans="1:27" x14ac:dyDescent="0.25">
      <c r="A18" s="6" t="s">
        <v>296</v>
      </c>
      <c r="B18" s="6" t="s">
        <v>99</v>
      </c>
      <c r="C18" s="19">
        <v>-1522.92418772563</v>
      </c>
      <c r="D18" s="19">
        <v>-2352.5701459034799</v>
      </c>
      <c r="E18" s="19">
        <v>-2291.6775032509699</v>
      </c>
      <c r="F18" s="19">
        <v>-944.66907560719005</v>
      </c>
      <c r="G18" s="19">
        <v>-13.8770174468299</v>
      </c>
      <c r="H18" s="19">
        <v>-988.54355834587204</v>
      </c>
      <c r="I18" s="19" t="s">
        <v>76</v>
      </c>
      <c r="J18" s="19">
        <v>-19473.937360178999</v>
      </c>
      <c r="K18" s="19">
        <v>-3222.5776231263399</v>
      </c>
      <c r="L18" s="19">
        <v>-13177.036310108</v>
      </c>
      <c r="M18" s="19">
        <v>-8389.9750933997493</v>
      </c>
      <c r="N18" s="19">
        <v>-6058.5089974293096</v>
      </c>
      <c r="O18" s="19">
        <v>-6592.1000658327903</v>
      </c>
      <c r="P18" s="19">
        <v>-121802.816901408</v>
      </c>
      <c r="Q18" s="19">
        <v>-69020.967741935499</v>
      </c>
      <c r="R18" s="19">
        <v>-3451.7009659806799</v>
      </c>
      <c r="S18" s="19">
        <v>-1040.8853410740201</v>
      </c>
      <c r="T18" s="19">
        <v>-774.74176888315003</v>
      </c>
      <c r="U18" s="19">
        <v>-1055.31018636712</v>
      </c>
      <c r="V18" s="19">
        <v>-423.690303128197</v>
      </c>
      <c r="W18" s="19">
        <v>-548.98453512204196</v>
      </c>
      <c r="X18" s="19">
        <v>-604.10855635129997</v>
      </c>
      <c r="Y18" s="19">
        <v>-94.771682978115805</v>
      </c>
      <c r="Z18" s="19">
        <v>-122.455294794205</v>
      </c>
      <c r="AA18" s="19">
        <v>-42.515964903172197</v>
      </c>
    </row>
    <row r="19" spans="1:27" x14ac:dyDescent="0.25">
      <c r="A19" s="10" t="s">
        <v>297</v>
      </c>
      <c r="B19" s="10" t="s">
        <v>298</v>
      </c>
      <c r="C19" s="13">
        <v>-48.518351383874801</v>
      </c>
      <c r="D19" s="13">
        <v>-46.2289562289562</v>
      </c>
      <c r="E19" s="13">
        <v>-73.922176652995901</v>
      </c>
      <c r="F19" s="13">
        <v>-4.1531354342953897</v>
      </c>
      <c r="G19" s="13">
        <v>-2.2575292875458799</v>
      </c>
      <c r="H19" s="13">
        <v>24.5005966896695</v>
      </c>
      <c r="I19" s="13" t="s">
        <v>76</v>
      </c>
      <c r="J19" s="13">
        <v>-2757.9418344518999</v>
      </c>
      <c r="K19" s="13">
        <v>8.6723768736616709</v>
      </c>
      <c r="L19" s="13">
        <v>2675.4661432777202</v>
      </c>
      <c r="M19" s="13">
        <v>-213.511830635118</v>
      </c>
      <c r="N19" s="13">
        <v>92.853470437018004</v>
      </c>
      <c r="O19" s="13">
        <v>-478.077682685978</v>
      </c>
      <c r="P19" s="13">
        <v>-16060.563380281699</v>
      </c>
      <c r="Q19" s="13">
        <v>-5001.6129032258104</v>
      </c>
      <c r="R19" s="13">
        <v>-343.763124737505</v>
      </c>
      <c r="S19" s="13">
        <v>-128.41799709724199</v>
      </c>
      <c r="T19" s="13">
        <v>-70.803744351194297</v>
      </c>
      <c r="U19" s="13">
        <v>75.146796017360202</v>
      </c>
      <c r="V19" s="13">
        <v>-47.8544123189576</v>
      </c>
      <c r="W19" s="13">
        <v>-43.599776411402999</v>
      </c>
      <c r="X19" s="13">
        <v>-57.039200904636303</v>
      </c>
      <c r="Y19" s="13">
        <v>-20.391474779990101</v>
      </c>
      <c r="Z19" s="13"/>
      <c r="AA19" s="13"/>
    </row>
    <row r="20" spans="1:27" x14ac:dyDescent="0.25">
      <c r="A20" s="10" t="s">
        <v>299</v>
      </c>
      <c r="B20" s="10" t="s">
        <v>300</v>
      </c>
      <c r="C20" s="13">
        <v>-70.600180505415196</v>
      </c>
      <c r="D20" s="13">
        <v>-94.466891133557795</v>
      </c>
      <c r="E20" s="13">
        <v>-68.570571171351403</v>
      </c>
      <c r="F20" s="13">
        <v>-24.493436399396199</v>
      </c>
      <c r="G20" s="13">
        <v>-1.4777012418925</v>
      </c>
      <c r="H20" s="13">
        <v>-10.1904218336533</v>
      </c>
      <c r="I20" s="13" t="s">
        <v>76</v>
      </c>
      <c r="J20" s="13">
        <v>-39.709172259507802</v>
      </c>
      <c r="K20" s="13">
        <v>-5.8752676659528902</v>
      </c>
      <c r="L20" s="13">
        <v>-15.701668302257101</v>
      </c>
      <c r="M20" s="13">
        <v>-9.0909090909090899</v>
      </c>
      <c r="N20" s="13">
        <v>-5.4498714652956304</v>
      </c>
      <c r="O20" s="13">
        <v>-11.454904542462099</v>
      </c>
      <c r="P20" s="13">
        <v>-539.43661971831</v>
      </c>
      <c r="Q20" s="13">
        <v>9601.6129032258104</v>
      </c>
      <c r="R20" s="13">
        <v>60.562788744225102</v>
      </c>
      <c r="S20" s="13">
        <v>15.544267053701001</v>
      </c>
      <c r="T20" s="13">
        <v>14.985474499677199</v>
      </c>
      <c r="U20" s="13">
        <v>184.350268062293</v>
      </c>
      <c r="V20" s="13">
        <v>12.2597318688419</v>
      </c>
      <c r="W20" s="13">
        <v>16.247438047326298</v>
      </c>
      <c r="X20" s="13">
        <v>38.993592159819102</v>
      </c>
      <c r="Y20" s="13">
        <v>13.836608603099601</v>
      </c>
      <c r="Z20" s="13"/>
      <c r="AA20" s="13"/>
    </row>
    <row r="21" spans="1:27" x14ac:dyDescent="0.25">
      <c r="A21" s="11" t="s">
        <v>301</v>
      </c>
      <c r="B21" s="11" t="s">
        <v>302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 t="s">
        <v>76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10196.774193548399</v>
      </c>
      <c r="R21" s="25">
        <v>179.33641327173501</v>
      </c>
      <c r="S21" s="25">
        <v>54.426705370101601</v>
      </c>
      <c r="T21" s="25">
        <v>34.7885732730794</v>
      </c>
      <c r="U21" s="25">
        <v>208.74393668623901</v>
      </c>
      <c r="V21" s="25">
        <v>26.145479997846302</v>
      </c>
      <c r="W21" s="25">
        <v>33.867461648344801</v>
      </c>
      <c r="X21" s="25">
        <v>54.447794949114197</v>
      </c>
      <c r="Y21" s="25">
        <v>16.853145037771601</v>
      </c>
      <c r="Z21" s="25"/>
      <c r="AA21" s="25"/>
    </row>
    <row r="22" spans="1:27" x14ac:dyDescent="0.25">
      <c r="A22" s="11" t="s">
        <v>303</v>
      </c>
      <c r="B22" s="11" t="s">
        <v>304</v>
      </c>
      <c r="C22" s="25">
        <v>70.600180505415196</v>
      </c>
      <c r="D22" s="25">
        <v>94.466891133557795</v>
      </c>
      <c r="E22" s="25">
        <v>68.570571171351403</v>
      </c>
      <c r="F22" s="25">
        <v>24.493436399396199</v>
      </c>
      <c r="G22" s="25">
        <v>1.4777012418925</v>
      </c>
      <c r="H22" s="25">
        <v>10.1904218336533</v>
      </c>
      <c r="I22" s="25" t="s">
        <v>76</v>
      </c>
      <c r="J22" s="25">
        <v>39.709172259507802</v>
      </c>
      <c r="K22" s="25">
        <v>5.8752676659528902</v>
      </c>
      <c r="L22" s="25">
        <v>15.701668302257101</v>
      </c>
      <c r="M22" s="25">
        <v>9.0909090909090899</v>
      </c>
      <c r="N22" s="25">
        <v>5.4498714652956304</v>
      </c>
      <c r="O22" s="25">
        <v>11.454904542462099</v>
      </c>
      <c r="P22" s="25">
        <v>539.43661971831</v>
      </c>
      <c r="Q22" s="25">
        <v>595.16129032258095</v>
      </c>
      <c r="R22" s="25">
        <v>118.773624527509</v>
      </c>
      <c r="S22" s="25">
        <v>38.882438316400602</v>
      </c>
      <c r="T22" s="25">
        <v>19.803098773402201</v>
      </c>
      <c r="U22" s="25">
        <v>24.393668623946901</v>
      </c>
      <c r="V22" s="25">
        <v>13.885748129004501</v>
      </c>
      <c r="W22" s="25">
        <v>17.620023601018602</v>
      </c>
      <c r="X22" s="25">
        <v>15.454202789295101</v>
      </c>
      <c r="Y22" s="25">
        <v>3.0165364346720001</v>
      </c>
      <c r="Z22" s="25"/>
      <c r="AA22" s="25"/>
    </row>
    <row r="23" spans="1:27" x14ac:dyDescent="0.25">
      <c r="A23" s="10" t="s">
        <v>305</v>
      </c>
      <c r="B23" s="10" t="s">
        <v>306</v>
      </c>
      <c r="C23" s="13">
        <v>22.081829121540299</v>
      </c>
      <c r="D23" s="13">
        <v>48.237934904601602</v>
      </c>
      <c r="E23" s="13">
        <v>-5.3516054816444898</v>
      </c>
      <c r="F23" s="13">
        <v>20.340300965100901</v>
      </c>
      <c r="G23" s="13">
        <v>-0.77982804565337605</v>
      </c>
      <c r="H23" s="13">
        <v>34.691018523322803</v>
      </c>
      <c r="I23" s="13" t="s">
        <v>76</v>
      </c>
      <c r="J23" s="13">
        <v>-2718.2326621923899</v>
      </c>
      <c r="K23" s="13">
        <v>14.5476445396146</v>
      </c>
      <c r="L23" s="13">
        <v>2691.16781157998</v>
      </c>
      <c r="M23" s="13">
        <v>-204.42092154420899</v>
      </c>
      <c r="N23" s="13">
        <v>98.303341902313605</v>
      </c>
      <c r="O23" s="13">
        <v>-466.62277814351597</v>
      </c>
      <c r="P23" s="13">
        <v>-15521.1267605634</v>
      </c>
      <c r="Q23" s="13">
        <v>-14603.225806451601</v>
      </c>
      <c r="R23" s="13">
        <v>-404.32591348173003</v>
      </c>
      <c r="S23" s="13">
        <v>-143.96226415094301</v>
      </c>
      <c r="T23" s="13">
        <v>-85.789218850871507</v>
      </c>
      <c r="U23" s="13">
        <v>-109.203472044932</v>
      </c>
      <c r="V23" s="13">
        <v>-60.114144187799504</v>
      </c>
      <c r="W23" s="13">
        <v>-59.847214458729297</v>
      </c>
      <c r="X23" s="13">
        <v>-96.032793064455305</v>
      </c>
      <c r="Y23" s="13">
        <v>-34.228083383089697</v>
      </c>
      <c r="Z23" s="13"/>
      <c r="AA23" s="13"/>
    </row>
    <row r="24" spans="1:27" x14ac:dyDescent="0.25">
      <c r="A24" s="6" t="s">
        <v>307</v>
      </c>
      <c r="B24" s="6" t="s">
        <v>157</v>
      </c>
      <c r="C24" s="19">
        <v>-1474.4058363417601</v>
      </c>
      <c r="D24" s="19">
        <v>-2306.3411896745201</v>
      </c>
      <c r="E24" s="19">
        <v>-2217.75532659798</v>
      </c>
      <c r="F24" s="19">
        <v>-940.51594017289494</v>
      </c>
      <c r="G24" s="19">
        <v>-11.619488159284</v>
      </c>
      <c r="H24" s="19">
        <v>-1013.04415503554</v>
      </c>
      <c r="I24" s="19" t="s">
        <v>76</v>
      </c>
      <c r="J24" s="19">
        <v>-16715.995525727099</v>
      </c>
      <c r="K24" s="19">
        <v>-3231.25</v>
      </c>
      <c r="L24" s="19">
        <v>-15852.502453385699</v>
      </c>
      <c r="M24" s="19">
        <v>-8176.4632627646297</v>
      </c>
      <c r="N24" s="19">
        <v>-6151.36246786632</v>
      </c>
      <c r="O24" s="19">
        <v>-6114.0223831468102</v>
      </c>
      <c r="P24" s="19">
        <v>-105742.253521127</v>
      </c>
      <c r="Q24" s="19">
        <v>-64019.354838709703</v>
      </c>
      <c r="R24" s="19">
        <v>-3107.9378412431802</v>
      </c>
      <c r="S24" s="19">
        <v>-912.46734397677801</v>
      </c>
      <c r="T24" s="19">
        <v>-703.93802453195599</v>
      </c>
      <c r="U24" s="19">
        <v>-1130.4569823844799</v>
      </c>
      <c r="V24" s="19">
        <v>-375.835890809239</v>
      </c>
      <c r="W24" s="19">
        <v>-505.38475871063901</v>
      </c>
      <c r="X24" s="19">
        <v>-547.06935544666396</v>
      </c>
      <c r="Y24" s="19">
        <v>-74.3802081981257</v>
      </c>
      <c r="Z24" s="19">
        <v>-115.507845660925</v>
      </c>
      <c r="AA24" s="19">
        <v>-31.4729245625876</v>
      </c>
    </row>
    <row r="25" spans="1:27" x14ac:dyDescent="0.25">
      <c r="A25" s="10" t="s">
        <v>308</v>
      </c>
      <c r="B25" s="10" t="s">
        <v>309</v>
      </c>
      <c r="C25" s="13">
        <v>1.60950661853189</v>
      </c>
      <c r="D25" s="13">
        <v>9.0011223344556708</v>
      </c>
      <c r="E25" s="13">
        <v>14.3543062918876</v>
      </c>
      <c r="F25" s="13">
        <v>-14.215798380826101</v>
      </c>
      <c r="G25" s="13">
        <v>-0.83211825632259095</v>
      </c>
      <c r="H25" s="13">
        <v>-4.2961656202978302</v>
      </c>
      <c r="I25" s="13" t="s">
        <v>76</v>
      </c>
      <c r="J25" s="13">
        <v>-3132.3266219239399</v>
      </c>
      <c r="K25" s="13">
        <v>0.62901498929336197</v>
      </c>
      <c r="L25" s="13">
        <v>-842.98331697742901</v>
      </c>
      <c r="M25" s="13">
        <v>57.5342465753425</v>
      </c>
      <c r="N25" s="13">
        <v>128.94601542416501</v>
      </c>
      <c r="O25" s="13">
        <v>478.34101382488501</v>
      </c>
      <c r="P25" s="13">
        <v>2022.5352112676101</v>
      </c>
      <c r="Q25" s="13">
        <v>-174629.03225806501</v>
      </c>
      <c r="R25" s="13">
        <v>-3902.98194036119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26.488880512627201</v>
      </c>
      <c r="Y25" s="13">
        <v>-0.12720334363074701</v>
      </c>
      <c r="Z25" s="13"/>
      <c r="AA25" s="13"/>
    </row>
    <row r="26" spans="1:27" x14ac:dyDescent="0.25">
      <c r="A26" s="10" t="s">
        <v>310</v>
      </c>
      <c r="B26" s="10" t="s">
        <v>311</v>
      </c>
      <c r="C26" s="13">
        <v>1.60950661853189</v>
      </c>
      <c r="D26" s="13">
        <v>9.0011223344556708</v>
      </c>
      <c r="E26" s="13">
        <v>14.3543062918876</v>
      </c>
      <c r="F26" s="13">
        <v>-14.215798380826101</v>
      </c>
      <c r="G26" s="13">
        <v>-0.83211825632259095</v>
      </c>
      <c r="H26" s="13">
        <v>-4.2961656202978302</v>
      </c>
      <c r="I26" s="13" t="s">
        <v>76</v>
      </c>
      <c r="J26" s="13">
        <v>41.275167785234899</v>
      </c>
      <c r="K26" s="13">
        <v>0.62901498929336197</v>
      </c>
      <c r="L26" s="13" t="s">
        <v>76</v>
      </c>
      <c r="M26" s="13">
        <v>-4.7945205479452104</v>
      </c>
      <c r="N26" s="13" t="s">
        <v>76</v>
      </c>
      <c r="O26" s="13" t="s">
        <v>76</v>
      </c>
      <c r="P26" s="13" t="s">
        <v>76</v>
      </c>
      <c r="Q26" s="13" t="s">
        <v>76</v>
      </c>
      <c r="R26" s="13" t="s">
        <v>76</v>
      </c>
      <c r="S26" s="13" t="s">
        <v>76</v>
      </c>
      <c r="T26" s="13" t="s">
        <v>76</v>
      </c>
      <c r="U26" s="13" t="s">
        <v>76</v>
      </c>
      <c r="V26" s="13" t="s">
        <v>76</v>
      </c>
      <c r="W26" s="13" t="s">
        <v>76</v>
      </c>
      <c r="X26" s="13" t="s">
        <v>76</v>
      </c>
      <c r="Y26" s="13" t="s">
        <v>76</v>
      </c>
      <c r="Z26" s="13"/>
      <c r="AA26" s="13"/>
    </row>
    <row r="27" spans="1:27" x14ac:dyDescent="0.25">
      <c r="A27" s="10" t="s">
        <v>312</v>
      </c>
      <c r="B27" s="10" t="s">
        <v>313</v>
      </c>
      <c r="C27" s="13" t="s">
        <v>76</v>
      </c>
      <c r="D27" s="13" t="s">
        <v>76</v>
      </c>
      <c r="E27" s="13" t="s">
        <v>76</v>
      </c>
      <c r="F27" s="13" t="s">
        <v>76</v>
      </c>
      <c r="G27" s="13" t="s">
        <v>76</v>
      </c>
      <c r="H27" s="13" t="s">
        <v>76</v>
      </c>
      <c r="I27" s="13" t="s">
        <v>76</v>
      </c>
      <c r="J27" s="13" t="s">
        <v>76</v>
      </c>
      <c r="K27" s="13" t="s">
        <v>76</v>
      </c>
      <c r="L27" s="13">
        <v>1979.88223748773</v>
      </c>
      <c r="M27" s="13">
        <v>62.328767123287697</v>
      </c>
      <c r="N27" s="13" t="s">
        <v>76</v>
      </c>
      <c r="O27" s="13">
        <v>437.06385780118501</v>
      </c>
      <c r="P27" s="13">
        <v>-2392.9577464788699</v>
      </c>
      <c r="Q27" s="13" t="s">
        <v>76</v>
      </c>
      <c r="R27" s="13" t="s">
        <v>76</v>
      </c>
      <c r="S27" s="13" t="s">
        <v>76</v>
      </c>
      <c r="T27" s="13" t="s">
        <v>76</v>
      </c>
      <c r="U27" s="13" t="s">
        <v>76</v>
      </c>
      <c r="V27" s="13" t="s">
        <v>76</v>
      </c>
      <c r="W27" s="13" t="s">
        <v>76</v>
      </c>
      <c r="X27" s="13">
        <v>26.488880512627201</v>
      </c>
      <c r="Y27" s="13">
        <v>-0.12720334363074701</v>
      </c>
      <c r="Z27" s="13"/>
      <c r="AA27" s="13"/>
    </row>
    <row r="28" spans="1:27" x14ac:dyDescent="0.25">
      <c r="A28" s="10" t="s">
        <v>314</v>
      </c>
      <c r="B28" s="10" t="s">
        <v>315</v>
      </c>
      <c r="C28" s="13" t="s">
        <v>76</v>
      </c>
      <c r="D28" s="13" t="s">
        <v>76</v>
      </c>
      <c r="E28" s="13" t="s">
        <v>76</v>
      </c>
      <c r="F28" s="13" t="s">
        <v>76</v>
      </c>
      <c r="G28" s="13" t="s">
        <v>76</v>
      </c>
      <c r="H28" s="13" t="s">
        <v>76</v>
      </c>
      <c r="I28" s="13" t="s">
        <v>76</v>
      </c>
      <c r="J28" s="13">
        <v>-3173.6017897091701</v>
      </c>
      <c r="K28" s="13" t="s">
        <v>76</v>
      </c>
      <c r="L28" s="13">
        <v>-2822.8655544651601</v>
      </c>
      <c r="M28" s="13" t="s">
        <v>76</v>
      </c>
      <c r="N28" s="13">
        <v>128.94601542416501</v>
      </c>
      <c r="O28" s="13">
        <v>41.277156023699803</v>
      </c>
      <c r="P28" s="13">
        <v>4415.49295774648</v>
      </c>
      <c r="Q28" s="13">
        <v>-10112.9032258065</v>
      </c>
      <c r="R28" s="13" t="s">
        <v>76</v>
      </c>
      <c r="S28" s="13" t="s">
        <v>76</v>
      </c>
      <c r="T28" s="13" t="s">
        <v>76</v>
      </c>
      <c r="U28" s="13" t="s">
        <v>76</v>
      </c>
      <c r="V28" s="13" t="s">
        <v>76</v>
      </c>
      <c r="W28" s="13" t="s">
        <v>76</v>
      </c>
      <c r="X28" s="13" t="s">
        <v>76</v>
      </c>
      <c r="Y28" s="13" t="s">
        <v>76</v>
      </c>
      <c r="Z28" s="13"/>
      <c r="AA28" s="13"/>
    </row>
    <row r="29" spans="1:27" x14ac:dyDescent="0.25">
      <c r="A29" s="10" t="s">
        <v>316</v>
      </c>
      <c r="B29" s="10" t="s">
        <v>317</v>
      </c>
      <c r="C29" s="13" t="s">
        <v>76</v>
      </c>
      <c r="D29" s="13" t="s">
        <v>76</v>
      </c>
      <c r="E29" s="13" t="s">
        <v>76</v>
      </c>
      <c r="F29" s="13" t="s">
        <v>76</v>
      </c>
      <c r="G29" s="13" t="s">
        <v>76</v>
      </c>
      <c r="H29" s="13" t="s">
        <v>76</v>
      </c>
      <c r="I29" s="13" t="s">
        <v>76</v>
      </c>
      <c r="J29" s="13" t="s">
        <v>76</v>
      </c>
      <c r="K29" s="13" t="s">
        <v>76</v>
      </c>
      <c r="L29" s="13" t="s">
        <v>76</v>
      </c>
      <c r="M29" s="13" t="s">
        <v>76</v>
      </c>
      <c r="N29" s="13" t="s">
        <v>76</v>
      </c>
      <c r="O29" s="13" t="s">
        <v>76</v>
      </c>
      <c r="P29" s="13" t="s">
        <v>76</v>
      </c>
      <c r="Q29" s="13">
        <v>-164516.129032258</v>
      </c>
      <c r="R29" s="13">
        <v>-3902.98194036119</v>
      </c>
      <c r="S29" s="13" t="s">
        <v>76</v>
      </c>
      <c r="T29" s="13" t="s">
        <v>76</v>
      </c>
      <c r="U29" s="13" t="s">
        <v>76</v>
      </c>
      <c r="V29" s="13" t="s">
        <v>76</v>
      </c>
      <c r="W29" s="13" t="s">
        <v>76</v>
      </c>
      <c r="X29" s="13" t="s">
        <v>76</v>
      </c>
      <c r="Y29" s="13" t="s">
        <v>76</v>
      </c>
      <c r="Z29" s="13"/>
      <c r="AA29" s="13"/>
    </row>
    <row r="30" spans="1:27" x14ac:dyDescent="0.25">
      <c r="A30" s="6" t="s">
        <v>318</v>
      </c>
      <c r="B30" s="6" t="s">
        <v>157</v>
      </c>
      <c r="C30" s="19">
        <v>-1476.0153429602899</v>
      </c>
      <c r="D30" s="19">
        <v>-2315.3423120089801</v>
      </c>
      <c r="E30" s="19">
        <v>-2232.1096328898702</v>
      </c>
      <c r="F30" s="19">
        <v>-926.30014179206898</v>
      </c>
      <c r="G30" s="19">
        <v>-10.7873699029614</v>
      </c>
      <c r="H30" s="19">
        <v>-1008.74798941524</v>
      </c>
      <c r="I30" s="19" t="s">
        <v>76</v>
      </c>
      <c r="J30" s="19">
        <v>-13583.6689038031</v>
      </c>
      <c r="K30" s="19">
        <v>-3231.8790149892902</v>
      </c>
      <c r="L30" s="19">
        <v>-15009.5191364082</v>
      </c>
      <c r="M30" s="19">
        <v>-8233.9975093399698</v>
      </c>
      <c r="N30" s="19">
        <v>-6280.3084832904897</v>
      </c>
      <c r="O30" s="19">
        <v>-6592.3633969716902</v>
      </c>
      <c r="P30" s="19">
        <v>-107764.78873239399</v>
      </c>
      <c r="Q30" s="19">
        <v>110609.67741935499</v>
      </c>
      <c r="R30" s="19">
        <v>795.04409911801804</v>
      </c>
      <c r="S30" s="19">
        <v>-912.46734397677801</v>
      </c>
      <c r="T30" s="19">
        <v>-703.93802453195599</v>
      </c>
      <c r="U30" s="19">
        <v>-1130.4569823844799</v>
      </c>
      <c r="V30" s="19">
        <v>-375.835890809239</v>
      </c>
      <c r="W30" s="19">
        <v>-505.38475871063901</v>
      </c>
      <c r="X30" s="19">
        <v>-573.55823595929098</v>
      </c>
      <c r="Y30" s="19">
        <v>-74.253004854494904</v>
      </c>
      <c r="Z30" s="19">
        <v>-115.507845660925</v>
      </c>
      <c r="AA30" s="19">
        <v>-31.4729245625876</v>
      </c>
    </row>
    <row r="31" spans="1:27" x14ac:dyDescent="0.25">
      <c r="A31" s="10" t="s">
        <v>319</v>
      </c>
      <c r="B31" s="10" t="s">
        <v>320</v>
      </c>
      <c r="C31" s="13">
        <v>-3.5273766546329699</v>
      </c>
      <c r="D31" s="13">
        <v>-2.9629629629629601</v>
      </c>
      <c r="E31" s="13">
        <v>2.03060918275483</v>
      </c>
      <c r="F31" s="13">
        <v>0.42995014407903798</v>
      </c>
      <c r="G31" s="13">
        <v>5.0279048720398203E-3</v>
      </c>
      <c r="H31" s="13">
        <v>1.7070513153115801</v>
      </c>
      <c r="I31" s="13" t="s">
        <v>76</v>
      </c>
      <c r="J31" s="13">
        <v>7.3825503355704702</v>
      </c>
      <c r="K31" s="13">
        <v>2.8907922912205599</v>
      </c>
      <c r="L31" s="13">
        <v>-11.0893032384691</v>
      </c>
      <c r="M31" s="13">
        <v>5.5417185554171802</v>
      </c>
      <c r="N31" s="13">
        <v>0</v>
      </c>
      <c r="O31" s="13">
        <v>0</v>
      </c>
      <c r="P31" s="13">
        <v>9.8591549295774694</v>
      </c>
      <c r="Q31" s="13">
        <v>177.41935483871001</v>
      </c>
      <c r="R31" s="13">
        <v>0</v>
      </c>
      <c r="S31" s="13">
        <v>-1.1611030478955</v>
      </c>
      <c r="T31" s="13">
        <v>0</v>
      </c>
      <c r="U31" s="13">
        <v>-0.58718406944089896</v>
      </c>
      <c r="V31" s="13">
        <v>0</v>
      </c>
      <c r="W31" s="13">
        <v>0.13042668157257301</v>
      </c>
      <c r="X31" s="13">
        <v>-0.54655107425556004</v>
      </c>
      <c r="Y31" s="13">
        <v>0.27777056670387601</v>
      </c>
      <c r="Z31" s="13"/>
      <c r="AA31" s="13"/>
    </row>
    <row r="32" spans="1:27" x14ac:dyDescent="0.25">
      <c r="A32" s="10" t="s">
        <v>321</v>
      </c>
      <c r="B32" s="10" t="s">
        <v>322</v>
      </c>
      <c r="C32" s="13" t="s">
        <v>76</v>
      </c>
      <c r="D32" s="13" t="s">
        <v>76</v>
      </c>
      <c r="E32" s="13" t="s">
        <v>76</v>
      </c>
      <c r="F32" s="13" t="s">
        <v>76</v>
      </c>
      <c r="G32" s="13" t="s">
        <v>76</v>
      </c>
      <c r="H32" s="13" t="s">
        <v>76</v>
      </c>
      <c r="I32" s="13" t="s">
        <v>76</v>
      </c>
      <c r="J32" s="13" t="s">
        <v>76</v>
      </c>
      <c r="K32" s="13" t="s">
        <v>76</v>
      </c>
      <c r="L32" s="13" t="s">
        <v>76</v>
      </c>
      <c r="M32" s="13" t="s">
        <v>76</v>
      </c>
      <c r="N32" s="13" t="s">
        <v>76</v>
      </c>
      <c r="O32" s="13">
        <v>0</v>
      </c>
      <c r="P32" s="13" t="s">
        <v>76</v>
      </c>
      <c r="Q32" s="13">
        <v>177.41935483871001</v>
      </c>
      <c r="R32" s="13">
        <v>0</v>
      </c>
      <c r="S32" s="13" t="s">
        <v>76</v>
      </c>
      <c r="T32" s="13" t="s">
        <v>76</v>
      </c>
      <c r="U32" s="13" t="s">
        <v>76</v>
      </c>
      <c r="V32" s="13">
        <v>0</v>
      </c>
      <c r="W32" s="13" t="s">
        <v>76</v>
      </c>
      <c r="X32" s="13" t="s">
        <v>76</v>
      </c>
      <c r="Y32" s="13" t="s">
        <v>76</v>
      </c>
      <c r="Z32" s="13"/>
      <c r="AA32" s="13"/>
    </row>
    <row r="33" spans="1:27" x14ac:dyDescent="0.25">
      <c r="A33" s="10" t="s">
        <v>323</v>
      </c>
      <c r="B33" s="10" t="s">
        <v>324</v>
      </c>
      <c r="C33" s="13" t="s">
        <v>76</v>
      </c>
      <c r="D33" s="13" t="s">
        <v>76</v>
      </c>
      <c r="E33" s="13" t="s">
        <v>76</v>
      </c>
      <c r="F33" s="13" t="s">
        <v>76</v>
      </c>
      <c r="G33" s="13" t="s">
        <v>76</v>
      </c>
      <c r="H33" s="13" t="s">
        <v>76</v>
      </c>
      <c r="I33" s="13" t="s">
        <v>76</v>
      </c>
      <c r="J33" s="13" t="s">
        <v>76</v>
      </c>
      <c r="K33" s="13" t="s">
        <v>76</v>
      </c>
      <c r="L33" s="13" t="s">
        <v>76</v>
      </c>
      <c r="M33" s="13" t="s">
        <v>76</v>
      </c>
      <c r="N33" s="13" t="s">
        <v>76</v>
      </c>
      <c r="O33" s="13">
        <v>0</v>
      </c>
      <c r="P33" s="13" t="s">
        <v>76</v>
      </c>
      <c r="Q33" s="13" t="s">
        <v>76</v>
      </c>
      <c r="R33" s="13">
        <v>0</v>
      </c>
      <c r="S33" s="13" t="s">
        <v>76</v>
      </c>
      <c r="T33" s="13" t="s">
        <v>76</v>
      </c>
      <c r="U33" s="13" t="s">
        <v>76</v>
      </c>
      <c r="V33" s="13">
        <v>0</v>
      </c>
      <c r="W33" s="13" t="s">
        <v>76</v>
      </c>
      <c r="X33" s="13" t="s">
        <v>76</v>
      </c>
      <c r="Y33" s="13" t="s">
        <v>76</v>
      </c>
      <c r="Z33" s="13"/>
      <c r="AA33" s="13"/>
    </row>
    <row r="34" spans="1:27" x14ac:dyDescent="0.25">
      <c r="A34" s="6" t="s">
        <v>325</v>
      </c>
      <c r="B34" s="6" t="s">
        <v>326</v>
      </c>
      <c r="C34" s="19">
        <v>-1472.4879663056599</v>
      </c>
      <c r="D34" s="19">
        <v>-2312.3793490460198</v>
      </c>
      <c r="E34" s="19">
        <v>-2234.1402420726199</v>
      </c>
      <c r="F34" s="19">
        <v>-926.73009193614803</v>
      </c>
      <c r="G34" s="19">
        <v>-10.792397807833501</v>
      </c>
      <c r="H34" s="19">
        <v>-1010.45504073056</v>
      </c>
      <c r="I34" s="19" t="s">
        <v>76</v>
      </c>
      <c r="J34" s="19">
        <v>-13591.0514541387</v>
      </c>
      <c r="K34" s="19">
        <v>-3234.7698072805101</v>
      </c>
      <c r="L34" s="19">
        <v>-14998.429833169799</v>
      </c>
      <c r="M34" s="19">
        <v>-8239.5392278953896</v>
      </c>
      <c r="N34" s="19">
        <v>-6280.3084832904897</v>
      </c>
      <c r="O34" s="19">
        <v>-6592.3633969716902</v>
      </c>
      <c r="P34" s="19">
        <v>-107774.647887324</v>
      </c>
      <c r="Q34" s="19">
        <v>110432.25806451601</v>
      </c>
      <c r="R34" s="19">
        <v>795.04409911801804</v>
      </c>
      <c r="S34" s="19">
        <v>-911.30624092888195</v>
      </c>
      <c r="T34" s="19">
        <v>-703.93802453195599</v>
      </c>
      <c r="U34" s="19">
        <v>-1129.86979831504</v>
      </c>
      <c r="V34" s="19">
        <v>-375.835890809239</v>
      </c>
      <c r="W34" s="19">
        <v>-505.515185392212</v>
      </c>
      <c r="X34" s="19">
        <v>-573.01168488503595</v>
      </c>
      <c r="Y34" s="19">
        <v>-74.530775421198797</v>
      </c>
      <c r="Z34" s="19">
        <v>-109.483254374675</v>
      </c>
      <c r="AA34" s="19">
        <v>-28.150147967395299</v>
      </c>
    </row>
    <row r="35" spans="1:27" x14ac:dyDescent="0.25">
      <c r="A35" s="10" t="s">
        <v>327</v>
      </c>
      <c r="B35" s="10" t="s">
        <v>328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 t="s">
        <v>76</v>
      </c>
      <c r="J35" s="13">
        <v>9429.9776286353499</v>
      </c>
      <c r="K35" s="13">
        <v>0</v>
      </c>
      <c r="L35" s="13">
        <v>6278.9008832188401</v>
      </c>
      <c r="M35" s="13">
        <v>1415.0062266500599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/>
      <c r="AA35" s="13"/>
    </row>
    <row r="36" spans="1:27" x14ac:dyDescent="0.25">
      <c r="A36" s="10" t="s">
        <v>329</v>
      </c>
      <c r="B36" s="10" t="s">
        <v>330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 t="s">
        <v>76</v>
      </c>
      <c r="J36" s="13">
        <v>9429.9776286353499</v>
      </c>
      <c r="K36" s="13">
        <v>0</v>
      </c>
      <c r="L36" s="13">
        <v>6278.9008832188401</v>
      </c>
      <c r="M36" s="13">
        <v>1415.0062266500599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/>
      <c r="AA36" s="13"/>
    </row>
    <row r="37" spans="1:27" x14ac:dyDescent="0.25">
      <c r="A37" s="10" t="s">
        <v>331</v>
      </c>
      <c r="B37" s="10" t="s">
        <v>332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 t="s">
        <v>76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/>
      <c r="AA37" s="13"/>
    </row>
    <row r="38" spans="1:27" x14ac:dyDescent="0.25">
      <c r="A38" s="6" t="s">
        <v>333</v>
      </c>
      <c r="B38" s="6" t="s">
        <v>334</v>
      </c>
      <c r="C38" s="19">
        <v>-1472.4879663056599</v>
      </c>
      <c r="D38" s="19">
        <v>-2312.3793490460198</v>
      </c>
      <c r="E38" s="19">
        <v>-2234.1402420726199</v>
      </c>
      <c r="F38" s="19">
        <v>-926.73009193614803</v>
      </c>
      <c r="G38" s="19">
        <v>-10.792397807833501</v>
      </c>
      <c r="H38" s="19">
        <v>-1010.45504073056</v>
      </c>
      <c r="I38" s="19" t="s">
        <v>76</v>
      </c>
      <c r="J38" s="19">
        <v>-23021.029082774101</v>
      </c>
      <c r="K38" s="19">
        <v>-3234.7698072805101</v>
      </c>
      <c r="L38" s="19">
        <v>-21277.330716388598</v>
      </c>
      <c r="M38" s="19">
        <v>-9654.5454545454504</v>
      </c>
      <c r="N38" s="19">
        <v>-6280.3084832904897</v>
      </c>
      <c r="O38" s="19">
        <v>-6592.3633969716902</v>
      </c>
      <c r="P38" s="19">
        <v>-107774.647887324</v>
      </c>
      <c r="Q38" s="19">
        <v>110432.25806451601</v>
      </c>
      <c r="R38" s="19">
        <v>795.04409911801804</v>
      </c>
      <c r="S38" s="19">
        <v>-911.30624092888195</v>
      </c>
      <c r="T38" s="19">
        <v>-703.93802453195599</v>
      </c>
      <c r="U38" s="19">
        <v>-1129.86979831504</v>
      </c>
      <c r="V38" s="19">
        <v>-375.835890809239</v>
      </c>
      <c r="W38" s="19">
        <v>-505.515185392212</v>
      </c>
      <c r="X38" s="19">
        <v>-573.01168488503595</v>
      </c>
      <c r="Y38" s="19">
        <v>-74.530775421198797</v>
      </c>
      <c r="Z38" s="19"/>
      <c r="AA38" s="19"/>
    </row>
    <row r="39" spans="1:27" x14ac:dyDescent="0.25">
      <c r="A39" s="10" t="s">
        <v>335</v>
      </c>
      <c r="B39" s="10" t="s">
        <v>336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 t="s">
        <v>76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/>
      <c r="AA39" s="13"/>
    </row>
    <row r="40" spans="1:27" x14ac:dyDescent="0.25">
      <c r="A40" s="6" t="s">
        <v>337</v>
      </c>
      <c r="B40" s="6" t="s">
        <v>338</v>
      </c>
      <c r="C40" s="19">
        <v>-1472.4879663056599</v>
      </c>
      <c r="D40" s="19">
        <v>-2312.3793490460198</v>
      </c>
      <c r="E40" s="19">
        <v>-2234.1402420726199</v>
      </c>
      <c r="F40" s="19">
        <v>-926.73009193614803</v>
      </c>
      <c r="G40" s="19">
        <v>-10.792397807833501</v>
      </c>
      <c r="H40" s="19">
        <v>-1010.45504073056</v>
      </c>
      <c r="I40" s="19" t="s">
        <v>76</v>
      </c>
      <c r="J40" s="19">
        <v>-23021.029082774101</v>
      </c>
      <c r="K40" s="19">
        <v>-3234.7698072805101</v>
      </c>
      <c r="L40" s="19">
        <v>-21277.330716388598</v>
      </c>
      <c r="M40" s="19">
        <v>-9654.5454545454504</v>
      </c>
      <c r="N40" s="19">
        <v>-6280.3084832904897</v>
      </c>
      <c r="O40" s="19">
        <v>-6592.3633969716902</v>
      </c>
      <c r="P40" s="19">
        <v>-107774.647887324</v>
      </c>
      <c r="Q40" s="19">
        <v>110432.25806451601</v>
      </c>
      <c r="R40" s="19">
        <v>795.04409911801804</v>
      </c>
      <c r="S40" s="19">
        <v>-911.30624092888195</v>
      </c>
      <c r="T40" s="19">
        <v>-703.93802453195599</v>
      </c>
      <c r="U40" s="19">
        <v>-1129.86979831504</v>
      </c>
      <c r="V40" s="19">
        <v>-375.835890809239</v>
      </c>
      <c r="W40" s="19">
        <v>-505.515185392212</v>
      </c>
      <c r="X40" s="19">
        <v>-573.01168488503595</v>
      </c>
      <c r="Y40" s="19">
        <v>-74.530775421198797</v>
      </c>
      <c r="Z40" s="19">
        <v>-109.483254374675</v>
      </c>
      <c r="AA40" s="19">
        <v>-28.150147967395299</v>
      </c>
    </row>
    <row r="41" spans="1:27" x14ac:dyDescent="0.25">
      <c r="A41" s="10" t="s">
        <v>339</v>
      </c>
      <c r="B41" s="10" t="s">
        <v>340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 t="s">
        <v>76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/>
      <c r="AA41" s="13"/>
    </row>
    <row r="42" spans="1:27" x14ac:dyDescent="0.25">
      <c r="A42" s="10" t="s">
        <v>341</v>
      </c>
      <c r="B42" s="10" t="s">
        <v>342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 t="s">
        <v>76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/>
      <c r="AA42" s="13"/>
    </row>
    <row r="43" spans="1:27" x14ac:dyDescent="0.25">
      <c r="A43" s="6" t="s">
        <v>343</v>
      </c>
      <c r="B43" s="6" t="s">
        <v>80</v>
      </c>
      <c r="C43" s="19">
        <v>-1472.4879663056599</v>
      </c>
      <c r="D43" s="19">
        <v>-2312.3793490460198</v>
      </c>
      <c r="E43" s="19">
        <v>-2234.1402420726199</v>
      </c>
      <c r="F43" s="19">
        <v>-926.73009193614803</v>
      </c>
      <c r="G43" s="19">
        <v>-10.792397807833501</v>
      </c>
      <c r="H43" s="19">
        <v>-1010.45504073056</v>
      </c>
      <c r="I43" s="19" t="s">
        <v>76</v>
      </c>
      <c r="J43" s="19">
        <v>-23021.029082774101</v>
      </c>
      <c r="K43" s="19">
        <v>-3234.7698072805101</v>
      </c>
      <c r="L43" s="19">
        <v>-21277.330716388598</v>
      </c>
      <c r="M43" s="19">
        <v>-9654.5454545454504</v>
      </c>
      <c r="N43" s="19">
        <v>-6280.3084832904897</v>
      </c>
      <c r="O43" s="19">
        <v>-6592.3633969716902</v>
      </c>
      <c r="P43" s="19">
        <v>-107774.647887324</v>
      </c>
      <c r="Q43" s="19">
        <v>110432.25806451601</v>
      </c>
      <c r="R43" s="19">
        <v>795.04409911801804</v>
      </c>
      <c r="S43" s="19">
        <v>-911.30624092888195</v>
      </c>
      <c r="T43" s="19">
        <v>-703.93802453195599</v>
      </c>
      <c r="U43" s="19">
        <v>-1129.86979831504</v>
      </c>
      <c r="V43" s="19">
        <v>-375.835890809239</v>
      </c>
      <c r="W43" s="19">
        <v>-505.515185392212</v>
      </c>
      <c r="X43" s="19">
        <v>-573.01168488503595</v>
      </c>
      <c r="Y43" s="19">
        <v>-74.530775421198797</v>
      </c>
      <c r="Z43" s="19">
        <v>-109.483254374675</v>
      </c>
      <c r="AA43" s="19">
        <v>-28.150147967395299</v>
      </c>
    </row>
    <row r="44" spans="1:27" x14ac:dyDescent="0.25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0" t="s">
        <v>345</v>
      </c>
      <c r="B45" s="10" t="s">
        <v>346</v>
      </c>
      <c r="C45" s="13">
        <v>1.27151022864019</v>
      </c>
      <c r="D45" s="13">
        <v>7.1108866442199803</v>
      </c>
      <c r="E45" s="13">
        <v>11.3399019705912</v>
      </c>
      <c r="F45" s="13">
        <v>-11.230480720852601</v>
      </c>
      <c r="G45" s="13">
        <v>-0.65737342249484598</v>
      </c>
      <c r="H45" s="13">
        <v>-3.3939708400352799</v>
      </c>
      <c r="I45" s="13" t="s">
        <v>76</v>
      </c>
      <c r="J45" s="13">
        <v>-2474.5380313199098</v>
      </c>
      <c r="K45" s="13">
        <v>0.496921841541756</v>
      </c>
      <c r="L45" s="13">
        <v>-665.95682041216901</v>
      </c>
      <c r="M45" s="13">
        <v>45.4520547945205</v>
      </c>
      <c r="N45" s="13">
        <v>101.86735218509</v>
      </c>
      <c r="O45" s="13">
        <v>377.88940092165899</v>
      </c>
      <c r="P45" s="13">
        <v>1597.8028169014101</v>
      </c>
      <c r="Q45" s="13">
        <v>-137956.935483871</v>
      </c>
      <c r="R45" s="13">
        <v>-3083.3557328853399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20.9262156049755</v>
      </c>
      <c r="Y45" s="13">
        <v>-0.10049064146829</v>
      </c>
      <c r="Z45" s="13"/>
      <c r="AA45" s="13"/>
    </row>
    <row r="46" spans="1:27" x14ac:dyDescent="0.25">
      <c r="A46" s="10" t="s">
        <v>347</v>
      </c>
      <c r="B46" s="10" t="s">
        <v>328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 t="s">
        <v>76</v>
      </c>
      <c r="J46" s="13">
        <v>9429.9776286353499</v>
      </c>
      <c r="K46" s="13">
        <v>0</v>
      </c>
      <c r="L46" s="13">
        <v>6278.9008832188401</v>
      </c>
      <c r="M46" s="13">
        <v>1415.0062266500599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/>
      <c r="AA46" s="13"/>
    </row>
    <row r="47" spans="1:27" x14ac:dyDescent="0.25">
      <c r="A47" s="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0" t="s">
        <v>227</v>
      </c>
      <c r="B48" s="10" t="s">
        <v>106</v>
      </c>
      <c r="C48" s="13">
        <v>20.744960890493399</v>
      </c>
      <c r="D48" s="13">
        <v>31.0280583613917</v>
      </c>
      <c r="E48" s="13">
        <v>27.680304091227399</v>
      </c>
      <c r="F48" s="13">
        <v>12.7132598454009</v>
      </c>
      <c r="G48" s="13">
        <v>1.51802503896626</v>
      </c>
      <c r="H48" s="13">
        <v>17.187516214393199</v>
      </c>
      <c r="I48" s="13" t="s">
        <v>76</v>
      </c>
      <c r="J48" s="13">
        <v>374.58612975391497</v>
      </c>
      <c r="K48" s="13">
        <v>45.159930406852197</v>
      </c>
      <c r="L48" s="13">
        <v>336.70755642786997</v>
      </c>
      <c r="M48" s="13">
        <v>225.70983810709799</v>
      </c>
      <c r="N48" s="13">
        <v>189.42930591259599</v>
      </c>
      <c r="O48" s="13">
        <v>242.81435154707</v>
      </c>
      <c r="P48" s="13">
        <v>5742.4647887323899</v>
      </c>
      <c r="Q48" s="13">
        <v>6882.4193548387102</v>
      </c>
      <c r="R48" s="13">
        <v>216.127677446451</v>
      </c>
      <c r="S48" s="13">
        <v>78.871552975326594</v>
      </c>
      <c r="T48" s="13">
        <v>44.019528728211803</v>
      </c>
      <c r="U48" s="13">
        <v>75.693770742915504</v>
      </c>
      <c r="V48" s="13">
        <v>51.997792494481203</v>
      </c>
      <c r="W48" s="13">
        <v>60.156512017887103</v>
      </c>
      <c r="X48" s="13">
        <v>91.355540897097598</v>
      </c>
      <c r="Y48" s="13">
        <v>25.204433945120801</v>
      </c>
      <c r="Z48" s="13"/>
      <c r="AA48" s="13"/>
    </row>
    <row r="49" spans="1:27" x14ac:dyDescent="0.25">
      <c r="A49" s="6" t="s">
        <v>101</v>
      </c>
      <c r="B49" s="6" t="s">
        <v>102</v>
      </c>
      <c r="C49" s="19">
        <v>-533.99518652226197</v>
      </c>
      <c r="D49" s="19">
        <v>-837.26150392816999</v>
      </c>
      <c r="E49" s="19">
        <v>-808.24247274182198</v>
      </c>
      <c r="F49" s="19">
        <v>-332.98266477610599</v>
      </c>
      <c r="G49" s="19">
        <v>-3.6200915078686702</v>
      </c>
      <c r="H49" s="19">
        <v>-305.09002231100499</v>
      </c>
      <c r="I49" s="19" t="s">
        <v>76</v>
      </c>
      <c r="J49" s="19">
        <v>-6868.0089485458602</v>
      </c>
      <c r="K49" s="19">
        <v>-958.24411134903596</v>
      </c>
      <c r="L49" s="19">
        <v>-6202.15897939156</v>
      </c>
      <c r="M49" s="19">
        <v>-2665.0062266500599</v>
      </c>
      <c r="N49" s="19">
        <v>-1706.94087403599</v>
      </c>
      <c r="O49" s="19">
        <v>-1790.6517445688</v>
      </c>
      <c r="P49" s="19">
        <v>-26478.873239436602</v>
      </c>
      <c r="Q49" s="19">
        <v>25879.935483870999</v>
      </c>
      <c r="R49" s="19">
        <v>151.19697606047899</v>
      </c>
      <c r="S49" s="19">
        <v>-168.359941944848</v>
      </c>
      <c r="T49" s="19">
        <v>-129.11555842479001</v>
      </c>
      <c r="U49" s="19">
        <v>-190.539443451621</v>
      </c>
      <c r="V49" s="19">
        <v>-38.765950573413001</v>
      </c>
      <c r="W49" s="19">
        <v>-52.170672629029298</v>
      </c>
      <c r="X49" s="19">
        <v>-58.424425179042601</v>
      </c>
      <c r="Y49" s="19">
        <v>-7.6764621894551004</v>
      </c>
      <c r="Z49" s="19">
        <v>-6.4627433797957101</v>
      </c>
      <c r="AA49" s="19">
        <v>-1.4173718913867399</v>
      </c>
    </row>
    <row r="50" spans="1:27" x14ac:dyDescent="0.25">
      <c r="A50" s="6" t="s">
        <v>348</v>
      </c>
      <c r="B50" s="6" t="s">
        <v>234</v>
      </c>
      <c r="C50" s="19">
        <v>-533.99518652226197</v>
      </c>
      <c r="D50" s="19">
        <v>-837.26150392816999</v>
      </c>
      <c r="E50" s="19">
        <v>-808.24247274182198</v>
      </c>
      <c r="F50" s="19">
        <v>-332.98266477610599</v>
      </c>
      <c r="G50" s="19">
        <v>-3.6200915078686702</v>
      </c>
      <c r="H50" s="19">
        <v>-305.09002231100499</v>
      </c>
      <c r="I50" s="19" t="s">
        <v>76</v>
      </c>
      <c r="J50" s="19">
        <v>-4049.2170022371402</v>
      </c>
      <c r="K50" s="19">
        <v>-958.24411134903596</v>
      </c>
      <c r="L50" s="19">
        <v>-4376.8400392541698</v>
      </c>
      <c r="M50" s="19">
        <v>-2278.9539227895398</v>
      </c>
      <c r="N50" s="19">
        <v>-1706.94087403599</v>
      </c>
      <c r="O50" s="19">
        <v>-1790.6517445688</v>
      </c>
      <c r="P50" s="19">
        <v>-26478.873239436602</v>
      </c>
      <c r="Q50" s="19">
        <v>25879.935483870999</v>
      </c>
      <c r="R50" s="19">
        <v>151.19697606047899</v>
      </c>
      <c r="S50" s="19">
        <v>-168.359941944848</v>
      </c>
      <c r="T50" s="19">
        <v>-129.11555842479001</v>
      </c>
      <c r="U50" s="19">
        <v>-190.539443451621</v>
      </c>
      <c r="V50" s="19">
        <v>-38.765950573413001</v>
      </c>
      <c r="W50" s="19">
        <v>-52.170672629029298</v>
      </c>
      <c r="X50" s="19">
        <v>-58.424425179042601</v>
      </c>
      <c r="Y50" s="19">
        <v>-7.6764621894551004</v>
      </c>
      <c r="Z50" s="19">
        <v>-6.4627433797957101</v>
      </c>
      <c r="AA50" s="19">
        <v>-1.4173718913867399</v>
      </c>
    </row>
    <row r="51" spans="1:27" x14ac:dyDescent="0.25">
      <c r="A51" s="6" t="s">
        <v>349</v>
      </c>
      <c r="B51" s="6" t="s">
        <v>236</v>
      </c>
      <c r="C51" s="19">
        <v>-533.38763537906095</v>
      </c>
      <c r="D51" s="19">
        <v>-833.85252525252497</v>
      </c>
      <c r="E51" s="19">
        <v>-803.26698009402799</v>
      </c>
      <c r="F51" s="19">
        <v>-337.45661620088703</v>
      </c>
      <c r="G51" s="19">
        <v>-3.7923173613555199</v>
      </c>
      <c r="H51" s="19">
        <v>-306.06298967467399</v>
      </c>
      <c r="I51" s="19" t="s">
        <v>76</v>
      </c>
      <c r="J51" s="19">
        <v>-4797.4161073825499</v>
      </c>
      <c r="K51" s="19">
        <v>-958.48768736616705</v>
      </c>
      <c r="L51" s="19">
        <v>-4565.4798822374896</v>
      </c>
      <c r="M51" s="19">
        <v>-2260.5006226650098</v>
      </c>
      <c r="N51" s="19">
        <v>-1676.91928020566</v>
      </c>
      <c r="O51" s="19">
        <v>-1684.8926925609001</v>
      </c>
      <c r="P51" s="19">
        <v>-26041.915492957702</v>
      </c>
      <c r="Q51" s="19">
        <v>-6450.4516129032299</v>
      </c>
      <c r="R51" s="19">
        <v>-444.67786644267102</v>
      </c>
      <c r="S51" s="19">
        <v>-168.359941944848</v>
      </c>
      <c r="T51" s="19">
        <v>-129.11555842479001</v>
      </c>
      <c r="U51" s="19">
        <v>-190.539443451621</v>
      </c>
      <c r="V51" s="19">
        <v>-38.765950573413001</v>
      </c>
      <c r="W51" s="19">
        <v>-52.170672629029298</v>
      </c>
      <c r="X51" s="19">
        <v>-56.947418017338897</v>
      </c>
      <c r="Y51" s="19">
        <v>-7.68682017600789</v>
      </c>
      <c r="Z51" s="19">
        <v>-8.02639866363611</v>
      </c>
      <c r="AA51" s="19">
        <v>-2.6218784071439698</v>
      </c>
    </row>
    <row r="52" spans="1:27" x14ac:dyDescent="0.25">
      <c r="A52" s="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0" t="s">
        <v>226</v>
      </c>
      <c r="B53" s="10" t="s">
        <v>108</v>
      </c>
      <c r="C53" s="13">
        <v>20.744960890493399</v>
      </c>
      <c r="D53" s="13">
        <v>31.0280583613917</v>
      </c>
      <c r="E53" s="13">
        <v>27.680304091227399</v>
      </c>
      <c r="F53" s="13">
        <v>12.7132598454009</v>
      </c>
      <c r="G53" s="13">
        <v>1.51802503896626</v>
      </c>
      <c r="H53" s="13">
        <v>17.187516214393199</v>
      </c>
      <c r="I53" s="13" t="s">
        <v>76</v>
      </c>
      <c r="J53" s="13">
        <v>374.58612975391497</v>
      </c>
      <c r="K53" s="13">
        <v>45.159930406852197</v>
      </c>
      <c r="L53" s="13">
        <v>336.70755642786997</v>
      </c>
      <c r="M53" s="13">
        <v>225.70983810709799</v>
      </c>
      <c r="N53" s="13">
        <v>189.42930591259599</v>
      </c>
      <c r="O53" s="13">
        <v>242.81435154707</v>
      </c>
      <c r="P53" s="13">
        <v>5742.4647887323899</v>
      </c>
      <c r="Q53" s="13">
        <v>6882.4193548387102</v>
      </c>
      <c r="R53" s="13">
        <v>216.93196136077299</v>
      </c>
      <c r="S53" s="13">
        <v>78.871552975326594</v>
      </c>
      <c r="T53" s="13">
        <v>44.019528728211803</v>
      </c>
      <c r="U53" s="13">
        <v>75.693770742915504</v>
      </c>
      <c r="V53" s="13">
        <v>51.997792494481203</v>
      </c>
      <c r="W53" s="13">
        <v>60.156512017887103</v>
      </c>
      <c r="X53" s="13">
        <v>91.355540897097598</v>
      </c>
      <c r="Y53" s="13">
        <v>25.204433945120801</v>
      </c>
      <c r="Z53" s="13"/>
      <c r="AA53" s="13"/>
    </row>
    <row r="54" spans="1:27" x14ac:dyDescent="0.25">
      <c r="A54" s="6" t="s">
        <v>103</v>
      </c>
      <c r="B54" s="6" t="s">
        <v>104</v>
      </c>
      <c r="C54" s="19">
        <v>-533.99518652226197</v>
      </c>
      <c r="D54" s="19">
        <v>-837.26150392816999</v>
      </c>
      <c r="E54" s="19">
        <v>-808.24247274182198</v>
      </c>
      <c r="F54" s="19">
        <v>-332.98266477610599</v>
      </c>
      <c r="G54" s="19">
        <v>-3.6200915078686702</v>
      </c>
      <c r="H54" s="19">
        <v>-305.09002231100499</v>
      </c>
      <c r="I54" s="19" t="s">
        <v>76</v>
      </c>
      <c r="J54" s="19">
        <v>-6868.0089485458602</v>
      </c>
      <c r="K54" s="19">
        <v>-958.24411134903596</v>
      </c>
      <c r="L54" s="19">
        <v>-6202.15897939156</v>
      </c>
      <c r="M54" s="19">
        <v>-2665.0062266500599</v>
      </c>
      <c r="N54" s="19">
        <v>-1706.94087403599</v>
      </c>
      <c r="O54" s="19">
        <v>-1790.6517445688</v>
      </c>
      <c r="P54" s="19">
        <v>-26478.873239436602</v>
      </c>
      <c r="Q54" s="19">
        <v>25879.935483870999</v>
      </c>
      <c r="R54" s="19">
        <v>151.19697606047899</v>
      </c>
      <c r="S54" s="19">
        <v>-168.359941944848</v>
      </c>
      <c r="T54" s="19">
        <v>-129.11555842479001</v>
      </c>
      <c r="U54" s="19">
        <v>-190.539443451621</v>
      </c>
      <c r="V54" s="19">
        <v>-38.765950573413001</v>
      </c>
      <c r="W54" s="19">
        <v>-52.170672629029298</v>
      </c>
      <c r="X54" s="19">
        <v>-58.424425179042601</v>
      </c>
      <c r="Y54" s="19">
        <v>-7.6764621894551004</v>
      </c>
      <c r="Z54" s="19">
        <v>-6.4627433797957101</v>
      </c>
      <c r="AA54" s="19">
        <v>-1.4173718913867399</v>
      </c>
    </row>
    <row r="55" spans="1:27" x14ac:dyDescent="0.25">
      <c r="A55" s="6" t="s">
        <v>350</v>
      </c>
      <c r="B55" s="6" t="s">
        <v>239</v>
      </c>
      <c r="C55" s="19">
        <v>-533.99518652226197</v>
      </c>
      <c r="D55" s="19">
        <v>-837.26150392816999</v>
      </c>
      <c r="E55" s="19">
        <v>-808.24247274182198</v>
      </c>
      <c r="F55" s="19">
        <v>-332.98266477610599</v>
      </c>
      <c r="G55" s="19">
        <v>-3.6200915078686702</v>
      </c>
      <c r="H55" s="19">
        <v>-305.09002231100499</v>
      </c>
      <c r="I55" s="19" t="s">
        <v>76</v>
      </c>
      <c r="J55" s="19">
        <v>-4049.2170022371402</v>
      </c>
      <c r="K55" s="19">
        <v>-958.24411134903596</v>
      </c>
      <c r="L55" s="19">
        <v>-4376.8400392541698</v>
      </c>
      <c r="M55" s="19">
        <v>-2278.9539227895398</v>
      </c>
      <c r="N55" s="19">
        <v>-1706.94087403599</v>
      </c>
      <c r="O55" s="19">
        <v>-1790.6517445688</v>
      </c>
      <c r="P55" s="19">
        <v>-26478.873239436602</v>
      </c>
      <c r="Q55" s="19">
        <v>25879.935483870999</v>
      </c>
      <c r="R55" s="19">
        <v>151.19697606047899</v>
      </c>
      <c r="S55" s="19">
        <v>-168.359941944848</v>
      </c>
      <c r="T55" s="19">
        <v>-129.11555842479001</v>
      </c>
      <c r="U55" s="19">
        <v>-190.539443451621</v>
      </c>
      <c r="V55" s="19">
        <v>-38.765950573413001</v>
      </c>
      <c r="W55" s="19">
        <v>-52.170672629029298</v>
      </c>
      <c r="X55" s="19">
        <v>-58.424425179042601</v>
      </c>
      <c r="Y55" s="19">
        <v>-7.6764621894551004</v>
      </c>
      <c r="Z55" s="19">
        <v>-6.4627433797957101</v>
      </c>
      <c r="AA55" s="19">
        <v>-1.4173718913867399</v>
      </c>
    </row>
    <row r="56" spans="1:27" x14ac:dyDescent="0.25">
      <c r="A56" s="6" t="s">
        <v>351</v>
      </c>
      <c r="B56" s="6" t="s">
        <v>82</v>
      </c>
      <c r="C56" s="19">
        <v>-533.53414560770204</v>
      </c>
      <c r="D56" s="19">
        <v>-834.68933782267095</v>
      </c>
      <c r="E56" s="19">
        <v>-804.14444333300003</v>
      </c>
      <c r="F56" s="19">
        <v>-337.45661620088703</v>
      </c>
      <c r="G56" s="19">
        <v>-3.8378199004474798</v>
      </c>
      <c r="H56" s="19">
        <v>-306.11456441654099</v>
      </c>
      <c r="I56" s="19" t="s">
        <v>76</v>
      </c>
      <c r="J56" s="19">
        <v>-4797.4161073825499</v>
      </c>
      <c r="K56" s="19">
        <v>-958.48768736616705</v>
      </c>
      <c r="L56" s="19">
        <v>-4570.9362119725201</v>
      </c>
      <c r="M56" s="19">
        <v>-2266.4146948941502</v>
      </c>
      <c r="N56" s="19">
        <v>-1679.29254498715</v>
      </c>
      <c r="O56" s="19">
        <v>-1688.19749835418</v>
      </c>
      <c r="P56" s="19">
        <v>-26086.985915493002</v>
      </c>
      <c r="Q56" s="19">
        <v>-6450.4516129032299</v>
      </c>
      <c r="R56" s="19">
        <v>-445.75640487190299</v>
      </c>
      <c r="S56" s="19">
        <v>-168.359941944848</v>
      </c>
      <c r="T56" s="19">
        <v>-129.11555842479001</v>
      </c>
      <c r="U56" s="19">
        <v>-190.539443451621</v>
      </c>
      <c r="V56" s="19">
        <v>-38.765950573413001</v>
      </c>
      <c r="W56" s="19">
        <v>-52.170672629029298</v>
      </c>
      <c r="X56" s="19">
        <v>-56.947418017338897</v>
      </c>
      <c r="Y56" s="19">
        <v>-7.68682017600789</v>
      </c>
      <c r="Z56" s="19">
        <v>-8.02639866363611</v>
      </c>
      <c r="AA56" s="19">
        <v>-2.6218784071439698</v>
      </c>
    </row>
    <row r="57" spans="1:27" x14ac:dyDescent="0.25">
      <c r="A57" s="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6" t="s">
        <v>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0" t="s">
        <v>352</v>
      </c>
      <c r="B59" s="10" t="s">
        <v>353</v>
      </c>
      <c r="C59" s="12" t="s">
        <v>354</v>
      </c>
      <c r="D59" s="12" t="s">
        <v>354</v>
      </c>
      <c r="E59" s="12" t="s">
        <v>354</v>
      </c>
      <c r="F59" s="12" t="s">
        <v>354</v>
      </c>
      <c r="G59" s="12" t="s">
        <v>354</v>
      </c>
      <c r="H59" s="12" t="s">
        <v>354</v>
      </c>
      <c r="I59" s="12" t="s">
        <v>354</v>
      </c>
      <c r="J59" s="12" t="s">
        <v>354</v>
      </c>
      <c r="K59" s="12" t="s">
        <v>354</v>
      </c>
      <c r="L59" s="12" t="s">
        <v>354</v>
      </c>
      <c r="M59" s="12" t="s">
        <v>354</v>
      </c>
      <c r="N59" s="12" t="s">
        <v>354</v>
      </c>
      <c r="O59" s="12" t="s">
        <v>354</v>
      </c>
      <c r="P59" s="12" t="s">
        <v>354</v>
      </c>
      <c r="Q59" s="12" t="s">
        <v>354</v>
      </c>
      <c r="R59" s="12" t="s">
        <v>354</v>
      </c>
      <c r="S59" s="12" t="s">
        <v>354</v>
      </c>
      <c r="T59" s="12" t="s">
        <v>354</v>
      </c>
      <c r="U59" s="12" t="s">
        <v>354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/>
      <c r="AA59" s="12"/>
    </row>
    <row r="60" spans="1:27" x14ac:dyDescent="0.25">
      <c r="A60" s="10" t="s">
        <v>78</v>
      </c>
      <c r="B60" s="10" t="s">
        <v>78</v>
      </c>
      <c r="C60" s="13">
        <v>-1425.4136582430799</v>
      </c>
      <c r="D60" s="13">
        <v>-2202.2895622895599</v>
      </c>
      <c r="E60" s="13">
        <v>-2150.0550165049499</v>
      </c>
      <c r="F60" s="13">
        <v>-922.34825961670401</v>
      </c>
      <c r="G60" s="13">
        <v>-11.589320730051799</v>
      </c>
      <c r="H60" s="13">
        <v>-962.87033674051804</v>
      </c>
      <c r="I60" s="13" t="s">
        <v>76</v>
      </c>
      <c r="J60" s="13">
        <v>-18874.384787472001</v>
      </c>
      <c r="K60" s="13">
        <v>-3142.37152034261</v>
      </c>
      <c r="L60" s="13">
        <v>-12589.9901864573</v>
      </c>
      <c r="M60" s="13">
        <v>-8245.8904109589002</v>
      </c>
      <c r="N60" s="13">
        <v>-6006.37532133676</v>
      </c>
      <c r="O60" s="13">
        <v>-6503.6208031599699</v>
      </c>
      <c r="P60" s="13">
        <v>-119849.295774648</v>
      </c>
      <c r="Q60" s="13">
        <v>-61603.225806451599</v>
      </c>
      <c r="R60" s="13">
        <v>-3135.2792944141102</v>
      </c>
      <c r="S60" s="13">
        <v>-936.748911465893</v>
      </c>
      <c r="T60" s="13">
        <v>-701.00064557779206</v>
      </c>
      <c r="U60" s="13">
        <v>-731.06969619606798</v>
      </c>
      <c r="V60" s="13">
        <v>-345.03311258278097</v>
      </c>
      <c r="W60" s="13">
        <v>-451.152102353891</v>
      </c>
      <c r="X60" s="13">
        <v>-459.51752732755398</v>
      </c>
      <c r="Y60" s="13">
        <v>-76.441421562264793</v>
      </c>
      <c r="Z60" s="13">
        <v>-120.491825725005</v>
      </c>
      <c r="AA60" s="13">
        <v>-68.186144713843206</v>
      </c>
    </row>
    <row r="61" spans="1:27" x14ac:dyDescent="0.25">
      <c r="A61" s="10" t="s">
        <v>355</v>
      </c>
      <c r="B61" s="10" t="s">
        <v>356</v>
      </c>
      <c r="C61" s="13">
        <v>-8563.6284822503003</v>
      </c>
      <c r="D61" s="13">
        <v>-14458.3612233446</v>
      </c>
      <c r="E61" s="13">
        <v>-17001.563739121699</v>
      </c>
      <c r="F61" s="13">
        <v>-6787.7367470155104</v>
      </c>
      <c r="G61" s="13">
        <v>-133.40080999547499</v>
      </c>
      <c r="H61" s="13">
        <v>-1297.4845327660501</v>
      </c>
      <c r="I61" s="13" t="s">
        <v>76</v>
      </c>
      <c r="J61" s="13">
        <v>-26132.452460850101</v>
      </c>
      <c r="K61" s="13">
        <v>-35034.034314775199</v>
      </c>
      <c r="L61" s="13">
        <v>-696658.01030422002</v>
      </c>
      <c r="M61" s="13">
        <v>-376316.04620174301</v>
      </c>
      <c r="N61" s="13">
        <v>-261442.70544987099</v>
      </c>
      <c r="O61" s="13">
        <v>-515001.79855167901</v>
      </c>
      <c r="P61" s="13">
        <v>-11866382.1084507</v>
      </c>
      <c r="Q61" s="13">
        <v>-15196400.225806501</v>
      </c>
      <c r="R61" s="13">
        <v>-309008.84586308303</v>
      </c>
      <c r="S61" s="13">
        <v>-40510.1988534107</v>
      </c>
      <c r="T61" s="13">
        <v>-9815.7168818592709</v>
      </c>
      <c r="U61" s="13">
        <v>-12261.278146540701</v>
      </c>
      <c r="V61" s="13">
        <v>-3214.3630808162402</v>
      </c>
      <c r="W61" s="13">
        <v>-3177.3813055089699</v>
      </c>
      <c r="X61" s="13">
        <v>-4306.4561816811201</v>
      </c>
      <c r="Y61" s="13">
        <v>-665.77158173463795</v>
      </c>
      <c r="Z61" s="13"/>
      <c r="AA61" s="13"/>
    </row>
    <row r="62" spans="1:27" x14ac:dyDescent="0.25">
      <c r="A62" s="10" t="s">
        <v>357</v>
      </c>
      <c r="B62" s="10" t="s">
        <v>357</v>
      </c>
      <c r="C62" s="13" t="s">
        <v>76</v>
      </c>
      <c r="D62" s="13" t="s">
        <v>76</v>
      </c>
      <c r="E62" s="13" t="s">
        <v>76</v>
      </c>
      <c r="F62" s="13" t="s">
        <v>76</v>
      </c>
      <c r="G62" s="13" t="s">
        <v>76</v>
      </c>
      <c r="H62" s="13" t="s">
        <v>76</v>
      </c>
      <c r="I62" s="13" t="s">
        <v>76</v>
      </c>
      <c r="J62" s="13" t="s">
        <v>76</v>
      </c>
      <c r="K62" s="13" t="s">
        <v>76</v>
      </c>
      <c r="L62" s="13">
        <v>-13177.036310108</v>
      </c>
      <c r="M62" s="13" t="s">
        <v>76</v>
      </c>
      <c r="N62" s="13" t="s">
        <v>76</v>
      </c>
      <c r="O62" s="13" t="s">
        <v>76</v>
      </c>
      <c r="P62" s="13">
        <v>-121802.816901408</v>
      </c>
      <c r="Q62" s="13" t="s">
        <v>76</v>
      </c>
      <c r="R62" s="13" t="s">
        <v>76</v>
      </c>
      <c r="S62" s="13" t="s">
        <v>76</v>
      </c>
      <c r="T62" s="13" t="s">
        <v>76</v>
      </c>
      <c r="U62" s="13" t="s">
        <v>76</v>
      </c>
      <c r="V62" s="13" t="s">
        <v>76</v>
      </c>
      <c r="W62" s="13" t="s">
        <v>76</v>
      </c>
      <c r="X62" s="13" t="s">
        <v>76</v>
      </c>
      <c r="Y62" s="13" t="s">
        <v>76</v>
      </c>
      <c r="Z62" s="13"/>
      <c r="AA62" s="13"/>
    </row>
    <row r="63" spans="1:27" x14ac:dyDescent="0.25">
      <c r="A63" s="10" t="s">
        <v>141</v>
      </c>
      <c r="B63" s="10" t="s">
        <v>141</v>
      </c>
      <c r="C63" s="13">
        <v>-1522.92418772563</v>
      </c>
      <c r="D63" s="13">
        <v>-2352.5701459034799</v>
      </c>
      <c r="E63" s="13">
        <v>-2291.6775032509699</v>
      </c>
      <c r="F63" s="13">
        <v>-944.66907560719005</v>
      </c>
      <c r="G63" s="13">
        <v>-13.8770174468299</v>
      </c>
      <c r="H63" s="13">
        <v>-988.54355834587204</v>
      </c>
      <c r="I63" s="13" t="s">
        <v>76</v>
      </c>
      <c r="J63" s="13">
        <v>-19473.937360178999</v>
      </c>
      <c r="K63" s="13">
        <v>-3222.5776231263399</v>
      </c>
      <c r="L63" s="13">
        <v>-13177.036310108</v>
      </c>
      <c r="M63" s="13">
        <v>-8389.9750933997493</v>
      </c>
      <c r="N63" s="13">
        <v>-6058.5089974293096</v>
      </c>
      <c r="O63" s="13">
        <v>-6592.1000658327903</v>
      </c>
      <c r="P63" s="13">
        <v>-121802.816901408</v>
      </c>
      <c r="Q63" s="13">
        <v>-69020.967741935499</v>
      </c>
      <c r="R63" s="13">
        <v>-3451.7009659806799</v>
      </c>
      <c r="S63" s="13">
        <v>-1040.8853410740201</v>
      </c>
      <c r="T63" s="13">
        <v>-774.74176888315003</v>
      </c>
      <c r="U63" s="13">
        <v>-1055.31018636712</v>
      </c>
      <c r="V63" s="13">
        <v>-423.690303128197</v>
      </c>
      <c r="W63" s="13">
        <v>-548.98453512204196</v>
      </c>
      <c r="X63" s="13">
        <v>-604.10855635129997</v>
      </c>
      <c r="Y63" s="13">
        <v>-94.771682978115805</v>
      </c>
      <c r="Z63" s="13">
        <v>-122.455294794205</v>
      </c>
      <c r="AA63" s="13">
        <v>-42.515964903172197</v>
      </c>
    </row>
    <row r="64" spans="1:27" x14ac:dyDescent="0.25">
      <c r="A64" s="10" t="s">
        <v>358</v>
      </c>
      <c r="B64" s="10" t="s">
        <v>152</v>
      </c>
      <c r="C64" s="13" t="s">
        <v>76</v>
      </c>
      <c r="D64" s="13" t="s">
        <v>76</v>
      </c>
      <c r="E64" s="13" t="s">
        <v>76</v>
      </c>
      <c r="F64" s="13" t="s">
        <v>76</v>
      </c>
      <c r="G64" s="13" t="s">
        <v>76</v>
      </c>
      <c r="H64" s="13" t="s">
        <v>76</v>
      </c>
      <c r="I64" s="13" t="s">
        <v>76</v>
      </c>
      <c r="J64" s="13">
        <v>3978.7997762863502</v>
      </c>
      <c r="K64" s="13" t="s">
        <v>76</v>
      </c>
      <c r="L64" s="13">
        <v>-176874.90186457301</v>
      </c>
      <c r="M64" s="13">
        <v>-8048.8950809464504</v>
      </c>
      <c r="N64" s="13">
        <v>-16825.159742930598</v>
      </c>
      <c r="O64" s="13">
        <v>-979.47393021724804</v>
      </c>
      <c r="P64" s="13" t="s">
        <v>76</v>
      </c>
      <c r="Q64" s="13">
        <v>104058.272580645</v>
      </c>
      <c r="R64" s="13">
        <v>-5522.8630827383504</v>
      </c>
      <c r="S64" s="13">
        <v>40.655457184325101</v>
      </c>
      <c r="T64" s="13">
        <v>212.68328760490601</v>
      </c>
      <c r="U64" s="13">
        <v>-292.9695940771</v>
      </c>
      <c r="V64" s="13">
        <v>-211.360087223389</v>
      </c>
      <c r="W64" s="13">
        <v>-495.482603564996</v>
      </c>
      <c r="X64" s="13">
        <v>-103.805418394271</v>
      </c>
      <c r="Y64" s="13">
        <v>106.020251291503</v>
      </c>
      <c r="Z64" s="13"/>
      <c r="AA64" s="13"/>
    </row>
    <row r="65" spans="1:27" x14ac:dyDescent="0.25">
      <c r="A65" s="10" t="s">
        <v>359</v>
      </c>
      <c r="B65" s="10" t="s">
        <v>360</v>
      </c>
      <c r="C65" s="13">
        <v>-11454.0026173285</v>
      </c>
      <c r="D65" s="13">
        <v>-26403.705342312001</v>
      </c>
      <c r="E65" s="13">
        <v>-22923.652125637698</v>
      </c>
      <c r="F65" s="13">
        <v>-4320.8575035448002</v>
      </c>
      <c r="G65" s="13">
        <v>-6.9772321383679401</v>
      </c>
      <c r="H65" s="13">
        <v>-5129.1628599595297</v>
      </c>
      <c r="I65" s="13" t="s">
        <v>76</v>
      </c>
      <c r="J65" s="13">
        <v>-2178292.7695749402</v>
      </c>
      <c r="K65" s="13">
        <v>-43128.715511242001</v>
      </c>
      <c r="L65" s="13">
        <v>-1293134.0834151099</v>
      </c>
      <c r="M65" s="13">
        <v>-522414.38935242803</v>
      </c>
      <c r="N65" s="13">
        <v>-311491.46514138801</v>
      </c>
      <c r="O65" s="13">
        <v>-433976.30454246199</v>
      </c>
      <c r="P65" s="13">
        <v>-171553263.24084499</v>
      </c>
      <c r="Q65" s="13">
        <v>-111324141.519355</v>
      </c>
      <c r="R65" s="13">
        <v>-144968.54120117601</v>
      </c>
      <c r="S65" s="13">
        <v>-15107.1892743106</v>
      </c>
      <c r="T65" s="13">
        <v>-6251.9510087153003</v>
      </c>
      <c r="U65" s="13">
        <v>-13470.898468215501</v>
      </c>
      <c r="V65" s="13">
        <v>-2281.2162978517199</v>
      </c>
      <c r="W65" s="13">
        <v>-3409.6300540339098</v>
      </c>
      <c r="X65" s="13">
        <v>-5692.69276290991</v>
      </c>
      <c r="Y65" s="13">
        <v>-246.02601957373901</v>
      </c>
      <c r="Z65" s="13">
        <v>-335.33777362380602</v>
      </c>
      <c r="AA65" s="13">
        <v>-73.578673490770996</v>
      </c>
    </row>
    <row r="66" spans="1:27" x14ac:dyDescent="0.25">
      <c r="A66" s="10" t="s">
        <v>361</v>
      </c>
      <c r="B66" s="10" t="s">
        <v>362</v>
      </c>
      <c r="C66" s="13">
        <v>-11065.1057160048</v>
      </c>
      <c r="D66" s="13">
        <v>-25872.8222446689</v>
      </c>
      <c r="E66" s="13">
        <v>-22234.673802140602</v>
      </c>
      <c r="F66" s="13">
        <v>-4290.1732287426203</v>
      </c>
      <c r="G66" s="13">
        <v>-5.7568359394640298</v>
      </c>
      <c r="H66" s="13">
        <v>-5260.4628859025597</v>
      </c>
      <c r="I66" s="13" t="s">
        <v>76</v>
      </c>
      <c r="J66" s="13">
        <v>-1797045.8036912701</v>
      </c>
      <c r="K66" s="13">
        <v>-43285.236683618801</v>
      </c>
      <c r="L66" s="13">
        <v>-1537231.2712463201</v>
      </c>
      <c r="M66" s="13">
        <v>-510217.13405977603</v>
      </c>
      <c r="N66" s="13">
        <v>-317657.64169665799</v>
      </c>
      <c r="O66" s="13">
        <v>-409116.12876892701</v>
      </c>
      <c r="P66" s="13">
        <v>-149544852.21126801</v>
      </c>
      <c r="Q66" s="13">
        <v>-44394640.998387098</v>
      </c>
      <c r="R66" s="13">
        <v>-96107.166484670306</v>
      </c>
      <c r="S66" s="13">
        <v>-13226.505674891099</v>
      </c>
      <c r="T66" s="13">
        <v>-5680.5844496449299</v>
      </c>
      <c r="U66" s="13">
        <v>-14422.6423027827</v>
      </c>
      <c r="V66" s="13">
        <v>-2023.56049641953</v>
      </c>
      <c r="W66" s="13">
        <v>-3139.65086019502</v>
      </c>
      <c r="X66" s="13">
        <v>-5202.4638993592198</v>
      </c>
      <c r="Y66" s="13">
        <v>-193.74176682848301</v>
      </c>
      <c r="Z66" s="13">
        <v>-318.58475829908502</v>
      </c>
      <c r="AA66" s="13">
        <v>-85.708507318166397</v>
      </c>
    </row>
    <row r="67" spans="1:27" x14ac:dyDescent="0.25">
      <c r="A67" s="10" t="s">
        <v>363</v>
      </c>
      <c r="B67" s="10" t="s">
        <v>364</v>
      </c>
      <c r="C67" s="13" t="s">
        <v>76</v>
      </c>
      <c r="D67" s="13" t="s">
        <v>76</v>
      </c>
      <c r="E67" s="13">
        <v>98814.229248774602</v>
      </c>
      <c r="F67" s="13" t="s">
        <v>76</v>
      </c>
      <c r="G67" s="13" t="s">
        <v>76</v>
      </c>
      <c r="H67" s="13" t="s">
        <v>76</v>
      </c>
      <c r="I67" s="13" t="s">
        <v>76</v>
      </c>
      <c r="J67" s="13" t="s">
        <v>76</v>
      </c>
      <c r="K67" s="13" t="s">
        <v>76</v>
      </c>
      <c r="L67" s="13" t="s">
        <v>76</v>
      </c>
      <c r="M67" s="13">
        <v>193050.193026152</v>
      </c>
      <c r="N67" s="13" t="s">
        <v>76</v>
      </c>
      <c r="O67" s="13" t="s">
        <v>76</v>
      </c>
      <c r="P67" s="13" t="s">
        <v>76</v>
      </c>
      <c r="Q67" s="13">
        <v>309597.52258064499</v>
      </c>
      <c r="R67" s="13" t="s">
        <v>76</v>
      </c>
      <c r="S67" s="13" t="s">
        <v>76</v>
      </c>
      <c r="T67" s="13" t="s">
        <v>76</v>
      </c>
      <c r="U67" s="13">
        <v>266666.66667092202</v>
      </c>
      <c r="V67" s="13" t="s">
        <v>76</v>
      </c>
      <c r="W67" s="13" t="s">
        <v>76</v>
      </c>
      <c r="X67" s="13" t="s">
        <v>76</v>
      </c>
      <c r="Y67" s="13">
        <v>403225.80645102699</v>
      </c>
      <c r="Z67" s="13"/>
      <c r="AA67" s="13"/>
    </row>
    <row r="68" spans="1:27" x14ac:dyDescent="0.25">
      <c r="A68" s="10" t="s">
        <v>365</v>
      </c>
      <c r="B68" s="10" t="s">
        <v>242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 t="s">
        <v>76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/>
      <c r="AA68" s="13"/>
    </row>
    <row r="69" spans="1:27" x14ac:dyDescent="0.25">
      <c r="A69" s="10" t="s">
        <v>366</v>
      </c>
      <c r="B69" s="10" t="s">
        <v>367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 t="s">
        <v>76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/>
      <c r="AA69" s="13"/>
    </row>
    <row r="70" spans="1:27" x14ac:dyDescent="0.25">
      <c r="A70" s="10" t="s">
        <v>368</v>
      </c>
      <c r="B70" s="10" t="s">
        <v>369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 t="s">
        <v>76</v>
      </c>
      <c r="J70" s="13" t="s">
        <v>76</v>
      </c>
      <c r="K70" s="13">
        <v>0</v>
      </c>
      <c r="L70" s="13" t="s">
        <v>76</v>
      </c>
      <c r="M70" s="13">
        <v>0</v>
      </c>
      <c r="N70" s="13" t="s">
        <v>76</v>
      </c>
      <c r="O70" s="13">
        <v>0</v>
      </c>
      <c r="P70" s="13" t="s">
        <v>76</v>
      </c>
      <c r="Q70" s="13">
        <v>0</v>
      </c>
      <c r="R70" s="13" t="s">
        <v>76</v>
      </c>
      <c r="S70" s="13">
        <v>0</v>
      </c>
      <c r="T70" s="13" t="s">
        <v>76</v>
      </c>
      <c r="U70" s="13">
        <v>0</v>
      </c>
      <c r="V70" s="13" t="s">
        <v>76</v>
      </c>
      <c r="W70" s="13" t="s">
        <v>76</v>
      </c>
      <c r="X70" s="13" t="s">
        <v>76</v>
      </c>
      <c r="Y70" s="13" t="s">
        <v>76</v>
      </c>
      <c r="Z70" s="13"/>
      <c r="AA70" s="13"/>
    </row>
    <row r="71" spans="1:27" x14ac:dyDescent="0.25">
      <c r="A71" s="10" t="s">
        <v>370</v>
      </c>
      <c r="B71" s="10" t="s">
        <v>371</v>
      </c>
      <c r="C71" s="13" t="s">
        <v>76</v>
      </c>
      <c r="D71" s="13" t="s">
        <v>76</v>
      </c>
      <c r="E71" s="13" t="s">
        <v>76</v>
      </c>
      <c r="F71" s="13" t="s">
        <v>76</v>
      </c>
      <c r="G71" s="13" t="s">
        <v>76</v>
      </c>
      <c r="H71" s="13" t="s">
        <v>76</v>
      </c>
      <c r="I71" s="13" t="s">
        <v>76</v>
      </c>
      <c r="J71" s="13" t="s">
        <v>76</v>
      </c>
      <c r="K71" s="13" t="s">
        <v>76</v>
      </c>
      <c r="L71" s="13">
        <v>587.04612365063804</v>
      </c>
      <c r="M71" s="13" t="s">
        <v>76</v>
      </c>
      <c r="N71" s="13" t="s">
        <v>76</v>
      </c>
      <c r="O71" s="13" t="s">
        <v>76</v>
      </c>
      <c r="P71" s="13">
        <v>1953.52112676056</v>
      </c>
      <c r="Q71" s="13" t="s">
        <v>76</v>
      </c>
      <c r="R71" s="13" t="s">
        <v>76</v>
      </c>
      <c r="S71" s="13" t="s">
        <v>76</v>
      </c>
      <c r="T71" s="13" t="s">
        <v>76</v>
      </c>
      <c r="U71" s="13" t="s">
        <v>76</v>
      </c>
      <c r="V71" s="13" t="s">
        <v>76</v>
      </c>
      <c r="W71" s="13" t="s">
        <v>76</v>
      </c>
      <c r="X71" s="13" t="s">
        <v>76</v>
      </c>
      <c r="Y71" s="13" t="s">
        <v>76</v>
      </c>
      <c r="Z71" s="13"/>
      <c r="AA71" s="13"/>
    </row>
    <row r="72" spans="1:27" x14ac:dyDescent="0.25">
      <c r="A72" s="10" t="s">
        <v>372</v>
      </c>
      <c r="B72" s="10" t="s">
        <v>373</v>
      </c>
      <c r="C72" s="13">
        <v>67.065282791817097</v>
      </c>
      <c r="D72" s="13">
        <v>99.248035914702598</v>
      </c>
      <c r="E72" s="13">
        <v>91.047314194258306</v>
      </c>
      <c r="F72" s="13" t="s">
        <v>76</v>
      </c>
      <c r="G72" s="13" t="s">
        <v>76</v>
      </c>
      <c r="H72" s="13" t="s">
        <v>76</v>
      </c>
      <c r="I72" s="13" t="s">
        <v>76</v>
      </c>
      <c r="J72" s="13" t="s">
        <v>76</v>
      </c>
      <c r="K72" s="13" t="s">
        <v>76</v>
      </c>
      <c r="L72" s="13" t="s">
        <v>76</v>
      </c>
      <c r="M72" s="13" t="s">
        <v>76</v>
      </c>
      <c r="N72" s="13" t="s">
        <v>76</v>
      </c>
      <c r="O72" s="13" t="s">
        <v>76</v>
      </c>
      <c r="P72" s="13" t="s">
        <v>76</v>
      </c>
      <c r="Q72" s="13" t="s">
        <v>76</v>
      </c>
      <c r="R72" s="13">
        <v>347.58504829903399</v>
      </c>
      <c r="S72" s="13">
        <v>90.4789550072569</v>
      </c>
      <c r="T72" s="13">
        <v>48.071336346029703</v>
      </c>
      <c r="U72" s="13" t="s">
        <v>76</v>
      </c>
      <c r="V72" s="13">
        <v>28.315296397997098</v>
      </c>
      <c r="W72" s="13">
        <v>38.314390410533498</v>
      </c>
      <c r="X72" s="13">
        <v>176.338107802488</v>
      </c>
      <c r="Y72" s="13" t="s">
        <v>76</v>
      </c>
      <c r="Z72" s="13"/>
      <c r="AA72" s="13"/>
    </row>
    <row r="73" spans="1:27" x14ac:dyDescent="0.25">
      <c r="A73" s="7" t="s">
        <v>90</v>
      </c>
      <c r="B73" s="7"/>
      <c r="C73" s="7" t="s">
        <v>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592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_xll.BDH("BLUE US Equity","SALES_REV_TURN","FQ3 2019","FQ3 2019","Currency=USD","Period=FQ","BEST_FPERIOD_OVERRIDE=FQ","FILING_STATUS=MR","SCALING_FORMAT=MLN","FA_ADJUSTED=GAAP","Sort=A","Dates=H","DateFormat=P","Fill=—","Direction=H","UseDPDF=Y")</f>
        <v>8.91</v>
      </c>
      <c r="D6" s="19">
        <f>_xll.BDH("BLUE US Equity","SALES_REV_TURN","FQ4 2019","FQ4 2019","Currency=USD","Period=FQ","BEST_FPERIOD_OVERRIDE=FQ","FILING_STATUS=MR","SCALING_FORMAT=MLN","FA_ADJUSTED=GAAP","Sort=A","Dates=H","DateFormat=P","Fill=—","Direction=H","UseDPDF=Y")</f>
        <v>9.9969999999999999</v>
      </c>
      <c r="E6" s="19">
        <f>_xll.BDH("BLUE US Equity","SALES_REV_TURN","FQ1 2020","FQ1 2020","Currency=USD","Period=FQ","BEST_FPERIOD_OVERRIDE=FQ","FILING_STATUS=MR","SCALING_FORMAT=MLN","FA_ADJUSTED=GAAP","Sort=A","Dates=H","DateFormat=P","Fill=—","Direction=H","UseDPDF=Y")</f>
        <v>21.863</v>
      </c>
      <c r="F6" s="19">
        <f>_xll.BDH("BLUE US Equity","SALES_REV_TURN","FQ2 2020","FQ2 2020","Currency=USD","Period=FQ","BEST_FPERIOD_OVERRIDE=FQ","FILING_STATUS=MR","SCALING_FORMAT=MLN","FA_ADJUSTED=GAAP","Sort=A","Dates=H","DateFormat=P","Fill=—","Direction=H","UseDPDF=Y")</f>
        <v>198.89</v>
      </c>
      <c r="G6" s="19">
        <f>_xll.BDH("BLUE US Equity","SALES_REV_TURN","FQ3 2020","FQ3 2020","Currency=USD","Period=FQ","BEST_FPERIOD_OVERRIDE=FQ","FILING_STATUS=MR","SCALING_FORMAT=MLN","FA_ADJUSTED=GAAP","Sort=A","Dates=H","DateFormat=P","Fill=—","Direction=H","UseDPDF=Y")</f>
        <v>19.273</v>
      </c>
      <c r="H6" s="19">
        <f>_xll.BDH("BLUE US Equity","SALES_REV_TURN","FQ4 2020","FQ4 2020","Currency=USD","Period=FQ","BEST_FPERIOD_OVERRIDE=FQ","FILING_STATUS=MR","SCALING_FORMAT=MLN","FA_ADJUSTED=GAAP","Sort=A","Dates=H","DateFormat=P","Fill=—","Direction=H","UseDPDF=Y")</f>
        <v>0</v>
      </c>
      <c r="I6" s="19">
        <f>_xll.BDH("BLUE US Equity","SALES_REV_TURN","FQ1 2021","FQ1 2021","Currency=USD","Period=FQ","BEST_FPERIOD_OVERRIDE=FQ","FILING_STATUS=MR","SCALING_FORMAT=MLN","FA_ADJUSTED=GAAP","Sort=A","Dates=H","DateFormat=P","Fill=—","Direction=H","UseDPDF=Y")</f>
        <v>0.89400000000000002</v>
      </c>
      <c r="J6" s="19">
        <f>_xll.BDH("BLUE US Equity","SALES_REV_TURN","FQ2 2021","FQ2 2021","Currency=USD","Period=FQ","BEST_FPERIOD_OVERRIDE=FQ","FILING_STATUS=MR","SCALING_FORMAT=MLN","FA_ADJUSTED=GAAP","Sort=A","Dates=H","DateFormat=P","Fill=—","Direction=H","UseDPDF=Y")</f>
        <v>7.4720000000000004</v>
      </c>
      <c r="K6" s="19">
        <f>_xll.BDH("BLUE US Equity","SALES_REV_TURN","FQ3 2021","FQ3 2021","Currency=USD","Period=FQ","BEST_FPERIOD_OVERRIDE=FQ","FILING_STATUS=MR","SCALING_FORMAT=MLN","FA_ADJUSTED=GAAP","Sort=A","Dates=H","DateFormat=P","Fill=—","Direction=H","UseDPDF=Y")</f>
        <v>1.0189999999999999</v>
      </c>
      <c r="L6" s="19">
        <f>_xll.BDH("BLUE US Equity","SALES_REV_TURN","FQ4 2021","FQ4 2021","Currency=USD","Period=FQ","BEST_FPERIOD_OVERRIDE=FQ","FILING_STATUS=MR","SCALING_FORMAT=MLN","FA_ADJUSTED=GAAP","Sort=A","Dates=H","DateFormat=P","Fill=—","Direction=H","UseDPDF=Y")</f>
        <v>1.6060000000000001</v>
      </c>
      <c r="M6" s="19">
        <f>_xll.BDH("BLUE US Equity","SALES_REV_TURN","FQ1 2022","FQ1 2022","Currency=USD","Period=FQ","BEST_FPERIOD_OVERRIDE=FQ","FILING_STATUS=MR","SCALING_FORMAT=MLN","FA_ADJUSTED=GAAP","Sort=A","Dates=H","DateFormat=P","Fill=—","Direction=H","UseDPDF=Y")</f>
        <v>1.9450000000000001</v>
      </c>
      <c r="N6" s="19">
        <f>_xll.BDH("BLUE US Equity","SALES_REV_TURN","FQ2 2022","FQ2 2022","Currency=USD","Period=FQ","BEST_FPERIOD_OVERRIDE=FQ","FILING_STATUS=MR","SCALING_FORMAT=MLN","FA_ADJUSTED=GAAP","Sort=A","Dates=H","DateFormat=P","Fill=—","Direction=H","UseDPDF=Y")</f>
        <v>1.5189999999999999</v>
      </c>
      <c r="O6" s="19">
        <f>_xll.BDH("BLUE US Equity","SALES_REV_TURN","FQ3 2022","FQ3 2022","Currency=USD","Period=FQ","BEST_FPERIOD_OVERRIDE=FQ","FILING_STATUS=MR","SCALING_FORMAT=MLN","FA_ADJUSTED=GAAP","Sort=A","Dates=H","DateFormat=P","Fill=—","Direction=H","UseDPDF=Y")</f>
        <v>7.0999999999999994E-2</v>
      </c>
      <c r="P6" s="19">
        <f>_xll.BDH("BLUE US Equity","SALES_REV_TURN","FQ4 2022","FQ4 2022","Currency=USD","Period=FQ","BEST_FPERIOD_OVERRIDE=FQ","FILING_STATUS=MR","SCALING_FORMAT=MLN","FA_ADJUSTED=GAAP","Sort=A","Dates=H","DateFormat=P","Fill=—","Direction=H","UseDPDF=Y")</f>
        <v>6.2E-2</v>
      </c>
      <c r="Q6" s="19">
        <f>_xll.BDH("BLUE US Equity","SALES_REV_TURN","FQ1 2023","FQ1 2023","Currency=USD","Period=FQ","BEST_FPERIOD_OVERRIDE=FQ","FILING_STATUS=MR","SCALING_FORMAT=MLN","FA_ADJUSTED=GAAP","Sort=A","Dates=H","DateFormat=P","Fill=—","Direction=H","UseDPDF=Y")</f>
        <v>2.3809999999999998</v>
      </c>
      <c r="R6" s="19">
        <f>_xll.BDH("BLUE US Equity","SALES_REV_TURN","FQ2 2023","FQ2 2023","Currency=USD","Period=FQ","BEST_FPERIOD_OVERRIDE=FQ","FILING_STATUS=MR","SCALING_FORMAT=MLN","FA_ADJUSTED=GAAP","Sort=A","Dates=H","DateFormat=P","Fill=—","Direction=H","UseDPDF=Y")</f>
        <v>6.89</v>
      </c>
      <c r="S6" s="19">
        <f>_xll.BDH("BLUE US Equity","SALES_REV_TURN","FQ3 2023","FQ3 2023","Currency=USD","Period=FQ","BEST_FPERIOD_OVERRIDE=FQ","FILING_STATUS=MR","SCALING_FORMAT=MLN","FA_ADJUSTED=GAAP","Sort=A","Dates=H","DateFormat=P","Fill=—","Direction=H","UseDPDF=Y")</f>
        <v>12.391999999999999</v>
      </c>
      <c r="T6" s="19">
        <f>_xll.BDH("BLUE US Equity","SALES_REV_TURN","FQ4 2023","FQ4 2023","Currency=USD","Period=FQ","BEST_FPERIOD_OVERRIDE=FQ","FILING_STATUS=MR","SCALING_FORMAT=MLN","FA_ADJUSTED=GAAP","Sort=A","Dates=H","DateFormat=P","Fill=—","Direction=H","UseDPDF=Y")</f>
        <v>7.8339999999999996</v>
      </c>
      <c r="U6" s="19">
        <f>_xll.BDH("BLUE US Equity","SALES_REV_TURN","FQ1 2024","FQ1 2024","Currency=USD","Period=FQ","BEST_FPERIOD_OVERRIDE=FQ","FILING_STATUS=MR","SCALING_FORMAT=MLN","FA_ADJUSTED=GAAP","Sort=A","Dates=H","DateFormat=P","Fill=—","Direction=H","UseDPDF=Y")</f>
        <v>18.573</v>
      </c>
      <c r="V6" s="19">
        <f>_xll.BDH("BLUE US Equity","SALES_REV_TURN","FQ2 2024","FQ2 2024","Currency=USD","Period=FQ","BEST_FPERIOD_OVERRIDE=FQ","FILING_STATUS=MR","SCALING_FORMAT=MLN","FA_ADJUSTED=GAAP","Sort=A","Dates=H","DateFormat=P","Fill=—","Direction=H","UseDPDF=Y")</f>
        <v>16.100999999999999</v>
      </c>
      <c r="W6" s="19">
        <f>_xll.BDH("BLUE US Equity","SALES_REV_TURN","FQ3 2024","FQ3 2024","Currency=USD","Period=FQ","BEST_FPERIOD_OVERRIDE=FQ","FILING_STATUS=MR","SCALING_FORMAT=MLN","FA_ADJUSTED=GAAP","Sort=A","Dates=H","DateFormat=P","Fill=—","Direction=H","UseDPDF=Y")</f>
        <v>10.612</v>
      </c>
      <c r="X6" s="19">
        <f>_xll.BDH("BLUE US Equity","SALES_REV_TURN","FQ4 2024","FQ4 2024","Currency=USD","Period=FQ","BEST_FPERIOD_OVERRIDE=FQ","FILING_STATUS=MR","SCALING_FORMAT=MLN","FA_ADJUSTED=GAAP","Sort=A","Dates=H","DateFormat=P","Fill=—","Direction=H","UseDPDF=Y")</f>
        <v>38.521000000000001</v>
      </c>
      <c r="Y6" s="22">
        <v>83.807000000000002</v>
      </c>
      <c r="Z6" s="19">
        <v>36.517000000000003</v>
      </c>
      <c r="AA6" s="19">
        <v>57.783000000000001</v>
      </c>
    </row>
    <row r="7" spans="1:27" x14ac:dyDescent="0.25">
      <c r="A7" s="10" t="s">
        <v>276</v>
      </c>
      <c r="B7" s="10" t="s">
        <v>277</v>
      </c>
      <c r="C7" s="13" t="s">
        <v>76</v>
      </c>
      <c r="D7" s="13" t="s">
        <v>76</v>
      </c>
      <c r="E7" s="13">
        <v>76.993093354068506</v>
      </c>
      <c r="F7" s="13">
        <v>39.397154205842398</v>
      </c>
      <c r="G7" s="13">
        <v>69.278264930213297</v>
      </c>
      <c r="H7" s="13" t="s">
        <v>76</v>
      </c>
      <c r="I7" s="13">
        <v>80.984340044742694</v>
      </c>
      <c r="J7" s="13">
        <v>71.118843683083497</v>
      </c>
      <c r="K7" s="13">
        <v>75.368007850834204</v>
      </c>
      <c r="L7" s="13">
        <v>84.557907845579095</v>
      </c>
      <c r="M7" s="13">
        <v>72.390745501285295</v>
      </c>
      <c r="N7" s="13">
        <v>87.623436471362695</v>
      </c>
      <c r="O7" s="13">
        <v>0</v>
      </c>
      <c r="P7" s="13">
        <v>0</v>
      </c>
      <c r="Q7" s="13">
        <v>96.430071398571997</v>
      </c>
      <c r="R7" s="13">
        <v>99.230769230769198</v>
      </c>
      <c r="S7" s="13">
        <v>99.104260813427999</v>
      </c>
      <c r="T7" s="13">
        <v>97.664028593311201</v>
      </c>
      <c r="U7" s="13">
        <v>99.935390082377594</v>
      </c>
      <c r="V7" s="13">
        <v>100</v>
      </c>
      <c r="W7" s="13">
        <v>100</v>
      </c>
      <c r="X7" s="13">
        <v>100</v>
      </c>
      <c r="Y7" s="16">
        <v>99.985681386996305</v>
      </c>
      <c r="Z7" s="13"/>
      <c r="AA7" s="13"/>
    </row>
    <row r="8" spans="1:27" x14ac:dyDescent="0.25">
      <c r="A8" s="10" t="s">
        <v>278</v>
      </c>
      <c r="B8" s="10" t="s">
        <v>279</v>
      </c>
      <c r="C8" s="13">
        <v>100</v>
      </c>
      <c r="D8" s="13">
        <v>100</v>
      </c>
      <c r="E8" s="13">
        <v>23.006906645931501</v>
      </c>
      <c r="F8" s="13">
        <v>60.602845794157602</v>
      </c>
      <c r="G8" s="13">
        <v>30.7217350697867</v>
      </c>
      <c r="H8" s="13" t="s">
        <v>76</v>
      </c>
      <c r="I8" s="13">
        <v>19.015659955257298</v>
      </c>
      <c r="J8" s="13">
        <v>28.881156316916499</v>
      </c>
      <c r="K8" s="13">
        <v>24.6319921491659</v>
      </c>
      <c r="L8" s="13">
        <v>15.4420921544209</v>
      </c>
      <c r="M8" s="13">
        <v>27.609254498714701</v>
      </c>
      <c r="N8" s="13">
        <v>12.3765635286373</v>
      </c>
      <c r="O8" s="13">
        <v>100</v>
      </c>
      <c r="P8" s="13">
        <v>100</v>
      </c>
      <c r="Q8" s="13">
        <v>3.5699286014279701</v>
      </c>
      <c r="R8" s="13">
        <v>0.76923076923076905</v>
      </c>
      <c r="S8" s="13">
        <v>0.89573918657198204</v>
      </c>
      <c r="T8" s="13">
        <v>2.33597140668879</v>
      </c>
      <c r="U8" s="13">
        <v>6.4609917622355004E-2</v>
      </c>
      <c r="V8" s="13" t="s">
        <v>76</v>
      </c>
      <c r="W8" s="13" t="s">
        <v>76</v>
      </c>
      <c r="X8" s="13" t="s">
        <v>76</v>
      </c>
      <c r="Y8" s="16"/>
      <c r="Z8" s="13"/>
      <c r="AA8" s="13"/>
    </row>
    <row r="9" spans="1:27" x14ac:dyDescent="0.25">
      <c r="A9" s="10" t="s">
        <v>280</v>
      </c>
      <c r="B9" s="10" t="s">
        <v>281</v>
      </c>
      <c r="C9" s="13" t="s">
        <v>76</v>
      </c>
      <c r="D9" s="13" t="s">
        <v>76</v>
      </c>
      <c r="E9" s="13" t="s">
        <v>76</v>
      </c>
      <c r="F9" s="13" t="s">
        <v>76</v>
      </c>
      <c r="G9" s="13" t="s">
        <v>76</v>
      </c>
      <c r="H9" s="13" t="s">
        <v>76</v>
      </c>
      <c r="I9" s="13">
        <v>64.429530201342303</v>
      </c>
      <c r="J9" s="13" t="s">
        <v>76</v>
      </c>
      <c r="K9" s="13">
        <v>1902.3552502453399</v>
      </c>
      <c r="L9" s="13">
        <v>229.26525529265299</v>
      </c>
      <c r="M9" s="13">
        <v>427.24935732647799</v>
      </c>
      <c r="N9" s="13">
        <v>114.878209348255</v>
      </c>
      <c r="O9" s="13" t="s">
        <v>76</v>
      </c>
      <c r="P9" s="13">
        <v>35.4838709677419</v>
      </c>
      <c r="Q9" s="13">
        <v>231.4993700126</v>
      </c>
      <c r="R9" s="13">
        <v>97.198838896952097</v>
      </c>
      <c r="S9" s="13">
        <v>73.644286636539704</v>
      </c>
      <c r="T9" s="13">
        <v>122.951238192494</v>
      </c>
      <c r="U9" s="13">
        <v>139.25590911538299</v>
      </c>
      <c r="V9" s="13">
        <v>179.77765356189099</v>
      </c>
      <c r="W9" s="13">
        <v>111.015831134565</v>
      </c>
      <c r="X9" s="13">
        <v>59.1599387347161</v>
      </c>
      <c r="Y9" s="16">
        <v>106.649802522462</v>
      </c>
      <c r="Z9" s="13"/>
      <c r="AA9" s="13"/>
    </row>
    <row r="10" spans="1:27" x14ac:dyDescent="0.25">
      <c r="A10" s="10" t="s">
        <v>282</v>
      </c>
      <c r="B10" s="10" t="s">
        <v>283</v>
      </c>
      <c r="C10" s="13" t="s">
        <v>76</v>
      </c>
      <c r="D10" s="13" t="s">
        <v>76</v>
      </c>
      <c r="E10" s="13" t="s">
        <v>76</v>
      </c>
      <c r="F10" s="13" t="s">
        <v>76</v>
      </c>
      <c r="G10" s="13" t="s">
        <v>76</v>
      </c>
      <c r="H10" s="13" t="s">
        <v>76</v>
      </c>
      <c r="I10" s="13">
        <v>64.429530201342303</v>
      </c>
      <c r="J10" s="13" t="s">
        <v>76</v>
      </c>
      <c r="K10" s="13">
        <v>1902.3552502453399</v>
      </c>
      <c r="L10" s="13">
        <v>229.26525529265299</v>
      </c>
      <c r="M10" s="13">
        <v>427.24935732647799</v>
      </c>
      <c r="N10" s="13">
        <v>114.878209348255</v>
      </c>
      <c r="O10" s="13" t="s">
        <v>76</v>
      </c>
      <c r="P10" s="13">
        <v>35.4838709677419</v>
      </c>
      <c r="Q10" s="13">
        <v>231.4993700126</v>
      </c>
      <c r="R10" s="13">
        <v>97.198838896952097</v>
      </c>
      <c r="S10" s="13">
        <v>73.644286636539704</v>
      </c>
      <c r="T10" s="13">
        <v>122.951238192494</v>
      </c>
      <c r="U10" s="13">
        <v>139.25590911538299</v>
      </c>
      <c r="V10" s="13">
        <v>179.77765356189099</v>
      </c>
      <c r="W10" s="13">
        <v>111.015831134565</v>
      </c>
      <c r="X10" s="13">
        <v>59.1599387347161</v>
      </c>
      <c r="Y10" s="16">
        <v>106.649802522462</v>
      </c>
      <c r="Z10" s="13"/>
      <c r="AA10" s="13"/>
    </row>
    <row r="11" spans="1:27" x14ac:dyDescent="0.25">
      <c r="A11" s="6" t="s">
        <v>2</v>
      </c>
      <c r="B11" s="6" t="s">
        <v>74</v>
      </c>
      <c r="C11" s="19" t="s">
        <v>76</v>
      </c>
      <c r="D11" s="19" t="s">
        <v>76</v>
      </c>
      <c r="E11" s="19" t="s">
        <v>76</v>
      </c>
      <c r="F11" s="19" t="s">
        <v>76</v>
      </c>
      <c r="G11" s="19" t="s">
        <v>76</v>
      </c>
      <c r="H11" s="19" t="s">
        <v>76</v>
      </c>
      <c r="I11" s="19">
        <v>35.570469798657697</v>
      </c>
      <c r="J11" s="19" t="s">
        <v>76</v>
      </c>
      <c r="K11" s="19">
        <v>-1802.3552502453399</v>
      </c>
      <c r="L11" s="19">
        <v>-129.26525529265299</v>
      </c>
      <c r="M11" s="19">
        <v>-327.24935732647799</v>
      </c>
      <c r="N11" s="19">
        <v>-14.8782093482554</v>
      </c>
      <c r="O11" s="19" t="s">
        <v>76</v>
      </c>
      <c r="P11" s="19">
        <v>64.516129032258107</v>
      </c>
      <c r="Q11" s="19">
        <v>-131.4993700126</v>
      </c>
      <c r="R11" s="19">
        <v>2.8011611030479</v>
      </c>
      <c r="S11" s="19">
        <v>26.3557133634603</v>
      </c>
      <c r="T11" s="19">
        <v>-22.951238192494301</v>
      </c>
      <c r="U11" s="19">
        <v>-39.2559091153826</v>
      </c>
      <c r="V11" s="19">
        <v>-79.777653561890602</v>
      </c>
      <c r="W11" s="19">
        <v>-11.0158311345646</v>
      </c>
      <c r="X11" s="19">
        <v>40.8400612652839</v>
      </c>
      <c r="Y11" s="22">
        <v>-6.6498027443608496</v>
      </c>
      <c r="Z11" s="19"/>
      <c r="AA11" s="19"/>
    </row>
    <row r="12" spans="1:27" x14ac:dyDescent="0.25">
      <c r="A12" s="10" t="s">
        <v>284</v>
      </c>
      <c r="B12" s="10" t="s">
        <v>285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 t="s">
        <v>76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6">
        <v>0</v>
      </c>
      <c r="Z12" s="13"/>
      <c r="AA12" s="13"/>
    </row>
    <row r="13" spans="1:27" x14ac:dyDescent="0.25">
      <c r="A13" s="10" t="s">
        <v>286</v>
      </c>
      <c r="B13" s="10" t="s">
        <v>287</v>
      </c>
      <c r="C13" s="13">
        <v>2461.5712682379299</v>
      </c>
      <c r="D13" s="13">
        <v>2406.0318095428602</v>
      </c>
      <c r="E13" s="13">
        <v>1030.4532772263599</v>
      </c>
      <c r="F13" s="13">
        <v>113.044899190507</v>
      </c>
      <c r="G13" s="13">
        <v>1084.2473927255701</v>
      </c>
      <c r="H13" s="13" t="s">
        <v>76</v>
      </c>
      <c r="I13" s="13">
        <v>16377.1812080537</v>
      </c>
      <c r="J13" s="13">
        <v>3323.2066381156301</v>
      </c>
      <c r="K13" s="13">
        <v>13354.5632973503</v>
      </c>
      <c r="L13" s="13">
        <v>8318.2440846824393</v>
      </c>
      <c r="M13" s="13">
        <v>5860.2056555269901</v>
      </c>
      <c r="N13" s="13">
        <v>7055.5628703094098</v>
      </c>
      <c r="O13" s="13">
        <v>119509.85915493</v>
      </c>
      <c r="P13" s="13">
        <v>-100487.096774194</v>
      </c>
      <c r="Q13" s="13">
        <v>-582.78034439311205</v>
      </c>
      <c r="R13" s="13">
        <v>1043.68650217707</v>
      </c>
      <c r="S13" s="13">
        <v>801.09748224661098</v>
      </c>
      <c r="T13" s="13">
        <v>1032.3589481746201</v>
      </c>
      <c r="U13" s="13">
        <v>384.43439401281398</v>
      </c>
      <c r="V13" s="13">
        <v>469.20688156015098</v>
      </c>
      <c r="W13" s="13">
        <v>619.58160572936299</v>
      </c>
      <c r="X13" s="13">
        <v>135.484540899769</v>
      </c>
      <c r="Y13" s="16">
        <v>316.06906344338802</v>
      </c>
      <c r="Z13" s="13"/>
      <c r="AA13" s="13"/>
    </row>
    <row r="14" spans="1:27" x14ac:dyDescent="0.25">
      <c r="A14" s="10" t="s">
        <v>288</v>
      </c>
      <c r="B14" s="10" t="s">
        <v>289</v>
      </c>
      <c r="C14" s="13">
        <v>743.54657687991005</v>
      </c>
      <c r="D14" s="13">
        <v>762.24867460238102</v>
      </c>
      <c r="E14" s="13">
        <v>335.03178886703603</v>
      </c>
      <c r="F14" s="13">
        <v>34.505505555834901</v>
      </c>
      <c r="G14" s="13">
        <v>353.06387173766399</v>
      </c>
      <c r="H14" s="13" t="s">
        <v>76</v>
      </c>
      <c r="I14" s="13">
        <v>7110.6263982102901</v>
      </c>
      <c r="J14" s="13">
        <v>1051.60599571734</v>
      </c>
      <c r="K14" s="13">
        <v>4144.1609421001003</v>
      </c>
      <c r="L14" s="13">
        <v>3312.9514321295101</v>
      </c>
      <c r="M14" s="13">
        <v>1856.3496143958901</v>
      </c>
      <c r="N14" s="13">
        <v>2415.6682027649799</v>
      </c>
      <c r="O14" s="13">
        <v>47045.070422535202</v>
      </c>
      <c r="P14" s="13">
        <v>55038.7096774194</v>
      </c>
      <c r="Q14" s="13">
        <v>1573.58252834943</v>
      </c>
      <c r="R14" s="13">
        <v>587.25689404934701</v>
      </c>
      <c r="S14" s="13">
        <v>329.01065203357001</v>
      </c>
      <c r="T14" s="13">
        <v>601.27648710747997</v>
      </c>
      <c r="U14" s="13">
        <v>249.442739460507</v>
      </c>
      <c r="V14" s="13">
        <v>312.93087385876697</v>
      </c>
      <c r="W14" s="13">
        <v>374.71730116848897</v>
      </c>
      <c r="X14" s="13">
        <v>81.500999454842798</v>
      </c>
      <c r="Y14" s="16">
        <v>200.31023661507999</v>
      </c>
      <c r="Z14" s="13"/>
      <c r="AA14" s="13"/>
    </row>
    <row r="15" spans="1:27" x14ac:dyDescent="0.25">
      <c r="A15" s="11" t="s">
        <v>290</v>
      </c>
      <c r="B15" s="11" t="s">
        <v>291</v>
      </c>
      <c r="C15" s="25">
        <v>743.54657687991005</v>
      </c>
      <c r="D15" s="25" t="s">
        <v>76</v>
      </c>
      <c r="E15" s="25" t="s">
        <v>76</v>
      </c>
      <c r="F15" s="25" t="s">
        <v>76</v>
      </c>
      <c r="G15" s="25" t="s">
        <v>76</v>
      </c>
      <c r="H15" s="25" t="s">
        <v>76</v>
      </c>
      <c r="I15" s="25" t="s">
        <v>76</v>
      </c>
      <c r="J15" s="25" t="s">
        <v>76</v>
      </c>
      <c r="K15" s="25" t="s">
        <v>76</v>
      </c>
      <c r="L15" s="25" t="s">
        <v>76</v>
      </c>
      <c r="M15" s="25" t="s">
        <v>76</v>
      </c>
      <c r="N15" s="25" t="s">
        <v>76</v>
      </c>
      <c r="O15" s="25" t="s">
        <v>76</v>
      </c>
      <c r="P15" s="25" t="s">
        <v>76</v>
      </c>
      <c r="Q15" s="25" t="s">
        <v>76</v>
      </c>
      <c r="R15" s="25" t="s">
        <v>76</v>
      </c>
      <c r="S15" s="25" t="s">
        <v>76</v>
      </c>
      <c r="T15" s="25" t="s">
        <v>76</v>
      </c>
      <c r="U15" s="25" t="s">
        <v>76</v>
      </c>
      <c r="V15" s="25" t="s">
        <v>76</v>
      </c>
      <c r="W15" s="25" t="s">
        <v>76</v>
      </c>
      <c r="X15" s="25" t="s">
        <v>76</v>
      </c>
      <c r="Y15" s="28"/>
      <c r="Z15" s="25"/>
      <c r="AA15" s="25"/>
    </row>
    <row r="16" spans="1:27" x14ac:dyDescent="0.25">
      <c r="A16" s="10" t="s">
        <v>292</v>
      </c>
      <c r="B16" s="10" t="s">
        <v>375</v>
      </c>
      <c r="C16" s="13">
        <v>1699.34904601571</v>
      </c>
      <c r="D16" s="13">
        <v>1618.6956086826001</v>
      </c>
      <c r="E16" s="13">
        <v>704.94900059461202</v>
      </c>
      <c r="F16" s="13">
        <v>78.590175473879995</v>
      </c>
      <c r="G16" s="13">
        <v>728.64110413531898</v>
      </c>
      <c r="H16" s="13" t="s">
        <v>76</v>
      </c>
      <c r="I16" s="13">
        <v>9266.5548098433992</v>
      </c>
      <c r="J16" s="13">
        <v>1931.41059957173</v>
      </c>
      <c r="K16" s="13">
        <v>7230.5201177625104</v>
      </c>
      <c r="L16" s="13">
        <v>4942.96388542964</v>
      </c>
      <c r="M16" s="13">
        <v>4003.85604113111</v>
      </c>
      <c r="N16" s="13">
        <v>4202.83080974325</v>
      </c>
      <c r="O16" s="13">
        <v>74857.746478873203</v>
      </c>
      <c r="P16" s="13">
        <v>8990.3225806451592</v>
      </c>
      <c r="Q16" s="13">
        <v>1746.61906761865</v>
      </c>
      <c r="R16" s="13">
        <v>456.429608127721</v>
      </c>
      <c r="S16" s="13">
        <v>472.08683021304103</v>
      </c>
      <c r="T16" s="13">
        <v>431.08246106714302</v>
      </c>
      <c r="U16" s="13">
        <v>134.99165455230701</v>
      </c>
      <c r="V16" s="13">
        <v>156.276007701385</v>
      </c>
      <c r="W16" s="13">
        <v>218.375424048247</v>
      </c>
      <c r="X16" s="13">
        <v>54.1107447885569</v>
      </c>
      <c r="Y16" s="16">
        <v>112.463159401959</v>
      </c>
      <c r="Z16" s="13"/>
      <c r="AA16" s="13"/>
    </row>
    <row r="17" spans="1:27" x14ac:dyDescent="0.25">
      <c r="A17" s="10" t="s">
        <v>294</v>
      </c>
      <c r="B17" s="10" t="s">
        <v>376</v>
      </c>
      <c r="C17" s="13">
        <v>18.675645342311999</v>
      </c>
      <c r="D17" s="13">
        <v>25.0875262578774</v>
      </c>
      <c r="E17" s="13">
        <v>-9.5275122352833606</v>
      </c>
      <c r="F17" s="13">
        <v>-5.0781839207602202E-2</v>
      </c>
      <c r="G17" s="13">
        <v>2.5424168525917099</v>
      </c>
      <c r="H17" s="13" t="s">
        <v>76</v>
      </c>
      <c r="I17" s="13">
        <v>0</v>
      </c>
      <c r="J17" s="13">
        <v>340.19004282655197</v>
      </c>
      <c r="K17" s="13">
        <v>1979.88223748773</v>
      </c>
      <c r="L17" s="13">
        <v>62.328767123287697</v>
      </c>
      <c r="M17" s="13">
        <v>0</v>
      </c>
      <c r="N17" s="13">
        <v>437.06385780118501</v>
      </c>
      <c r="O17" s="13">
        <v>-2392.9577464788699</v>
      </c>
      <c r="P17" s="13">
        <v>-164516.129032258</v>
      </c>
      <c r="Q17" s="13">
        <v>-3902.98194036119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26.488880512627201</v>
      </c>
      <c r="X17" s="13">
        <v>-0.12720334363074701</v>
      </c>
      <c r="Y17" s="16">
        <v>3.2956674263486301</v>
      </c>
      <c r="Z17" s="13"/>
      <c r="AA17" s="13"/>
    </row>
    <row r="18" spans="1:27" x14ac:dyDescent="0.25">
      <c r="A18" s="6" t="s">
        <v>296</v>
      </c>
      <c r="B18" s="6" t="s">
        <v>99</v>
      </c>
      <c r="C18" s="19">
        <v>-2361.5712682379299</v>
      </c>
      <c r="D18" s="19">
        <v>-2306.0318095428602</v>
      </c>
      <c r="E18" s="19">
        <v>-930.45327722636398</v>
      </c>
      <c r="F18" s="19">
        <v>-13.0448991905073</v>
      </c>
      <c r="G18" s="19">
        <v>-984.24739272557497</v>
      </c>
      <c r="H18" s="19" t="s">
        <v>76</v>
      </c>
      <c r="I18" s="19">
        <v>-16341.610738255</v>
      </c>
      <c r="J18" s="19">
        <v>-3223.2066381156301</v>
      </c>
      <c r="K18" s="19">
        <v>-15156.9185475957</v>
      </c>
      <c r="L18" s="19">
        <v>-8447.5093399750895</v>
      </c>
      <c r="M18" s="19">
        <v>-6187.4550128534702</v>
      </c>
      <c r="N18" s="19">
        <v>-7070.4410796576703</v>
      </c>
      <c r="O18" s="19">
        <v>-119409.85915493</v>
      </c>
      <c r="P18" s="19">
        <v>100551.61290322601</v>
      </c>
      <c r="Q18" s="19">
        <v>451.28097438051202</v>
      </c>
      <c r="R18" s="19">
        <v>-1040.8853410740201</v>
      </c>
      <c r="S18" s="19">
        <v>-774.74176888315003</v>
      </c>
      <c r="T18" s="19">
        <v>-1055.31018636712</v>
      </c>
      <c r="U18" s="19">
        <v>-423.690303128197</v>
      </c>
      <c r="V18" s="19">
        <v>-548.98453512204196</v>
      </c>
      <c r="W18" s="19">
        <v>-630.59743686392801</v>
      </c>
      <c r="X18" s="19">
        <v>-94.644479634485094</v>
      </c>
      <c r="Y18" s="22">
        <v>-322.71886596585</v>
      </c>
      <c r="Z18" s="19">
        <v>-122.455294794205</v>
      </c>
      <c r="AA18" s="19">
        <v>-42.515964903172197</v>
      </c>
    </row>
    <row r="19" spans="1:27" x14ac:dyDescent="0.25">
      <c r="A19" s="10" t="s">
        <v>297</v>
      </c>
      <c r="B19" s="10" t="s">
        <v>377</v>
      </c>
      <c r="C19" s="13">
        <v>-46.2289562289562</v>
      </c>
      <c r="D19" s="13">
        <v>-73.922176652995901</v>
      </c>
      <c r="E19" s="13">
        <v>-4.1531354342953897</v>
      </c>
      <c r="F19" s="13">
        <v>-2.2575292875458799</v>
      </c>
      <c r="G19" s="13">
        <v>24.5005966896695</v>
      </c>
      <c r="H19" s="13" t="s">
        <v>76</v>
      </c>
      <c r="I19" s="13">
        <v>-2757.9418344518999</v>
      </c>
      <c r="J19" s="13">
        <v>8.6723768736616709</v>
      </c>
      <c r="K19" s="13">
        <v>-147.399411187439</v>
      </c>
      <c r="L19" s="13">
        <v>-213.511830635118</v>
      </c>
      <c r="M19" s="13">
        <v>92.853470437018004</v>
      </c>
      <c r="N19" s="13">
        <v>-478.077682685978</v>
      </c>
      <c r="O19" s="13">
        <v>-11645.0704225352</v>
      </c>
      <c r="P19" s="13">
        <v>-10058.064516128999</v>
      </c>
      <c r="Q19" s="13">
        <v>-343.763124737505</v>
      </c>
      <c r="R19" s="13">
        <v>-128.41799709724199</v>
      </c>
      <c r="S19" s="13">
        <v>-70.803744351194297</v>
      </c>
      <c r="T19" s="13">
        <v>75.146796017360202</v>
      </c>
      <c r="U19" s="13">
        <v>-47.8544123189576</v>
      </c>
      <c r="V19" s="13">
        <v>-43.599776411402999</v>
      </c>
      <c r="W19" s="13">
        <v>-57.039200904636303</v>
      </c>
      <c r="X19" s="13">
        <v>-20.391474779990101</v>
      </c>
      <c r="Y19" s="16">
        <v>-35.576980443161098</v>
      </c>
      <c r="Z19" s="13"/>
      <c r="AA19" s="13"/>
    </row>
    <row r="20" spans="1:27" x14ac:dyDescent="0.25">
      <c r="A20" s="10" t="s">
        <v>299</v>
      </c>
      <c r="B20" s="10" t="s">
        <v>300</v>
      </c>
      <c r="C20" s="13">
        <v>-94.466891133557795</v>
      </c>
      <c r="D20" s="13">
        <v>-68.570571171351403</v>
      </c>
      <c r="E20" s="13">
        <v>-24.493436399396199</v>
      </c>
      <c r="F20" s="13">
        <v>-1.4777012418925</v>
      </c>
      <c r="G20" s="13">
        <v>-10.1904218336533</v>
      </c>
      <c r="H20" s="13" t="s">
        <v>76</v>
      </c>
      <c r="I20" s="13">
        <v>-39.709172259507802</v>
      </c>
      <c r="J20" s="13">
        <v>-5.8752676659528902</v>
      </c>
      <c r="K20" s="13">
        <v>-15.701668302257101</v>
      </c>
      <c r="L20" s="13">
        <v>-9.0909090909090899</v>
      </c>
      <c r="M20" s="13">
        <v>-5.4498714652956304</v>
      </c>
      <c r="N20" s="13">
        <v>-11.454904542462099</v>
      </c>
      <c r="O20" s="13">
        <v>-539.43661971831</v>
      </c>
      <c r="P20" s="13">
        <v>9601.6129032258104</v>
      </c>
      <c r="Q20" s="13">
        <v>60.562788744225102</v>
      </c>
      <c r="R20" s="13">
        <v>15.544267053701001</v>
      </c>
      <c r="S20" s="13">
        <v>14.985474499677199</v>
      </c>
      <c r="T20" s="13">
        <v>184.350268062293</v>
      </c>
      <c r="U20" s="13">
        <v>12.2597318688419</v>
      </c>
      <c r="V20" s="13">
        <v>16.247438047326298</v>
      </c>
      <c r="W20" s="13">
        <v>38.993592159819102</v>
      </c>
      <c r="X20" s="13">
        <v>13.836608603099601</v>
      </c>
      <c r="Y20" s="16">
        <v>17.135800112162499</v>
      </c>
      <c r="Z20" s="13"/>
      <c r="AA20" s="13"/>
    </row>
    <row r="21" spans="1:27" x14ac:dyDescent="0.25">
      <c r="A21" s="11" t="s">
        <v>301</v>
      </c>
      <c r="B21" s="11" t="s">
        <v>302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 t="s">
        <v>76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10196.774193548399</v>
      </c>
      <c r="Q21" s="25">
        <v>179.33641327173501</v>
      </c>
      <c r="R21" s="25">
        <v>54.426705370101601</v>
      </c>
      <c r="S21" s="25">
        <v>34.7885732730794</v>
      </c>
      <c r="T21" s="25">
        <v>208.74393668623901</v>
      </c>
      <c r="U21" s="25">
        <v>26.145479997846302</v>
      </c>
      <c r="V21" s="25">
        <v>33.867461648344801</v>
      </c>
      <c r="W21" s="25">
        <v>54.447794949114197</v>
      </c>
      <c r="X21" s="25">
        <v>16.853145037771601</v>
      </c>
      <c r="Y21" s="28">
        <v>26.941663584187499</v>
      </c>
      <c r="Z21" s="25"/>
      <c r="AA21" s="25"/>
    </row>
    <row r="22" spans="1:27" x14ac:dyDescent="0.25">
      <c r="A22" s="11" t="s">
        <v>303</v>
      </c>
      <c r="B22" s="11" t="s">
        <v>304</v>
      </c>
      <c r="C22" s="25">
        <v>94.466891133557795</v>
      </c>
      <c r="D22" s="25">
        <v>68.570571171351403</v>
      </c>
      <c r="E22" s="25">
        <v>24.493436399396199</v>
      </c>
      <c r="F22" s="25">
        <v>1.4777012418925</v>
      </c>
      <c r="G22" s="25">
        <v>10.1904218336533</v>
      </c>
      <c r="H22" s="25" t="s">
        <v>76</v>
      </c>
      <c r="I22" s="25">
        <v>39.709172259507802</v>
      </c>
      <c r="J22" s="25">
        <v>5.8752676659528902</v>
      </c>
      <c r="K22" s="25">
        <v>15.701668302257101</v>
      </c>
      <c r="L22" s="25">
        <v>9.0909090909090899</v>
      </c>
      <c r="M22" s="25">
        <v>5.4498714652956304</v>
      </c>
      <c r="N22" s="25">
        <v>11.454904542462099</v>
      </c>
      <c r="O22" s="25">
        <v>539.43661971831</v>
      </c>
      <c r="P22" s="25">
        <v>595.16129032258095</v>
      </c>
      <c r="Q22" s="25">
        <v>118.773624527509</v>
      </c>
      <c r="R22" s="25">
        <v>38.882438316400602</v>
      </c>
      <c r="S22" s="25">
        <v>19.803098773402201</v>
      </c>
      <c r="T22" s="25">
        <v>24.393668623946901</v>
      </c>
      <c r="U22" s="25">
        <v>13.885748129004501</v>
      </c>
      <c r="V22" s="25">
        <v>17.620023601018602</v>
      </c>
      <c r="W22" s="25">
        <v>15.454202789295101</v>
      </c>
      <c r="X22" s="25">
        <v>3.0165364346720001</v>
      </c>
      <c r="Y22" s="28">
        <v>9.8058634720250097</v>
      </c>
      <c r="Z22" s="25"/>
      <c r="AA22" s="25"/>
    </row>
    <row r="23" spans="1:27" x14ac:dyDescent="0.25">
      <c r="A23" s="10" t="s">
        <v>305</v>
      </c>
      <c r="B23" s="10" t="s">
        <v>378</v>
      </c>
      <c r="C23" s="13">
        <v>48.237934904601602</v>
      </c>
      <c r="D23" s="13">
        <v>-5.3516054816444898</v>
      </c>
      <c r="E23" s="13">
        <v>20.340300965100901</v>
      </c>
      <c r="F23" s="13">
        <v>-0.77982804565337605</v>
      </c>
      <c r="G23" s="13">
        <v>34.691018523322803</v>
      </c>
      <c r="H23" s="13" t="s">
        <v>76</v>
      </c>
      <c r="I23" s="13">
        <v>-2718.2326621923899</v>
      </c>
      <c r="J23" s="13">
        <v>14.5476445396146</v>
      </c>
      <c r="K23" s="13">
        <v>-131.69774288518201</v>
      </c>
      <c r="L23" s="13">
        <v>-204.42092154420899</v>
      </c>
      <c r="M23" s="13">
        <v>98.303341902313605</v>
      </c>
      <c r="N23" s="13">
        <v>-466.62277814351597</v>
      </c>
      <c r="O23" s="13">
        <v>-11105.633802816899</v>
      </c>
      <c r="P23" s="13">
        <v>-19659.677419354801</v>
      </c>
      <c r="Q23" s="13">
        <v>-404.32591348173003</v>
      </c>
      <c r="R23" s="13">
        <v>-143.96226415094301</v>
      </c>
      <c r="S23" s="13">
        <v>-85.789218850871507</v>
      </c>
      <c r="T23" s="13">
        <v>-109.203472044932</v>
      </c>
      <c r="U23" s="13">
        <v>-60.114144187799504</v>
      </c>
      <c r="V23" s="13">
        <v>-59.847214458729297</v>
      </c>
      <c r="W23" s="13">
        <v>-96.032793064455305</v>
      </c>
      <c r="X23" s="13">
        <v>-34.228083383089697</v>
      </c>
      <c r="Y23" s="16">
        <v>-52.712780555323498</v>
      </c>
      <c r="Z23" s="13"/>
      <c r="AA23" s="13"/>
    </row>
    <row r="24" spans="1:27" x14ac:dyDescent="0.25">
      <c r="A24" s="6" t="s">
        <v>379</v>
      </c>
      <c r="B24" s="6" t="s">
        <v>157</v>
      </c>
      <c r="C24" s="19">
        <v>-2315.3423120089801</v>
      </c>
      <c r="D24" s="19">
        <v>-2232.1096328898702</v>
      </c>
      <c r="E24" s="19">
        <v>-926.30014179206898</v>
      </c>
      <c r="F24" s="19">
        <v>-10.7873699029614</v>
      </c>
      <c r="G24" s="19">
        <v>-1008.74798941524</v>
      </c>
      <c r="H24" s="19" t="s">
        <v>76</v>
      </c>
      <c r="I24" s="19">
        <v>-13583.6689038031</v>
      </c>
      <c r="J24" s="19">
        <v>-3231.8790149892902</v>
      </c>
      <c r="K24" s="19">
        <v>-15009.5191364082</v>
      </c>
      <c r="L24" s="19">
        <v>-8233.9975093399698</v>
      </c>
      <c r="M24" s="19">
        <v>-6280.3084832904897</v>
      </c>
      <c r="N24" s="19">
        <v>-6592.3633969716902</v>
      </c>
      <c r="O24" s="19">
        <v>-107764.78873239399</v>
      </c>
      <c r="P24" s="19">
        <v>110609.67741935499</v>
      </c>
      <c r="Q24" s="19">
        <v>795.04409911801804</v>
      </c>
      <c r="R24" s="19">
        <v>-912.46734397677801</v>
      </c>
      <c r="S24" s="19">
        <v>-703.93802453195599</v>
      </c>
      <c r="T24" s="19">
        <v>-1130.4569823844799</v>
      </c>
      <c r="U24" s="19">
        <v>-375.835890809239</v>
      </c>
      <c r="V24" s="19">
        <v>-505.38475871063901</v>
      </c>
      <c r="W24" s="19">
        <v>-573.55823595929098</v>
      </c>
      <c r="X24" s="19">
        <v>-74.253004854494904</v>
      </c>
      <c r="Y24" s="22">
        <v>-287.141889855969</v>
      </c>
      <c r="Z24" s="19">
        <v>-115.507845660925</v>
      </c>
      <c r="AA24" s="19">
        <v>-31.4729245625876</v>
      </c>
    </row>
    <row r="25" spans="1:27" x14ac:dyDescent="0.25">
      <c r="A25" s="10" t="s">
        <v>319</v>
      </c>
      <c r="B25" s="10" t="s">
        <v>320</v>
      </c>
      <c r="C25" s="13">
        <v>-2.9629629629629601</v>
      </c>
      <c r="D25" s="13">
        <v>2.03060918275483</v>
      </c>
      <c r="E25" s="13">
        <v>0.42995014407903798</v>
      </c>
      <c r="F25" s="13">
        <v>5.0279048720398203E-3</v>
      </c>
      <c r="G25" s="13">
        <v>1.7070513153115801</v>
      </c>
      <c r="H25" s="13" t="s">
        <v>76</v>
      </c>
      <c r="I25" s="13">
        <v>7.3825503355704702</v>
      </c>
      <c r="J25" s="13">
        <v>2.8907922912205599</v>
      </c>
      <c r="K25" s="13">
        <v>-11.0893032384691</v>
      </c>
      <c r="L25" s="13">
        <v>5.5417185554171802</v>
      </c>
      <c r="M25" s="13">
        <v>0</v>
      </c>
      <c r="N25" s="13">
        <v>0</v>
      </c>
      <c r="O25" s="13">
        <v>9.8591549295774694</v>
      </c>
      <c r="P25" s="13">
        <v>177.41935483871001</v>
      </c>
      <c r="Q25" s="13">
        <v>0</v>
      </c>
      <c r="R25" s="13">
        <v>-1.1611030478955</v>
      </c>
      <c r="S25" s="13">
        <v>0</v>
      </c>
      <c r="T25" s="13">
        <v>-0.58718406944089896</v>
      </c>
      <c r="U25" s="13">
        <v>0</v>
      </c>
      <c r="V25" s="13">
        <v>0.13042668157257301</v>
      </c>
      <c r="W25" s="13">
        <v>-0.54655107425556004</v>
      </c>
      <c r="X25" s="13">
        <v>0.27777056670387601</v>
      </c>
      <c r="Y25" s="16">
        <v>8.3525242521507698E-2</v>
      </c>
      <c r="Z25" s="13"/>
      <c r="AA25" s="13"/>
    </row>
    <row r="26" spans="1:27" x14ac:dyDescent="0.25">
      <c r="A26" s="10" t="s">
        <v>321</v>
      </c>
      <c r="B26" s="10" t="s">
        <v>322</v>
      </c>
      <c r="C26" s="13" t="s">
        <v>76</v>
      </c>
      <c r="D26" s="13" t="s">
        <v>76</v>
      </c>
      <c r="E26" s="13" t="s">
        <v>76</v>
      </c>
      <c r="F26" s="13" t="s">
        <v>76</v>
      </c>
      <c r="G26" s="13" t="s">
        <v>76</v>
      </c>
      <c r="H26" s="13" t="s">
        <v>76</v>
      </c>
      <c r="I26" s="13" t="s">
        <v>76</v>
      </c>
      <c r="J26" s="13" t="s">
        <v>76</v>
      </c>
      <c r="K26" s="13" t="s">
        <v>76</v>
      </c>
      <c r="L26" s="13" t="s">
        <v>76</v>
      </c>
      <c r="M26" s="13" t="s">
        <v>76</v>
      </c>
      <c r="N26" s="13">
        <v>0</v>
      </c>
      <c r="O26" s="13" t="s">
        <v>76</v>
      </c>
      <c r="P26" s="13">
        <v>177.41935483871001</v>
      </c>
      <c r="Q26" s="13">
        <v>0</v>
      </c>
      <c r="R26" s="13" t="s">
        <v>76</v>
      </c>
      <c r="S26" s="13" t="s">
        <v>76</v>
      </c>
      <c r="T26" s="13" t="s">
        <v>76</v>
      </c>
      <c r="U26" s="13">
        <v>0</v>
      </c>
      <c r="V26" s="13" t="s">
        <v>76</v>
      </c>
      <c r="W26" s="13" t="s">
        <v>76</v>
      </c>
      <c r="X26" s="13" t="s">
        <v>76</v>
      </c>
      <c r="Y26" s="16"/>
      <c r="Z26" s="13"/>
      <c r="AA26" s="13"/>
    </row>
    <row r="27" spans="1:27" x14ac:dyDescent="0.25">
      <c r="A27" s="10" t="s">
        <v>323</v>
      </c>
      <c r="B27" s="10" t="s">
        <v>324</v>
      </c>
      <c r="C27" s="13" t="s">
        <v>76</v>
      </c>
      <c r="D27" s="13" t="s">
        <v>76</v>
      </c>
      <c r="E27" s="13" t="s">
        <v>76</v>
      </c>
      <c r="F27" s="13" t="s">
        <v>76</v>
      </c>
      <c r="G27" s="13" t="s">
        <v>76</v>
      </c>
      <c r="H27" s="13" t="s">
        <v>76</v>
      </c>
      <c r="I27" s="13" t="s">
        <v>76</v>
      </c>
      <c r="J27" s="13" t="s">
        <v>76</v>
      </c>
      <c r="K27" s="13" t="s">
        <v>76</v>
      </c>
      <c r="L27" s="13" t="s">
        <v>76</v>
      </c>
      <c r="M27" s="13" t="s">
        <v>76</v>
      </c>
      <c r="N27" s="13">
        <v>0</v>
      </c>
      <c r="O27" s="13" t="s">
        <v>76</v>
      </c>
      <c r="P27" s="13" t="s">
        <v>76</v>
      </c>
      <c r="Q27" s="13">
        <v>0</v>
      </c>
      <c r="R27" s="13" t="s">
        <v>76</v>
      </c>
      <c r="S27" s="13" t="s">
        <v>76</v>
      </c>
      <c r="T27" s="13" t="s">
        <v>76</v>
      </c>
      <c r="U27" s="13">
        <v>0</v>
      </c>
      <c r="V27" s="13" t="s">
        <v>76</v>
      </c>
      <c r="W27" s="13" t="s">
        <v>76</v>
      </c>
      <c r="X27" s="13" t="s">
        <v>76</v>
      </c>
      <c r="Y27" s="16"/>
      <c r="Z27" s="13"/>
      <c r="AA27" s="13"/>
    </row>
    <row r="28" spans="1:27" x14ac:dyDescent="0.25">
      <c r="A28" s="6" t="s">
        <v>325</v>
      </c>
      <c r="B28" s="6" t="s">
        <v>326</v>
      </c>
      <c r="C28" s="19">
        <v>-2312.3793490460198</v>
      </c>
      <c r="D28" s="19">
        <v>-2234.1402420726199</v>
      </c>
      <c r="E28" s="19">
        <v>-926.73009193614803</v>
      </c>
      <c r="F28" s="19">
        <v>-10.792397807833501</v>
      </c>
      <c r="G28" s="19">
        <v>-1010.45504073056</v>
      </c>
      <c r="H28" s="19" t="s">
        <v>76</v>
      </c>
      <c r="I28" s="19">
        <v>-13591.0514541387</v>
      </c>
      <c r="J28" s="19">
        <v>-3234.7698072805101</v>
      </c>
      <c r="K28" s="19">
        <v>-14998.429833169799</v>
      </c>
      <c r="L28" s="19">
        <v>-8239.5392278953896</v>
      </c>
      <c r="M28" s="19">
        <v>-6280.3084832904897</v>
      </c>
      <c r="N28" s="19">
        <v>-6592.3633969716902</v>
      </c>
      <c r="O28" s="19">
        <v>-107774.647887324</v>
      </c>
      <c r="P28" s="19">
        <v>110432.25806451601</v>
      </c>
      <c r="Q28" s="19">
        <v>795.04409911801804</v>
      </c>
      <c r="R28" s="19">
        <v>-911.30624092888195</v>
      </c>
      <c r="S28" s="19">
        <v>-703.93802453195599</v>
      </c>
      <c r="T28" s="19">
        <v>-1129.86979831504</v>
      </c>
      <c r="U28" s="19">
        <v>-375.835890809239</v>
      </c>
      <c r="V28" s="19">
        <v>-505.515185392212</v>
      </c>
      <c r="W28" s="19">
        <v>-573.01168488503595</v>
      </c>
      <c r="X28" s="19">
        <v>-74.530775421198797</v>
      </c>
      <c r="Y28" s="22">
        <v>-287.22541076520997</v>
      </c>
      <c r="Z28" s="19">
        <v>-109.483254374675</v>
      </c>
      <c r="AA28" s="19">
        <v>-28.150147967395299</v>
      </c>
    </row>
    <row r="29" spans="1:27" x14ac:dyDescent="0.25">
      <c r="A29" s="10" t="s">
        <v>327</v>
      </c>
      <c r="B29" s="10" t="s">
        <v>328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 t="s">
        <v>76</v>
      </c>
      <c r="I29" s="13">
        <v>9429.9776286353499</v>
      </c>
      <c r="J29" s="13">
        <v>0</v>
      </c>
      <c r="K29" s="13">
        <v>6278.9008832188401</v>
      </c>
      <c r="L29" s="13">
        <v>1415.0062266500599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6">
        <v>0</v>
      </c>
      <c r="Z29" s="13"/>
      <c r="AA29" s="13"/>
    </row>
    <row r="30" spans="1:27" x14ac:dyDescent="0.25">
      <c r="A30" s="10" t="s">
        <v>329</v>
      </c>
      <c r="B30" s="10" t="s">
        <v>330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 t="s">
        <v>76</v>
      </c>
      <c r="I30" s="13">
        <v>9429.9776286353499</v>
      </c>
      <c r="J30" s="13">
        <v>0</v>
      </c>
      <c r="K30" s="13">
        <v>6278.9008832188401</v>
      </c>
      <c r="L30" s="13">
        <v>1415.0062266500599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6">
        <v>0</v>
      </c>
      <c r="Z30" s="13"/>
      <c r="AA30" s="13"/>
    </row>
    <row r="31" spans="1:27" x14ac:dyDescent="0.25">
      <c r="A31" s="10" t="s">
        <v>331</v>
      </c>
      <c r="B31" s="10" t="s">
        <v>332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 t="s">
        <v>76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6">
        <v>0</v>
      </c>
      <c r="Z31" s="13"/>
      <c r="AA31" s="13"/>
    </row>
    <row r="32" spans="1:27" x14ac:dyDescent="0.25">
      <c r="A32" s="6" t="s">
        <v>333</v>
      </c>
      <c r="B32" s="6" t="s">
        <v>334</v>
      </c>
      <c r="C32" s="19">
        <v>-2312.3793490460198</v>
      </c>
      <c r="D32" s="19">
        <v>-2234.1402420726199</v>
      </c>
      <c r="E32" s="19">
        <v>-926.73009193614803</v>
      </c>
      <c r="F32" s="19">
        <v>-10.792397807833501</v>
      </c>
      <c r="G32" s="19">
        <v>-1010.45504073056</v>
      </c>
      <c r="H32" s="19" t="s">
        <v>76</v>
      </c>
      <c r="I32" s="19">
        <v>-23021.029082774101</v>
      </c>
      <c r="J32" s="19">
        <v>-3234.7698072805101</v>
      </c>
      <c r="K32" s="19">
        <v>-21277.330716388598</v>
      </c>
      <c r="L32" s="19">
        <v>-9654.5454545454504</v>
      </c>
      <c r="M32" s="19">
        <v>-6280.3084832904897</v>
      </c>
      <c r="N32" s="19">
        <v>-6592.3633969716902</v>
      </c>
      <c r="O32" s="19">
        <v>-107774.647887324</v>
      </c>
      <c r="P32" s="19">
        <v>110432.25806451601</v>
      </c>
      <c r="Q32" s="19">
        <v>795.04409911801804</v>
      </c>
      <c r="R32" s="19">
        <v>-911.30624092888195</v>
      </c>
      <c r="S32" s="19">
        <v>-703.93802453195599</v>
      </c>
      <c r="T32" s="19">
        <v>-1129.86979831504</v>
      </c>
      <c r="U32" s="19">
        <v>-375.835890809239</v>
      </c>
      <c r="V32" s="19">
        <v>-505.515185392212</v>
      </c>
      <c r="W32" s="19">
        <v>-573.01168488503595</v>
      </c>
      <c r="X32" s="19">
        <v>-74.530775421198797</v>
      </c>
      <c r="Y32" s="22">
        <v>-287.22541076520997</v>
      </c>
      <c r="Z32" s="19"/>
      <c r="AA32" s="19"/>
    </row>
    <row r="33" spans="1:27" x14ac:dyDescent="0.25">
      <c r="A33" s="10" t="s">
        <v>335</v>
      </c>
      <c r="B33" s="10" t="s">
        <v>336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 t="s">
        <v>76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6">
        <v>0</v>
      </c>
      <c r="Z33" s="13"/>
      <c r="AA33" s="13"/>
    </row>
    <row r="34" spans="1:27" x14ac:dyDescent="0.25">
      <c r="A34" s="6" t="s">
        <v>337</v>
      </c>
      <c r="B34" s="6" t="s">
        <v>338</v>
      </c>
      <c r="C34" s="19">
        <v>-2312.3793490460198</v>
      </c>
      <c r="D34" s="19">
        <v>-2234.1402420726199</v>
      </c>
      <c r="E34" s="19">
        <v>-926.73009193614803</v>
      </c>
      <c r="F34" s="19">
        <v>-10.792397807833501</v>
      </c>
      <c r="G34" s="19">
        <v>-1010.45504073056</v>
      </c>
      <c r="H34" s="19" t="s">
        <v>76</v>
      </c>
      <c r="I34" s="19">
        <v>-23021.029082774101</v>
      </c>
      <c r="J34" s="19">
        <v>-3234.7698072805101</v>
      </c>
      <c r="K34" s="19">
        <v>-21277.330716388598</v>
      </c>
      <c r="L34" s="19">
        <v>-9654.5454545454504</v>
      </c>
      <c r="M34" s="19">
        <v>-6280.3084832904897</v>
      </c>
      <c r="N34" s="19">
        <v>-6592.3633969716902</v>
      </c>
      <c r="O34" s="19">
        <v>-107774.647887324</v>
      </c>
      <c r="P34" s="19">
        <v>110432.25806451601</v>
      </c>
      <c r="Q34" s="19">
        <v>795.04409911801804</v>
      </c>
      <c r="R34" s="19">
        <v>-911.30624092888195</v>
      </c>
      <c r="S34" s="19">
        <v>-703.93802453195599</v>
      </c>
      <c r="T34" s="19">
        <v>-1129.86979831504</v>
      </c>
      <c r="U34" s="19">
        <v>-375.835890809239</v>
      </c>
      <c r="V34" s="19">
        <v>-505.515185392212</v>
      </c>
      <c r="W34" s="19">
        <v>-573.01168488503595</v>
      </c>
      <c r="X34" s="19">
        <v>-74.530775421198797</v>
      </c>
      <c r="Y34" s="22">
        <v>-287.22541076520997</v>
      </c>
      <c r="Z34" s="19">
        <v>-109.483254374675</v>
      </c>
      <c r="AA34" s="19">
        <v>-28.150147967395299</v>
      </c>
    </row>
    <row r="35" spans="1:27" x14ac:dyDescent="0.25">
      <c r="A35" s="10" t="s">
        <v>339</v>
      </c>
      <c r="B35" s="10" t="s">
        <v>340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 t="s">
        <v>76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6">
        <v>0</v>
      </c>
      <c r="Z35" s="13"/>
      <c r="AA35" s="13"/>
    </row>
    <row r="36" spans="1:27" x14ac:dyDescent="0.25">
      <c r="A36" s="10" t="s">
        <v>341</v>
      </c>
      <c r="B36" s="10" t="s">
        <v>342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 t="s">
        <v>76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6">
        <v>0</v>
      </c>
      <c r="Z36" s="13"/>
      <c r="AA36" s="13"/>
    </row>
    <row r="37" spans="1:27" x14ac:dyDescent="0.25">
      <c r="A37" s="6" t="s">
        <v>343</v>
      </c>
      <c r="B37" s="6" t="s">
        <v>80</v>
      </c>
      <c r="C37" s="19">
        <v>-2312.3793490460198</v>
      </c>
      <c r="D37" s="19">
        <v>-2234.1402420726199</v>
      </c>
      <c r="E37" s="19">
        <v>-926.73009193614803</v>
      </c>
      <c r="F37" s="19">
        <v>-10.792397807833501</v>
      </c>
      <c r="G37" s="19">
        <v>-1010.45504073056</v>
      </c>
      <c r="H37" s="19" t="s">
        <v>76</v>
      </c>
      <c r="I37" s="19">
        <v>-23021.029082774101</v>
      </c>
      <c r="J37" s="19">
        <v>-3234.7698072805101</v>
      </c>
      <c r="K37" s="19">
        <v>-21277.330716388598</v>
      </c>
      <c r="L37" s="19">
        <v>-9654.5454545454504</v>
      </c>
      <c r="M37" s="19">
        <v>-6280.3084832904897</v>
      </c>
      <c r="N37" s="19">
        <v>-6592.3633969716902</v>
      </c>
      <c r="O37" s="19">
        <v>-107774.647887324</v>
      </c>
      <c r="P37" s="19">
        <v>110432.25806451601</v>
      </c>
      <c r="Q37" s="19">
        <v>795.04409911801804</v>
      </c>
      <c r="R37" s="19">
        <v>-911.30624092888195</v>
      </c>
      <c r="S37" s="19">
        <v>-703.93802453195599</v>
      </c>
      <c r="T37" s="19">
        <v>-1129.86979831504</v>
      </c>
      <c r="U37" s="19">
        <v>-375.835890809239</v>
      </c>
      <c r="V37" s="19">
        <v>-505.515185392212</v>
      </c>
      <c r="W37" s="19">
        <v>-573.01168488503595</v>
      </c>
      <c r="X37" s="19">
        <v>-74.530775421198797</v>
      </c>
      <c r="Y37" s="22">
        <v>-287.22540748794</v>
      </c>
      <c r="Z37" s="19">
        <v>-109.483254374675</v>
      </c>
      <c r="AA37" s="19">
        <v>-28.150147967395299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21"/>
      <c r="Z38" s="18"/>
      <c r="AA38" s="18"/>
    </row>
    <row r="39" spans="1:27" x14ac:dyDescent="0.25">
      <c r="A39" s="10" t="s">
        <v>345</v>
      </c>
      <c r="B39" s="10" t="s">
        <v>346</v>
      </c>
      <c r="C39" s="13">
        <v>7.1108866442199803</v>
      </c>
      <c r="D39" s="13">
        <v>11.3399019705912</v>
      </c>
      <c r="E39" s="13">
        <v>-11.230480720852601</v>
      </c>
      <c r="F39" s="13">
        <v>-0.65737342249484598</v>
      </c>
      <c r="G39" s="13">
        <v>-3.3939708400352799</v>
      </c>
      <c r="H39" s="13" t="s">
        <v>76</v>
      </c>
      <c r="I39" s="13">
        <v>-2474.5380313199098</v>
      </c>
      <c r="J39" s="13">
        <v>0.496921841541756</v>
      </c>
      <c r="K39" s="13">
        <v>-665.95682041216901</v>
      </c>
      <c r="L39" s="13">
        <v>45.4520547945205</v>
      </c>
      <c r="M39" s="13">
        <v>101.86735218509</v>
      </c>
      <c r="N39" s="13">
        <v>377.88940092165899</v>
      </c>
      <c r="O39" s="13">
        <v>1597.8028169014101</v>
      </c>
      <c r="P39" s="13">
        <v>-137956.935483871</v>
      </c>
      <c r="Q39" s="13">
        <v>-3083.3557328853399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20.9262156049755</v>
      </c>
      <c r="X39" s="13">
        <v>-0.10049064146829</v>
      </c>
      <c r="Y39" s="16">
        <v>2.60357726681542</v>
      </c>
      <c r="Z39" s="13"/>
      <c r="AA39" s="13"/>
    </row>
    <row r="40" spans="1:27" x14ac:dyDescent="0.25">
      <c r="A40" s="10" t="s">
        <v>347</v>
      </c>
      <c r="B40" s="10" t="s">
        <v>328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 t="s">
        <v>76</v>
      </c>
      <c r="I40" s="13">
        <v>9429.9776286353499</v>
      </c>
      <c r="J40" s="13">
        <v>0</v>
      </c>
      <c r="K40" s="13">
        <v>6278.9008832188401</v>
      </c>
      <c r="L40" s="13">
        <v>1415.0062266500599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6">
        <v>0</v>
      </c>
      <c r="Z40" s="13"/>
      <c r="AA40" s="13"/>
    </row>
    <row r="41" spans="1:27" x14ac:dyDescent="0.25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21"/>
      <c r="Z41" s="18"/>
      <c r="AA41" s="18"/>
    </row>
    <row r="42" spans="1:27" x14ac:dyDescent="0.25">
      <c r="A42" s="10" t="s">
        <v>227</v>
      </c>
      <c r="B42" s="10" t="s">
        <v>106</v>
      </c>
      <c r="C42" s="13">
        <v>31.0280583613917</v>
      </c>
      <c r="D42" s="13">
        <v>27.680304091227399</v>
      </c>
      <c r="E42" s="13">
        <v>12.7132598454009</v>
      </c>
      <c r="F42" s="13">
        <v>1.51802503896626</v>
      </c>
      <c r="G42" s="13">
        <v>17.187516214393199</v>
      </c>
      <c r="H42" s="13" t="s">
        <v>76</v>
      </c>
      <c r="I42" s="13">
        <v>374.58612975391497</v>
      </c>
      <c r="J42" s="13">
        <v>45.159930406852197</v>
      </c>
      <c r="K42" s="13">
        <v>336.70755642786997</v>
      </c>
      <c r="L42" s="13">
        <v>225.70983810709799</v>
      </c>
      <c r="M42" s="13">
        <v>189.42930591259599</v>
      </c>
      <c r="N42" s="13">
        <v>242.81435154707</v>
      </c>
      <c r="O42" s="13">
        <v>5742.4647887323899</v>
      </c>
      <c r="P42" s="13">
        <v>6882.4193548387102</v>
      </c>
      <c r="Q42" s="13">
        <v>216.127677446451</v>
      </c>
      <c r="R42" s="13">
        <v>78.871552975326594</v>
      </c>
      <c r="S42" s="13">
        <v>44.019528728211803</v>
      </c>
      <c r="T42" s="13">
        <v>75.693770742915504</v>
      </c>
      <c r="U42" s="13">
        <v>51.997792494481203</v>
      </c>
      <c r="V42" s="13">
        <v>60.156512017887103</v>
      </c>
      <c r="W42" s="13">
        <v>91.355540897097598</v>
      </c>
      <c r="X42" s="13">
        <v>25.204433945120801</v>
      </c>
      <c r="Y42" s="16">
        <v>11.5849511377331</v>
      </c>
      <c r="Z42" s="13"/>
      <c r="AA42" s="13"/>
    </row>
    <row r="43" spans="1:27" x14ac:dyDescent="0.25">
      <c r="A43" s="6" t="s">
        <v>101</v>
      </c>
      <c r="B43" s="6" t="s">
        <v>102</v>
      </c>
      <c r="C43" s="19">
        <v>-837.26150392816999</v>
      </c>
      <c r="D43" s="19">
        <v>-808.24247274182198</v>
      </c>
      <c r="E43" s="19">
        <v>-332.98266477610599</v>
      </c>
      <c r="F43" s="19">
        <v>-3.6200915078686702</v>
      </c>
      <c r="G43" s="19">
        <v>-305.09002231100499</v>
      </c>
      <c r="H43" s="19" t="s">
        <v>76</v>
      </c>
      <c r="I43" s="19">
        <v>-6868.0089485458602</v>
      </c>
      <c r="J43" s="19">
        <v>-958.24411134903596</v>
      </c>
      <c r="K43" s="19">
        <v>-6202.15897939156</v>
      </c>
      <c r="L43" s="19">
        <v>-2665.0062266500599</v>
      </c>
      <c r="M43" s="19">
        <v>-1706.94087403599</v>
      </c>
      <c r="N43" s="19">
        <v>-1790.6517445688</v>
      </c>
      <c r="O43" s="19">
        <v>-26478.873239436602</v>
      </c>
      <c r="P43" s="19">
        <v>25879.935483870999</v>
      </c>
      <c r="Q43" s="19">
        <v>151.19697606047899</v>
      </c>
      <c r="R43" s="19">
        <v>-168.359941944848</v>
      </c>
      <c r="S43" s="19">
        <v>-129.11555842479001</v>
      </c>
      <c r="T43" s="19">
        <v>-190.539443451621</v>
      </c>
      <c r="U43" s="19">
        <v>-38.765950573413001</v>
      </c>
      <c r="V43" s="19">
        <v>-52.170672629029298</v>
      </c>
      <c r="W43" s="19">
        <v>-58.424425179042601</v>
      </c>
      <c r="X43" s="19">
        <v>-7.6764621894551004</v>
      </c>
      <c r="Y43" s="22">
        <v>-29.540551505244199</v>
      </c>
      <c r="Z43" s="19">
        <v>-6.4627433797957101</v>
      </c>
      <c r="AA43" s="19">
        <v>-1.4173718913867399</v>
      </c>
    </row>
    <row r="44" spans="1:27" x14ac:dyDescent="0.25">
      <c r="A44" s="6" t="s">
        <v>348</v>
      </c>
      <c r="B44" s="6" t="s">
        <v>234</v>
      </c>
      <c r="C44" s="19">
        <v>-837.26150392816999</v>
      </c>
      <c r="D44" s="19">
        <v>-808.24247274182198</v>
      </c>
      <c r="E44" s="19">
        <v>-332.98266477610599</v>
      </c>
      <c r="F44" s="19">
        <v>-3.6200915078686702</v>
      </c>
      <c r="G44" s="19">
        <v>-305.09002231100499</v>
      </c>
      <c r="H44" s="19" t="s">
        <v>76</v>
      </c>
      <c r="I44" s="19">
        <v>-4049.2170022371402</v>
      </c>
      <c r="J44" s="19">
        <v>-958.24411134903596</v>
      </c>
      <c r="K44" s="19">
        <v>-4376.8400392541698</v>
      </c>
      <c r="L44" s="19">
        <v>-2278.9539227895398</v>
      </c>
      <c r="M44" s="19">
        <v>-1706.94087403599</v>
      </c>
      <c r="N44" s="19">
        <v>-1790.6517445688</v>
      </c>
      <c r="O44" s="19">
        <v>-26478.873239436602</v>
      </c>
      <c r="P44" s="19">
        <v>25879.935483870999</v>
      </c>
      <c r="Q44" s="19">
        <v>151.19697606047899</v>
      </c>
      <c r="R44" s="19">
        <v>-168.359941944848</v>
      </c>
      <c r="S44" s="19">
        <v>-129.11555842479001</v>
      </c>
      <c r="T44" s="19">
        <v>-190.539443451621</v>
      </c>
      <c r="U44" s="19">
        <v>-38.765950573413001</v>
      </c>
      <c r="V44" s="19">
        <v>-52.170672629029298</v>
      </c>
      <c r="W44" s="19">
        <v>-58.424425179042601</v>
      </c>
      <c r="X44" s="19">
        <v>-7.6764621894551004</v>
      </c>
      <c r="Y44" s="22">
        <v>-29.540551505244199</v>
      </c>
      <c r="Z44" s="19">
        <v>-6.4627433797957101</v>
      </c>
      <c r="AA44" s="19">
        <v>-1.4173718913867399</v>
      </c>
    </row>
    <row r="45" spans="1:27" x14ac:dyDescent="0.25">
      <c r="A45" s="6" t="s">
        <v>349</v>
      </c>
      <c r="B45" s="6" t="s">
        <v>236</v>
      </c>
      <c r="C45" s="19">
        <v>-833.85252525252497</v>
      </c>
      <c r="D45" s="19">
        <v>-803.26698009402799</v>
      </c>
      <c r="E45" s="19">
        <v>-337.45661620088703</v>
      </c>
      <c r="F45" s="19">
        <v>-3.7923173613555199</v>
      </c>
      <c r="G45" s="19">
        <v>-306.06298967467399</v>
      </c>
      <c r="H45" s="19" t="s">
        <v>76</v>
      </c>
      <c r="I45" s="19">
        <v>-4797.4161073825499</v>
      </c>
      <c r="J45" s="19">
        <v>-958.48768736616705</v>
      </c>
      <c r="K45" s="19">
        <v>-4565.4798822374896</v>
      </c>
      <c r="L45" s="19">
        <v>-2260.5006226650098</v>
      </c>
      <c r="M45" s="19">
        <v>-1676.91928020566</v>
      </c>
      <c r="N45" s="19">
        <v>-1684.8926925609001</v>
      </c>
      <c r="O45" s="19">
        <v>-26041.915492957702</v>
      </c>
      <c r="P45" s="19">
        <v>-6450.4516129032299</v>
      </c>
      <c r="Q45" s="19">
        <v>-444.67786644267102</v>
      </c>
      <c r="R45" s="19">
        <v>-168.359941944848</v>
      </c>
      <c r="S45" s="19">
        <v>-129.11555842479001</v>
      </c>
      <c r="T45" s="19">
        <v>-190.539443451621</v>
      </c>
      <c r="U45" s="19">
        <v>-38.765950573413001</v>
      </c>
      <c r="V45" s="19">
        <v>-52.170672629029298</v>
      </c>
      <c r="W45" s="19">
        <v>-56.947418017338897</v>
      </c>
      <c r="X45" s="19">
        <v>-7.68682017600789</v>
      </c>
      <c r="Y45" s="22">
        <v>-29.358287493884699</v>
      </c>
      <c r="Z45" s="19">
        <v>-8.02639866363611</v>
      </c>
      <c r="AA45" s="19">
        <v>-2.6218784071439698</v>
      </c>
    </row>
    <row r="46" spans="1:27" x14ac:dyDescent="0.25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21"/>
      <c r="Z46" s="18"/>
      <c r="AA46" s="18"/>
    </row>
    <row r="47" spans="1:27" x14ac:dyDescent="0.25">
      <c r="A47" s="10" t="s">
        <v>226</v>
      </c>
      <c r="B47" s="10" t="s">
        <v>108</v>
      </c>
      <c r="C47" s="13">
        <v>31.0280583613917</v>
      </c>
      <c r="D47" s="13">
        <v>27.680304091227399</v>
      </c>
      <c r="E47" s="13">
        <v>12.7132598454009</v>
      </c>
      <c r="F47" s="13">
        <v>1.51802503896626</v>
      </c>
      <c r="G47" s="13">
        <v>17.187516214393199</v>
      </c>
      <c r="H47" s="13" t="s">
        <v>76</v>
      </c>
      <c r="I47" s="13">
        <v>374.58612975391497</v>
      </c>
      <c r="J47" s="13">
        <v>45.159930406852197</v>
      </c>
      <c r="K47" s="13">
        <v>336.70755642786997</v>
      </c>
      <c r="L47" s="13">
        <v>225.70983810709799</v>
      </c>
      <c r="M47" s="13">
        <v>189.42930591259599</v>
      </c>
      <c r="N47" s="13">
        <v>242.81435154707</v>
      </c>
      <c r="O47" s="13">
        <v>5742.4647887323899</v>
      </c>
      <c r="P47" s="13">
        <v>6882.4193548387102</v>
      </c>
      <c r="Q47" s="13">
        <v>216.93196136077299</v>
      </c>
      <c r="R47" s="13">
        <v>78.871552975326594</v>
      </c>
      <c r="S47" s="13">
        <v>44.019528728211803</v>
      </c>
      <c r="T47" s="13">
        <v>75.693770742915504</v>
      </c>
      <c r="U47" s="13">
        <v>51.997792494481203</v>
      </c>
      <c r="V47" s="13">
        <v>60.156512017887103</v>
      </c>
      <c r="W47" s="13">
        <v>91.355540897097598</v>
      </c>
      <c r="X47" s="13">
        <v>25.204433945120801</v>
      </c>
      <c r="Y47" s="16">
        <v>11.5849511377331</v>
      </c>
      <c r="Z47" s="13"/>
      <c r="AA47" s="13"/>
    </row>
    <row r="48" spans="1:27" x14ac:dyDescent="0.25">
      <c r="A48" s="6" t="s">
        <v>103</v>
      </c>
      <c r="B48" s="6" t="s">
        <v>104</v>
      </c>
      <c r="C48" s="19">
        <v>-837.26150392816999</v>
      </c>
      <c r="D48" s="19">
        <v>-808.24247274182198</v>
      </c>
      <c r="E48" s="19">
        <v>-332.98266477610599</v>
      </c>
      <c r="F48" s="19">
        <v>-3.6200915078686702</v>
      </c>
      <c r="G48" s="19">
        <v>-305.09002231100499</v>
      </c>
      <c r="H48" s="19" t="s">
        <v>76</v>
      </c>
      <c r="I48" s="19">
        <v>-6868.0089485458602</v>
      </c>
      <c r="J48" s="19">
        <v>-958.24411134903596</v>
      </c>
      <c r="K48" s="19">
        <v>-6202.15897939156</v>
      </c>
      <c r="L48" s="19">
        <v>-2665.0062266500599</v>
      </c>
      <c r="M48" s="19">
        <v>-1706.94087403599</v>
      </c>
      <c r="N48" s="19">
        <v>-1790.6517445688</v>
      </c>
      <c r="O48" s="19">
        <v>-26478.873239436602</v>
      </c>
      <c r="P48" s="19">
        <v>25879.935483870999</v>
      </c>
      <c r="Q48" s="19">
        <v>151.19697606047899</v>
      </c>
      <c r="R48" s="19">
        <v>-168.359941944848</v>
      </c>
      <c r="S48" s="19">
        <v>-129.11555842479001</v>
      </c>
      <c r="T48" s="19">
        <v>-190.539443451621</v>
      </c>
      <c r="U48" s="19">
        <v>-38.765950573413001</v>
      </c>
      <c r="V48" s="19">
        <v>-52.170672629029298</v>
      </c>
      <c r="W48" s="19">
        <v>-58.424425179042601</v>
      </c>
      <c r="X48" s="19">
        <v>-7.6764621894551004</v>
      </c>
      <c r="Y48" s="22">
        <v>-29.540551505244199</v>
      </c>
      <c r="Z48" s="19">
        <v>-6.4627433797957101</v>
      </c>
      <c r="AA48" s="19">
        <v>-1.4173718913867399</v>
      </c>
    </row>
    <row r="49" spans="1:27" x14ac:dyDescent="0.25">
      <c r="A49" s="6" t="s">
        <v>350</v>
      </c>
      <c r="B49" s="6" t="s">
        <v>239</v>
      </c>
      <c r="C49" s="19">
        <v>-837.26150392816999</v>
      </c>
      <c r="D49" s="19">
        <v>-808.24247274182198</v>
      </c>
      <c r="E49" s="19">
        <v>-332.98266477610599</v>
      </c>
      <c r="F49" s="19">
        <v>-3.6200915078686702</v>
      </c>
      <c r="G49" s="19">
        <v>-305.09002231100499</v>
      </c>
      <c r="H49" s="19" t="s">
        <v>76</v>
      </c>
      <c r="I49" s="19">
        <v>-4049.2170022371402</v>
      </c>
      <c r="J49" s="19">
        <v>-958.24411134903596</v>
      </c>
      <c r="K49" s="19">
        <v>-4376.8400392541698</v>
      </c>
      <c r="L49" s="19">
        <v>-2278.9539227895398</v>
      </c>
      <c r="M49" s="19">
        <v>-1706.94087403599</v>
      </c>
      <c r="N49" s="19">
        <v>-1790.6517445688</v>
      </c>
      <c r="O49" s="19">
        <v>-26478.873239436602</v>
      </c>
      <c r="P49" s="19">
        <v>25879.935483870999</v>
      </c>
      <c r="Q49" s="19">
        <v>151.19697606047899</v>
      </c>
      <c r="R49" s="19">
        <v>-168.359941944848</v>
      </c>
      <c r="S49" s="19">
        <v>-129.11555842479001</v>
      </c>
      <c r="T49" s="19">
        <v>-190.539443451621</v>
      </c>
      <c r="U49" s="19">
        <v>-38.765950573413001</v>
      </c>
      <c r="V49" s="19">
        <v>-52.170672629029298</v>
      </c>
      <c r="W49" s="19">
        <v>-58.424425179042601</v>
      </c>
      <c r="X49" s="19">
        <v>-7.6764621894551004</v>
      </c>
      <c r="Y49" s="22">
        <v>-29.540551505244199</v>
      </c>
      <c r="Z49" s="19">
        <v>-6.4627433797957101</v>
      </c>
      <c r="AA49" s="19">
        <v>-1.4173718913867399</v>
      </c>
    </row>
    <row r="50" spans="1:27" x14ac:dyDescent="0.25">
      <c r="A50" s="6" t="s">
        <v>351</v>
      </c>
      <c r="B50" s="6" t="s">
        <v>82</v>
      </c>
      <c r="C50" s="19">
        <v>-834.68933782267095</v>
      </c>
      <c r="D50" s="19">
        <v>-804.14444333300003</v>
      </c>
      <c r="E50" s="19">
        <v>-337.45661620088703</v>
      </c>
      <c r="F50" s="19">
        <v>-3.8378199004474798</v>
      </c>
      <c r="G50" s="19">
        <v>-306.11456441654099</v>
      </c>
      <c r="H50" s="19" t="s">
        <v>76</v>
      </c>
      <c r="I50" s="19">
        <v>-4797.4161073825499</v>
      </c>
      <c r="J50" s="19">
        <v>-958.48768736616705</v>
      </c>
      <c r="K50" s="19">
        <v>-4570.9362119725201</v>
      </c>
      <c r="L50" s="19">
        <v>-2266.4146948941502</v>
      </c>
      <c r="M50" s="19">
        <v>-1679.29254498715</v>
      </c>
      <c r="N50" s="19">
        <v>-1688.19749835418</v>
      </c>
      <c r="O50" s="19">
        <v>-26086.985915493002</v>
      </c>
      <c r="P50" s="19">
        <v>-6450.4516129032299</v>
      </c>
      <c r="Q50" s="19">
        <v>-445.75640487190299</v>
      </c>
      <c r="R50" s="19">
        <v>-168.359941944848</v>
      </c>
      <c r="S50" s="19">
        <v>-129.11555842479001</v>
      </c>
      <c r="T50" s="19">
        <v>-190.539443451621</v>
      </c>
      <c r="U50" s="19">
        <v>-38.765950573413001</v>
      </c>
      <c r="V50" s="19">
        <v>-52.170672629029298</v>
      </c>
      <c r="W50" s="19">
        <v>-56.947418017338897</v>
      </c>
      <c r="X50" s="19">
        <v>-7.68682017600789</v>
      </c>
      <c r="Y50" s="22">
        <v>-29.358287493884699</v>
      </c>
      <c r="Z50" s="19">
        <v>-8.02639866363611</v>
      </c>
      <c r="AA50" s="19">
        <v>-2.6218784071439698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21"/>
      <c r="Z51" s="18"/>
      <c r="AA51" s="18"/>
    </row>
    <row r="52" spans="1:27" x14ac:dyDescent="0.25">
      <c r="A52" s="6" t="s">
        <v>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21"/>
      <c r="Z52" s="18"/>
      <c r="AA52" s="18"/>
    </row>
    <row r="53" spans="1:27" x14ac:dyDescent="0.25">
      <c r="A53" s="10" t="s">
        <v>352</v>
      </c>
      <c r="B53" s="10" t="s">
        <v>353</v>
      </c>
      <c r="C53" s="12" t="s">
        <v>354</v>
      </c>
      <c r="D53" s="12" t="s">
        <v>354</v>
      </c>
      <c r="E53" s="12" t="s">
        <v>354</v>
      </c>
      <c r="F53" s="12" t="s">
        <v>354</v>
      </c>
      <c r="G53" s="12" t="s">
        <v>354</v>
      </c>
      <c r="H53" s="12" t="s">
        <v>354</v>
      </c>
      <c r="I53" s="12" t="s">
        <v>354</v>
      </c>
      <c r="J53" s="12" t="s">
        <v>354</v>
      </c>
      <c r="K53" s="12" t="s">
        <v>354</v>
      </c>
      <c r="L53" s="12" t="s">
        <v>354</v>
      </c>
      <c r="M53" s="12" t="s">
        <v>354</v>
      </c>
      <c r="N53" s="12" t="s">
        <v>354</v>
      </c>
      <c r="O53" s="12" t="s">
        <v>354</v>
      </c>
      <c r="P53" s="12" t="s">
        <v>354</v>
      </c>
      <c r="Q53" s="12" t="s">
        <v>354</v>
      </c>
      <c r="R53" s="12" t="s">
        <v>354</v>
      </c>
      <c r="S53" s="12" t="s">
        <v>354</v>
      </c>
      <c r="T53" s="12" t="s">
        <v>354</v>
      </c>
      <c r="U53" s="12" t="s">
        <v>354</v>
      </c>
      <c r="V53" s="12" t="s">
        <v>354</v>
      </c>
      <c r="W53" s="12" t="s">
        <v>354</v>
      </c>
      <c r="X53" s="12" t="s">
        <v>354</v>
      </c>
      <c r="Y53" s="15"/>
      <c r="Z53" s="12"/>
      <c r="AA53" s="12"/>
    </row>
    <row r="54" spans="1:27" x14ac:dyDescent="0.25">
      <c r="A54" s="10" t="s">
        <v>78</v>
      </c>
      <c r="B54" s="10" t="s">
        <v>78</v>
      </c>
      <c r="C54" s="13">
        <v>-2211.2906846240198</v>
      </c>
      <c r="D54" s="13">
        <v>-2164.4093227968401</v>
      </c>
      <c r="E54" s="13">
        <v>-908.13246123587805</v>
      </c>
      <c r="F54" s="13">
        <v>-10.757202473729199</v>
      </c>
      <c r="G54" s="13">
        <v>-958.57417112021994</v>
      </c>
      <c r="H54" s="13" t="s">
        <v>76</v>
      </c>
      <c r="I54" s="13">
        <v>-15742.0581655481</v>
      </c>
      <c r="J54" s="13">
        <v>-3143.0005353319102</v>
      </c>
      <c r="K54" s="13">
        <v>-14569.872423945</v>
      </c>
      <c r="L54" s="13">
        <v>-8303.4246575342495</v>
      </c>
      <c r="M54" s="13">
        <v>-6135.3213367609296</v>
      </c>
      <c r="N54" s="13">
        <v>-6981.96181698486</v>
      </c>
      <c r="O54" s="13">
        <v>-117456.338028169</v>
      </c>
      <c r="P54" s="13">
        <v>107969.35483871</v>
      </c>
      <c r="Q54" s="13">
        <v>767.70264594708101</v>
      </c>
      <c r="R54" s="13">
        <v>-936.748911465893</v>
      </c>
      <c r="S54" s="13">
        <v>-701.00064557779206</v>
      </c>
      <c r="T54" s="13">
        <v>-731.06969619606798</v>
      </c>
      <c r="U54" s="13">
        <v>-345.03311258278097</v>
      </c>
      <c r="V54" s="13">
        <v>-451.152102353891</v>
      </c>
      <c r="W54" s="13">
        <v>-486.006407840181</v>
      </c>
      <c r="X54" s="13">
        <v>-76.314218218633997</v>
      </c>
      <c r="Y54" s="16">
        <v>-259.75753815313698</v>
      </c>
      <c r="Z54" s="13">
        <v>-120.491825725005</v>
      </c>
      <c r="AA54" s="13">
        <v>-68.186144713843206</v>
      </c>
    </row>
    <row r="55" spans="1:27" x14ac:dyDescent="0.25">
      <c r="A55" s="10" t="s">
        <v>355</v>
      </c>
      <c r="B55" s="10" t="s">
        <v>356</v>
      </c>
      <c r="C55" s="13">
        <v>-14530.5469809203</v>
      </c>
      <c r="D55" s="13">
        <v>-17063.072091627499</v>
      </c>
      <c r="E55" s="13">
        <v>-6782.1785848236796</v>
      </c>
      <c r="F55" s="13">
        <v>-132.87087234149499</v>
      </c>
      <c r="G55" s="13">
        <v>-1288.8597883048801</v>
      </c>
      <c r="H55" s="13" t="s">
        <v>76</v>
      </c>
      <c r="I55" s="13">
        <v>-24575.749328859099</v>
      </c>
      <c r="J55" s="13">
        <v>-33640.261603319101</v>
      </c>
      <c r="K55" s="13">
        <v>-688521.71030421997</v>
      </c>
      <c r="L55" s="13">
        <v>-372431.40062266501</v>
      </c>
      <c r="M55" s="13">
        <v>-271541.891311054</v>
      </c>
      <c r="N55" s="13">
        <v>-548380.93410138297</v>
      </c>
      <c r="O55" s="13">
        <v>-12112922.6239437</v>
      </c>
      <c r="P55" s="13">
        <v>-10844207.090322601</v>
      </c>
      <c r="Q55" s="13">
        <v>-108543.82465350701</v>
      </c>
      <c r="R55" s="13">
        <v>-9679.3570246734398</v>
      </c>
      <c r="S55" s="13">
        <v>-2458.6187621045801</v>
      </c>
      <c r="T55" s="13">
        <v>-8239.71843247383</v>
      </c>
      <c r="U55" s="13">
        <v>-3214.3630808162402</v>
      </c>
      <c r="V55" s="13">
        <v>-3177.3813055089699</v>
      </c>
      <c r="W55" s="13">
        <v>-4356.3222955145102</v>
      </c>
      <c r="X55" s="13">
        <v>-674.32708912021997</v>
      </c>
      <c r="Y55" s="16">
        <v>-309.94730530043699</v>
      </c>
      <c r="Z55" s="13"/>
      <c r="AA55" s="13"/>
    </row>
    <row r="56" spans="1:27" x14ac:dyDescent="0.25">
      <c r="A56" s="10" t="s">
        <v>357</v>
      </c>
      <c r="B56" s="10" t="s">
        <v>357</v>
      </c>
      <c r="C56" s="13" t="s">
        <v>76</v>
      </c>
      <c r="D56" s="13" t="s">
        <v>76</v>
      </c>
      <c r="E56" s="13" t="s">
        <v>76</v>
      </c>
      <c r="F56" s="13" t="s">
        <v>76</v>
      </c>
      <c r="G56" s="13" t="s">
        <v>76</v>
      </c>
      <c r="H56" s="13" t="s">
        <v>76</v>
      </c>
      <c r="I56" s="13" t="s">
        <v>76</v>
      </c>
      <c r="J56" s="13" t="s">
        <v>76</v>
      </c>
      <c r="K56" s="13">
        <v>-15156.9185475957</v>
      </c>
      <c r="L56" s="13" t="s">
        <v>76</v>
      </c>
      <c r="M56" s="13" t="s">
        <v>76</v>
      </c>
      <c r="N56" s="13" t="s">
        <v>76</v>
      </c>
      <c r="O56" s="13">
        <v>-119409.85915493</v>
      </c>
      <c r="P56" s="13" t="s">
        <v>76</v>
      </c>
      <c r="Q56" s="13" t="s">
        <v>76</v>
      </c>
      <c r="R56" s="13" t="s">
        <v>76</v>
      </c>
      <c r="S56" s="13" t="s">
        <v>76</v>
      </c>
      <c r="T56" s="13" t="s">
        <v>76</v>
      </c>
      <c r="U56" s="13" t="s">
        <v>76</v>
      </c>
      <c r="V56" s="13" t="s">
        <v>76</v>
      </c>
      <c r="W56" s="13" t="s">
        <v>76</v>
      </c>
      <c r="X56" s="13" t="s">
        <v>76</v>
      </c>
      <c r="Y56" s="16"/>
      <c r="Z56" s="13"/>
      <c r="AA56" s="13"/>
    </row>
    <row r="57" spans="1:27" x14ac:dyDescent="0.25">
      <c r="A57" s="10" t="s">
        <v>141</v>
      </c>
      <c r="B57" s="10" t="s">
        <v>141</v>
      </c>
      <c r="C57" s="13">
        <v>-2361.5712682379299</v>
      </c>
      <c r="D57" s="13">
        <v>-2306.0318095428602</v>
      </c>
      <c r="E57" s="13">
        <v>-930.45327722636398</v>
      </c>
      <c r="F57" s="13">
        <v>-13.0448991905073</v>
      </c>
      <c r="G57" s="13">
        <v>-984.24739272557497</v>
      </c>
      <c r="H57" s="13" t="s">
        <v>76</v>
      </c>
      <c r="I57" s="13">
        <v>-16341.610738255</v>
      </c>
      <c r="J57" s="13">
        <v>-3223.2066381156301</v>
      </c>
      <c r="K57" s="13">
        <v>-15156.9185475957</v>
      </c>
      <c r="L57" s="13">
        <v>-8447.5093399750895</v>
      </c>
      <c r="M57" s="13">
        <v>-6187.4550128534702</v>
      </c>
      <c r="N57" s="13">
        <v>-7070.4410796576703</v>
      </c>
      <c r="O57" s="13">
        <v>-119409.85915493</v>
      </c>
      <c r="P57" s="13">
        <v>100551.61290322601</v>
      </c>
      <c r="Q57" s="13">
        <v>451.28097438051202</v>
      </c>
      <c r="R57" s="13">
        <v>-1040.8853410740201</v>
      </c>
      <c r="S57" s="13">
        <v>-774.74176888315003</v>
      </c>
      <c r="T57" s="13">
        <v>-1055.31018636712</v>
      </c>
      <c r="U57" s="13">
        <v>-423.690303128197</v>
      </c>
      <c r="V57" s="13">
        <v>-548.98453512204196</v>
      </c>
      <c r="W57" s="13">
        <v>-630.59743686392801</v>
      </c>
      <c r="X57" s="13">
        <v>-94.644479634485094</v>
      </c>
      <c r="Y57" s="16">
        <v>-322.71886596585</v>
      </c>
      <c r="Z57" s="13">
        <v>-122.455294794205</v>
      </c>
      <c r="AA57" s="13">
        <v>-42.515964903172197</v>
      </c>
    </row>
    <row r="58" spans="1:27" x14ac:dyDescent="0.25">
      <c r="A58" s="10" t="s">
        <v>358</v>
      </c>
      <c r="B58" s="10" t="s">
        <v>152</v>
      </c>
      <c r="C58" s="13" t="s">
        <v>76</v>
      </c>
      <c r="D58" s="13" t="s">
        <v>76</v>
      </c>
      <c r="E58" s="13" t="s">
        <v>76</v>
      </c>
      <c r="F58" s="13" t="s">
        <v>76</v>
      </c>
      <c r="G58" s="13" t="s">
        <v>76</v>
      </c>
      <c r="H58" s="13" t="s">
        <v>76</v>
      </c>
      <c r="I58" s="13">
        <v>3978.7997762863502</v>
      </c>
      <c r="J58" s="13" t="s">
        <v>76</v>
      </c>
      <c r="K58" s="13">
        <v>-176874.90186457301</v>
      </c>
      <c r="L58" s="13">
        <v>-8048.8950809464504</v>
      </c>
      <c r="M58" s="13">
        <v>-16825.159742930598</v>
      </c>
      <c r="N58" s="13">
        <v>-979.47393021724804</v>
      </c>
      <c r="O58" s="13" t="s">
        <v>76</v>
      </c>
      <c r="P58" s="13">
        <v>104058.272580645</v>
      </c>
      <c r="Q58" s="13">
        <v>-5522.8630827383504</v>
      </c>
      <c r="R58" s="13">
        <v>40.655457184325101</v>
      </c>
      <c r="S58" s="13">
        <v>212.68328760490601</v>
      </c>
      <c r="T58" s="13">
        <v>-292.9695940771</v>
      </c>
      <c r="U58" s="13">
        <v>-211.360087223389</v>
      </c>
      <c r="V58" s="13">
        <v>-495.482603564996</v>
      </c>
      <c r="W58" s="13">
        <v>-103.805418394271</v>
      </c>
      <c r="X58" s="13">
        <v>106.020251291503</v>
      </c>
      <c r="Y58" s="16">
        <v>-7.9346624058399904</v>
      </c>
      <c r="Z58" s="13"/>
      <c r="AA58" s="13"/>
    </row>
    <row r="59" spans="1:27" x14ac:dyDescent="0.25">
      <c r="A59" s="10" t="s">
        <v>359</v>
      </c>
      <c r="B59" s="10" t="s">
        <v>360</v>
      </c>
      <c r="C59" s="13">
        <v>-26504.728035914701</v>
      </c>
      <c r="D59" s="13">
        <v>-23067.238271481401</v>
      </c>
      <c r="E59" s="13">
        <v>-4255.83532452088</v>
      </c>
      <c r="F59" s="13">
        <v>-6.5588511237367397</v>
      </c>
      <c r="G59" s="13">
        <v>-5106.8717532299097</v>
      </c>
      <c r="H59" s="13" t="s">
        <v>76</v>
      </c>
      <c r="I59" s="13">
        <v>-1827920.6642058201</v>
      </c>
      <c r="J59" s="13">
        <v>-43137.133806209902</v>
      </c>
      <c r="K59" s="13">
        <v>-1487430.6720314</v>
      </c>
      <c r="L59" s="13">
        <v>-525996.845579079</v>
      </c>
      <c r="M59" s="13">
        <v>-318121.08035989699</v>
      </c>
      <c r="N59" s="13">
        <v>-465466.82554311998</v>
      </c>
      <c r="O59" s="13">
        <v>-168182900.21831</v>
      </c>
      <c r="P59" s="13">
        <v>162180020.81129</v>
      </c>
      <c r="Q59" s="13">
        <v>18953.421839563202</v>
      </c>
      <c r="R59" s="13">
        <v>-15107.1892743106</v>
      </c>
      <c r="S59" s="13">
        <v>-6251.9510087153003</v>
      </c>
      <c r="T59" s="13">
        <v>-13470.898468215501</v>
      </c>
      <c r="U59" s="13">
        <v>-2281.2162978517199</v>
      </c>
      <c r="V59" s="13">
        <v>-3409.6300540339098</v>
      </c>
      <c r="W59" s="13">
        <v>-5942.3052864681504</v>
      </c>
      <c r="X59" s="13">
        <v>-245.69580228966001</v>
      </c>
      <c r="Y59" s="16">
        <v>-385.07387922947999</v>
      </c>
      <c r="Z59" s="13">
        <v>-335.33777362380602</v>
      </c>
      <c r="AA59" s="13">
        <v>-73.578673490770996</v>
      </c>
    </row>
    <row r="60" spans="1:27" x14ac:dyDescent="0.25">
      <c r="A60" s="10" t="s">
        <v>361</v>
      </c>
      <c r="B60" s="10" t="s">
        <v>362</v>
      </c>
      <c r="C60" s="13">
        <v>-25952.630179573502</v>
      </c>
      <c r="D60" s="13">
        <v>-22348.1068520556</v>
      </c>
      <c r="E60" s="13">
        <v>-4238.8057082742498</v>
      </c>
      <c r="F60" s="13">
        <v>-5.4263150485192799</v>
      </c>
      <c r="G60" s="13">
        <v>-5242.8529082135601</v>
      </c>
      <c r="H60" s="13" t="s">
        <v>76</v>
      </c>
      <c r="I60" s="13">
        <v>-2575059.1815436198</v>
      </c>
      <c r="J60" s="13">
        <v>-43291.887138651</v>
      </c>
      <c r="K60" s="13">
        <v>-2088059.9328753699</v>
      </c>
      <c r="L60" s="13">
        <v>-601154.76058530505</v>
      </c>
      <c r="M60" s="13">
        <v>-322895.03768637503</v>
      </c>
      <c r="N60" s="13">
        <v>-433993.64035549702</v>
      </c>
      <c r="O60" s="13">
        <v>-151795278.71408501</v>
      </c>
      <c r="P60" s="13">
        <v>178116545.26612899</v>
      </c>
      <c r="Q60" s="13">
        <v>33391.1843343133</v>
      </c>
      <c r="R60" s="13">
        <v>-13226.505674891099</v>
      </c>
      <c r="S60" s="13">
        <v>-5680.5844496449299</v>
      </c>
      <c r="T60" s="13">
        <v>-14422.6423027827</v>
      </c>
      <c r="U60" s="13">
        <v>-2023.56049641953</v>
      </c>
      <c r="V60" s="13">
        <v>-3139.65086019502</v>
      </c>
      <c r="W60" s="13">
        <v>-5399.6577930644598</v>
      </c>
      <c r="X60" s="13">
        <v>-193.48089353858899</v>
      </c>
      <c r="Y60" s="16">
        <v>-342.722458464341</v>
      </c>
      <c r="Z60" s="13">
        <v>-318.58475829908502</v>
      </c>
      <c r="AA60" s="13">
        <v>-85.708507318166397</v>
      </c>
    </row>
    <row r="61" spans="1:27" x14ac:dyDescent="0.25">
      <c r="A61" s="10" t="s">
        <v>363</v>
      </c>
      <c r="B61" s="10" t="s">
        <v>364</v>
      </c>
      <c r="C61" s="13" t="s">
        <v>76</v>
      </c>
      <c r="D61" s="13">
        <v>98814.229248774602</v>
      </c>
      <c r="E61" s="13" t="s">
        <v>76</v>
      </c>
      <c r="F61" s="13" t="s">
        <v>76</v>
      </c>
      <c r="G61" s="13" t="s">
        <v>76</v>
      </c>
      <c r="H61" s="13" t="s">
        <v>76</v>
      </c>
      <c r="I61" s="13" t="s">
        <v>76</v>
      </c>
      <c r="J61" s="13" t="s">
        <v>76</v>
      </c>
      <c r="K61" s="13" t="s">
        <v>76</v>
      </c>
      <c r="L61" s="13">
        <v>193050.193026152</v>
      </c>
      <c r="M61" s="13" t="s">
        <v>76</v>
      </c>
      <c r="N61" s="13" t="s">
        <v>76</v>
      </c>
      <c r="O61" s="13" t="s">
        <v>76</v>
      </c>
      <c r="P61" s="13">
        <v>309597.52258064499</v>
      </c>
      <c r="Q61" s="13" t="s">
        <v>76</v>
      </c>
      <c r="R61" s="13" t="s">
        <v>76</v>
      </c>
      <c r="S61" s="13" t="s">
        <v>76</v>
      </c>
      <c r="T61" s="13">
        <v>266666.66667092202</v>
      </c>
      <c r="U61" s="13" t="s">
        <v>76</v>
      </c>
      <c r="V61" s="13" t="s">
        <v>76</v>
      </c>
      <c r="W61" s="13" t="s">
        <v>76</v>
      </c>
      <c r="X61" s="13">
        <v>403225.80645102699</v>
      </c>
      <c r="Y61" s="16">
        <v>185338.47161123299</v>
      </c>
      <c r="Z61" s="13"/>
      <c r="AA61" s="13"/>
    </row>
    <row r="62" spans="1:27" x14ac:dyDescent="0.25">
      <c r="A62" s="10" t="s">
        <v>365</v>
      </c>
      <c r="B62" s="10" t="s">
        <v>242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 t="s">
        <v>76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6">
        <v>0</v>
      </c>
      <c r="Z62" s="13"/>
      <c r="AA62" s="13"/>
    </row>
    <row r="63" spans="1:27" x14ac:dyDescent="0.25">
      <c r="A63" s="10" t="s">
        <v>366</v>
      </c>
      <c r="B63" s="10" t="s">
        <v>367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 t="s">
        <v>76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6">
        <v>0</v>
      </c>
      <c r="Z63" s="13"/>
      <c r="AA63" s="13"/>
    </row>
    <row r="64" spans="1:27" x14ac:dyDescent="0.25">
      <c r="A64" s="10" t="s">
        <v>368</v>
      </c>
      <c r="B64" s="10" t="s">
        <v>369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 t="s">
        <v>76</v>
      </c>
      <c r="I64" s="13" t="s">
        <v>76</v>
      </c>
      <c r="J64" s="13">
        <v>0</v>
      </c>
      <c r="K64" s="13" t="s">
        <v>76</v>
      </c>
      <c r="L64" s="13">
        <v>0</v>
      </c>
      <c r="M64" s="13" t="s">
        <v>76</v>
      </c>
      <c r="N64" s="13">
        <v>0</v>
      </c>
      <c r="O64" s="13" t="s">
        <v>76</v>
      </c>
      <c r="P64" s="13">
        <v>0</v>
      </c>
      <c r="Q64" s="13" t="s">
        <v>76</v>
      </c>
      <c r="R64" s="13">
        <v>0</v>
      </c>
      <c r="S64" s="13" t="s">
        <v>76</v>
      </c>
      <c r="T64" s="13">
        <v>0</v>
      </c>
      <c r="U64" s="13" t="s">
        <v>76</v>
      </c>
      <c r="V64" s="13" t="s">
        <v>76</v>
      </c>
      <c r="W64" s="13" t="s">
        <v>76</v>
      </c>
      <c r="X64" s="13" t="s">
        <v>76</v>
      </c>
      <c r="Y64" s="16"/>
      <c r="Z64" s="13"/>
      <c r="AA64" s="13"/>
    </row>
    <row r="65" spans="1:27" x14ac:dyDescent="0.25">
      <c r="A65" s="10" t="s">
        <v>370</v>
      </c>
      <c r="B65" s="10" t="s">
        <v>371</v>
      </c>
      <c r="C65" s="13" t="s">
        <v>76</v>
      </c>
      <c r="D65" s="13" t="s">
        <v>76</v>
      </c>
      <c r="E65" s="13" t="s">
        <v>76</v>
      </c>
      <c r="F65" s="13" t="s">
        <v>76</v>
      </c>
      <c r="G65" s="13" t="s">
        <v>76</v>
      </c>
      <c r="H65" s="13" t="s">
        <v>76</v>
      </c>
      <c r="I65" s="13" t="s">
        <v>76</v>
      </c>
      <c r="J65" s="13" t="s">
        <v>76</v>
      </c>
      <c r="K65" s="13">
        <v>587.04612365063804</v>
      </c>
      <c r="L65" s="13" t="s">
        <v>76</v>
      </c>
      <c r="M65" s="13" t="s">
        <v>76</v>
      </c>
      <c r="N65" s="13" t="s">
        <v>76</v>
      </c>
      <c r="O65" s="13">
        <v>1953.52112676056</v>
      </c>
      <c r="P65" s="13" t="s">
        <v>76</v>
      </c>
      <c r="Q65" s="13" t="s">
        <v>76</v>
      </c>
      <c r="R65" s="13" t="s">
        <v>76</v>
      </c>
      <c r="S65" s="13" t="s">
        <v>76</v>
      </c>
      <c r="T65" s="13" t="s">
        <v>76</v>
      </c>
      <c r="U65" s="13" t="s">
        <v>76</v>
      </c>
      <c r="V65" s="13" t="s">
        <v>76</v>
      </c>
      <c r="W65" s="13" t="s">
        <v>76</v>
      </c>
      <c r="X65" s="13" t="s">
        <v>76</v>
      </c>
      <c r="Y65" s="16"/>
      <c r="Z65" s="13"/>
      <c r="AA65" s="13"/>
    </row>
    <row r="66" spans="1:27" x14ac:dyDescent="0.25">
      <c r="A66" s="10" t="s">
        <v>372</v>
      </c>
      <c r="B66" s="10" t="s">
        <v>373</v>
      </c>
      <c r="C66" s="13">
        <v>99.248035914702598</v>
      </c>
      <c r="D66" s="13">
        <v>91.047314194258306</v>
      </c>
      <c r="E66" s="13" t="s">
        <v>76</v>
      </c>
      <c r="F66" s="13" t="s">
        <v>76</v>
      </c>
      <c r="G66" s="13" t="s">
        <v>76</v>
      </c>
      <c r="H66" s="13" t="s">
        <v>76</v>
      </c>
      <c r="I66" s="13" t="s">
        <v>76</v>
      </c>
      <c r="J66" s="13" t="s">
        <v>76</v>
      </c>
      <c r="K66" s="13" t="s">
        <v>76</v>
      </c>
      <c r="L66" s="13" t="s">
        <v>76</v>
      </c>
      <c r="M66" s="13" t="s">
        <v>76</v>
      </c>
      <c r="N66" s="13" t="s">
        <v>76</v>
      </c>
      <c r="O66" s="13" t="s">
        <v>76</v>
      </c>
      <c r="P66" s="13" t="s">
        <v>76</v>
      </c>
      <c r="Q66" s="13">
        <v>347.58504829903399</v>
      </c>
      <c r="R66" s="13">
        <v>90.4789550072569</v>
      </c>
      <c r="S66" s="13">
        <v>48.071336346029703</v>
      </c>
      <c r="T66" s="13" t="s">
        <v>76</v>
      </c>
      <c r="U66" s="13">
        <v>28.315296397997098</v>
      </c>
      <c r="V66" s="13">
        <v>38.314390410533498</v>
      </c>
      <c r="W66" s="13">
        <v>176.338107802488</v>
      </c>
      <c r="X66" s="13" t="s">
        <v>76</v>
      </c>
      <c r="Y66" s="16"/>
      <c r="Z66" s="13"/>
      <c r="AA66" s="13"/>
    </row>
    <row r="67" spans="1:27" x14ac:dyDescent="0.25">
      <c r="A67" s="7" t="s">
        <v>90</v>
      </c>
      <c r="B67" s="7"/>
      <c r="C67" s="7" t="s">
        <v>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593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594</v>
      </c>
      <c r="B7" s="10" t="s">
        <v>595</v>
      </c>
      <c r="C7" s="13">
        <f>_xll.BDH("BLUE US Equity","CASH_CASH_EQTY_STI_DETAILED","FQ4 2018","FQ4 2018","Currency=USD","Period=FQ","BEST_FPERIOD_OVERRIDE=FQ","FILING_STATUS=MR","SCALING_FORMAT=MLN","Sort=A","Dates=H","DateFormat=P","Fill=—","Direction=H","UseDPDF=Y")</f>
        <v>1385.3040000000001</v>
      </c>
      <c r="D7" s="13">
        <f>_xll.BDH("BLUE US Equity","CASH_CASH_EQTY_STI_DETAILED","FQ1 2019","FQ1 2019","Currency=USD","Period=FQ","BEST_FPERIOD_OVERRIDE=FQ","FILING_STATUS=MR","SCALING_FORMAT=MLN","Sort=A","Dates=H","DateFormat=P","Fill=—","Direction=H","UseDPDF=Y")</f>
        <v>1321.817</v>
      </c>
      <c r="E7" s="13">
        <f>_xll.BDH("BLUE US Equity","CASH_CASH_EQTY_STI_DETAILED","FQ2 2019","FQ2 2019","Currency=USD","Period=FQ","BEST_FPERIOD_OVERRIDE=FQ","FILING_STATUS=MR","SCALING_FORMAT=MLN","Sort=A","Dates=H","DateFormat=P","Fill=—","Direction=H","UseDPDF=Y")</f>
        <v>1253.8800000000001</v>
      </c>
      <c r="F7" s="13">
        <f>_xll.BDH("BLUE US Equity","CASH_CASH_EQTY_STI_DETAILED","FQ3 2019","FQ3 2019","Currency=USD","Period=FQ","BEST_FPERIOD_OVERRIDE=FQ","FILING_STATUS=MR","SCALING_FORMAT=MLN","Sort=A","Dates=H","DateFormat=P","Fill=—","Direction=H","UseDPDF=Y")</f>
        <v>1179.9549999999999</v>
      </c>
      <c r="G7" s="13">
        <f>_xll.BDH("BLUE US Equity","CASH_CASH_EQTY_STI_DETAILED","FQ4 2019","FQ4 2019","Currency=USD","Period=FQ","BEST_FPERIOD_OVERRIDE=FQ","FILING_STATUS=MR","SCALING_FORMAT=MLN","Sort=A","Dates=H","DateFormat=P","Fill=—","Direction=H","UseDPDF=Y")</f>
        <v>1106.46</v>
      </c>
      <c r="H7" s="13">
        <f>_xll.BDH("BLUE US Equity","CASH_CASH_EQTY_STI_DETAILED","FQ1 2020","FQ1 2020","Currency=USD","Period=FQ","BEST_FPERIOD_OVERRIDE=FQ","FILING_STATUS=MR","SCALING_FORMAT=MLN","Sort=A","Dates=H","DateFormat=P","Fill=—","Direction=H","UseDPDF=Y")</f>
        <v>910.68299999999999</v>
      </c>
      <c r="I7" s="13">
        <f>_xll.BDH("BLUE US Equity","CASH_CASH_EQTY_STI_DETAILED","FQ2 2020","FQ2 2020","Currency=USD","Period=FQ","BEST_FPERIOD_OVERRIDE=FQ","FILING_STATUS=MR","SCALING_FORMAT=MLN","Sort=A","Dates=H","DateFormat=P","Fill=—","Direction=H","UseDPDF=Y")</f>
        <v>1549.3820000000001</v>
      </c>
      <c r="J7" s="13">
        <f>_xll.BDH("BLUE US Equity","CASH_CASH_EQTY_STI_DETAILED","FQ3 2020","FQ3 2020","Currency=USD","Period=FQ","BEST_FPERIOD_OVERRIDE=FQ","FILING_STATUS=MR","SCALING_FORMAT=MLN","Sort=A","Dates=H","DateFormat=P","Fill=—","Direction=H","UseDPDF=Y")</f>
        <v>1230.2550000000001</v>
      </c>
      <c r="K7" s="13">
        <f>_xll.BDH("BLUE US Equity","CASH_CASH_EQTY_STI_DETAILED","FQ4 2020","FQ4 2020","Currency=USD","Period=FQ","BEST_FPERIOD_OVERRIDE=FQ","FILING_STATUS=MR","SCALING_FORMAT=MLN","Sort=A","Dates=H","DateFormat=P","Fill=—","Direction=H","UseDPDF=Y")</f>
        <v>680.22799999999995</v>
      </c>
      <c r="L7" s="13">
        <f>_xll.BDH("BLUE US Equity","CASH_CASH_EQTY_STI_DETAILED","FQ1 2021","FQ1 2021","Currency=USD","Period=FQ","BEST_FPERIOD_OVERRIDE=FQ","FILING_STATUS=MR","SCALING_FORMAT=MLN","Sort=A","Dates=H","DateFormat=P","Fill=—","Direction=H","UseDPDF=Y")</f>
        <v>1012.436</v>
      </c>
      <c r="M7" s="13">
        <f>_xll.BDH("BLUE US Equity","CASH_CASH_EQTY_STI_DETAILED","FQ2 2021","FQ2 2021","Currency=USD","Period=FQ","BEST_FPERIOD_OVERRIDE=FQ","FILING_STATUS=MR","SCALING_FORMAT=MLN","Sort=A","Dates=H","DateFormat=P","Fill=—","Direction=H","UseDPDF=Y")</f>
        <v>839.70100000000002</v>
      </c>
      <c r="N7" s="13">
        <f>_xll.BDH("BLUE US Equity","CASH_CASH_EQTY_STI_DETAILED","FQ3 2021","FQ3 2021","Currency=USD","Period=FQ","BEST_FPERIOD_OVERRIDE=FQ","FILING_STATUS=MR","SCALING_FORMAT=MLN","Sort=A","Dates=H","DateFormat=P","Fill=—","Direction=H","UseDPDF=Y")</f>
        <v>777.601</v>
      </c>
      <c r="O7" s="13">
        <f>_xll.BDH("BLUE US Equity","CASH_CASH_EQTY_STI_DETAILED","FQ4 2021","FQ4 2021","Currency=USD","Period=FQ","BEST_FPERIOD_OVERRIDE=FQ","FILING_STATUS=MR","SCALING_FORMAT=MLN","Sort=A","Dates=H","DateFormat=P","Fill=—","Direction=H","UseDPDF=Y")</f>
        <v>299.50299999999999</v>
      </c>
      <c r="P7" s="13">
        <f>_xll.BDH("BLUE US Equity","CASH_CASH_EQTY_STI_DETAILED","FQ1 2022","FQ1 2022","Currency=USD","Period=FQ","BEST_FPERIOD_OVERRIDE=FQ","FILING_STATUS=MR","SCALING_FORMAT=MLN","Sort=A","Dates=H","DateFormat=P","Fill=—","Direction=H","UseDPDF=Y")</f>
        <v>211.58799999999999</v>
      </c>
      <c r="Q7" s="13">
        <f>_xll.BDH("BLUE US Equity","CASH_CASH_EQTY_STI_DETAILED","FQ2 2022","FQ2 2022","Currency=USD","Period=FQ","BEST_FPERIOD_OVERRIDE=FQ","FILING_STATUS=MR","SCALING_FORMAT=MLN","Sort=A","Dates=H","DateFormat=P","Fill=—","Direction=H","UseDPDF=Y")</f>
        <v>132.50899999999999</v>
      </c>
      <c r="R7" s="13">
        <f>_xll.BDH("BLUE US Equity","CASH_CASH_EQTY_STI_DETAILED","FQ3 2022","FQ3 2022","Currency=USD","Period=FQ","BEST_FPERIOD_OVERRIDE=FQ","FILING_STATUS=MR","SCALING_FORMAT=MLN","Sort=A","Dates=H","DateFormat=P","Fill=—","Direction=H","UseDPDF=Y")</f>
        <v>139.63300000000001</v>
      </c>
      <c r="S7" s="13">
        <f>_xll.BDH("BLUE US Equity","CASH_CASH_EQTY_STI_DETAILED","FQ4 2022","FQ4 2022","Currency=USD","Period=FQ","BEST_FPERIOD_OVERRIDE=FQ","FILING_STATUS=MR","SCALING_FORMAT=MLN","Sort=A","Dates=H","DateFormat=P","Fill=—","Direction=H","UseDPDF=Y")</f>
        <v>180.327</v>
      </c>
      <c r="T7" s="13">
        <f>_xll.BDH("BLUE US Equity","CASH_CASH_EQTY_STI_DETAILED","FQ1 2023","FQ1 2023","Currency=USD","Period=FQ","BEST_FPERIOD_OVERRIDE=FQ","FILING_STATUS=MR","SCALING_FORMAT=MLN","Sort=A","Dates=H","DateFormat=P","Fill=—","Direction=H","UseDPDF=Y")</f>
        <v>318.25700000000001</v>
      </c>
      <c r="U7" s="13">
        <f>_xll.BDH("BLUE US Equity","CASH_CASH_EQTY_STI_DETAILED","FQ2 2023","FQ2 2023","Currency=USD","Period=FQ","BEST_FPERIOD_OVERRIDE=FQ","FILING_STATUS=MR","SCALING_FORMAT=MLN","Sort=A","Dates=H","DateFormat=P","Fill=—","Direction=H","UseDPDF=Y")</f>
        <v>245.303</v>
      </c>
      <c r="V7" s="13">
        <f>_xll.BDH("BLUE US Equity","CASH_CASH_EQTY_STI_DETAILED","FQ3 2023","FQ3 2023","Currency=USD","Period=FQ","BEST_FPERIOD_OVERRIDE=FQ","FILING_STATUS=MR","SCALING_FORMAT=MLN","Sort=A","Dates=H","DateFormat=P","Fill=—","Direction=H","UseDPDF=Y")</f>
        <v>174.29300000000001</v>
      </c>
      <c r="W7" s="13">
        <f>_xll.BDH("BLUE US Equity","CASH_CASH_EQTY_STI_DETAILED","FQ4 2023","FQ4 2023","Currency=USD","Period=FQ","BEST_FPERIOD_OVERRIDE=FQ","FILING_STATUS=MR","SCALING_FORMAT=MLN","Sort=A","Dates=H","DateFormat=P","Fill=—","Direction=H","UseDPDF=Y")</f>
        <v>221.755</v>
      </c>
      <c r="X7" s="13">
        <f>_xll.BDH("BLUE US Equity","CASH_CASH_EQTY_STI_DETAILED","FQ1 2024","FQ1 2024","Currency=USD","Period=FQ","BEST_FPERIOD_OVERRIDE=FQ","FILING_STATUS=MR","SCALING_FORMAT=MLN","Sort=A","Dates=H","DateFormat=P","Fill=—","Direction=H","UseDPDF=Y")</f>
        <v>212.047</v>
      </c>
      <c r="Y7" s="13">
        <f>_xll.BDH("BLUE US Equity","CASH_CASH_EQTY_STI_DETAILED","FQ2 2024","FQ2 2024","Currency=USD","Period=FQ","BEST_FPERIOD_OVERRIDE=FQ","FILING_STATUS=MR","SCALING_FORMAT=MLN","Sort=A","Dates=H","DateFormat=P","Fill=—","Direction=H","UseDPDF=Y")</f>
        <v>144.06700000000001</v>
      </c>
      <c r="Z7" s="13">
        <f>_xll.BDH("BLUE US Equity","CASH_CASH_EQTY_STI_DETAILED","FQ3 2024","FQ3 2024","Currency=USD","Period=FQ","BEST_FPERIOD_OVERRIDE=FQ","FILING_STATUS=MR","SCALING_FORMAT=MLN","Sort=A","Dates=H","DateFormat=P","Fill=—","Direction=H","UseDPDF=Y")</f>
        <v>70.650999999999996</v>
      </c>
      <c r="AA7" s="13">
        <f>_xll.BDH("BLUE US Equity","CASH_CASH_EQTY_STI_DETAILED","FQ4 2024","FQ4 2024","Currency=USD","Period=FQ","BEST_FPERIOD_OVERRIDE=FQ","FILING_STATUS=MR","SCALING_FORMAT=MLN","Sort=A","Dates=H","DateFormat=P","Fill=—","Direction=H","UseDPDF=Y")</f>
        <v>62.305</v>
      </c>
    </row>
    <row r="8" spans="1:27" x14ac:dyDescent="0.25">
      <c r="A8" s="10" t="s">
        <v>596</v>
      </c>
      <c r="B8" s="10" t="s">
        <v>597</v>
      </c>
      <c r="C8" s="13">
        <f>_xll.BDH("BLUE US Equity","BS_CASH_NEAR_CASH_ITEM","FQ4 2018","FQ4 2018","Currency=USD","Period=FQ","BEST_FPERIOD_OVERRIDE=FQ","FILING_STATUS=MR","SCALING_FORMAT=MLN","Sort=A","Dates=H","DateFormat=P","Fill=—","Direction=H","UseDPDF=Y")</f>
        <v>402.57900000000001</v>
      </c>
      <c r="D8" s="13">
        <f>_xll.BDH("BLUE US Equity","BS_CASH_NEAR_CASH_ITEM","FQ1 2019","FQ1 2019","Currency=USD","Period=FQ","BEST_FPERIOD_OVERRIDE=FQ","FILING_STATUS=MR","SCALING_FORMAT=MLN","Sort=A","Dates=H","DateFormat=P","Fill=—","Direction=H","UseDPDF=Y")</f>
        <v>221.738</v>
      </c>
      <c r="E8" s="13">
        <f>_xll.BDH("BLUE US Equity","BS_CASH_NEAR_CASH_ITEM","FQ2 2019","FQ2 2019","Currency=USD","Period=FQ","BEST_FPERIOD_OVERRIDE=FQ","FILING_STATUS=MR","SCALING_FORMAT=MLN","Sort=A","Dates=H","DateFormat=P","Fill=—","Direction=H","UseDPDF=Y")</f>
        <v>280.995</v>
      </c>
      <c r="F8" s="13">
        <f>_xll.BDH("BLUE US Equity","BS_CASH_NEAR_CASH_ITEM","FQ3 2019","FQ3 2019","Currency=USD","Period=FQ","BEST_FPERIOD_OVERRIDE=FQ","FILING_STATUS=MR","SCALING_FORMAT=MLN","Sort=A","Dates=H","DateFormat=P","Fill=—","Direction=H","UseDPDF=Y")</f>
        <v>300.42599999999999</v>
      </c>
      <c r="G8" s="13">
        <f>_xll.BDH("BLUE US Equity","BS_CASH_NEAR_CASH_ITEM","FQ4 2019","FQ4 2019","Currency=USD","Period=FQ","BEST_FPERIOD_OVERRIDE=FQ","FILING_STATUS=MR","SCALING_FORMAT=MLN","Sort=A","Dates=H","DateFormat=P","Fill=—","Direction=H","UseDPDF=Y")</f>
        <v>327.214</v>
      </c>
      <c r="H8" s="13">
        <f>_xll.BDH("BLUE US Equity","BS_CASH_NEAR_CASH_ITEM","FQ1 2020","FQ1 2020","Currency=USD","Period=FQ","BEST_FPERIOD_OVERRIDE=FQ","FILING_STATUS=MR","SCALING_FORMAT=MLN","Sort=A","Dates=H","DateFormat=P","Fill=—","Direction=H","UseDPDF=Y")</f>
        <v>346.62900000000002</v>
      </c>
      <c r="I8" s="13">
        <f>_xll.BDH("BLUE US Equity","BS_CASH_NEAR_CASH_ITEM","FQ2 2020","FQ2 2020","Currency=USD","Period=FQ","BEST_FPERIOD_OVERRIDE=FQ","FILING_STATUS=MR","SCALING_FORMAT=MLN","Sort=A","Dates=H","DateFormat=P","Fill=—","Direction=H","UseDPDF=Y")</f>
        <v>1198.768</v>
      </c>
      <c r="J8" s="13">
        <f>_xll.BDH("BLUE US Equity","BS_CASH_NEAR_CASH_ITEM","FQ3 2020","FQ3 2020","Currency=USD","Period=FQ","BEST_FPERIOD_OVERRIDE=FQ","FILING_STATUS=MR","SCALING_FORMAT=MLN","Sort=A","Dates=H","DateFormat=P","Fill=—","Direction=H","UseDPDF=Y")</f>
        <v>324.16399999999999</v>
      </c>
      <c r="K8" s="13">
        <f>_xll.BDH("BLUE US Equity","BS_CASH_NEAR_CASH_ITEM","FQ4 2020","FQ4 2020","Currency=USD","Period=FQ","BEST_FPERIOD_OVERRIDE=FQ","FILING_STATUS=MR","SCALING_FORMAT=MLN","Sort=A","Dates=H","DateFormat=P","Fill=—","Direction=H","UseDPDF=Y")</f>
        <v>260.62900000000002</v>
      </c>
      <c r="L8" s="13">
        <f>_xll.BDH("BLUE US Equity","BS_CASH_NEAR_CASH_ITEM","FQ1 2021","FQ1 2021","Currency=USD","Period=FQ","BEST_FPERIOD_OVERRIDE=FQ","FILING_STATUS=MR","SCALING_FORMAT=MLN","Sort=A","Dates=H","DateFormat=P","Fill=—","Direction=H","UseDPDF=Y")</f>
        <v>439.714</v>
      </c>
      <c r="M8" s="13">
        <f>_xll.BDH("BLUE US Equity","BS_CASH_NEAR_CASH_ITEM","FQ2 2021","FQ2 2021","Currency=USD","Period=FQ","BEST_FPERIOD_OVERRIDE=FQ","FILING_STATUS=MR","SCALING_FORMAT=MLN","Sort=A","Dates=H","DateFormat=P","Fill=—","Direction=H","UseDPDF=Y")</f>
        <v>353.46800000000002</v>
      </c>
      <c r="N8" s="13">
        <f>_xll.BDH("BLUE US Equity","BS_CASH_NEAR_CASH_ITEM","FQ3 2021","FQ3 2021","Currency=USD","Period=FQ","BEST_FPERIOD_OVERRIDE=FQ","FILING_STATUS=MR","SCALING_FORMAT=MLN","Sort=A","Dates=H","DateFormat=P","Fill=—","Direction=H","UseDPDF=Y")</f>
        <v>402.46100000000001</v>
      </c>
      <c r="O8" s="13">
        <f>_xll.BDH("BLUE US Equity","BS_CASH_NEAR_CASH_ITEM","FQ4 2021","FQ4 2021","Currency=USD","Period=FQ","BEST_FPERIOD_OVERRIDE=FQ","FILING_STATUS=MR","SCALING_FORMAT=MLN","Sort=A","Dates=H","DateFormat=P","Fill=—","Direction=H","UseDPDF=Y")</f>
        <v>161.16</v>
      </c>
      <c r="P8" s="13">
        <f>_xll.BDH("BLUE US Equity","BS_CASH_NEAR_CASH_ITEM","FQ1 2022","FQ1 2022","Currency=USD","Period=FQ","BEST_FPERIOD_OVERRIDE=FQ","FILING_STATUS=MR","SCALING_FORMAT=MLN","Sort=A","Dates=H","DateFormat=P","Fill=—","Direction=H","UseDPDF=Y")</f>
        <v>106.26</v>
      </c>
      <c r="Q8" s="13">
        <f>_xll.BDH("BLUE US Equity","BS_CASH_NEAR_CASH_ITEM","FQ2 2022","FQ2 2022","Currency=USD","Period=FQ","BEST_FPERIOD_OVERRIDE=FQ","FILING_STATUS=MR","SCALING_FORMAT=MLN","Sort=A","Dates=H","DateFormat=P","Fill=—","Direction=H","UseDPDF=Y")</f>
        <v>81.498999999999995</v>
      </c>
      <c r="R8" s="13">
        <f>_xll.BDH("BLUE US Equity","BS_CASH_NEAR_CASH_ITEM","FQ3 2022","FQ3 2022","Currency=USD","Period=FQ","BEST_FPERIOD_OVERRIDE=FQ","FILING_STATUS=MR","SCALING_FORMAT=MLN","Sort=A","Dates=H","DateFormat=P","Fill=—","Direction=H","UseDPDF=Y")</f>
        <v>66.477999999999994</v>
      </c>
      <c r="S8" s="13">
        <f>_xll.BDH("BLUE US Equity","BS_CASH_NEAR_CASH_ITEM","FQ4 2022","FQ4 2022","Currency=USD","Period=FQ","BEST_FPERIOD_OVERRIDE=FQ","FILING_STATUS=MR","SCALING_FORMAT=MLN","Sort=A","Dates=H","DateFormat=P","Fill=—","Direction=H","UseDPDF=Y")</f>
        <v>113.006</v>
      </c>
      <c r="T8" s="13">
        <f>_xll.BDH("BLUE US Equity","BS_CASH_NEAR_CASH_ITEM","FQ1 2023","FQ1 2023","Currency=USD","Period=FQ","BEST_FPERIOD_OVERRIDE=FQ","FILING_STATUS=MR","SCALING_FORMAT=MLN","Sort=A","Dates=H","DateFormat=P","Fill=—","Direction=H","UseDPDF=Y")</f>
        <v>239.04499999999999</v>
      </c>
      <c r="U8" s="13">
        <f>_xll.BDH("BLUE US Equity","BS_CASH_NEAR_CASH_ITEM","FQ2 2023","FQ2 2023","Currency=USD","Period=FQ","BEST_FPERIOD_OVERRIDE=FQ","FILING_STATUS=MR","SCALING_FORMAT=MLN","Sort=A","Dates=H","DateFormat=P","Fill=—","Direction=H","UseDPDF=Y")</f>
        <v>172.87200000000001</v>
      </c>
      <c r="V8" s="13">
        <f>_xll.BDH("BLUE US Equity","BS_CASH_NEAR_CASH_ITEM","FQ3 2023","FQ3 2023","Currency=USD","Period=FQ","BEST_FPERIOD_OVERRIDE=FQ","FILING_STATUS=MR","SCALING_FORMAT=MLN","Sort=A","Dates=H","DateFormat=P","Fill=—","Direction=H","UseDPDF=Y")</f>
        <v>165.34700000000001</v>
      </c>
      <c r="W8" s="13">
        <f>_xll.BDH("BLUE US Equity","BS_CASH_NEAR_CASH_ITEM","FQ4 2023","FQ4 2023","Currency=USD","Period=FQ","BEST_FPERIOD_OVERRIDE=FQ","FILING_STATUS=MR","SCALING_FORMAT=MLN","Sort=A","Dates=H","DateFormat=P","Fill=—","Direction=H","UseDPDF=Y")</f>
        <v>221.755</v>
      </c>
      <c r="X8" s="13">
        <f>_xll.BDH("BLUE US Equity","BS_CASH_NEAR_CASH_ITEM","FQ1 2024","FQ1 2024","Currency=USD","Period=FQ","BEST_FPERIOD_OVERRIDE=FQ","FILING_STATUS=MR","SCALING_FORMAT=MLN","Sort=A","Dates=H","DateFormat=P","Fill=—","Direction=H","UseDPDF=Y")</f>
        <v>212.047</v>
      </c>
      <c r="Y8" s="13">
        <f>_xll.BDH("BLUE US Equity","BS_CASH_NEAR_CASH_ITEM","FQ2 2024","FQ2 2024","Currency=USD","Period=FQ","BEST_FPERIOD_OVERRIDE=FQ","FILING_STATUS=MR","SCALING_FORMAT=MLN","Sort=A","Dates=H","DateFormat=P","Fill=—","Direction=H","UseDPDF=Y")</f>
        <v>144.06700000000001</v>
      </c>
      <c r="Z8" s="13">
        <f>_xll.BDH("BLUE US Equity","BS_CASH_NEAR_CASH_ITEM","FQ3 2024","FQ3 2024","Currency=USD","Period=FQ","BEST_FPERIOD_OVERRIDE=FQ","FILING_STATUS=MR","SCALING_FORMAT=MLN","Sort=A","Dates=H","DateFormat=P","Fill=—","Direction=H","UseDPDF=Y")</f>
        <v>70.650999999999996</v>
      </c>
      <c r="AA8" s="13">
        <f>_xll.BDH("BLUE US Equity","BS_CASH_NEAR_CASH_ITEM","FQ4 2024","FQ4 2024","Currency=USD","Period=FQ","BEST_FPERIOD_OVERRIDE=FQ","FILING_STATUS=MR","SCALING_FORMAT=MLN","Sort=A","Dates=H","DateFormat=P","Fill=—","Direction=H","UseDPDF=Y")</f>
        <v>62.305</v>
      </c>
    </row>
    <row r="9" spans="1:27" x14ac:dyDescent="0.25">
      <c r="A9" s="10" t="s">
        <v>598</v>
      </c>
      <c r="B9" s="10" t="s">
        <v>599</v>
      </c>
      <c r="C9" s="13">
        <f>_xll.BDH("BLUE US Equity","BS_MKT_SEC_OTHER_ST_INVEST","FQ4 2018","FQ4 2018","Currency=USD","Period=FQ","BEST_FPERIOD_OVERRIDE=FQ","FILING_STATUS=MR","SCALING_FORMAT=MLN","Sort=A","Dates=H","DateFormat=P","Fill=—","Direction=H","UseDPDF=Y")</f>
        <v>982.72500000000002</v>
      </c>
      <c r="D9" s="13">
        <f>_xll.BDH("BLUE US Equity","BS_MKT_SEC_OTHER_ST_INVEST","FQ1 2019","FQ1 2019","Currency=USD","Period=FQ","BEST_FPERIOD_OVERRIDE=FQ","FILING_STATUS=MR","SCALING_FORMAT=MLN","Sort=A","Dates=H","DateFormat=P","Fill=—","Direction=H","UseDPDF=Y")</f>
        <v>1100.079</v>
      </c>
      <c r="E9" s="13">
        <f>_xll.BDH("BLUE US Equity","BS_MKT_SEC_OTHER_ST_INVEST","FQ2 2019","FQ2 2019","Currency=USD","Period=FQ","BEST_FPERIOD_OVERRIDE=FQ","FILING_STATUS=MR","SCALING_FORMAT=MLN","Sort=A","Dates=H","DateFormat=P","Fill=—","Direction=H","UseDPDF=Y")</f>
        <v>972.88499999999999</v>
      </c>
      <c r="F9" s="13">
        <f>_xll.BDH("BLUE US Equity","BS_MKT_SEC_OTHER_ST_INVEST","FQ3 2019","FQ3 2019","Currency=USD","Period=FQ","BEST_FPERIOD_OVERRIDE=FQ","FILING_STATUS=MR","SCALING_FORMAT=MLN","Sort=A","Dates=H","DateFormat=P","Fill=—","Direction=H","UseDPDF=Y")</f>
        <v>879.529</v>
      </c>
      <c r="G9" s="13">
        <f>_xll.BDH("BLUE US Equity","BS_MKT_SEC_OTHER_ST_INVEST","FQ4 2019","FQ4 2019","Currency=USD","Period=FQ","BEST_FPERIOD_OVERRIDE=FQ","FILING_STATUS=MR","SCALING_FORMAT=MLN","Sort=A","Dates=H","DateFormat=P","Fill=—","Direction=H","UseDPDF=Y")</f>
        <v>779.24599999999998</v>
      </c>
      <c r="H9" s="13">
        <f>_xll.BDH("BLUE US Equity","BS_MKT_SEC_OTHER_ST_INVEST","FQ1 2020","FQ1 2020","Currency=USD","Period=FQ","BEST_FPERIOD_OVERRIDE=FQ","FILING_STATUS=MR","SCALING_FORMAT=MLN","Sort=A","Dates=H","DateFormat=P","Fill=—","Direction=H","UseDPDF=Y")</f>
        <v>564.05399999999997</v>
      </c>
      <c r="I9" s="13">
        <f>_xll.BDH("BLUE US Equity","BS_MKT_SEC_OTHER_ST_INVEST","FQ2 2020","FQ2 2020","Currency=USD","Period=FQ","BEST_FPERIOD_OVERRIDE=FQ","FILING_STATUS=MR","SCALING_FORMAT=MLN","Sort=A","Dates=H","DateFormat=P","Fill=—","Direction=H","UseDPDF=Y")</f>
        <v>350.61399999999998</v>
      </c>
      <c r="J9" s="13">
        <f>_xll.BDH("BLUE US Equity","BS_MKT_SEC_OTHER_ST_INVEST","FQ3 2020","FQ3 2020","Currency=USD","Period=FQ","BEST_FPERIOD_OVERRIDE=FQ","FILING_STATUS=MR","SCALING_FORMAT=MLN","Sort=A","Dates=H","DateFormat=P","Fill=—","Direction=H","UseDPDF=Y")</f>
        <v>906.09100000000001</v>
      </c>
      <c r="K9" s="13">
        <f>_xll.BDH("BLUE US Equity","BS_MKT_SEC_OTHER_ST_INVEST","FQ4 2020","FQ4 2020","Currency=USD","Period=FQ","BEST_FPERIOD_OVERRIDE=FQ","FILING_STATUS=MR","SCALING_FORMAT=MLN","Sort=A","Dates=H","DateFormat=P","Fill=—","Direction=H","UseDPDF=Y")</f>
        <v>419.59899999999999</v>
      </c>
      <c r="L9" s="13">
        <f>_xll.BDH("BLUE US Equity","BS_MKT_SEC_OTHER_ST_INVEST","FQ1 2021","FQ1 2021","Currency=USD","Period=FQ","BEST_FPERIOD_OVERRIDE=FQ","FILING_STATUS=MR","SCALING_FORMAT=MLN","Sort=A","Dates=H","DateFormat=P","Fill=—","Direction=H","UseDPDF=Y")</f>
        <v>572.72199999999998</v>
      </c>
      <c r="M9" s="13">
        <f>_xll.BDH("BLUE US Equity","BS_MKT_SEC_OTHER_ST_INVEST","FQ2 2021","FQ2 2021","Currency=USD","Period=FQ","BEST_FPERIOD_OVERRIDE=FQ","FILING_STATUS=MR","SCALING_FORMAT=MLN","Sort=A","Dates=H","DateFormat=P","Fill=—","Direction=H","UseDPDF=Y")</f>
        <v>486.233</v>
      </c>
      <c r="N9" s="13">
        <f>_xll.BDH("BLUE US Equity","BS_MKT_SEC_OTHER_ST_INVEST","FQ3 2021","FQ3 2021","Currency=USD","Period=FQ","BEST_FPERIOD_OVERRIDE=FQ","FILING_STATUS=MR","SCALING_FORMAT=MLN","Sort=A","Dates=H","DateFormat=P","Fill=—","Direction=H","UseDPDF=Y")</f>
        <v>375.14</v>
      </c>
      <c r="O9" s="13">
        <f>_xll.BDH("BLUE US Equity","BS_MKT_SEC_OTHER_ST_INVEST","FQ4 2021","FQ4 2021","Currency=USD","Period=FQ","BEST_FPERIOD_OVERRIDE=FQ","FILING_STATUS=MR","SCALING_FORMAT=MLN","Sort=A","Dates=H","DateFormat=P","Fill=—","Direction=H","UseDPDF=Y")</f>
        <v>138.34299999999999</v>
      </c>
      <c r="P9" s="13">
        <f>_xll.BDH("BLUE US Equity","BS_MKT_SEC_OTHER_ST_INVEST","FQ1 2022","FQ1 2022","Currency=USD","Period=FQ","BEST_FPERIOD_OVERRIDE=FQ","FILING_STATUS=MR","SCALING_FORMAT=MLN","Sort=A","Dates=H","DateFormat=P","Fill=—","Direction=H","UseDPDF=Y")</f>
        <v>105.328</v>
      </c>
      <c r="Q9" s="13">
        <f>_xll.BDH("BLUE US Equity","BS_MKT_SEC_OTHER_ST_INVEST","FQ2 2022","FQ2 2022","Currency=USD","Period=FQ","BEST_FPERIOD_OVERRIDE=FQ","FILING_STATUS=MR","SCALING_FORMAT=MLN","Sort=A","Dates=H","DateFormat=P","Fill=—","Direction=H","UseDPDF=Y")</f>
        <v>51.01</v>
      </c>
      <c r="R9" s="13">
        <f>_xll.BDH("BLUE US Equity","BS_MKT_SEC_OTHER_ST_INVEST","FQ3 2022","FQ3 2022","Currency=USD","Period=FQ","BEST_FPERIOD_OVERRIDE=FQ","FILING_STATUS=MR","SCALING_FORMAT=MLN","Sort=A","Dates=H","DateFormat=P","Fill=—","Direction=H","UseDPDF=Y")</f>
        <v>73.155000000000001</v>
      </c>
      <c r="S9" s="13">
        <f>_xll.BDH("BLUE US Equity","BS_MKT_SEC_OTHER_ST_INVEST","FQ4 2022","FQ4 2022","Currency=USD","Period=FQ","BEST_FPERIOD_OVERRIDE=FQ","FILING_STATUS=MR","SCALING_FORMAT=MLN","Sort=A","Dates=H","DateFormat=P","Fill=—","Direction=H","UseDPDF=Y")</f>
        <v>67.320999999999998</v>
      </c>
      <c r="T9" s="13">
        <f>_xll.BDH("BLUE US Equity","BS_MKT_SEC_OTHER_ST_INVEST","FQ1 2023","FQ1 2023","Currency=USD","Period=FQ","BEST_FPERIOD_OVERRIDE=FQ","FILING_STATUS=MR","SCALING_FORMAT=MLN","Sort=A","Dates=H","DateFormat=P","Fill=—","Direction=H","UseDPDF=Y")</f>
        <v>79.212000000000003</v>
      </c>
      <c r="U9" s="13">
        <f>_xll.BDH("BLUE US Equity","BS_MKT_SEC_OTHER_ST_INVEST","FQ2 2023","FQ2 2023","Currency=USD","Period=FQ","BEST_FPERIOD_OVERRIDE=FQ","FILING_STATUS=MR","SCALING_FORMAT=MLN","Sort=A","Dates=H","DateFormat=P","Fill=—","Direction=H","UseDPDF=Y")</f>
        <v>72.430999999999997</v>
      </c>
      <c r="V9" s="13">
        <f>_xll.BDH("BLUE US Equity","BS_MKT_SEC_OTHER_ST_INVEST","FQ3 2023","FQ3 2023","Currency=USD","Period=FQ","BEST_FPERIOD_OVERRIDE=FQ","FILING_STATUS=MR","SCALING_FORMAT=MLN","Sort=A","Dates=H","DateFormat=P","Fill=—","Direction=H","UseDPDF=Y")</f>
        <v>8.9459999999999997</v>
      </c>
      <c r="W9" s="13">
        <f>_xll.BDH("BLUE US Equity","BS_MKT_SEC_OTHER_ST_INVEST","FQ4 2023","FQ4 2023","Currency=USD","Period=FQ","BEST_FPERIOD_OVERRIDE=FQ","FILING_STATUS=MR","SCALING_FORMAT=MLN","Sort=A","Dates=H","DateFormat=P","Fill=—","Direction=H","UseDPDF=Y")</f>
        <v>0</v>
      </c>
      <c r="X9" s="13">
        <f>_xll.BDH("BLUE US Equity","BS_MKT_SEC_OTHER_ST_INVEST","FQ1 2024","FQ1 2024","Currency=USD","Period=FQ","BEST_FPERIOD_OVERRIDE=FQ","FILING_STATUS=MR","SCALING_FORMAT=MLN","Sort=A","Dates=H","DateFormat=P","Fill=—","Direction=H","UseDPDF=Y")</f>
        <v>0</v>
      </c>
      <c r="Y9" s="13">
        <f>_xll.BDH("BLUE US Equity","BS_MKT_SEC_OTHER_ST_INVEST","FQ2 2024","FQ2 2024","Currency=USD","Period=FQ","BEST_FPERIOD_OVERRIDE=FQ","FILING_STATUS=MR","SCALING_FORMAT=MLN","Sort=A","Dates=H","DateFormat=P","Fill=—","Direction=H","UseDPDF=Y")</f>
        <v>0</v>
      </c>
      <c r="Z9" s="13">
        <f>_xll.BDH("BLUE US Equity","BS_MKT_SEC_OTHER_ST_INVEST","FQ3 2024","FQ3 2024","Currency=USD","Period=FQ","BEST_FPERIOD_OVERRIDE=FQ","FILING_STATUS=MR","SCALING_FORMAT=MLN","Sort=A","Dates=H","DateFormat=P","Fill=—","Direction=H","UseDPDF=Y")</f>
        <v>0</v>
      </c>
      <c r="AA9" s="13">
        <f>_xll.BDH("BLUE US Equity","BS_MKT_SEC_OTHER_ST_INVEST","FQ4 2024","FQ4 2024","Currency=USD","Period=FQ","BEST_FPERIOD_OVERRIDE=FQ","FILING_STATUS=MR","SCALING_FORMAT=MLN","Sort=A","Dates=H","DateFormat=P","Fill=—","Direction=H","UseDPDF=Y")</f>
        <v>0</v>
      </c>
    </row>
    <row r="10" spans="1:27" x14ac:dyDescent="0.25">
      <c r="A10" s="10" t="s">
        <v>600</v>
      </c>
      <c r="B10" s="10" t="s">
        <v>601</v>
      </c>
      <c r="C10" s="13">
        <f>_xll.BDH("BLUE US Equity","BS_ACCT_NOTE_RCV","FQ4 2018","FQ4 2018","Currency=USD","Period=FQ","BEST_FPERIOD_OVERRIDE=FQ","FILING_STATUS=MR","SCALING_FORMAT=MLN","Sort=A","Dates=H","DateFormat=P","Fill=—","Direction=H","UseDPDF=Y")</f>
        <v>0</v>
      </c>
      <c r="D10" s="13">
        <f>_xll.BDH("BLUE US Equity","BS_ACCT_NOTE_RCV","FQ1 2019","FQ1 2019","Currency=USD","Period=FQ","BEST_FPERIOD_OVERRIDE=FQ","FILING_STATUS=MR","SCALING_FORMAT=MLN","Sort=A","Dates=H","DateFormat=P","Fill=—","Direction=H","UseDPDF=Y")</f>
        <v>0</v>
      </c>
      <c r="E10" s="13">
        <f>_xll.BDH("BLUE US Equity","BS_ACCT_NOTE_RCV","FQ2 2019","FQ2 2019","Currency=USD","Period=FQ","BEST_FPERIOD_OVERRIDE=FQ","FILING_STATUS=MR","SCALING_FORMAT=MLN","Sort=A","Dates=H","DateFormat=P","Fill=—","Direction=H","UseDPDF=Y")</f>
        <v>0</v>
      </c>
      <c r="F10" s="13">
        <f>_xll.BDH("BLUE US Equity","BS_ACCT_NOTE_RCV","FQ3 2019","FQ3 2019","Currency=USD","Period=FQ","BEST_FPERIOD_OVERRIDE=FQ","FILING_STATUS=MR","SCALING_FORMAT=MLN","Sort=A","Dates=H","DateFormat=P","Fill=—","Direction=H","UseDPDF=Y")</f>
        <v>0</v>
      </c>
      <c r="G10" s="13">
        <f>_xll.BDH("BLUE US Equity","BS_ACCT_NOTE_RCV","FQ4 2019","FQ4 2019","Currency=USD","Period=FQ","BEST_FPERIOD_OVERRIDE=FQ","FILING_STATUS=MR","SCALING_FORMAT=MLN","Sort=A","Dates=H","DateFormat=P","Fill=—","Direction=H","UseDPDF=Y")</f>
        <v>0</v>
      </c>
      <c r="H10" s="13">
        <f>_xll.BDH("BLUE US Equity","BS_ACCT_NOTE_RCV","FQ1 2020","FQ1 2020","Currency=USD","Period=FQ","BEST_FPERIOD_OVERRIDE=FQ","FILING_STATUS=MR","SCALING_FORMAT=MLN","Sort=A","Dates=H","DateFormat=P","Fill=—","Direction=H","UseDPDF=Y")</f>
        <v>0</v>
      </c>
      <c r="I10" s="13">
        <f>_xll.BDH("BLUE US Equity","BS_ACCT_NOTE_RCV","FQ2 2020","FQ2 2020","Currency=USD","Period=FQ","BEST_FPERIOD_OVERRIDE=FQ","FILING_STATUS=MR","SCALING_FORMAT=MLN","Sort=A","Dates=H","DateFormat=P","Fill=—","Direction=H","UseDPDF=Y")</f>
        <v>0</v>
      </c>
      <c r="J10" s="13">
        <f>_xll.BDH("BLUE US Equity","BS_ACCT_NOTE_RCV","FQ3 2020","FQ3 2020","Currency=USD","Period=FQ","BEST_FPERIOD_OVERRIDE=FQ","FILING_STATUS=MR","SCALING_FORMAT=MLN","Sort=A","Dates=H","DateFormat=P","Fill=—","Direction=H","UseDPDF=Y")</f>
        <v>0</v>
      </c>
      <c r="K10" s="13">
        <f>_xll.BDH("BLUE US Equity","BS_ACCT_NOTE_RCV","FQ4 2020","FQ4 2020","Currency=USD","Period=FQ","BEST_FPERIOD_OVERRIDE=FQ","FILING_STATUS=MR","SCALING_FORMAT=MLN","Sort=A","Dates=H","DateFormat=P","Fill=—","Direction=H","UseDPDF=Y")</f>
        <v>0</v>
      </c>
      <c r="L10" s="13">
        <f>_xll.BDH("BLUE US Equity","BS_ACCT_NOTE_RCV","FQ1 2021","FQ1 2021","Currency=USD","Period=FQ","BEST_FPERIOD_OVERRIDE=FQ","FILING_STATUS=MR","SCALING_FORMAT=MLN","Sort=A","Dates=H","DateFormat=P","Fill=—","Direction=H","UseDPDF=Y")</f>
        <v>0</v>
      </c>
      <c r="M10" s="13">
        <f>_xll.BDH("BLUE US Equity","BS_ACCT_NOTE_RCV","FQ2 2021","FQ2 2021","Currency=USD","Period=FQ","BEST_FPERIOD_OVERRIDE=FQ","FILING_STATUS=MR","SCALING_FORMAT=MLN","Sort=A","Dates=H","DateFormat=P","Fill=—","Direction=H","UseDPDF=Y")</f>
        <v>0</v>
      </c>
      <c r="N10" s="13">
        <f>_xll.BDH("BLUE US Equity","BS_ACCT_NOTE_RCV","FQ3 2021","FQ3 2021","Currency=USD","Period=FQ","BEST_FPERIOD_OVERRIDE=FQ","FILING_STATUS=MR","SCALING_FORMAT=MLN","Sort=A","Dates=H","DateFormat=P","Fill=—","Direction=H","UseDPDF=Y")</f>
        <v>0</v>
      </c>
      <c r="O10" s="13">
        <f>_xll.BDH("BLUE US Equity","BS_ACCT_NOTE_RCV","FQ4 2021","FQ4 2021","Currency=USD","Period=FQ","BEST_FPERIOD_OVERRIDE=FQ","FILING_STATUS=MR","SCALING_FORMAT=MLN","Sort=A","Dates=H","DateFormat=P","Fill=—","Direction=H","UseDPDF=Y")</f>
        <v>0</v>
      </c>
      <c r="P10" s="13">
        <f>_xll.BDH("BLUE US Equity","BS_ACCT_NOTE_RCV","FQ1 2022","FQ1 2022","Currency=USD","Period=FQ","BEST_FPERIOD_OVERRIDE=FQ","FILING_STATUS=MR","SCALING_FORMAT=MLN","Sort=A","Dates=H","DateFormat=P","Fill=—","Direction=H","UseDPDF=Y")</f>
        <v>0</v>
      </c>
      <c r="Q10" s="13">
        <f>_xll.BDH("BLUE US Equity","BS_ACCT_NOTE_RCV","FQ2 2022","FQ2 2022","Currency=USD","Period=FQ","BEST_FPERIOD_OVERRIDE=FQ","FILING_STATUS=MR","SCALING_FORMAT=MLN","Sort=A","Dates=H","DateFormat=P","Fill=—","Direction=H","UseDPDF=Y")</f>
        <v>0</v>
      </c>
      <c r="R10" s="13">
        <f>_xll.BDH("BLUE US Equity","BS_ACCT_NOTE_RCV","FQ3 2022","FQ3 2022","Currency=USD","Period=FQ","BEST_FPERIOD_OVERRIDE=FQ","FILING_STATUS=MR","SCALING_FORMAT=MLN","Sort=A","Dates=H","DateFormat=P","Fill=—","Direction=H","UseDPDF=Y")</f>
        <v>0</v>
      </c>
      <c r="S10" s="13">
        <f>_xll.BDH("BLUE US Equity","BS_ACCT_NOTE_RCV","FQ4 2022","FQ4 2022","Currency=USD","Period=FQ","BEST_FPERIOD_OVERRIDE=FQ","FILING_STATUS=MR","SCALING_FORMAT=MLN","Sort=A","Dates=H","DateFormat=P","Fill=—","Direction=H","UseDPDF=Y")</f>
        <v>0</v>
      </c>
      <c r="T10" s="13">
        <f>_xll.BDH("BLUE US Equity","BS_ACCT_NOTE_RCV","FQ1 2023","FQ1 2023","Currency=USD","Period=FQ","BEST_FPERIOD_OVERRIDE=FQ","FILING_STATUS=MR","SCALING_FORMAT=MLN","Sort=A","Dates=H","DateFormat=P","Fill=—","Direction=H","UseDPDF=Y")</f>
        <v>0</v>
      </c>
      <c r="U10" s="13">
        <f>_xll.BDH("BLUE US Equity","BS_ACCT_NOTE_RCV","FQ2 2023","FQ2 2023","Currency=USD","Period=FQ","BEST_FPERIOD_OVERRIDE=FQ","FILING_STATUS=MR","SCALING_FORMAT=MLN","Sort=A","Dates=H","DateFormat=P","Fill=—","Direction=H","UseDPDF=Y")</f>
        <v>0</v>
      </c>
      <c r="V10" s="13">
        <f>_xll.BDH("BLUE US Equity","BS_ACCT_NOTE_RCV","FQ3 2023","FQ3 2023","Currency=USD","Period=FQ","BEST_FPERIOD_OVERRIDE=FQ","FILING_STATUS=MR","SCALING_FORMAT=MLN","Sort=A","Dates=H","DateFormat=P","Fill=—","Direction=H","UseDPDF=Y")</f>
        <v>23</v>
      </c>
      <c r="W10" s="13">
        <f>_xll.BDH("BLUE US Equity","BS_ACCT_NOTE_RCV","FQ4 2023","FQ4 2023","Currency=USD","Period=FQ","BEST_FPERIOD_OVERRIDE=FQ","FILING_STATUS=MR","SCALING_FORMAT=MLN","Sort=A","Dates=H","DateFormat=P","Fill=—","Direction=H","UseDPDF=Y")</f>
        <v>0</v>
      </c>
      <c r="X10" s="13">
        <f>_xll.BDH("BLUE US Equity","BS_ACCT_NOTE_RCV","FQ1 2024","FQ1 2024","Currency=USD","Period=FQ","BEST_FPERIOD_OVERRIDE=FQ","FILING_STATUS=MR","SCALING_FORMAT=MLN","Sort=A","Dates=H","DateFormat=P","Fill=—","Direction=H","UseDPDF=Y")</f>
        <v>0</v>
      </c>
      <c r="Y10" s="13">
        <f>_xll.BDH("BLUE US Equity","BS_ACCT_NOTE_RCV","FQ2 2024","FQ2 2024","Currency=USD","Period=FQ","BEST_FPERIOD_OVERRIDE=FQ","FILING_STATUS=MR","SCALING_FORMAT=MLN","Sort=A","Dates=H","DateFormat=P","Fill=—","Direction=H","UseDPDF=Y")</f>
        <v>0</v>
      </c>
      <c r="Z10" s="13">
        <f>_xll.BDH("BLUE US Equity","BS_ACCT_NOTE_RCV","FQ3 2024","FQ3 2024","Currency=USD","Period=FQ","BEST_FPERIOD_OVERRIDE=FQ","FILING_STATUS=MR","SCALING_FORMAT=MLN","Sort=A","Dates=H","DateFormat=P","Fill=—","Direction=H","UseDPDF=Y")</f>
        <v>0</v>
      </c>
      <c r="AA10" s="13">
        <f>_xll.BDH("BLUE US Equity","BS_ACCT_NOTE_RCV","FQ4 2024","FQ4 2024","Currency=USD","Period=FQ","BEST_FPERIOD_OVERRIDE=FQ","FILING_STATUS=MR","SCALING_FORMAT=MLN","Sort=A","Dates=H","DateFormat=P","Fill=—","Direction=H","UseDPDF=Y")</f>
        <v>0</v>
      </c>
    </row>
    <row r="11" spans="1:27" x14ac:dyDescent="0.25">
      <c r="A11" s="10" t="s">
        <v>602</v>
      </c>
      <c r="B11" s="10" t="s">
        <v>603</v>
      </c>
      <c r="C11" s="13">
        <f>_xll.BDH("BLUE US Equity","BS_ACCTS_REC_EXCL_NOTES_REC","FQ4 2018","FQ4 2018","Currency=USD","Period=FQ","BEST_FPERIOD_OVERRIDE=FQ","FILING_STATUS=MR","SCALING_FORMAT=MLN","Sort=A","Dates=H","DateFormat=P","Fill=—","Direction=H","UseDPDF=Y")</f>
        <v>0</v>
      </c>
      <c r="D11" s="13">
        <f>_xll.BDH("BLUE US Equity","BS_ACCTS_REC_EXCL_NOTES_REC","FQ1 2019","FQ1 2019","Currency=USD","Period=FQ","BEST_FPERIOD_OVERRIDE=FQ","FILING_STATUS=MR","SCALING_FORMAT=MLN","Sort=A","Dates=H","DateFormat=P","Fill=—","Direction=H","UseDPDF=Y")</f>
        <v>0</v>
      </c>
      <c r="E11" s="13">
        <f>_xll.BDH("BLUE US Equity","BS_ACCTS_REC_EXCL_NOTES_REC","FQ2 2019","FQ2 2019","Currency=USD","Period=FQ","BEST_FPERIOD_OVERRIDE=FQ","FILING_STATUS=MR","SCALING_FORMAT=MLN","Sort=A","Dates=H","DateFormat=P","Fill=—","Direction=H","UseDPDF=Y")</f>
        <v>0</v>
      </c>
      <c r="F11" s="13">
        <f>_xll.BDH("BLUE US Equity","BS_ACCTS_REC_EXCL_NOTES_REC","FQ3 2019","FQ3 2019","Currency=USD","Period=FQ","BEST_FPERIOD_OVERRIDE=FQ","FILING_STATUS=MR","SCALING_FORMAT=MLN","Sort=A","Dates=H","DateFormat=P","Fill=—","Direction=H","UseDPDF=Y")</f>
        <v>0</v>
      </c>
      <c r="G11" s="13">
        <f>_xll.BDH("BLUE US Equity","BS_ACCTS_REC_EXCL_NOTES_REC","FQ4 2019","FQ4 2019","Currency=USD","Period=FQ","BEST_FPERIOD_OVERRIDE=FQ","FILING_STATUS=MR","SCALING_FORMAT=MLN","Sort=A","Dates=H","DateFormat=P","Fill=—","Direction=H","UseDPDF=Y")</f>
        <v>0</v>
      </c>
      <c r="H11" s="13">
        <f>_xll.BDH("BLUE US Equity","BS_ACCTS_REC_EXCL_NOTES_REC","FQ1 2020","FQ1 2020","Currency=USD","Period=FQ","BEST_FPERIOD_OVERRIDE=FQ","FILING_STATUS=MR","SCALING_FORMAT=MLN","Sort=A","Dates=H","DateFormat=P","Fill=—","Direction=H","UseDPDF=Y")</f>
        <v>0</v>
      </c>
      <c r="I11" s="13">
        <f>_xll.BDH("BLUE US Equity","BS_ACCTS_REC_EXCL_NOTES_REC","FQ2 2020","FQ2 2020","Currency=USD","Period=FQ","BEST_FPERIOD_OVERRIDE=FQ","FILING_STATUS=MR","SCALING_FORMAT=MLN","Sort=A","Dates=H","DateFormat=P","Fill=—","Direction=H","UseDPDF=Y")</f>
        <v>0</v>
      </c>
      <c r="J11" s="13">
        <f>_xll.BDH("BLUE US Equity","BS_ACCTS_REC_EXCL_NOTES_REC","FQ3 2020","FQ3 2020","Currency=USD","Period=FQ","BEST_FPERIOD_OVERRIDE=FQ","FILING_STATUS=MR","SCALING_FORMAT=MLN","Sort=A","Dates=H","DateFormat=P","Fill=—","Direction=H","UseDPDF=Y")</f>
        <v>0</v>
      </c>
      <c r="K11" s="13">
        <f>_xll.BDH("BLUE US Equity","BS_ACCTS_REC_EXCL_NOTES_REC","FQ4 2020","FQ4 2020","Currency=USD","Period=FQ","BEST_FPERIOD_OVERRIDE=FQ","FILING_STATUS=MR","SCALING_FORMAT=MLN","Sort=A","Dates=H","DateFormat=P","Fill=—","Direction=H","UseDPDF=Y")</f>
        <v>0</v>
      </c>
      <c r="L11" s="13">
        <f>_xll.BDH("BLUE US Equity","BS_ACCTS_REC_EXCL_NOTES_REC","FQ1 2021","FQ1 2021","Currency=USD","Period=FQ","BEST_FPERIOD_OVERRIDE=FQ","FILING_STATUS=MR","SCALING_FORMAT=MLN","Sort=A","Dates=H","DateFormat=P","Fill=—","Direction=H","UseDPDF=Y")</f>
        <v>0</v>
      </c>
      <c r="M11" s="13">
        <f>_xll.BDH("BLUE US Equity","BS_ACCTS_REC_EXCL_NOTES_REC","FQ2 2021","FQ2 2021","Currency=USD","Period=FQ","BEST_FPERIOD_OVERRIDE=FQ","FILING_STATUS=MR","SCALING_FORMAT=MLN","Sort=A","Dates=H","DateFormat=P","Fill=—","Direction=H","UseDPDF=Y")</f>
        <v>0</v>
      </c>
      <c r="N11" s="13">
        <f>_xll.BDH("BLUE US Equity","BS_ACCTS_REC_EXCL_NOTES_REC","FQ3 2021","FQ3 2021","Currency=USD","Period=FQ","BEST_FPERIOD_OVERRIDE=FQ","FILING_STATUS=MR","SCALING_FORMAT=MLN","Sort=A","Dates=H","DateFormat=P","Fill=—","Direction=H","UseDPDF=Y")</f>
        <v>0</v>
      </c>
      <c r="O11" s="13">
        <f>_xll.BDH("BLUE US Equity","BS_ACCTS_REC_EXCL_NOTES_REC","FQ4 2021","FQ4 2021","Currency=USD","Period=FQ","BEST_FPERIOD_OVERRIDE=FQ","FILING_STATUS=MR","SCALING_FORMAT=MLN","Sort=A","Dates=H","DateFormat=P","Fill=—","Direction=H","UseDPDF=Y")</f>
        <v>0</v>
      </c>
      <c r="P11" s="13">
        <f>_xll.BDH("BLUE US Equity","BS_ACCTS_REC_EXCL_NOTES_REC","FQ1 2022","FQ1 2022","Currency=USD","Period=FQ","BEST_FPERIOD_OVERRIDE=FQ","FILING_STATUS=MR","SCALING_FORMAT=MLN","Sort=A","Dates=H","DateFormat=P","Fill=—","Direction=H","UseDPDF=Y")</f>
        <v>0</v>
      </c>
      <c r="Q11" s="13">
        <f>_xll.BDH("BLUE US Equity","BS_ACCTS_REC_EXCL_NOTES_REC","FQ2 2022","FQ2 2022","Currency=USD","Period=FQ","BEST_FPERIOD_OVERRIDE=FQ","FILING_STATUS=MR","SCALING_FORMAT=MLN","Sort=A","Dates=H","DateFormat=P","Fill=—","Direction=H","UseDPDF=Y")</f>
        <v>0</v>
      </c>
      <c r="R11" s="13">
        <f>_xll.BDH("BLUE US Equity","BS_ACCTS_REC_EXCL_NOTES_REC","FQ3 2022","FQ3 2022","Currency=USD","Period=FQ","BEST_FPERIOD_OVERRIDE=FQ","FILING_STATUS=MR","SCALING_FORMAT=MLN","Sort=A","Dates=H","DateFormat=P","Fill=—","Direction=H","UseDPDF=Y")</f>
        <v>0</v>
      </c>
      <c r="S11" s="13">
        <f>_xll.BDH("BLUE US Equity","BS_ACCTS_REC_EXCL_NOTES_REC","FQ4 2022","FQ4 2022","Currency=USD","Period=FQ","BEST_FPERIOD_OVERRIDE=FQ","FILING_STATUS=MR","SCALING_FORMAT=MLN","Sort=A","Dates=H","DateFormat=P","Fill=—","Direction=H","UseDPDF=Y")</f>
        <v>0</v>
      </c>
      <c r="T11" s="13">
        <f>_xll.BDH("BLUE US Equity","BS_ACCTS_REC_EXCL_NOTES_REC","FQ1 2023","FQ1 2023","Currency=USD","Period=FQ","BEST_FPERIOD_OVERRIDE=FQ","FILING_STATUS=MR","SCALING_FORMAT=MLN","Sort=A","Dates=H","DateFormat=P","Fill=—","Direction=H","UseDPDF=Y")</f>
        <v>0</v>
      </c>
      <c r="U11" s="13">
        <f>_xll.BDH("BLUE US Equity","BS_ACCTS_REC_EXCL_NOTES_REC","FQ2 2023","FQ2 2023","Currency=USD","Period=FQ","BEST_FPERIOD_OVERRIDE=FQ","FILING_STATUS=MR","SCALING_FORMAT=MLN","Sort=A","Dates=H","DateFormat=P","Fill=—","Direction=H","UseDPDF=Y")</f>
        <v>0</v>
      </c>
      <c r="V11" s="13">
        <f>_xll.BDH("BLUE US Equity","BS_ACCTS_REC_EXCL_NOTES_REC","FQ3 2023","FQ3 2023","Currency=USD","Period=FQ","BEST_FPERIOD_OVERRIDE=FQ","FILING_STATUS=MR","SCALING_FORMAT=MLN","Sort=A","Dates=H","DateFormat=P","Fill=—","Direction=H","UseDPDF=Y")</f>
        <v>23</v>
      </c>
      <c r="W11" s="13">
        <f>_xll.BDH("BLUE US Equity","BS_ACCTS_REC_EXCL_NOTES_REC","FQ4 2023","FQ4 2023","Currency=USD","Period=FQ","BEST_FPERIOD_OVERRIDE=FQ","FILING_STATUS=MR","SCALING_FORMAT=MLN","Sort=A","Dates=H","DateFormat=P","Fill=—","Direction=H","UseDPDF=Y")</f>
        <v>0</v>
      </c>
      <c r="X11" s="13">
        <f>_xll.BDH("BLUE US Equity","BS_ACCTS_REC_EXCL_NOTES_REC","FQ1 2024","FQ1 2024","Currency=USD","Period=FQ","BEST_FPERIOD_OVERRIDE=FQ","FILING_STATUS=MR","SCALING_FORMAT=MLN","Sort=A","Dates=H","DateFormat=P","Fill=—","Direction=H","UseDPDF=Y")</f>
        <v>0</v>
      </c>
      <c r="Y11" s="13">
        <f>_xll.BDH("BLUE US Equity","BS_ACCTS_REC_EXCL_NOTES_REC","FQ2 2024","FQ2 2024","Currency=USD","Period=FQ","BEST_FPERIOD_OVERRIDE=FQ","FILING_STATUS=MR","SCALING_FORMAT=MLN","Sort=A","Dates=H","DateFormat=P","Fill=—","Direction=H","UseDPDF=Y")</f>
        <v>0</v>
      </c>
      <c r="Z11" s="13">
        <f>_xll.BDH("BLUE US Equity","BS_ACCTS_REC_EXCL_NOTES_REC","FQ3 2024","FQ3 2024","Currency=USD","Period=FQ","BEST_FPERIOD_OVERRIDE=FQ","FILING_STATUS=MR","SCALING_FORMAT=MLN","Sort=A","Dates=H","DateFormat=P","Fill=—","Direction=H","UseDPDF=Y")</f>
        <v>0</v>
      </c>
      <c r="AA11" s="13">
        <f>_xll.BDH("BLUE US Equity","BS_ACCTS_REC_EXCL_NOTES_REC","FQ4 2024","FQ4 2024","Currency=USD","Period=FQ","BEST_FPERIOD_OVERRIDE=FQ","FILING_STATUS=MR","SCALING_FORMAT=MLN","Sort=A","Dates=H","DateFormat=P","Fill=—","Direction=H","UseDPDF=Y")</f>
        <v>0</v>
      </c>
    </row>
    <row r="12" spans="1:27" x14ac:dyDescent="0.25">
      <c r="A12" s="10" t="s">
        <v>604</v>
      </c>
      <c r="B12" s="10" t="s">
        <v>605</v>
      </c>
      <c r="C12" s="13">
        <f>_xll.BDH("BLUE US Equity","NOTES_RECEIVABLE","FQ4 2018","FQ4 2018","Currency=USD","Period=FQ","BEST_FPERIOD_OVERRIDE=FQ","FILING_STATUS=MR","SCALING_FORMAT=MLN","Sort=A","Dates=H","DateFormat=P","Fill=—","Direction=H","UseDPDF=Y")</f>
        <v>0</v>
      </c>
      <c r="D12" s="13">
        <f>_xll.BDH("BLUE US Equity","NOTES_RECEIVABLE","FQ1 2019","FQ1 2019","Currency=USD","Period=FQ","BEST_FPERIOD_OVERRIDE=FQ","FILING_STATUS=MR","SCALING_FORMAT=MLN","Sort=A","Dates=H","DateFormat=P","Fill=—","Direction=H","UseDPDF=Y")</f>
        <v>0</v>
      </c>
      <c r="E12" s="13">
        <f>_xll.BDH("BLUE US Equity","NOTES_RECEIVABLE","FQ2 2019","FQ2 2019","Currency=USD","Period=FQ","BEST_FPERIOD_OVERRIDE=FQ","FILING_STATUS=MR","SCALING_FORMAT=MLN","Sort=A","Dates=H","DateFormat=P","Fill=—","Direction=H","UseDPDF=Y")</f>
        <v>0</v>
      </c>
      <c r="F12" s="13">
        <f>_xll.BDH("BLUE US Equity","NOTES_RECEIVABLE","FQ3 2019","FQ3 2019","Currency=USD","Period=FQ","BEST_FPERIOD_OVERRIDE=FQ","FILING_STATUS=MR","SCALING_FORMAT=MLN","Sort=A","Dates=H","DateFormat=P","Fill=—","Direction=H","UseDPDF=Y")</f>
        <v>0</v>
      </c>
      <c r="G12" s="13">
        <f>_xll.BDH("BLUE US Equity","NOTES_RECEIVABLE","FQ4 2019","FQ4 2019","Currency=USD","Period=FQ","BEST_FPERIOD_OVERRIDE=FQ","FILING_STATUS=MR","SCALING_FORMAT=MLN","Sort=A","Dates=H","DateFormat=P","Fill=—","Direction=H","UseDPDF=Y")</f>
        <v>0</v>
      </c>
      <c r="H12" s="13">
        <f>_xll.BDH("BLUE US Equity","NOTES_RECEIVABLE","FQ1 2020","FQ1 2020","Currency=USD","Period=FQ","BEST_FPERIOD_OVERRIDE=FQ","FILING_STATUS=MR","SCALING_FORMAT=MLN","Sort=A","Dates=H","DateFormat=P","Fill=—","Direction=H","UseDPDF=Y")</f>
        <v>0</v>
      </c>
      <c r="I12" s="13">
        <f>_xll.BDH("BLUE US Equity","NOTES_RECEIVABLE","FQ2 2020","FQ2 2020","Currency=USD","Period=FQ","BEST_FPERIOD_OVERRIDE=FQ","FILING_STATUS=MR","SCALING_FORMAT=MLN","Sort=A","Dates=H","DateFormat=P","Fill=—","Direction=H","UseDPDF=Y")</f>
        <v>0</v>
      </c>
      <c r="J12" s="13">
        <f>_xll.BDH("BLUE US Equity","NOTES_RECEIVABLE","FQ3 2020","FQ3 2020","Currency=USD","Period=FQ","BEST_FPERIOD_OVERRIDE=FQ","FILING_STATUS=MR","SCALING_FORMAT=MLN","Sort=A","Dates=H","DateFormat=P","Fill=—","Direction=H","UseDPDF=Y")</f>
        <v>0</v>
      </c>
      <c r="K12" s="13">
        <f>_xll.BDH("BLUE US Equity","NOTES_RECEIVABLE","FQ4 2020","FQ4 2020","Currency=USD","Period=FQ","BEST_FPERIOD_OVERRIDE=FQ","FILING_STATUS=MR","SCALING_FORMAT=MLN","Sort=A","Dates=H","DateFormat=P","Fill=—","Direction=H","UseDPDF=Y")</f>
        <v>0</v>
      </c>
      <c r="L12" s="13">
        <f>_xll.BDH("BLUE US Equity","NOTES_RECEIVABLE","FQ1 2021","FQ1 2021","Currency=USD","Period=FQ","BEST_FPERIOD_OVERRIDE=FQ","FILING_STATUS=MR","SCALING_FORMAT=MLN","Sort=A","Dates=H","DateFormat=P","Fill=—","Direction=H","UseDPDF=Y")</f>
        <v>0</v>
      </c>
      <c r="M12" s="13">
        <f>_xll.BDH("BLUE US Equity","NOTES_RECEIVABLE","FQ2 2021","FQ2 2021","Currency=USD","Period=FQ","BEST_FPERIOD_OVERRIDE=FQ","FILING_STATUS=MR","SCALING_FORMAT=MLN","Sort=A","Dates=H","DateFormat=P","Fill=—","Direction=H","UseDPDF=Y")</f>
        <v>0</v>
      </c>
      <c r="N12" s="13">
        <f>_xll.BDH("BLUE US Equity","NOTES_RECEIVABLE","FQ3 2021","FQ3 2021","Currency=USD","Period=FQ","BEST_FPERIOD_OVERRIDE=FQ","FILING_STATUS=MR","SCALING_FORMAT=MLN","Sort=A","Dates=H","DateFormat=P","Fill=—","Direction=H","UseDPDF=Y")</f>
        <v>0</v>
      </c>
      <c r="O12" s="13">
        <f>_xll.BDH("BLUE US Equity","NOTES_RECEIVABLE","FQ4 2021","FQ4 2021","Currency=USD","Period=FQ","BEST_FPERIOD_OVERRIDE=FQ","FILING_STATUS=MR","SCALING_FORMAT=MLN","Sort=A","Dates=H","DateFormat=P","Fill=—","Direction=H","UseDPDF=Y")</f>
        <v>0</v>
      </c>
      <c r="P12" s="13">
        <f>_xll.BDH("BLUE US Equity","NOTES_RECEIVABLE","FQ1 2022","FQ1 2022","Currency=USD","Period=FQ","BEST_FPERIOD_OVERRIDE=FQ","FILING_STATUS=MR","SCALING_FORMAT=MLN","Sort=A","Dates=H","DateFormat=P","Fill=—","Direction=H","UseDPDF=Y")</f>
        <v>0</v>
      </c>
      <c r="Q12" s="13">
        <f>_xll.BDH("BLUE US Equity","NOTES_RECEIVABLE","FQ2 2022","FQ2 2022","Currency=USD","Period=FQ","BEST_FPERIOD_OVERRIDE=FQ","FILING_STATUS=MR","SCALING_FORMAT=MLN","Sort=A","Dates=H","DateFormat=P","Fill=—","Direction=H","UseDPDF=Y")</f>
        <v>0</v>
      </c>
      <c r="R12" s="13">
        <f>_xll.BDH("BLUE US Equity","NOTES_RECEIVABLE","FQ3 2022","FQ3 2022","Currency=USD","Period=FQ","BEST_FPERIOD_OVERRIDE=FQ","FILING_STATUS=MR","SCALING_FORMAT=MLN","Sort=A","Dates=H","DateFormat=P","Fill=—","Direction=H","UseDPDF=Y")</f>
        <v>0</v>
      </c>
      <c r="S12" s="13">
        <f>_xll.BDH("BLUE US Equity","NOTES_RECEIVABLE","FQ4 2022","FQ4 2022","Currency=USD","Period=FQ","BEST_FPERIOD_OVERRIDE=FQ","FILING_STATUS=MR","SCALING_FORMAT=MLN","Sort=A","Dates=H","DateFormat=P","Fill=—","Direction=H","UseDPDF=Y")</f>
        <v>0</v>
      </c>
      <c r="T12" s="13">
        <f>_xll.BDH("BLUE US Equity","NOTES_RECEIVABLE","FQ1 2023","FQ1 2023","Currency=USD","Period=FQ","BEST_FPERIOD_OVERRIDE=FQ","FILING_STATUS=MR","SCALING_FORMAT=MLN","Sort=A","Dates=H","DateFormat=P","Fill=—","Direction=H","UseDPDF=Y")</f>
        <v>0</v>
      </c>
      <c r="U12" s="13">
        <f>_xll.BDH("BLUE US Equity","NOTES_RECEIVABLE","FQ2 2023","FQ2 2023","Currency=USD","Period=FQ","BEST_FPERIOD_OVERRIDE=FQ","FILING_STATUS=MR","SCALING_FORMAT=MLN","Sort=A","Dates=H","DateFormat=P","Fill=—","Direction=H","UseDPDF=Y")</f>
        <v>0</v>
      </c>
      <c r="V12" s="13">
        <f>_xll.BDH("BLUE US Equity","NOTES_RECEIVABLE","FQ3 2023","FQ3 2023","Currency=USD","Period=FQ","BEST_FPERIOD_OVERRIDE=FQ","FILING_STATUS=MR","SCALING_FORMAT=MLN","Sort=A","Dates=H","DateFormat=P","Fill=—","Direction=H","UseDPDF=Y")</f>
        <v>0</v>
      </c>
      <c r="W12" s="13">
        <f>_xll.BDH("BLUE US Equity","NOTES_RECEIVABLE","FQ4 2023","FQ4 2023","Currency=USD","Period=FQ","BEST_FPERIOD_OVERRIDE=FQ","FILING_STATUS=MR","SCALING_FORMAT=MLN","Sort=A","Dates=H","DateFormat=P","Fill=—","Direction=H","UseDPDF=Y")</f>
        <v>0</v>
      </c>
      <c r="X12" s="13">
        <f>_xll.BDH("BLUE US Equity","NOTES_RECEIVABLE","FQ1 2024","FQ1 2024","Currency=USD","Period=FQ","BEST_FPERIOD_OVERRIDE=FQ","FILING_STATUS=MR","SCALING_FORMAT=MLN","Sort=A","Dates=H","DateFormat=P","Fill=—","Direction=H","UseDPDF=Y")</f>
        <v>0</v>
      </c>
      <c r="Y12" s="13">
        <f>_xll.BDH("BLUE US Equity","NOTES_RECEIVABLE","FQ2 2024","FQ2 2024","Currency=USD","Period=FQ","BEST_FPERIOD_OVERRIDE=FQ","FILING_STATUS=MR","SCALING_FORMAT=MLN","Sort=A","Dates=H","DateFormat=P","Fill=—","Direction=H","UseDPDF=Y")</f>
        <v>0</v>
      </c>
      <c r="Z12" s="13">
        <f>_xll.BDH("BLUE US Equity","NOTES_RECEIVABLE","FQ3 2024","FQ3 2024","Currency=USD","Period=FQ","BEST_FPERIOD_OVERRIDE=FQ","FILING_STATUS=MR","SCALING_FORMAT=MLN","Sort=A","Dates=H","DateFormat=P","Fill=—","Direction=H","UseDPDF=Y")</f>
        <v>0</v>
      </c>
      <c r="AA12" s="13">
        <f>_xll.BDH("BLUE US Equity","NOTES_RECEIVABLE","FQ4 2024","FQ4 2024","Currency=USD","Period=FQ","BEST_FPERIOD_OVERRIDE=FQ","FILING_STATUS=MR","SCALING_FORMAT=MLN","Sort=A","Dates=H","DateFormat=P","Fill=—","Direction=H","UseDPDF=Y")</f>
        <v>0</v>
      </c>
    </row>
    <row r="13" spans="1:27" x14ac:dyDescent="0.25">
      <c r="A13" s="10" t="s">
        <v>606</v>
      </c>
      <c r="B13" s="10" t="s">
        <v>607</v>
      </c>
      <c r="C13" s="13">
        <f>_xll.BDH("BLUE US Equity","BS_INVENTORIES","FQ4 2018","FQ4 2018","Currency=USD","Period=FQ","BEST_FPERIOD_OVERRIDE=FQ","FILING_STATUS=MR","SCALING_FORMAT=MLN","Sort=A","Dates=H","DateFormat=P","Fill=—","Direction=H","UseDPDF=Y")</f>
        <v>0</v>
      </c>
      <c r="D13" s="13">
        <f>_xll.BDH("BLUE US Equity","BS_INVENTORIES","FQ1 2019","FQ1 2019","Currency=USD","Period=FQ","BEST_FPERIOD_OVERRIDE=FQ","FILING_STATUS=MR","SCALING_FORMAT=MLN","Sort=A","Dates=H","DateFormat=P","Fill=—","Direction=H","UseDPDF=Y")</f>
        <v>0</v>
      </c>
      <c r="E13" s="13">
        <f>_xll.BDH("BLUE US Equity","BS_INVENTORIES","FQ2 2019","FQ2 2019","Currency=USD","Period=FQ","BEST_FPERIOD_OVERRIDE=FQ","FILING_STATUS=MR","SCALING_FORMAT=MLN","Sort=A","Dates=H","DateFormat=P","Fill=—","Direction=H","UseDPDF=Y")</f>
        <v>0</v>
      </c>
      <c r="F13" s="13">
        <f>_xll.BDH("BLUE US Equity","BS_INVENTORIES","FQ3 2019","FQ3 2019","Currency=USD","Period=FQ","BEST_FPERIOD_OVERRIDE=FQ","FILING_STATUS=MR","SCALING_FORMAT=MLN","Sort=A","Dates=H","DateFormat=P","Fill=—","Direction=H","UseDPDF=Y")</f>
        <v>0</v>
      </c>
      <c r="G13" s="13">
        <f>_xll.BDH("BLUE US Equity","BS_INVENTORIES","FQ4 2019","FQ4 2019","Currency=USD","Period=FQ","BEST_FPERIOD_OVERRIDE=FQ","FILING_STATUS=MR","SCALING_FORMAT=MLN","Sort=A","Dates=H","DateFormat=P","Fill=—","Direction=H","UseDPDF=Y")</f>
        <v>0</v>
      </c>
      <c r="H13" s="13">
        <f>_xll.BDH("BLUE US Equity","BS_INVENTORIES","FQ1 2020","FQ1 2020","Currency=USD","Period=FQ","BEST_FPERIOD_OVERRIDE=FQ","FILING_STATUS=MR","SCALING_FORMAT=MLN","Sort=A","Dates=H","DateFormat=P","Fill=—","Direction=H","UseDPDF=Y")</f>
        <v>0</v>
      </c>
      <c r="I13" s="13">
        <f>_xll.BDH("BLUE US Equity","BS_INVENTORIES","FQ2 2020","FQ2 2020","Currency=USD","Period=FQ","BEST_FPERIOD_OVERRIDE=FQ","FILING_STATUS=MR","SCALING_FORMAT=MLN","Sort=A","Dates=H","DateFormat=P","Fill=—","Direction=H","UseDPDF=Y")</f>
        <v>0</v>
      </c>
      <c r="J13" s="13">
        <f>_xll.BDH("BLUE US Equity","BS_INVENTORIES","FQ3 2020","FQ3 2020","Currency=USD","Period=FQ","BEST_FPERIOD_OVERRIDE=FQ","FILING_STATUS=MR","SCALING_FORMAT=MLN","Sort=A","Dates=H","DateFormat=P","Fill=—","Direction=H","UseDPDF=Y")</f>
        <v>0</v>
      </c>
      <c r="K13" s="13">
        <f>_xll.BDH("BLUE US Equity","BS_INVENTORIES","FQ4 2020","FQ4 2020","Currency=USD","Period=FQ","BEST_FPERIOD_OVERRIDE=FQ","FILING_STATUS=MR","SCALING_FORMAT=MLN","Sort=A","Dates=H","DateFormat=P","Fill=—","Direction=H","UseDPDF=Y")</f>
        <v>10.698</v>
      </c>
      <c r="L13" s="13">
        <f>_xll.BDH("BLUE US Equity","BS_INVENTORIES","FQ1 2021","FQ1 2021","Currency=USD","Period=FQ","BEST_FPERIOD_OVERRIDE=FQ","FILING_STATUS=MR","SCALING_FORMAT=MLN","Sort=A","Dates=H","DateFormat=P","Fill=—","Direction=H","UseDPDF=Y")</f>
        <v>18.079000000000001</v>
      </c>
      <c r="M13" s="13">
        <f>_xll.BDH("BLUE US Equity","BS_INVENTORIES","FQ2 2021","FQ2 2021","Currency=USD","Period=FQ","BEST_FPERIOD_OVERRIDE=FQ","FILING_STATUS=MR","SCALING_FORMAT=MLN","Sort=A","Dates=H","DateFormat=P","Fill=—","Direction=H","UseDPDF=Y")</f>
        <v>13.502000000000001</v>
      </c>
      <c r="N13" s="13">
        <f>_xll.BDH("BLUE US Equity","BS_INVENTORIES","FQ3 2021","FQ3 2021","Currency=USD","Period=FQ","BEST_FPERIOD_OVERRIDE=FQ","FILING_STATUS=MR","SCALING_FORMAT=MLN","Sort=A","Dates=H","DateFormat=P","Fill=—","Direction=H","UseDPDF=Y")</f>
        <v>0.76600000000000001</v>
      </c>
      <c r="O13" s="13">
        <f>_xll.BDH("BLUE US Equity","BS_INVENTORIES","FQ4 2021","FQ4 2021","Currency=USD","Period=FQ","BEST_FPERIOD_OVERRIDE=FQ","FILING_STATUS=MR","SCALING_FORMAT=MLN","Sort=A","Dates=H","DateFormat=P","Fill=—","Direction=H","UseDPDF=Y")</f>
        <v>0</v>
      </c>
      <c r="P13" s="13">
        <f>_xll.BDH("BLUE US Equity","BS_INVENTORIES","FQ1 2022","FQ1 2022","Currency=USD","Period=FQ","BEST_FPERIOD_OVERRIDE=FQ","FILING_STATUS=MR","SCALING_FORMAT=MLN","Sort=A","Dates=H","DateFormat=P","Fill=—","Direction=H","UseDPDF=Y")</f>
        <v>0</v>
      </c>
      <c r="Q13" s="13">
        <f>_xll.BDH("BLUE US Equity","BS_INVENTORIES","FQ2 2022","FQ2 2022","Currency=USD","Period=FQ","BEST_FPERIOD_OVERRIDE=FQ","FILING_STATUS=MR","SCALING_FORMAT=MLN","Sort=A","Dates=H","DateFormat=P","Fill=—","Direction=H","UseDPDF=Y")</f>
        <v>0</v>
      </c>
      <c r="R13" s="13">
        <f>_xll.BDH("BLUE US Equity","BS_INVENTORIES","FQ3 2022","FQ3 2022","Currency=USD","Period=FQ","BEST_FPERIOD_OVERRIDE=FQ","FILING_STATUS=MR","SCALING_FORMAT=MLN","Sort=A","Dates=H","DateFormat=P","Fill=—","Direction=H","UseDPDF=Y")</f>
        <v>0</v>
      </c>
      <c r="S13" s="13">
        <f>_xll.BDH("BLUE US Equity","BS_INVENTORIES","FQ4 2022","FQ4 2022","Currency=USD","Period=FQ","BEST_FPERIOD_OVERRIDE=FQ","FILING_STATUS=MR","SCALING_FORMAT=MLN","Sort=A","Dates=H","DateFormat=P","Fill=—","Direction=H","UseDPDF=Y")</f>
        <v>0</v>
      </c>
      <c r="T13" s="13">
        <f>_xll.BDH("BLUE US Equity","BS_INVENTORIES","FQ1 2023","FQ1 2023","Currency=USD","Period=FQ","BEST_FPERIOD_OVERRIDE=FQ","FILING_STATUS=MR","SCALING_FORMAT=MLN","Sort=A","Dates=H","DateFormat=P","Fill=—","Direction=H","UseDPDF=Y")</f>
        <v>3.8090000000000002</v>
      </c>
      <c r="U13" s="13">
        <f>_xll.BDH("BLUE US Equity","BS_INVENTORIES","FQ2 2023","FQ2 2023","Currency=USD","Period=FQ","BEST_FPERIOD_OVERRIDE=FQ","FILING_STATUS=MR","SCALING_FORMAT=MLN","Sort=A","Dates=H","DateFormat=P","Fill=—","Direction=H","UseDPDF=Y")</f>
        <v>13.641999999999999</v>
      </c>
      <c r="V13" s="13">
        <f>_xll.BDH("BLUE US Equity","BS_INVENTORIES","FQ3 2023","FQ3 2023","Currency=USD","Period=FQ","BEST_FPERIOD_OVERRIDE=FQ","FILING_STATUS=MR","SCALING_FORMAT=MLN","Sort=A","Dates=H","DateFormat=P","Fill=—","Direction=H","UseDPDF=Y")</f>
        <v>20.969000000000001</v>
      </c>
      <c r="W13" s="13">
        <f>_xll.BDH("BLUE US Equity","BS_INVENTORIES","FQ4 2023","FQ4 2023","Currency=USD","Period=FQ","BEST_FPERIOD_OVERRIDE=FQ","FILING_STATUS=MR","SCALING_FORMAT=MLN","Sort=A","Dates=H","DateFormat=P","Fill=—","Direction=H","UseDPDF=Y")</f>
        <v>22.919</v>
      </c>
      <c r="X13" s="13">
        <f>_xll.BDH("BLUE US Equity","BS_INVENTORIES","FQ1 2024","FQ1 2024","Currency=USD","Period=FQ","BEST_FPERIOD_OVERRIDE=FQ","FILING_STATUS=MR","SCALING_FORMAT=MLN","Sort=A","Dates=H","DateFormat=P","Fill=—","Direction=H","UseDPDF=Y")</f>
        <v>30.305</v>
      </c>
      <c r="Y13" s="13">
        <f>_xll.BDH("BLUE US Equity","BS_INVENTORIES","FQ2 2024","FQ2 2024","Currency=USD","Period=FQ","BEST_FPERIOD_OVERRIDE=FQ","FILING_STATUS=MR","SCALING_FORMAT=MLN","Sort=A","Dates=H","DateFormat=P","Fill=—","Direction=H","UseDPDF=Y")</f>
        <v>33.33</v>
      </c>
      <c r="Z13" s="13">
        <f>_xll.BDH("BLUE US Equity","BS_INVENTORIES","FQ3 2024","FQ3 2024","Currency=USD","Period=FQ","BEST_FPERIOD_OVERRIDE=FQ","FILING_STATUS=MR","SCALING_FORMAT=MLN","Sort=A","Dates=H","DateFormat=P","Fill=—","Direction=H","UseDPDF=Y")</f>
        <v>53.944000000000003</v>
      </c>
      <c r="AA13" s="13">
        <f>_xll.BDH("BLUE US Equity","BS_INVENTORIES","FQ4 2024","FQ4 2024","Currency=USD","Period=FQ","BEST_FPERIOD_OVERRIDE=FQ","FILING_STATUS=MR","SCALING_FORMAT=MLN","Sort=A","Dates=H","DateFormat=P","Fill=—","Direction=H","UseDPDF=Y")</f>
        <v>65.016999999999996</v>
      </c>
    </row>
    <row r="14" spans="1:27" x14ac:dyDescent="0.25">
      <c r="A14" s="10" t="s">
        <v>608</v>
      </c>
      <c r="B14" s="10" t="s">
        <v>609</v>
      </c>
      <c r="C14" s="13">
        <f>_xll.BDH("BLUE US Equity","INVTRY_RAW_MATERIALS","FQ4 2018","FQ4 2018","Currency=USD","Period=FQ","BEST_FPERIOD_OVERRIDE=FQ","FILING_STATUS=MR","SCALING_FORMAT=MLN","Sort=A","Dates=H","DateFormat=P","Fill=—","Direction=H","UseDPDF=Y")</f>
        <v>0</v>
      </c>
      <c r="D14" s="13">
        <f>_xll.BDH("BLUE US Equity","INVTRY_RAW_MATERIALS","FQ1 2019","FQ1 2019","Currency=USD","Period=FQ","BEST_FPERIOD_OVERRIDE=FQ","FILING_STATUS=MR","SCALING_FORMAT=MLN","Sort=A","Dates=H","DateFormat=P","Fill=—","Direction=H","UseDPDF=Y")</f>
        <v>0</v>
      </c>
      <c r="E14" s="13">
        <f>_xll.BDH("BLUE US Equity","INVTRY_RAW_MATERIALS","FQ2 2019","FQ2 2019","Currency=USD","Period=FQ","BEST_FPERIOD_OVERRIDE=FQ","FILING_STATUS=MR","SCALING_FORMAT=MLN","Sort=A","Dates=H","DateFormat=P","Fill=—","Direction=H","UseDPDF=Y")</f>
        <v>0</v>
      </c>
      <c r="F14" s="13">
        <f>_xll.BDH("BLUE US Equity","INVTRY_RAW_MATERIALS","FQ3 2019","FQ3 2019","Currency=USD","Period=FQ","BEST_FPERIOD_OVERRIDE=FQ","FILING_STATUS=MR","SCALING_FORMAT=MLN","Sort=A","Dates=H","DateFormat=P","Fill=—","Direction=H","UseDPDF=Y")</f>
        <v>0</v>
      </c>
      <c r="G14" s="13">
        <f>_xll.BDH("BLUE US Equity","INVTRY_RAW_MATERIALS","FQ4 2019","FQ4 2019","Currency=USD","Period=FQ","BEST_FPERIOD_OVERRIDE=FQ","FILING_STATUS=MR","SCALING_FORMAT=MLN","Sort=A","Dates=H","DateFormat=P","Fill=—","Direction=H","UseDPDF=Y")</f>
        <v>0</v>
      </c>
      <c r="H14" s="13">
        <f>_xll.BDH("BLUE US Equity","INVTRY_RAW_MATERIALS","FQ1 2020","FQ1 2020","Currency=USD","Period=FQ","BEST_FPERIOD_OVERRIDE=FQ","FILING_STATUS=MR","SCALING_FORMAT=MLN","Sort=A","Dates=H","DateFormat=P","Fill=—","Direction=H","UseDPDF=Y")</f>
        <v>0</v>
      </c>
      <c r="I14" s="13">
        <f>_xll.BDH("BLUE US Equity","INVTRY_RAW_MATERIALS","FQ2 2020","FQ2 2020","Currency=USD","Period=FQ","BEST_FPERIOD_OVERRIDE=FQ","FILING_STATUS=MR","SCALING_FORMAT=MLN","Sort=A","Dates=H","DateFormat=P","Fill=—","Direction=H","UseDPDF=Y")</f>
        <v>0</v>
      </c>
      <c r="J14" s="13">
        <f>_xll.BDH("BLUE US Equity","INVTRY_RAW_MATERIALS","FQ3 2020","FQ3 2020","Currency=USD","Period=FQ","BEST_FPERIOD_OVERRIDE=FQ","FILING_STATUS=MR","SCALING_FORMAT=MLN","Sort=A","Dates=H","DateFormat=P","Fill=—","Direction=H","UseDPDF=Y")</f>
        <v>0</v>
      </c>
      <c r="K14" s="13">
        <f>_xll.BDH("BLUE US Equity","INVTRY_RAW_MATERIALS","FQ4 2020","FQ4 2020","Currency=USD","Period=FQ","BEST_FPERIOD_OVERRIDE=FQ","FILING_STATUS=MR","SCALING_FORMAT=MLN","Sort=A","Dates=H","DateFormat=P","Fill=—","Direction=H","UseDPDF=Y")</f>
        <v>8.9670000000000005</v>
      </c>
      <c r="L14" s="13">
        <f>_xll.BDH("BLUE US Equity","INVTRY_RAW_MATERIALS","FQ1 2021","FQ1 2021","Currency=USD","Period=FQ","BEST_FPERIOD_OVERRIDE=FQ","FILING_STATUS=MR","SCALING_FORMAT=MLN","Sort=A","Dates=H","DateFormat=P","Fill=—","Direction=H","UseDPDF=Y")</f>
        <v>16.891999999999999</v>
      </c>
      <c r="M14" s="13" t="str">
        <f>_xll.BDH("BLUE US Equity","INVTRY_RAW_MATERIALS","FQ2 2021","FQ2 2021","Currency=USD","Period=FQ","BEST_FPERIOD_OVERRIDE=FQ","FILING_STATUS=MR","SCALING_FORMAT=MLN","Sort=A","Dates=H","DateFormat=P","Fill=—","Direction=H","UseDPDF=Y")</f>
        <v>—</v>
      </c>
      <c r="N14" s="13">
        <f>_xll.BDH("BLUE US Equity","INVTRY_RAW_MATERIALS","FQ3 2021","FQ3 2021","Currency=USD","Period=FQ","BEST_FPERIOD_OVERRIDE=FQ","FILING_STATUS=MR","SCALING_FORMAT=MLN","Sort=A","Dates=H","DateFormat=P","Fill=—","Direction=H","UseDPDF=Y")</f>
        <v>0</v>
      </c>
      <c r="O14" s="13">
        <f>_xll.BDH("BLUE US Equity","INVTRY_RAW_MATERIALS","FQ4 2021","FQ4 2021","Currency=USD","Period=FQ","BEST_FPERIOD_OVERRIDE=FQ","FILING_STATUS=MR","SCALING_FORMAT=MLN","Sort=A","Dates=H","DateFormat=P","Fill=—","Direction=H","UseDPDF=Y")</f>
        <v>0</v>
      </c>
      <c r="P14" s="13">
        <f>_xll.BDH("BLUE US Equity","INVTRY_RAW_MATERIALS","FQ1 2022","FQ1 2022","Currency=USD","Period=FQ","BEST_FPERIOD_OVERRIDE=FQ","FILING_STATUS=MR","SCALING_FORMAT=MLN","Sort=A","Dates=H","DateFormat=P","Fill=—","Direction=H","UseDPDF=Y")</f>
        <v>0</v>
      </c>
      <c r="Q14" s="13">
        <f>_xll.BDH("BLUE US Equity","INVTRY_RAW_MATERIALS","FQ2 2022","FQ2 2022","Currency=USD","Period=FQ","BEST_FPERIOD_OVERRIDE=FQ","FILING_STATUS=MR","SCALING_FORMAT=MLN","Sort=A","Dates=H","DateFormat=P","Fill=—","Direction=H","UseDPDF=Y")</f>
        <v>0</v>
      </c>
      <c r="R14" s="13">
        <f>_xll.BDH("BLUE US Equity","INVTRY_RAW_MATERIALS","FQ3 2022","FQ3 2022","Currency=USD","Period=FQ","BEST_FPERIOD_OVERRIDE=FQ","FILING_STATUS=MR","SCALING_FORMAT=MLN","Sort=A","Dates=H","DateFormat=P","Fill=—","Direction=H","UseDPDF=Y")</f>
        <v>0</v>
      </c>
      <c r="S14" s="13">
        <f>_xll.BDH("BLUE US Equity","INVTRY_RAW_MATERIALS","FQ4 2022","FQ4 2022","Currency=USD","Period=FQ","BEST_FPERIOD_OVERRIDE=FQ","FILING_STATUS=MR","SCALING_FORMAT=MLN","Sort=A","Dates=H","DateFormat=P","Fill=—","Direction=H","UseDPDF=Y")</f>
        <v>0</v>
      </c>
      <c r="T14" s="13" t="str">
        <f>_xll.BDH("BLUE US Equity","INVTRY_RAW_MATERIALS","FQ1 2023","FQ1 2023","Currency=USD","Period=FQ","BEST_FPERIOD_OVERRIDE=FQ","FILING_STATUS=MR","SCALING_FORMAT=MLN","Sort=A","Dates=H","DateFormat=P","Fill=—","Direction=H","UseDPDF=Y")</f>
        <v>—</v>
      </c>
      <c r="U14" s="13" t="str">
        <f>_xll.BDH("BLUE US Equity","INVTRY_RAW_MATERIALS","FQ2 2023","FQ2 2023","Currency=USD","Period=FQ","BEST_FPERIOD_OVERRIDE=FQ","FILING_STATUS=MR","SCALING_FORMAT=MLN","Sort=A","Dates=H","DateFormat=P","Fill=—","Direction=H","UseDPDF=Y")</f>
        <v>—</v>
      </c>
      <c r="V14" s="13" t="str">
        <f>_xll.BDH("BLUE US Equity","INVTRY_RAW_MATERIALS","FQ3 2023","FQ3 2023","Currency=USD","Period=FQ","BEST_FPERIOD_OVERRIDE=FQ","FILING_STATUS=MR","SCALING_FORMAT=MLN","Sort=A","Dates=H","DateFormat=P","Fill=—","Direction=H","UseDPDF=Y")</f>
        <v>—</v>
      </c>
      <c r="W14" s="13">
        <f>_xll.BDH("BLUE US Equity","INVTRY_RAW_MATERIALS","FQ4 2023","FQ4 2023","Currency=USD","Period=FQ","BEST_FPERIOD_OVERRIDE=FQ","FILING_STATUS=MR","SCALING_FORMAT=MLN","Sort=A","Dates=H","DateFormat=P","Fill=—","Direction=H","UseDPDF=Y")</f>
        <v>2.3290000000000002</v>
      </c>
      <c r="X14" s="13">
        <f>_xll.BDH("BLUE US Equity","INVTRY_RAW_MATERIALS","FQ1 2024","FQ1 2024","Currency=USD","Period=FQ","BEST_FPERIOD_OVERRIDE=FQ","FILING_STATUS=MR","SCALING_FORMAT=MLN","Sort=A","Dates=H","DateFormat=P","Fill=—","Direction=H","UseDPDF=Y")</f>
        <v>3.177</v>
      </c>
      <c r="Y14" s="13">
        <f>_xll.BDH("BLUE US Equity","INVTRY_RAW_MATERIALS","FQ2 2024","FQ2 2024","Currency=USD","Period=FQ","BEST_FPERIOD_OVERRIDE=FQ","FILING_STATUS=MR","SCALING_FORMAT=MLN","Sort=A","Dates=H","DateFormat=P","Fill=—","Direction=H","UseDPDF=Y")</f>
        <v>3.0920000000000001</v>
      </c>
      <c r="Z14" s="13">
        <f>_xll.BDH("BLUE US Equity","INVTRY_RAW_MATERIALS","FQ3 2024","FQ3 2024","Currency=USD","Period=FQ","BEST_FPERIOD_OVERRIDE=FQ","FILING_STATUS=MR","SCALING_FORMAT=MLN","Sort=A","Dates=H","DateFormat=P","Fill=—","Direction=H","UseDPDF=Y")</f>
        <v>2.9649999999999999</v>
      </c>
      <c r="AA14" s="13">
        <f>_xll.BDH("BLUE US Equity","INVTRY_RAW_MATERIALS","FQ4 2024","FQ4 2024","Currency=USD","Period=FQ","BEST_FPERIOD_OVERRIDE=FQ","FILING_STATUS=MR","SCALING_FORMAT=MLN","Sort=A","Dates=H","DateFormat=P","Fill=—","Direction=H","UseDPDF=Y")</f>
        <v>2.7850000000000001</v>
      </c>
    </row>
    <row r="15" spans="1:27" x14ac:dyDescent="0.25">
      <c r="A15" s="10" t="s">
        <v>610</v>
      </c>
      <c r="B15" s="10" t="s">
        <v>611</v>
      </c>
      <c r="C15" s="13">
        <f>_xll.BDH("BLUE US Equity","INVTRY_IN_PROGRESS","FQ4 2018","FQ4 2018","Currency=USD","Period=FQ","BEST_FPERIOD_OVERRIDE=FQ","FILING_STATUS=MR","SCALING_FORMAT=MLN","Sort=A","Dates=H","DateFormat=P","Fill=—","Direction=H","UseDPDF=Y")</f>
        <v>0</v>
      </c>
      <c r="D15" s="13">
        <f>_xll.BDH("BLUE US Equity","INVTRY_IN_PROGRESS","FQ1 2019","FQ1 2019","Currency=USD","Period=FQ","BEST_FPERIOD_OVERRIDE=FQ","FILING_STATUS=MR","SCALING_FORMAT=MLN","Sort=A","Dates=H","DateFormat=P","Fill=—","Direction=H","UseDPDF=Y")</f>
        <v>0</v>
      </c>
      <c r="E15" s="13">
        <f>_xll.BDH("BLUE US Equity","INVTRY_IN_PROGRESS","FQ2 2019","FQ2 2019","Currency=USD","Period=FQ","BEST_FPERIOD_OVERRIDE=FQ","FILING_STATUS=MR","SCALING_FORMAT=MLN","Sort=A","Dates=H","DateFormat=P","Fill=—","Direction=H","UseDPDF=Y")</f>
        <v>0</v>
      </c>
      <c r="F15" s="13">
        <f>_xll.BDH("BLUE US Equity","INVTRY_IN_PROGRESS","FQ3 2019","FQ3 2019","Currency=USD","Period=FQ","BEST_FPERIOD_OVERRIDE=FQ","FILING_STATUS=MR","SCALING_FORMAT=MLN","Sort=A","Dates=H","DateFormat=P","Fill=—","Direction=H","UseDPDF=Y")</f>
        <v>0</v>
      </c>
      <c r="G15" s="13">
        <f>_xll.BDH("BLUE US Equity","INVTRY_IN_PROGRESS","FQ4 2019","FQ4 2019","Currency=USD","Period=FQ","BEST_FPERIOD_OVERRIDE=FQ","FILING_STATUS=MR","SCALING_FORMAT=MLN","Sort=A","Dates=H","DateFormat=P","Fill=—","Direction=H","UseDPDF=Y")</f>
        <v>0</v>
      </c>
      <c r="H15" s="13">
        <f>_xll.BDH("BLUE US Equity","INVTRY_IN_PROGRESS","FQ1 2020","FQ1 2020","Currency=USD","Period=FQ","BEST_FPERIOD_OVERRIDE=FQ","FILING_STATUS=MR","SCALING_FORMAT=MLN","Sort=A","Dates=H","DateFormat=P","Fill=—","Direction=H","UseDPDF=Y")</f>
        <v>0</v>
      </c>
      <c r="I15" s="13">
        <f>_xll.BDH("BLUE US Equity","INVTRY_IN_PROGRESS","FQ2 2020","FQ2 2020","Currency=USD","Period=FQ","BEST_FPERIOD_OVERRIDE=FQ","FILING_STATUS=MR","SCALING_FORMAT=MLN","Sort=A","Dates=H","DateFormat=P","Fill=—","Direction=H","UseDPDF=Y")</f>
        <v>0</v>
      </c>
      <c r="J15" s="13">
        <f>_xll.BDH("BLUE US Equity","INVTRY_IN_PROGRESS","FQ3 2020","FQ3 2020","Currency=USD","Period=FQ","BEST_FPERIOD_OVERRIDE=FQ","FILING_STATUS=MR","SCALING_FORMAT=MLN","Sort=A","Dates=H","DateFormat=P","Fill=—","Direction=H","UseDPDF=Y")</f>
        <v>0</v>
      </c>
      <c r="K15" s="13">
        <f>_xll.BDH("BLUE US Equity","INVTRY_IN_PROGRESS","FQ4 2020","FQ4 2020","Currency=USD","Period=FQ","BEST_FPERIOD_OVERRIDE=FQ","FILING_STATUS=MR","SCALING_FORMAT=MLN","Sort=A","Dates=H","DateFormat=P","Fill=—","Direction=H","UseDPDF=Y")</f>
        <v>0</v>
      </c>
      <c r="L15" s="13">
        <f>_xll.BDH("BLUE US Equity","INVTRY_IN_PROGRESS","FQ1 2021","FQ1 2021","Currency=USD","Period=FQ","BEST_FPERIOD_OVERRIDE=FQ","FILING_STATUS=MR","SCALING_FORMAT=MLN","Sort=A","Dates=H","DateFormat=P","Fill=—","Direction=H","UseDPDF=Y")</f>
        <v>0</v>
      </c>
      <c r="M15" s="13" t="str">
        <f>_xll.BDH("BLUE US Equity","INVTRY_IN_PROGRESS","FQ2 2021","FQ2 2021","Currency=USD","Period=FQ","BEST_FPERIOD_OVERRIDE=FQ","FILING_STATUS=MR","SCALING_FORMAT=MLN","Sort=A","Dates=H","DateFormat=P","Fill=—","Direction=H","UseDPDF=Y")</f>
        <v>—</v>
      </c>
      <c r="N15" s="13">
        <f>_xll.BDH("BLUE US Equity","INVTRY_IN_PROGRESS","FQ3 2021","FQ3 2021","Currency=USD","Period=FQ","BEST_FPERIOD_OVERRIDE=FQ","FILING_STATUS=MR","SCALING_FORMAT=MLN","Sort=A","Dates=H","DateFormat=P","Fill=—","Direction=H","UseDPDF=Y")</f>
        <v>0</v>
      </c>
      <c r="O15" s="13">
        <f>_xll.BDH("BLUE US Equity","INVTRY_IN_PROGRESS","FQ4 2021","FQ4 2021","Currency=USD","Period=FQ","BEST_FPERIOD_OVERRIDE=FQ","FILING_STATUS=MR","SCALING_FORMAT=MLN","Sort=A","Dates=H","DateFormat=P","Fill=—","Direction=H","UseDPDF=Y")</f>
        <v>0</v>
      </c>
      <c r="P15" s="13">
        <f>_xll.BDH("BLUE US Equity","INVTRY_IN_PROGRESS","FQ1 2022","FQ1 2022","Currency=USD","Period=FQ","BEST_FPERIOD_OVERRIDE=FQ","FILING_STATUS=MR","SCALING_FORMAT=MLN","Sort=A","Dates=H","DateFormat=P","Fill=—","Direction=H","UseDPDF=Y")</f>
        <v>0</v>
      </c>
      <c r="Q15" s="13">
        <f>_xll.BDH("BLUE US Equity","INVTRY_IN_PROGRESS","FQ2 2022","FQ2 2022","Currency=USD","Period=FQ","BEST_FPERIOD_OVERRIDE=FQ","FILING_STATUS=MR","SCALING_FORMAT=MLN","Sort=A","Dates=H","DateFormat=P","Fill=—","Direction=H","UseDPDF=Y")</f>
        <v>0</v>
      </c>
      <c r="R15" s="13">
        <f>_xll.BDH("BLUE US Equity","INVTRY_IN_PROGRESS","FQ3 2022","FQ3 2022","Currency=USD","Period=FQ","BEST_FPERIOD_OVERRIDE=FQ","FILING_STATUS=MR","SCALING_FORMAT=MLN","Sort=A","Dates=H","DateFormat=P","Fill=—","Direction=H","UseDPDF=Y")</f>
        <v>0</v>
      </c>
      <c r="S15" s="13">
        <f>_xll.BDH("BLUE US Equity","INVTRY_IN_PROGRESS","FQ4 2022","FQ4 2022","Currency=USD","Period=FQ","BEST_FPERIOD_OVERRIDE=FQ","FILING_STATUS=MR","SCALING_FORMAT=MLN","Sort=A","Dates=H","DateFormat=P","Fill=—","Direction=H","UseDPDF=Y")</f>
        <v>0</v>
      </c>
      <c r="T15" s="13" t="str">
        <f>_xll.BDH("BLUE US Equity","INVTRY_IN_PROGRESS","FQ1 2023","FQ1 2023","Currency=USD","Period=FQ","BEST_FPERIOD_OVERRIDE=FQ","FILING_STATUS=MR","SCALING_FORMAT=MLN","Sort=A","Dates=H","DateFormat=P","Fill=—","Direction=H","UseDPDF=Y")</f>
        <v>—</v>
      </c>
      <c r="U15" s="13" t="str">
        <f>_xll.BDH("BLUE US Equity","INVTRY_IN_PROGRESS","FQ2 2023","FQ2 2023","Currency=USD","Period=FQ","BEST_FPERIOD_OVERRIDE=FQ","FILING_STATUS=MR","SCALING_FORMAT=MLN","Sort=A","Dates=H","DateFormat=P","Fill=—","Direction=H","UseDPDF=Y")</f>
        <v>—</v>
      </c>
      <c r="V15" s="13" t="str">
        <f>_xll.BDH("BLUE US Equity","INVTRY_IN_PROGRESS","FQ3 2023","FQ3 2023","Currency=USD","Period=FQ","BEST_FPERIOD_OVERRIDE=FQ","FILING_STATUS=MR","SCALING_FORMAT=MLN","Sort=A","Dates=H","DateFormat=P","Fill=—","Direction=H","UseDPDF=Y")</f>
        <v>—</v>
      </c>
      <c r="W15" s="13">
        <f>_xll.BDH("BLUE US Equity","INVTRY_IN_PROGRESS","FQ4 2023","FQ4 2023","Currency=USD","Period=FQ","BEST_FPERIOD_OVERRIDE=FQ","FILING_STATUS=MR","SCALING_FORMAT=MLN","Sort=A","Dates=H","DateFormat=P","Fill=—","Direction=H","UseDPDF=Y")</f>
        <v>17.375</v>
      </c>
      <c r="X15" s="13">
        <f>_xll.BDH("BLUE US Equity","INVTRY_IN_PROGRESS","FQ1 2024","FQ1 2024","Currency=USD","Period=FQ","BEST_FPERIOD_OVERRIDE=FQ","FILING_STATUS=MR","SCALING_FORMAT=MLN","Sort=A","Dates=H","DateFormat=P","Fill=—","Direction=H","UseDPDF=Y")</f>
        <v>22.146000000000001</v>
      </c>
      <c r="Y15" s="13">
        <f>_xll.BDH("BLUE US Equity","INVTRY_IN_PROGRESS","FQ2 2024","FQ2 2024","Currency=USD","Period=FQ","BEST_FPERIOD_OVERRIDE=FQ","FILING_STATUS=MR","SCALING_FORMAT=MLN","Sort=A","Dates=H","DateFormat=P","Fill=—","Direction=H","UseDPDF=Y")</f>
        <v>28.167000000000002</v>
      </c>
      <c r="Z15" s="13">
        <f>_xll.BDH("BLUE US Equity","INVTRY_IN_PROGRESS","FQ3 2024","FQ3 2024","Currency=USD","Period=FQ","BEST_FPERIOD_OVERRIDE=FQ","FILING_STATUS=MR","SCALING_FORMAT=MLN","Sort=A","Dates=H","DateFormat=P","Fill=—","Direction=H","UseDPDF=Y")</f>
        <v>48.649000000000001</v>
      </c>
      <c r="AA15" s="13">
        <f>_xll.BDH("BLUE US Equity","INVTRY_IN_PROGRESS","FQ4 2024","FQ4 2024","Currency=USD","Period=FQ","BEST_FPERIOD_OVERRIDE=FQ","FILING_STATUS=MR","SCALING_FORMAT=MLN","Sort=A","Dates=H","DateFormat=P","Fill=—","Direction=H","UseDPDF=Y")</f>
        <v>58.664999999999999</v>
      </c>
    </row>
    <row r="16" spans="1:27" x14ac:dyDescent="0.25">
      <c r="A16" s="10" t="s">
        <v>612</v>
      </c>
      <c r="B16" s="10" t="s">
        <v>613</v>
      </c>
      <c r="C16" s="13">
        <f>_xll.BDH("BLUE US Equity","INVTRY_FINISHED_GOODS","FQ4 2018","FQ4 2018","Currency=USD","Period=FQ","BEST_FPERIOD_OVERRIDE=FQ","FILING_STATUS=MR","SCALING_FORMAT=MLN","Sort=A","Dates=H","DateFormat=P","Fill=—","Direction=H","UseDPDF=Y")</f>
        <v>0</v>
      </c>
      <c r="D16" s="13">
        <f>_xll.BDH("BLUE US Equity","INVTRY_FINISHED_GOODS","FQ1 2019","FQ1 2019","Currency=USD","Period=FQ","BEST_FPERIOD_OVERRIDE=FQ","FILING_STATUS=MR","SCALING_FORMAT=MLN","Sort=A","Dates=H","DateFormat=P","Fill=—","Direction=H","UseDPDF=Y")</f>
        <v>0</v>
      </c>
      <c r="E16" s="13">
        <f>_xll.BDH("BLUE US Equity","INVTRY_FINISHED_GOODS","FQ2 2019","FQ2 2019","Currency=USD","Period=FQ","BEST_FPERIOD_OVERRIDE=FQ","FILING_STATUS=MR","SCALING_FORMAT=MLN","Sort=A","Dates=H","DateFormat=P","Fill=—","Direction=H","UseDPDF=Y")</f>
        <v>0</v>
      </c>
      <c r="F16" s="13">
        <f>_xll.BDH("BLUE US Equity","INVTRY_FINISHED_GOODS","FQ3 2019","FQ3 2019","Currency=USD","Period=FQ","BEST_FPERIOD_OVERRIDE=FQ","FILING_STATUS=MR","SCALING_FORMAT=MLN","Sort=A","Dates=H","DateFormat=P","Fill=—","Direction=H","UseDPDF=Y")</f>
        <v>0</v>
      </c>
      <c r="G16" s="13">
        <f>_xll.BDH("BLUE US Equity","INVTRY_FINISHED_GOODS","FQ4 2019","FQ4 2019","Currency=USD","Period=FQ","BEST_FPERIOD_OVERRIDE=FQ","FILING_STATUS=MR","SCALING_FORMAT=MLN","Sort=A","Dates=H","DateFormat=P","Fill=—","Direction=H","UseDPDF=Y")</f>
        <v>0</v>
      </c>
      <c r="H16" s="13">
        <f>_xll.BDH("BLUE US Equity","INVTRY_FINISHED_GOODS","FQ1 2020","FQ1 2020","Currency=USD","Period=FQ","BEST_FPERIOD_OVERRIDE=FQ","FILING_STATUS=MR","SCALING_FORMAT=MLN","Sort=A","Dates=H","DateFormat=P","Fill=—","Direction=H","UseDPDF=Y")</f>
        <v>0</v>
      </c>
      <c r="I16" s="13">
        <f>_xll.BDH("BLUE US Equity","INVTRY_FINISHED_GOODS","FQ2 2020","FQ2 2020","Currency=USD","Period=FQ","BEST_FPERIOD_OVERRIDE=FQ","FILING_STATUS=MR","SCALING_FORMAT=MLN","Sort=A","Dates=H","DateFormat=P","Fill=—","Direction=H","UseDPDF=Y")</f>
        <v>0</v>
      </c>
      <c r="J16" s="13">
        <f>_xll.BDH("BLUE US Equity","INVTRY_FINISHED_GOODS","FQ3 2020","FQ3 2020","Currency=USD","Period=FQ","BEST_FPERIOD_OVERRIDE=FQ","FILING_STATUS=MR","SCALING_FORMAT=MLN","Sort=A","Dates=H","DateFormat=P","Fill=—","Direction=H","UseDPDF=Y")</f>
        <v>0</v>
      </c>
      <c r="K16" s="13">
        <f>_xll.BDH("BLUE US Equity","INVTRY_FINISHED_GOODS","FQ4 2020","FQ4 2020","Currency=USD","Period=FQ","BEST_FPERIOD_OVERRIDE=FQ","FILING_STATUS=MR","SCALING_FORMAT=MLN","Sort=A","Dates=H","DateFormat=P","Fill=—","Direction=H","UseDPDF=Y")</f>
        <v>1.7310000000000001</v>
      </c>
      <c r="L16" s="13">
        <f>_xll.BDH("BLUE US Equity","INVTRY_FINISHED_GOODS","FQ1 2021","FQ1 2021","Currency=USD","Period=FQ","BEST_FPERIOD_OVERRIDE=FQ","FILING_STATUS=MR","SCALING_FORMAT=MLN","Sort=A","Dates=H","DateFormat=P","Fill=—","Direction=H","UseDPDF=Y")</f>
        <v>1.1870000000000001</v>
      </c>
      <c r="M16" s="13" t="str">
        <f>_xll.BDH("BLUE US Equity","INVTRY_FINISHED_GOODS","FQ2 2021","FQ2 2021","Currency=USD","Period=FQ","BEST_FPERIOD_OVERRIDE=FQ","FILING_STATUS=MR","SCALING_FORMAT=MLN","Sort=A","Dates=H","DateFormat=P","Fill=—","Direction=H","UseDPDF=Y")</f>
        <v>—</v>
      </c>
      <c r="N16" s="13">
        <f>_xll.BDH("BLUE US Equity","INVTRY_FINISHED_GOODS","FQ3 2021","FQ3 2021","Currency=USD","Period=FQ","BEST_FPERIOD_OVERRIDE=FQ","FILING_STATUS=MR","SCALING_FORMAT=MLN","Sort=A","Dates=H","DateFormat=P","Fill=—","Direction=H","UseDPDF=Y")</f>
        <v>0.76600000000000001</v>
      </c>
      <c r="O16" s="13">
        <f>_xll.BDH("BLUE US Equity","INVTRY_FINISHED_GOODS","FQ4 2021","FQ4 2021","Currency=USD","Period=FQ","BEST_FPERIOD_OVERRIDE=FQ","FILING_STATUS=MR","SCALING_FORMAT=MLN","Sort=A","Dates=H","DateFormat=P","Fill=—","Direction=H","UseDPDF=Y")</f>
        <v>0</v>
      </c>
      <c r="P16" s="13">
        <f>_xll.BDH("BLUE US Equity","INVTRY_FINISHED_GOODS","FQ1 2022","FQ1 2022","Currency=USD","Period=FQ","BEST_FPERIOD_OVERRIDE=FQ","FILING_STATUS=MR","SCALING_FORMAT=MLN","Sort=A","Dates=H","DateFormat=P","Fill=—","Direction=H","UseDPDF=Y")</f>
        <v>0</v>
      </c>
      <c r="Q16" s="13">
        <f>_xll.BDH("BLUE US Equity","INVTRY_FINISHED_GOODS","FQ2 2022","FQ2 2022","Currency=USD","Period=FQ","BEST_FPERIOD_OVERRIDE=FQ","FILING_STATUS=MR","SCALING_FORMAT=MLN","Sort=A","Dates=H","DateFormat=P","Fill=—","Direction=H","UseDPDF=Y")</f>
        <v>0</v>
      </c>
      <c r="R16" s="13">
        <f>_xll.BDH("BLUE US Equity","INVTRY_FINISHED_GOODS","FQ3 2022","FQ3 2022","Currency=USD","Period=FQ","BEST_FPERIOD_OVERRIDE=FQ","FILING_STATUS=MR","SCALING_FORMAT=MLN","Sort=A","Dates=H","DateFormat=P","Fill=—","Direction=H","UseDPDF=Y")</f>
        <v>0</v>
      </c>
      <c r="S16" s="13">
        <f>_xll.BDH("BLUE US Equity","INVTRY_FINISHED_GOODS","FQ4 2022","FQ4 2022","Currency=USD","Period=FQ","BEST_FPERIOD_OVERRIDE=FQ","FILING_STATUS=MR","SCALING_FORMAT=MLN","Sort=A","Dates=H","DateFormat=P","Fill=—","Direction=H","UseDPDF=Y")</f>
        <v>0</v>
      </c>
      <c r="T16" s="13" t="str">
        <f>_xll.BDH("BLUE US Equity","INVTRY_FINISHED_GOODS","FQ1 2023","FQ1 2023","Currency=USD","Period=FQ","BEST_FPERIOD_OVERRIDE=FQ","FILING_STATUS=MR","SCALING_FORMAT=MLN","Sort=A","Dates=H","DateFormat=P","Fill=—","Direction=H","UseDPDF=Y")</f>
        <v>—</v>
      </c>
      <c r="U16" s="13" t="str">
        <f>_xll.BDH("BLUE US Equity","INVTRY_FINISHED_GOODS","FQ2 2023","FQ2 2023","Currency=USD","Period=FQ","BEST_FPERIOD_OVERRIDE=FQ","FILING_STATUS=MR","SCALING_FORMAT=MLN","Sort=A","Dates=H","DateFormat=P","Fill=—","Direction=H","UseDPDF=Y")</f>
        <v>—</v>
      </c>
      <c r="V16" s="13" t="str">
        <f>_xll.BDH("BLUE US Equity","INVTRY_FINISHED_GOODS","FQ3 2023","FQ3 2023","Currency=USD","Period=FQ","BEST_FPERIOD_OVERRIDE=FQ","FILING_STATUS=MR","SCALING_FORMAT=MLN","Sort=A","Dates=H","DateFormat=P","Fill=—","Direction=H","UseDPDF=Y")</f>
        <v>—</v>
      </c>
      <c r="W16" s="13">
        <f>_xll.BDH("BLUE US Equity","INVTRY_FINISHED_GOODS","FQ4 2023","FQ4 2023","Currency=USD","Period=FQ","BEST_FPERIOD_OVERRIDE=FQ","FILING_STATUS=MR","SCALING_FORMAT=MLN","Sort=A","Dates=H","DateFormat=P","Fill=—","Direction=H","UseDPDF=Y")</f>
        <v>3.2149999999999999</v>
      </c>
      <c r="X16" s="13">
        <f>_xll.BDH("BLUE US Equity","INVTRY_FINISHED_GOODS","FQ1 2024","FQ1 2024","Currency=USD","Period=FQ","BEST_FPERIOD_OVERRIDE=FQ","FILING_STATUS=MR","SCALING_FORMAT=MLN","Sort=A","Dates=H","DateFormat=P","Fill=—","Direction=H","UseDPDF=Y")</f>
        <v>4.9820000000000002</v>
      </c>
      <c r="Y16" s="13">
        <f>_xll.BDH("BLUE US Equity","INVTRY_FINISHED_GOODS","FQ2 2024","FQ2 2024","Currency=USD","Period=FQ","BEST_FPERIOD_OVERRIDE=FQ","FILING_STATUS=MR","SCALING_FORMAT=MLN","Sort=A","Dates=H","DateFormat=P","Fill=—","Direction=H","UseDPDF=Y")</f>
        <v>2.0710000000000002</v>
      </c>
      <c r="Z16" s="13">
        <f>_xll.BDH("BLUE US Equity","INVTRY_FINISHED_GOODS","FQ3 2024","FQ3 2024","Currency=USD","Period=FQ","BEST_FPERIOD_OVERRIDE=FQ","FILING_STATUS=MR","SCALING_FORMAT=MLN","Sort=A","Dates=H","DateFormat=P","Fill=—","Direction=H","UseDPDF=Y")</f>
        <v>2.33</v>
      </c>
      <c r="AA16" s="13">
        <f>_xll.BDH("BLUE US Equity","INVTRY_FINISHED_GOODS","FQ4 2024","FQ4 2024","Currency=USD","Period=FQ","BEST_FPERIOD_OVERRIDE=FQ","FILING_STATUS=MR","SCALING_FORMAT=MLN","Sort=A","Dates=H","DateFormat=P","Fill=—","Direction=H","UseDPDF=Y")</f>
        <v>3.5670000000000002</v>
      </c>
    </row>
    <row r="17" spans="1:27" x14ac:dyDescent="0.25">
      <c r="A17" s="10" t="s">
        <v>614</v>
      </c>
      <c r="B17" s="10" t="s">
        <v>615</v>
      </c>
      <c r="C17" s="13">
        <f>_xll.BDH("BLUE US Equity","BS_OTHER_INV","FQ4 2018","FQ4 2018","Currency=USD","Period=FQ","BEST_FPERIOD_OVERRIDE=FQ","FILING_STATUS=MR","SCALING_FORMAT=MLN","Sort=A","Dates=H","DateFormat=P","Fill=—","Direction=H","UseDPDF=Y")</f>
        <v>0</v>
      </c>
      <c r="D17" s="13">
        <f>_xll.BDH("BLUE US Equity","BS_OTHER_INV","FQ1 2019","FQ1 2019","Currency=USD","Period=FQ","BEST_FPERIOD_OVERRIDE=FQ","FILING_STATUS=MR","SCALING_FORMAT=MLN","Sort=A","Dates=H","DateFormat=P","Fill=—","Direction=H","UseDPDF=Y")</f>
        <v>0</v>
      </c>
      <c r="E17" s="13">
        <f>_xll.BDH("BLUE US Equity","BS_OTHER_INV","FQ2 2019","FQ2 2019","Currency=USD","Period=FQ","BEST_FPERIOD_OVERRIDE=FQ","FILING_STATUS=MR","SCALING_FORMAT=MLN","Sort=A","Dates=H","DateFormat=P","Fill=—","Direction=H","UseDPDF=Y")</f>
        <v>0</v>
      </c>
      <c r="F17" s="13">
        <f>_xll.BDH("BLUE US Equity","BS_OTHER_INV","FQ3 2019","FQ3 2019","Currency=USD","Period=FQ","BEST_FPERIOD_OVERRIDE=FQ","FILING_STATUS=MR","SCALING_FORMAT=MLN","Sort=A","Dates=H","DateFormat=P","Fill=—","Direction=H","UseDPDF=Y")</f>
        <v>0</v>
      </c>
      <c r="G17" s="13">
        <f>_xll.BDH("BLUE US Equity","BS_OTHER_INV","FQ4 2019","FQ4 2019","Currency=USD","Period=FQ","BEST_FPERIOD_OVERRIDE=FQ","FILING_STATUS=MR","SCALING_FORMAT=MLN","Sort=A","Dates=H","DateFormat=P","Fill=—","Direction=H","UseDPDF=Y")</f>
        <v>0</v>
      </c>
      <c r="H17" s="13">
        <f>_xll.BDH("BLUE US Equity","BS_OTHER_INV","FQ1 2020","FQ1 2020","Currency=USD","Period=FQ","BEST_FPERIOD_OVERRIDE=FQ","FILING_STATUS=MR","SCALING_FORMAT=MLN","Sort=A","Dates=H","DateFormat=P","Fill=—","Direction=H","UseDPDF=Y")</f>
        <v>0</v>
      </c>
      <c r="I17" s="13">
        <f>_xll.BDH("BLUE US Equity","BS_OTHER_INV","FQ2 2020","FQ2 2020","Currency=USD","Period=FQ","BEST_FPERIOD_OVERRIDE=FQ","FILING_STATUS=MR","SCALING_FORMAT=MLN","Sort=A","Dates=H","DateFormat=P","Fill=—","Direction=H","UseDPDF=Y")</f>
        <v>0</v>
      </c>
      <c r="J17" s="13">
        <f>_xll.BDH("BLUE US Equity","BS_OTHER_INV","FQ3 2020","FQ3 2020","Currency=USD","Period=FQ","BEST_FPERIOD_OVERRIDE=FQ","FILING_STATUS=MR","SCALING_FORMAT=MLN","Sort=A","Dates=H","DateFormat=P","Fill=—","Direction=H","UseDPDF=Y")</f>
        <v>0</v>
      </c>
      <c r="K17" s="13">
        <f>_xll.BDH("BLUE US Equity","BS_OTHER_INV","FQ4 2020","FQ4 2020","Currency=USD","Period=FQ","BEST_FPERIOD_OVERRIDE=FQ","FILING_STATUS=MR","SCALING_FORMAT=MLN","Sort=A","Dates=H","DateFormat=P","Fill=—","Direction=H","UseDPDF=Y")</f>
        <v>0</v>
      </c>
      <c r="L17" s="13">
        <f>_xll.BDH("BLUE US Equity","BS_OTHER_INV","FQ1 2021","FQ1 2021","Currency=USD","Period=FQ","BEST_FPERIOD_OVERRIDE=FQ","FILING_STATUS=MR","SCALING_FORMAT=MLN","Sort=A","Dates=H","DateFormat=P","Fill=—","Direction=H","UseDPDF=Y")</f>
        <v>0</v>
      </c>
      <c r="M17" s="13" t="str">
        <f>_xll.BDH("BLUE US Equity","BS_OTHER_INV","FQ2 2021","FQ2 2021","Currency=USD","Period=FQ","BEST_FPERIOD_OVERRIDE=FQ","FILING_STATUS=MR","SCALING_FORMAT=MLN","Sort=A","Dates=H","DateFormat=P","Fill=—","Direction=H","UseDPDF=Y")</f>
        <v>—</v>
      </c>
      <c r="N17" s="13">
        <f>_xll.BDH("BLUE US Equity","BS_OTHER_INV","FQ3 2021","FQ3 2021","Currency=USD","Period=FQ","BEST_FPERIOD_OVERRIDE=FQ","FILING_STATUS=MR","SCALING_FORMAT=MLN","Sort=A","Dates=H","DateFormat=P","Fill=—","Direction=H","UseDPDF=Y")</f>
        <v>0</v>
      </c>
      <c r="O17" s="13">
        <f>_xll.BDH("BLUE US Equity","BS_OTHER_INV","FQ4 2021","FQ4 2021","Currency=USD","Period=FQ","BEST_FPERIOD_OVERRIDE=FQ","FILING_STATUS=MR","SCALING_FORMAT=MLN","Sort=A","Dates=H","DateFormat=P","Fill=—","Direction=H","UseDPDF=Y")</f>
        <v>0</v>
      </c>
      <c r="P17" s="13">
        <f>_xll.BDH("BLUE US Equity","BS_OTHER_INV","FQ1 2022","FQ1 2022","Currency=USD","Period=FQ","BEST_FPERIOD_OVERRIDE=FQ","FILING_STATUS=MR","SCALING_FORMAT=MLN","Sort=A","Dates=H","DateFormat=P","Fill=—","Direction=H","UseDPDF=Y")</f>
        <v>0</v>
      </c>
      <c r="Q17" s="13">
        <f>_xll.BDH("BLUE US Equity","BS_OTHER_INV","FQ2 2022","FQ2 2022","Currency=USD","Period=FQ","BEST_FPERIOD_OVERRIDE=FQ","FILING_STATUS=MR","SCALING_FORMAT=MLN","Sort=A","Dates=H","DateFormat=P","Fill=—","Direction=H","UseDPDF=Y")</f>
        <v>0</v>
      </c>
      <c r="R17" s="13">
        <f>_xll.BDH("BLUE US Equity","BS_OTHER_INV","FQ3 2022","FQ3 2022","Currency=USD","Period=FQ","BEST_FPERIOD_OVERRIDE=FQ","FILING_STATUS=MR","SCALING_FORMAT=MLN","Sort=A","Dates=H","DateFormat=P","Fill=—","Direction=H","UseDPDF=Y")</f>
        <v>0</v>
      </c>
      <c r="S17" s="13">
        <f>_xll.BDH("BLUE US Equity","BS_OTHER_INV","FQ4 2022","FQ4 2022","Currency=USD","Period=FQ","BEST_FPERIOD_OVERRIDE=FQ","FILING_STATUS=MR","SCALING_FORMAT=MLN","Sort=A","Dates=H","DateFormat=P","Fill=—","Direction=H","UseDPDF=Y")</f>
        <v>0</v>
      </c>
      <c r="T17" s="13" t="str">
        <f>_xll.BDH("BLUE US Equity","BS_OTHER_INV","FQ1 2023","FQ1 2023","Currency=USD","Period=FQ","BEST_FPERIOD_OVERRIDE=FQ","FILING_STATUS=MR","SCALING_FORMAT=MLN","Sort=A","Dates=H","DateFormat=P","Fill=—","Direction=H","UseDPDF=Y")</f>
        <v>—</v>
      </c>
      <c r="U17" s="13" t="str">
        <f>_xll.BDH("BLUE US Equity","BS_OTHER_INV","FQ2 2023","FQ2 2023","Currency=USD","Period=FQ","BEST_FPERIOD_OVERRIDE=FQ","FILING_STATUS=MR","SCALING_FORMAT=MLN","Sort=A","Dates=H","DateFormat=P","Fill=—","Direction=H","UseDPDF=Y")</f>
        <v>—</v>
      </c>
      <c r="V17" s="13" t="str">
        <f>_xll.BDH("BLUE US Equity","BS_OTHER_INV","FQ3 2023","FQ3 2023","Currency=USD","Period=FQ","BEST_FPERIOD_OVERRIDE=FQ","FILING_STATUS=MR","SCALING_FORMAT=MLN","Sort=A","Dates=H","DateFormat=P","Fill=—","Direction=H","UseDPDF=Y")</f>
        <v>—</v>
      </c>
      <c r="W17" s="13">
        <f>_xll.BDH("BLUE US Equity","BS_OTHER_INV","FQ4 2023","FQ4 2023","Currency=USD","Period=FQ","BEST_FPERIOD_OVERRIDE=FQ","FILING_STATUS=MR","SCALING_FORMAT=MLN","Sort=A","Dates=H","DateFormat=P","Fill=—","Direction=H","UseDPDF=Y")</f>
        <v>0</v>
      </c>
      <c r="X17" s="13">
        <f>_xll.BDH("BLUE US Equity","BS_OTHER_INV","FQ1 2024","FQ1 2024","Currency=USD","Period=FQ","BEST_FPERIOD_OVERRIDE=FQ","FILING_STATUS=MR","SCALING_FORMAT=MLN","Sort=A","Dates=H","DateFormat=P","Fill=—","Direction=H","UseDPDF=Y")</f>
        <v>0</v>
      </c>
      <c r="Y17" s="13">
        <f>_xll.BDH("BLUE US Equity","BS_OTHER_INV","FQ2 2024","FQ2 2024","Currency=USD","Period=FQ","BEST_FPERIOD_OVERRIDE=FQ","FILING_STATUS=MR","SCALING_FORMAT=MLN","Sort=A","Dates=H","DateFormat=P","Fill=—","Direction=H","UseDPDF=Y")</f>
        <v>0</v>
      </c>
      <c r="Z17" s="13">
        <f>_xll.BDH("BLUE US Equity","BS_OTHER_INV","FQ3 2024","FQ3 2024","Currency=USD","Period=FQ","BEST_FPERIOD_OVERRIDE=FQ","FILING_STATUS=MR","SCALING_FORMAT=MLN","Sort=A","Dates=H","DateFormat=P","Fill=—","Direction=H","UseDPDF=Y")</f>
        <v>0</v>
      </c>
      <c r="AA17" s="13">
        <f>_xll.BDH("BLUE US Equity","BS_OTHER_INV","FQ4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10" t="s">
        <v>616</v>
      </c>
      <c r="B18" s="10" t="s">
        <v>617</v>
      </c>
      <c r="C18" s="13">
        <f>_xll.BDH("BLUE US Equity","OTHER_CURRENT_ASSETS_DETAILED","FQ4 2018","FQ4 2018","Currency=USD","Period=FQ","BEST_FPERIOD_OVERRIDE=FQ","FILING_STATUS=MR","SCALING_FORMAT=MLN","Sort=A","Dates=H","DateFormat=P","Fill=—","Direction=H","UseDPDF=Y")</f>
        <v>33.692999999999998</v>
      </c>
      <c r="D18" s="13">
        <f>_xll.BDH("BLUE US Equity","OTHER_CURRENT_ASSETS_DETAILED","FQ1 2019","FQ1 2019","Currency=USD","Period=FQ","BEST_FPERIOD_OVERRIDE=FQ","FILING_STATUS=MR","SCALING_FORMAT=MLN","Sort=A","Dates=H","DateFormat=P","Fill=—","Direction=H","UseDPDF=Y")</f>
        <v>43.215000000000003</v>
      </c>
      <c r="E18" s="13">
        <f>_xll.BDH("BLUE US Equity","OTHER_CURRENT_ASSETS_DETAILED","FQ2 2019","FQ2 2019","Currency=USD","Period=FQ","BEST_FPERIOD_OVERRIDE=FQ","FILING_STATUS=MR","SCALING_FORMAT=MLN","Sort=A","Dates=H","DateFormat=P","Fill=—","Direction=H","UseDPDF=Y")</f>
        <v>46.9</v>
      </c>
      <c r="F18" s="13">
        <f>_xll.BDH("BLUE US Equity","OTHER_CURRENT_ASSETS_DETAILED","FQ3 2019","FQ3 2019","Currency=USD","Period=FQ","BEST_FPERIOD_OVERRIDE=FQ","FILING_STATUS=MR","SCALING_FORMAT=MLN","Sort=A","Dates=H","DateFormat=P","Fill=—","Direction=H","UseDPDF=Y")</f>
        <v>40.076999999999998</v>
      </c>
      <c r="G18" s="13">
        <f>_xll.BDH("BLUE US Equity","OTHER_CURRENT_ASSETS_DETAILED","FQ4 2019","FQ4 2019","Currency=USD","Period=FQ","BEST_FPERIOD_OVERRIDE=FQ","FILING_STATUS=MR","SCALING_FORMAT=MLN","Sort=A","Dates=H","DateFormat=P","Fill=—","Direction=H","UseDPDF=Y")</f>
        <v>45.713999999999999</v>
      </c>
      <c r="H18" s="13">
        <f>_xll.BDH("BLUE US Equity","OTHER_CURRENT_ASSETS_DETAILED","FQ1 2020","FQ1 2020","Currency=USD","Period=FQ","BEST_FPERIOD_OVERRIDE=FQ","FILING_STATUS=MR","SCALING_FORMAT=MLN","Sort=A","Dates=H","DateFormat=P","Fill=—","Direction=H","UseDPDF=Y")</f>
        <v>56.783999999999999</v>
      </c>
      <c r="I18" s="13">
        <f>_xll.BDH("BLUE US Equity","OTHER_CURRENT_ASSETS_DETAILED","FQ2 2020","FQ2 2020","Currency=USD","Period=FQ","BEST_FPERIOD_OVERRIDE=FQ","FILING_STATUS=MR","SCALING_FORMAT=MLN","Sort=A","Dates=H","DateFormat=P","Fill=—","Direction=H","UseDPDF=Y")</f>
        <v>64.063000000000002</v>
      </c>
      <c r="J18" s="13">
        <f>_xll.BDH("BLUE US Equity","OTHER_CURRENT_ASSETS_DETAILED","FQ3 2020","FQ3 2020","Currency=USD","Period=FQ","BEST_FPERIOD_OVERRIDE=FQ","FILING_STATUS=MR","SCALING_FORMAT=MLN","Sort=A","Dates=H","DateFormat=P","Fill=—","Direction=H","UseDPDF=Y")</f>
        <v>62.939</v>
      </c>
      <c r="K18" s="13">
        <f>_xll.BDH("BLUE US Equity","OTHER_CURRENT_ASSETS_DETAILED","FQ4 2020","FQ4 2020","Currency=USD","Period=FQ","BEST_FPERIOD_OVERRIDE=FQ","FILING_STATUS=MR","SCALING_FORMAT=MLN","Sort=A","Dates=H","DateFormat=P","Fill=—","Direction=H","UseDPDF=Y")</f>
        <v>524.61099999999999</v>
      </c>
      <c r="L18" s="13">
        <f>_xll.BDH("BLUE US Equity","OTHER_CURRENT_ASSETS_DETAILED","FQ1 2021","FQ1 2021","Currency=USD","Period=FQ","BEST_FPERIOD_OVERRIDE=FQ","FILING_STATUS=MR","SCALING_FORMAT=MLN","Sort=A","Dates=H","DateFormat=P","Fill=—","Direction=H","UseDPDF=Y")</f>
        <v>67.02</v>
      </c>
      <c r="M18" s="13">
        <f>_xll.BDH("BLUE US Equity","OTHER_CURRENT_ASSETS_DETAILED","FQ2 2021","FQ2 2021","Currency=USD","Period=FQ","BEST_FPERIOD_OVERRIDE=FQ","FILING_STATUS=MR","SCALING_FORMAT=MLN","Sort=A","Dates=H","DateFormat=P","Fill=—","Direction=H","UseDPDF=Y")</f>
        <v>50.323</v>
      </c>
      <c r="N18" s="13">
        <f>_xll.BDH("BLUE US Equity","OTHER_CURRENT_ASSETS_DETAILED","FQ3 2021","FQ3 2021","Currency=USD","Period=FQ","BEST_FPERIOD_OVERRIDE=FQ","FILING_STATUS=MR","SCALING_FORMAT=MLN","Sort=A","Dates=H","DateFormat=P","Fill=—","Direction=H","UseDPDF=Y")</f>
        <v>53.957999999999998</v>
      </c>
      <c r="O18" s="13">
        <f>_xll.BDH("BLUE US Equity","OTHER_CURRENT_ASSETS_DETAILED","FQ4 2021","FQ4 2021","Currency=USD","Period=FQ","BEST_FPERIOD_OVERRIDE=FQ","FILING_STATUS=MR","SCALING_FORMAT=MLN","Sort=A","Dates=H","DateFormat=P","Fill=—","Direction=H","UseDPDF=Y")</f>
        <v>37.017000000000003</v>
      </c>
      <c r="P18" s="13">
        <f>_xll.BDH("BLUE US Equity","OTHER_CURRENT_ASSETS_DETAILED","FQ1 2022","FQ1 2022","Currency=USD","Period=FQ","BEST_FPERIOD_OVERRIDE=FQ","FILING_STATUS=MR","SCALING_FORMAT=MLN","Sort=A","Dates=H","DateFormat=P","Fill=—","Direction=H","UseDPDF=Y")</f>
        <v>43.329000000000001</v>
      </c>
      <c r="Q18" s="13">
        <f>_xll.BDH("BLUE US Equity","OTHER_CURRENT_ASSETS_DETAILED","FQ2 2022","FQ2 2022","Currency=USD","Period=FQ","BEST_FPERIOD_OVERRIDE=FQ","FILING_STATUS=MR","SCALING_FORMAT=MLN","Sort=A","Dates=H","DateFormat=P","Fill=—","Direction=H","UseDPDF=Y")</f>
        <v>34.948999999999998</v>
      </c>
      <c r="R18" s="13">
        <f>_xll.BDH("BLUE US Equity","OTHER_CURRENT_ASSETS_DETAILED","FQ3 2022","FQ3 2022","Currency=USD","Period=FQ","BEST_FPERIOD_OVERRIDE=FQ","FILING_STATUS=MR","SCALING_FORMAT=MLN","Sort=A","Dates=H","DateFormat=P","Fill=—","Direction=H","UseDPDF=Y")</f>
        <v>20.805</v>
      </c>
      <c r="S18" s="13">
        <f>_xll.BDH("BLUE US Equity","OTHER_CURRENT_ASSETS_DETAILED","FQ4 2022","FQ4 2022","Currency=USD","Period=FQ","BEST_FPERIOD_OVERRIDE=FQ","FILING_STATUS=MR","SCALING_FORMAT=MLN","Sort=A","Dates=H","DateFormat=P","Fill=—","Direction=H","UseDPDF=Y")</f>
        <v>23.245000000000001</v>
      </c>
      <c r="T18" s="13">
        <f>_xll.BDH("BLUE US Equity","OTHER_CURRENT_ASSETS_DETAILED","FQ1 2023","FQ1 2023","Currency=USD","Period=FQ","BEST_FPERIOD_OVERRIDE=FQ","FILING_STATUS=MR","SCALING_FORMAT=MLN","Sort=A","Dates=H","DateFormat=P","Fill=—","Direction=H","UseDPDF=Y")</f>
        <v>29.004999999999999</v>
      </c>
      <c r="U18" s="13">
        <f>_xll.BDH("BLUE US Equity","OTHER_CURRENT_ASSETS_DETAILED","FQ2 2023","FQ2 2023","Currency=USD","Period=FQ","BEST_FPERIOD_OVERRIDE=FQ","FILING_STATUS=MR","SCALING_FORMAT=MLN","Sort=A","Dates=H","DateFormat=P","Fill=—","Direction=H","UseDPDF=Y")</f>
        <v>29.032</v>
      </c>
      <c r="V18" s="13">
        <f>_xll.BDH("BLUE US Equity","OTHER_CURRENT_ASSETS_DETAILED","FQ3 2023","FQ3 2023","Currency=USD","Period=FQ","BEST_FPERIOD_OVERRIDE=FQ","FILING_STATUS=MR","SCALING_FORMAT=MLN","Sort=A","Dates=H","DateFormat=P","Fill=—","Direction=H","UseDPDF=Y")</f>
        <v>28.814</v>
      </c>
      <c r="W18" s="13">
        <f>_xll.BDH("BLUE US Equity","OTHER_CURRENT_ASSETS_DETAILED","FQ4 2023","FQ4 2023","Currency=USD","Period=FQ","BEST_FPERIOD_OVERRIDE=FQ","FILING_STATUS=MR","SCALING_FORMAT=MLN","Sort=A","Dates=H","DateFormat=P","Fill=—","Direction=H","UseDPDF=Y")</f>
        <v>37.011000000000003</v>
      </c>
      <c r="X18" s="13">
        <f>_xll.BDH("BLUE US Equity","OTHER_CURRENT_ASSETS_DETAILED","FQ1 2024","FQ1 2024","Currency=USD","Period=FQ","BEST_FPERIOD_OVERRIDE=FQ","FILING_STATUS=MR","SCALING_FORMAT=MLN","Sort=A","Dates=H","DateFormat=P","Fill=—","Direction=H","UseDPDF=Y")</f>
        <v>29.248999999999999</v>
      </c>
      <c r="Y18" s="13">
        <f>_xll.BDH("BLUE US Equity","OTHER_CURRENT_ASSETS_DETAILED","FQ2 2024","FQ2 2024","Currency=USD","Period=FQ","BEST_FPERIOD_OVERRIDE=FQ","FILING_STATUS=MR","SCALING_FORMAT=MLN","Sort=A","Dates=H","DateFormat=P","Fill=—","Direction=H","UseDPDF=Y")</f>
        <v>26.119</v>
      </c>
      <c r="Z18" s="13">
        <f>_xll.BDH("BLUE US Equity","OTHER_CURRENT_ASSETS_DETAILED","FQ3 2024","FQ3 2024","Currency=USD","Period=FQ","BEST_FPERIOD_OVERRIDE=FQ","FILING_STATUS=MR","SCALING_FORMAT=MLN","Sort=A","Dates=H","DateFormat=P","Fill=—","Direction=H","UseDPDF=Y")</f>
        <v>26.216000000000001</v>
      </c>
      <c r="AA18" s="13">
        <f>_xll.BDH("BLUE US Equity","OTHER_CURRENT_ASSETS_DETAILED","FQ4 2024","FQ4 2024","Currency=USD","Period=FQ","BEST_FPERIOD_OVERRIDE=FQ","FILING_STATUS=MR","SCALING_FORMAT=MLN","Sort=A","Dates=H","DateFormat=P","Fill=—","Direction=H","UseDPDF=Y")</f>
        <v>27.346</v>
      </c>
    </row>
    <row r="19" spans="1:27" x14ac:dyDescent="0.25">
      <c r="A19" s="10" t="s">
        <v>618</v>
      </c>
      <c r="B19" s="10" t="s">
        <v>619</v>
      </c>
      <c r="C19" s="13" t="str">
        <f>_xll.BDH("BLUE US Equity","BS_PREPAY","FQ4 2018","FQ4 2018","Currency=USD","Period=FQ","BEST_FPERIOD_OVERRIDE=FQ","FILING_STATUS=MR","SCALING_FORMAT=MLN","Sort=A","Dates=H","DateFormat=P","Fill=—","Direction=H","UseDPDF=Y")</f>
        <v>—</v>
      </c>
      <c r="D19" s="13" t="str">
        <f>_xll.BDH("BLUE US Equity","BS_PREPAY","FQ1 2019","FQ1 2019","Currency=USD","Period=FQ","BEST_FPERIOD_OVERRIDE=FQ","FILING_STATUS=MR","SCALING_FORMAT=MLN","Sort=A","Dates=H","DateFormat=P","Fill=—","Direction=H","UseDPDF=Y")</f>
        <v>—</v>
      </c>
      <c r="E19" s="13" t="str">
        <f>_xll.BDH("BLUE US Equity","BS_PREPAY","FQ2 2019","FQ2 2019","Currency=USD","Period=FQ","BEST_FPERIOD_OVERRIDE=FQ","FILING_STATUS=MR","SCALING_FORMAT=MLN","Sort=A","Dates=H","DateFormat=P","Fill=—","Direction=H","UseDPDF=Y")</f>
        <v>—</v>
      </c>
      <c r="F19" s="13" t="str">
        <f>_xll.BDH("BLUE US Equity","BS_PREPAY","FQ3 2019","FQ3 2019","Currency=USD","Period=FQ","BEST_FPERIOD_OVERRIDE=FQ","FILING_STATUS=MR","SCALING_FORMAT=MLN","Sort=A","Dates=H","DateFormat=P","Fill=—","Direction=H","UseDPDF=Y")</f>
        <v>—</v>
      </c>
      <c r="G19" s="13" t="str">
        <f>_xll.BDH("BLUE US Equity","BS_PREPAY","FQ4 2019","FQ4 2019","Currency=USD","Period=FQ","BEST_FPERIOD_OVERRIDE=FQ","FILING_STATUS=MR","SCALING_FORMAT=MLN","Sort=A","Dates=H","DateFormat=P","Fill=—","Direction=H","UseDPDF=Y")</f>
        <v>—</v>
      </c>
      <c r="H19" s="13" t="str">
        <f>_xll.BDH("BLUE US Equity","BS_PREPAY","FQ1 2020","FQ1 2020","Currency=USD","Period=FQ","BEST_FPERIOD_OVERRIDE=FQ","FILING_STATUS=MR","SCALING_FORMAT=MLN","Sort=A","Dates=H","DateFormat=P","Fill=—","Direction=H","UseDPDF=Y")</f>
        <v>—</v>
      </c>
      <c r="I19" s="13" t="str">
        <f>_xll.BDH("BLUE US Equity","BS_PREPAY","FQ2 2020","FQ2 2020","Currency=USD","Period=FQ","BEST_FPERIOD_OVERRIDE=FQ","FILING_STATUS=MR","SCALING_FORMAT=MLN","Sort=A","Dates=H","DateFormat=P","Fill=—","Direction=H","UseDPDF=Y")</f>
        <v>—</v>
      </c>
      <c r="J19" s="13" t="str">
        <f>_xll.BDH("BLUE US Equity","BS_PREPAY","FQ3 2020","FQ3 2020","Currency=USD","Period=FQ","BEST_FPERIOD_OVERRIDE=FQ","FILING_STATUS=MR","SCALING_FORMAT=MLN","Sort=A","Dates=H","DateFormat=P","Fill=—","Direction=H","UseDPDF=Y")</f>
        <v>—</v>
      </c>
      <c r="K19" s="13" t="str">
        <f>_xll.BDH("BLUE US Equity","BS_PREPAY","FQ4 2020","FQ4 2020","Currency=USD","Period=FQ","BEST_FPERIOD_OVERRIDE=FQ","FILING_STATUS=MR","SCALING_FORMAT=MLN","Sort=A","Dates=H","DateFormat=P","Fill=—","Direction=H","UseDPDF=Y")</f>
        <v>—</v>
      </c>
      <c r="L19" s="13" t="str">
        <f>_xll.BDH("BLUE US Equity","BS_PREPAY","FQ1 2021","FQ1 2021","Currency=USD","Period=FQ","BEST_FPERIOD_OVERRIDE=FQ","FILING_STATUS=MR","SCALING_FORMAT=MLN","Sort=A","Dates=H","DateFormat=P","Fill=—","Direction=H","UseDPDF=Y")</f>
        <v>—</v>
      </c>
      <c r="M19" s="13" t="str">
        <f>_xll.BDH("BLUE US Equity","BS_PREPAY","FQ2 2021","FQ2 2021","Currency=USD","Period=FQ","BEST_FPERIOD_OVERRIDE=FQ","FILING_STATUS=MR","SCALING_FORMAT=MLN","Sort=A","Dates=H","DateFormat=P","Fill=—","Direction=H","UseDPDF=Y")</f>
        <v>—</v>
      </c>
      <c r="N19" s="13" t="str">
        <f>_xll.BDH("BLUE US Equity","BS_PREPAY","FQ3 2021","FQ3 2021","Currency=USD","Period=FQ","BEST_FPERIOD_OVERRIDE=FQ","FILING_STATUS=MR","SCALING_FORMAT=MLN","Sort=A","Dates=H","DateFormat=P","Fill=—","Direction=H","UseDPDF=Y")</f>
        <v>—</v>
      </c>
      <c r="O19" s="13" t="str">
        <f>_xll.BDH("BLUE US Equity","BS_PREPAY","FQ4 2021","FQ4 2021","Currency=USD","Period=FQ","BEST_FPERIOD_OVERRIDE=FQ","FILING_STATUS=MR","SCALING_FORMAT=MLN","Sort=A","Dates=H","DateFormat=P","Fill=—","Direction=H","UseDPDF=Y")</f>
        <v>—</v>
      </c>
      <c r="P19" s="13" t="str">
        <f>_xll.BDH("BLUE US Equity","BS_PREPAY","FQ1 2022","FQ1 2022","Currency=USD","Period=FQ","BEST_FPERIOD_OVERRIDE=FQ","FILING_STATUS=MR","SCALING_FORMAT=MLN","Sort=A","Dates=H","DateFormat=P","Fill=—","Direction=H","UseDPDF=Y")</f>
        <v>—</v>
      </c>
      <c r="Q19" s="13" t="str">
        <f>_xll.BDH("BLUE US Equity","BS_PREPAY","FQ2 2022","FQ2 2022","Currency=USD","Period=FQ","BEST_FPERIOD_OVERRIDE=FQ","FILING_STATUS=MR","SCALING_FORMAT=MLN","Sort=A","Dates=H","DateFormat=P","Fill=—","Direction=H","UseDPDF=Y")</f>
        <v>—</v>
      </c>
      <c r="R19" s="13" t="str">
        <f>_xll.BDH("BLUE US Equity","BS_PREPAY","FQ3 2022","FQ3 2022","Currency=USD","Period=FQ","BEST_FPERIOD_OVERRIDE=FQ","FILING_STATUS=MR","SCALING_FORMAT=MLN","Sort=A","Dates=H","DateFormat=P","Fill=—","Direction=H","UseDPDF=Y")</f>
        <v>—</v>
      </c>
      <c r="S19" s="13">
        <f>_xll.BDH("BLUE US Equity","BS_PREPAY","FQ4 2022","FQ4 2022","Currency=USD","Period=FQ","BEST_FPERIOD_OVERRIDE=FQ","FILING_STATUS=MR","SCALING_FORMAT=MLN","Sort=A","Dates=H","DateFormat=P","Fill=—","Direction=H","UseDPDF=Y")</f>
        <v>8.6180000000000003</v>
      </c>
      <c r="T19" s="13" t="str">
        <f>_xll.BDH("BLUE US Equity","BS_PREPAY","FQ1 2023","FQ1 2023","Currency=USD","Period=FQ","BEST_FPERIOD_OVERRIDE=FQ","FILING_STATUS=MR","SCALING_FORMAT=MLN","Sort=A","Dates=H","DateFormat=P","Fill=—","Direction=H","UseDPDF=Y")</f>
        <v>—</v>
      </c>
      <c r="U19" s="13">
        <f>_xll.BDH("BLUE US Equity","BS_PREPAY","FQ2 2023","FQ2 2023","Currency=USD","Period=FQ","BEST_FPERIOD_OVERRIDE=FQ","FILING_STATUS=MR","SCALING_FORMAT=MLN","Sort=A","Dates=H","DateFormat=P","Fill=—","Direction=H","UseDPDF=Y")</f>
        <v>13.597</v>
      </c>
      <c r="V19" s="13" t="str">
        <f>_xll.BDH("BLUE US Equity","BS_PREPAY","FQ3 2023","FQ3 2023","Currency=USD","Period=FQ","BEST_FPERIOD_OVERRIDE=FQ","FILING_STATUS=MR","SCALING_FORMAT=MLN","Sort=A","Dates=H","DateFormat=P","Fill=—","Direction=H","UseDPDF=Y")</f>
        <v>—</v>
      </c>
      <c r="W19" s="13">
        <f>_xll.BDH("BLUE US Equity","BS_PREPAY","FQ4 2023","FQ4 2023","Currency=USD","Period=FQ","BEST_FPERIOD_OVERRIDE=FQ","FILING_STATUS=MR","SCALING_FORMAT=MLN","Sort=A","Dates=H","DateFormat=P","Fill=—","Direction=H","UseDPDF=Y")</f>
        <v>14.8</v>
      </c>
      <c r="X19" s="13" t="str">
        <f>_xll.BDH("BLUE US Equity","BS_PREPAY","FQ1 2024","FQ1 2024","Currency=USD","Period=FQ","BEST_FPERIOD_OVERRIDE=FQ","FILING_STATUS=MR","SCALING_FORMAT=MLN","Sort=A","Dates=H","DateFormat=P","Fill=—","Direction=H","UseDPDF=Y")</f>
        <v>—</v>
      </c>
      <c r="Y19" s="13">
        <f>_xll.BDH("BLUE US Equity","BS_PREPAY","FQ2 2024","FQ2 2024","Currency=USD","Period=FQ","BEST_FPERIOD_OVERRIDE=FQ","FILING_STATUS=MR","SCALING_FORMAT=MLN","Sort=A","Dates=H","DateFormat=P","Fill=—","Direction=H","UseDPDF=Y")</f>
        <v>10.539</v>
      </c>
      <c r="Z19" s="13">
        <f>_xll.BDH("BLUE US Equity","BS_PREPAY","FQ3 2024","FQ3 2024","Currency=USD","Period=FQ","BEST_FPERIOD_OVERRIDE=FQ","FILING_STATUS=MR","SCALING_FORMAT=MLN","Sort=A","Dates=H","DateFormat=P","Fill=—","Direction=H","UseDPDF=Y")</f>
        <v>7.5529999999999999</v>
      </c>
      <c r="AA19" s="13">
        <f>_xll.BDH("BLUE US Equity","BS_PREPAY","FQ4 2024","FQ4 2024","Currency=USD","Period=FQ","BEST_FPERIOD_OVERRIDE=FQ","FILING_STATUS=MR","SCALING_FORMAT=MLN","Sort=A","Dates=H","DateFormat=P","Fill=—","Direction=H","UseDPDF=Y")</f>
        <v>10.634</v>
      </c>
    </row>
    <row r="20" spans="1:27" x14ac:dyDescent="0.25">
      <c r="A20" s="10" t="s">
        <v>620</v>
      </c>
      <c r="B20" s="10" t="s">
        <v>621</v>
      </c>
      <c r="C20" s="13">
        <f>_xll.BDH("BLUE US Equity","BS_DERIV_HEDGING_ASST_ST","FQ4 2018","FQ4 2018","Currency=USD","Period=FQ","BEST_FPERIOD_OVERRIDE=FQ","FILING_STATUS=MR","SCALING_FORMAT=MLN","Sort=A","Dates=H","DateFormat=P","Fill=—","Direction=H","UseDPDF=Y")</f>
        <v>0</v>
      </c>
      <c r="D20" s="13" t="str">
        <f>_xll.BDH("BLUE US Equity","BS_DERIV_HEDGING_ASST_ST","FQ1 2019","FQ1 2019","Currency=USD","Period=FQ","BEST_FPERIOD_OVERRIDE=FQ","FILING_STATUS=MR","SCALING_FORMAT=MLN","Sort=A","Dates=H","DateFormat=P","Fill=—","Direction=H","UseDPDF=Y")</f>
        <v>—</v>
      </c>
      <c r="E20" s="13" t="str">
        <f>_xll.BDH("BLUE US Equity","BS_DERIV_HEDGING_ASST_ST","FQ2 2019","FQ2 2019","Currency=USD","Period=FQ","BEST_FPERIOD_OVERRIDE=FQ","FILING_STATUS=MR","SCALING_FORMAT=MLN","Sort=A","Dates=H","DateFormat=P","Fill=—","Direction=H","UseDPDF=Y")</f>
        <v>—</v>
      </c>
      <c r="F20" s="13" t="str">
        <f>_xll.BDH("BLUE US Equity","BS_DERIV_HEDGING_ASST_ST","FQ3 2019","FQ3 2019","Currency=USD","Period=FQ","BEST_FPERIOD_OVERRIDE=FQ","FILING_STATUS=MR","SCALING_FORMAT=MLN","Sort=A","Dates=H","DateFormat=P","Fill=—","Direction=H","UseDPDF=Y")</f>
        <v>—</v>
      </c>
      <c r="G20" s="13">
        <f>_xll.BDH("BLUE US Equity","BS_DERIV_HEDGING_ASST_ST","FQ4 2019","FQ4 2019","Currency=USD","Period=FQ","BEST_FPERIOD_OVERRIDE=FQ","FILING_STATUS=MR","SCALING_FORMAT=MLN","Sort=A","Dates=H","DateFormat=P","Fill=—","Direction=H","UseDPDF=Y")</f>
        <v>0</v>
      </c>
      <c r="H20" s="13" t="str">
        <f>_xll.BDH("BLUE US Equity","BS_DERIV_HEDGING_ASST_ST","FQ1 2020","FQ1 2020","Currency=USD","Period=FQ","BEST_FPERIOD_OVERRIDE=FQ","FILING_STATUS=MR","SCALING_FORMAT=MLN","Sort=A","Dates=H","DateFormat=P","Fill=—","Direction=H","UseDPDF=Y")</f>
        <v>—</v>
      </c>
      <c r="I20" s="13" t="str">
        <f>_xll.BDH("BLUE US Equity","BS_DERIV_HEDGING_ASST_ST","FQ2 2020","FQ2 2020","Currency=USD","Period=FQ","BEST_FPERIOD_OVERRIDE=FQ","FILING_STATUS=MR","SCALING_FORMAT=MLN","Sort=A","Dates=H","DateFormat=P","Fill=—","Direction=H","UseDPDF=Y")</f>
        <v>—</v>
      </c>
      <c r="J20" s="13" t="str">
        <f>_xll.BDH("BLUE US Equity","BS_DERIV_HEDGING_ASST_ST","FQ3 2020","FQ3 2020","Currency=USD","Period=FQ","BEST_FPERIOD_OVERRIDE=FQ","FILING_STATUS=MR","SCALING_FORMAT=MLN","Sort=A","Dates=H","DateFormat=P","Fill=—","Direction=H","UseDPDF=Y")</f>
        <v>—</v>
      </c>
      <c r="K20" s="13">
        <f>_xll.BDH("BLUE US Equity","BS_DERIV_HEDGING_ASST_ST","FQ4 2020","FQ4 2020","Currency=USD","Period=FQ","BEST_FPERIOD_OVERRIDE=FQ","FILING_STATUS=MR","SCALING_FORMAT=MLN","Sort=A","Dates=H","DateFormat=P","Fill=—","Direction=H","UseDPDF=Y")</f>
        <v>0</v>
      </c>
      <c r="L20" s="13" t="str">
        <f>_xll.BDH("BLUE US Equity","BS_DERIV_HEDGING_ASST_ST","FQ1 2021","FQ1 2021","Currency=USD","Period=FQ","BEST_FPERIOD_OVERRIDE=FQ","FILING_STATUS=MR","SCALING_FORMAT=MLN","Sort=A","Dates=H","DateFormat=P","Fill=—","Direction=H","UseDPDF=Y")</f>
        <v>—</v>
      </c>
      <c r="M20" s="13" t="str">
        <f>_xll.BDH("BLUE US Equity","BS_DERIV_HEDGING_ASST_ST","FQ2 2021","FQ2 2021","Currency=USD","Period=FQ","BEST_FPERIOD_OVERRIDE=FQ","FILING_STATUS=MR","SCALING_FORMAT=MLN","Sort=A","Dates=H","DateFormat=P","Fill=—","Direction=H","UseDPDF=Y")</f>
        <v>—</v>
      </c>
      <c r="N20" s="13" t="str">
        <f>_xll.BDH("BLUE US Equity","BS_DERIV_HEDGING_ASST_ST","FQ3 2021","FQ3 2021","Currency=USD","Period=FQ","BEST_FPERIOD_OVERRIDE=FQ","FILING_STATUS=MR","SCALING_FORMAT=MLN","Sort=A","Dates=H","DateFormat=P","Fill=—","Direction=H","UseDPDF=Y")</f>
        <v>—</v>
      </c>
      <c r="O20" s="13">
        <f>_xll.BDH("BLUE US Equity","BS_DERIV_HEDGING_ASST_ST","FQ4 2021","FQ4 2021","Currency=USD","Period=FQ","BEST_FPERIOD_OVERRIDE=FQ","FILING_STATUS=MR","SCALING_FORMAT=MLN","Sort=A","Dates=H","DateFormat=P","Fill=—","Direction=H","UseDPDF=Y")</f>
        <v>0</v>
      </c>
      <c r="P20" s="13" t="str">
        <f>_xll.BDH("BLUE US Equity","BS_DERIV_HEDGING_ASST_ST","FQ1 2022","FQ1 2022","Currency=USD","Period=FQ","BEST_FPERIOD_OVERRIDE=FQ","FILING_STATUS=MR","SCALING_FORMAT=MLN","Sort=A","Dates=H","DateFormat=P","Fill=—","Direction=H","UseDPDF=Y")</f>
        <v>—</v>
      </c>
      <c r="Q20" s="13" t="str">
        <f>_xll.BDH("BLUE US Equity","BS_DERIV_HEDGING_ASST_ST","FQ2 2022","FQ2 2022","Currency=USD","Period=FQ","BEST_FPERIOD_OVERRIDE=FQ","FILING_STATUS=MR","SCALING_FORMAT=MLN","Sort=A","Dates=H","DateFormat=P","Fill=—","Direction=H","UseDPDF=Y")</f>
        <v>—</v>
      </c>
      <c r="R20" s="13" t="str">
        <f>_xll.BDH("BLUE US Equity","BS_DERIV_HEDGING_ASST_ST","FQ3 2022","FQ3 2022","Currency=USD","Period=FQ","BEST_FPERIOD_OVERRIDE=FQ","FILING_STATUS=MR","SCALING_FORMAT=MLN","Sort=A","Dates=H","DateFormat=P","Fill=—","Direction=H","UseDPDF=Y")</f>
        <v>—</v>
      </c>
      <c r="S20" s="13">
        <f>_xll.BDH("BLUE US Equity","BS_DERIV_HEDGING_ASST_ST","FQ4 2022","FQ4 2022","Currency=USD","Period=FQ","BEST_FPERIOD_OVERRIDE=FQ","FILING_STATUS=MR","SCALING_FORMAT=MLN","Sort=A","Dates=H","DateFormat=P","Fill=—","Direction=H","UseDPDF=Y")</f>
        <v>0</v>
      </c>
      <c r="T20" s="13" t="str">
        <f>_xll.BDH("BLUE US Equity","BS_DERIV_HEDGING_ASST_ST","FQ1 2023","FQ1 2023","Currency=USD","Period=FQ","BEST_FPERIOD_OVERRIDE=FQ","FILING_STATUS=MR","SCALING_FORMAT=MLN","Sort=A","Dates=H","DateFormat=P","Fill=—","Direction=H","UseDPDF=Y")</f>
        <v>—</v>
      </c>
      <c r="U20" s="13" t="str">
        <f>_xll.BDH("BLUE US Equity","BS_DERIV_HEDGING_ASST_ST","FQ2 2023","FQ2 2023","Currency=USD","Period=FQ","BEST_FPERIOD_OVERRIDE=FQ","FILING_STATUS=MR","SCALING_FORMAT=MLN","Sort=A","Dates=H","DateFormat=P","Fill=—","Direction=H","UseDPDF=Y")</f>
        <v>—</v>
      </c>
      <c r="V20" s="13" t="str">
        <f>_xll.BDH("BLUE US Equity","BS_DERIV_HEDGING_ASST_ST","FQ3 2023","FQ3 2023","Currency=USD","Period=FQ","BEST_FPERIOD_OVERRIDE=FQ","FILING_STATUS=MR","SCALING_FORMAT=MLN","Sort=A","Dates=H","DateFormat=P","Fill=—","Direction=H","UseDPDF=Y")</f>
        <v>—</v>
      </c>
      <c r="W20" s="13">
        <f>_xll.BDH("BLUE US Equity","BS_DERIV_HEDGING_ASST_ST","FQ4 2023","FQ4 2023","Currency=USD","Period=FQ","BEST_FPERIOD_OVERRIDE=FQ","FILING_STATUS=MR","SCALING_FORMAT=MLN","Sort=A","Dates=H","DateFormat=P","Fill=—","Direction=H","UseDPDF=Y")</f>
        <v>0</v>
      </c>
      <c r="X20" s="13" t="str">
        <f>_xll.BDH("BLUE US Equity","BS_DERIV_HEDGING_ASST_ST","FQ1 2024","FQ1 2024","Currency=USD","Period=FQ","BEST_FPERIOD_OVERRIDE=FQ","FILING_STATUS=MR","SCALING_FORMAT=MLN","Sort=A","Dates=H","DateFormat=P","Fill=—","Direction=H","UseDPDF=Y")</f>
        <v>—</v>
      </c>
      <c r="Y20" s="13" t="str">
        <f>_xll.BDH("BLUE US Equity","BS_DERIV_HEDGING_ASST_ST","FQ2 2024","FQ2 2024","Currency=USD","Period=FQ","BEST_FPERIOD_OVERRIDE=FQ","FILING_STATUS=MR","SCALING_FORMAT=MLN","Sort=A","Dates=H","DateFormat=P","Fill=—","Direction=H","UseDPDF=Y")</f>
        <v>—</v>
      </c>
      <c r="Z20" s="13" t="str">
        <f>_xll.BDH("BLUE US Equity","BS_DERIV_HEDGING_ASST_ST","FQ3 2024","FQ3 2024","Currency=USD","Period=FQ","BEST_FPERIOD_OVERRIDE=FQ","FILING_STATUS=MR","SCALING_FORMAT=MLN","Sort=A","Dates=H","DateFormat=P","Fill=—","Direction=H","UseDPDF=Y")</f>
        <v>—</v>
      </c>
      <c r="AA20" s="13">
        <f>_xll.BDH("BLUE US Equity","BS_DERIV_HEDGING_ASST_ST","FQ4 2024","FQ4 2024","Currency=USD","Period=FQ","BEST_FPERIOD_OVERRIDE=FQ","FILING_STATUS=MR","SCALING_FORMAT=MLN","Sort=A","Dates=H","DateFormat=P","Fill=—","Direction=H","UseDPDF=Y")</f>
        <v>0</v>
      </c>
    </row>
    <row r="21" spans="1:27" x14ac:dyDescent="0.25">
      <c r="A21" s="10" t="s">
        <v>329</v>
      </c>
      <c r="B21" s="10" t="s">
        <v>622</v>
      </c>
      <c r="C21" s="13" t="str">
        <f>_xll.BDH("BLUE US Equity","BS_ASSETS_OF_DISCONTINUED_OPS_ST","FQ4 2018","FQ4 2018","Currency=USD","Period=FQ","BEST_FPERIOD_OVERRIDE=FQ","FILING_STATUS=MR","SCALING_FORMAT=MLN","Sort=A","Dates=H","DateFormat=P","Fill=—","Direction=H","UseDPDF=Y")</f>
        <v>—</v>
      </c>
      <c r="D21" s="13" t="str">
        <f>_xll.BDH("BLUE US Equity","BS_ASSETS_OF_DISCONTINUED_OPS_ST","FQ1 2019","FQ1 2019","Currency=USD","Period=FQ","BEST_FPERIOD_OVERRIDE=FQ","FILING_STATUS=MR","SCALING_FORMAT=MLN","Sort=A","Dates=H","DateFormat=P","Fill=—","Direction=H","UseDPDF=Y")</f>
        <v>—</v>
      </c>
      <c r="E21" s="13" t="str">
        <f>_xll.BDH("BLUE US Equity","BS_ASSETS_OF_DISCONTINUED_OPS_ST","FQ2 2019","FQ2 2019","Currency=USD","Period=FQ","BEST_FPERIOD_OVERRIDE=FQ","FILING_STATUS=MR","SCALING_FORMAT=MLN","Sort=A","Dates=H","DateFormat=P","Fill=—","Direction=H","UseDPDF=Y")</f>
        <v>—</v>
      </c>
      <c r="F21" s="13" t="str">
        <f>_xll.BDH("BLUE US Equity","BS_ASSETS_OF_DISCONTINUED_OPS_ST","FQ3 2019","FQ3 2019","Currency=USD","Period=FQ","BEST_FPERIOD_OVERRIDE=FQ","FILING_STATUS=MR","SCALING_FORMAT=MLN","Sort=A","Dates=H","DateFormat=P","Fill=—","Direction=H","UseDPDF=Y")</f>
        <v>—</v>
      </c>
      <c r="G21" s="13" t="str">
        <f>_xll.BDH("BLUE US Equity","BS_ASSETS_OF_DISCONTINUED_OPS_ST","FQ4 2019","FQ4 2019","Currency=USD","Period=FQ","BEST_FPERIOD_OVERRIDE=FQ","FILING_STATUS=MR","SCALING_FORMAT=MLN","Sort=A","Dates=H","DateFormat=P","Fill=—","Direction=H","UseDPDF=Y")</f>
        <v>—</v>
      </c>
      <c r="H21" s="13" t="str">
        <f>_xll.BDH("BLUE US Equity","BS_ASSETS_OF_DISCONTINUED_OPS_ST","FQ1 2020","FQ1 2020","Currency=USD","Period=FQ","BEST_FPERIOD_OVERRIDE=FQ","FILING_STATUS=MR","SCALING_FORMAT=MLN","Sort=A","Dates=H","DateFormat=P","Fill=—","Direction=H","UseDPDF=Y")</f>
        <v>—</v>
      </c>
      <c r="I21" s="13" t="str">
        <f>_xll.BDH("BLUE US Equity","BS_ASSETS_OF_DISCONTINUED_OPS_ST","FQ2 2020","FQ2 2020","Currency=USD","Period=FQ","BEST_FPERIOD_OVERRIDE=FQ","FILING_STATUS=MR","SCALING_FORMAT=MLN","Sort=A","Dates=H","DateFormat=P","Fill=—","Direction=H","UseDPDF=Y")</f>
        <v>—</v>
      </c>
      <c r="J21" s="13" t="str">
        <f>_xll.BDH("BLUE US Equity","BS_ASSETS_OF_DISCONTINUED_OPS_ST","FQ3 2020","FQ3 2020","Currency=USD","Period=FQ","BEST_FPERIOD_OVERRIDE=FQ","FILING_STATUS=MR","SCALING_FORMAT=MLN","Sort=A","Dates=H","DateFormat=P","Fill=—","Direction=H","UseDPDF=Y")</f>
        <v>—</v>
      </c>
      <c r="K21" s="13">
        <f>_xll.BDH("BLUE US Equity","BS_ASSETS_OF_DISCONTINUED_OPS_ST","FQ4 2020","FQ4 2020","Currency=USD","Period=FQ","BEST_FPERIOD_OVERRIDE=FQ","FILING_STATUS=MR","SCALING_FORMAT=MLN","Sort=A","Dates=H","DateFormat=P","Fill=—","Direction=H","UseDPDF=Y")</f>
        <v>495.02100000000002</v>
      </c>
      <c r="L21" s="13" t="str">
        <f>_xll.BDH("BLUE US Equity","BS_ASSETS_OF_DISCONTINUED_OPS_ST","FQ1 2021","FQ1 2021","Currency=USD","Period=FQ","BEST_FPERIOD_OVERRIDE=FQ","FILING_STATUS=MR","SCALING_FORMAT=MLN","Sort=A","Dates=H","DateFormat=P","Fill=—","Direction=H","UseDPDF=Y")</f>
        <v>—</v>
      </c>
      <c r="M21" s="13" t="str">
        <f>_xll.BDH("BLUE US Equity","BS_ASSETS_OF_DISCONTINUED_OPS_ST","FQ2 2021","FQ2 2021","Currency=USD","Period=FQ","BEST_FPERIOD_OVERRIDE=FQ","FILING_STATUS=MR","SCALING_FORMAT=MLN","Sort=A","Dates=H","DateFormat=P","Fill=—","Direction=H","UseDPDF=Y")</f>
        <v>—</v>
      </c>
      <c r="N21" s="13" t="str">
        <f>_xll.BDH("BLUE US Equity","BS_ASSETS_OF_DISCONTINUED_OPS_ST","FQ3 2021","FQ3 2021","Currency=USD","Period=FQ","BEST_FPERIOD_OVERRIDE=FQ","FILING_STATUS=MR","SCALING_FORMAT=MLN","Sort=A","Dates=H","DateFormat=P","Fill=—","Direction=H","UseDPDF=Y")</f>
        <v>—</v>
      </c>
      <c r="O21" s="13">
        <f>_xll.BDH("BLUE US Equity","BS_ASSETS_OF_DISCONTINUED_OPS_ST","FQ4 2021","FQ4 2021","Currency=USD","Period=FQ","BEST_FPERIOD_OVERRIDE=FQ","FILING_STATUS=MR","SCALING_FORMAT=MLN","Sort=A","Dates=H","DateFormat=P","Fill=—","Direction=H","UseDPDF=Y")</f>
        <v>0</v>
      </c>
      <c r="P21" s="13" t="str">
        <f>_xll.BDH("BLUE US Equity","BS_ASSETS_OF_DISCONTINUED_OPS_ST","FQ1 2022","FQ1 2022","Currency=USD","Period=FQ","BEST_FPERIOD_OVERRIDE=FQ","FILING_STATUS=MR","SCALING_FORMAT=MLN","Sort=A","Dates=H","DateFormat=P","Fill=—","Direction=H","UseDPDF=Y")</f>
        <v>—</v>
      </c>
      <c r="Q21" s="13" t="str">
        <f>_xll.BDH("BLUE US Equity","BS_ASSETS_OF_DISCONTINUED_OPS_ST","FQ2 2022","FQ2 2022","Currency=USD","Period=FQ","BEST_FPERIOD_OVERRIDE=FQ","FILING_STATUS=MR","SCALING_FORMAT=MLN","Sort=A","Dates=H","DateFormat=P","Fill=—","Direction=H","UseDPDF=Y")</f>
        <v>—</v>
      </c>
      <c r="R21" s="13" t="str">
        <f>_xll.BDH("BLUE US Equity","BS_ASSETS_OF_DISCONTINUED_OPS_ST","FQ3 2022","FQ3 2022","Currency=USD","Period=FQ","BEST_FPERIOD_OVERRIDE=FQ","FILING_STATUS=MR","SCALING_FORMAT=MLN","Sort=A","Dates=H","DateFormat=P","Fill=—","Direction=H","UseDPDF=Y")</f>
        <v>—</v>
      </c>
      <c r="S21" s="13" t="str">
        <f>_xll.BDH("BLUE US Equity","BS_ASSETS_OF_DISCONTINUED_OPS_ST","FQ4 2022","FQ4 2022","Currency=USD","Period=FQ","BEST_FPERIOD_OVERRIDE=FQ","FILING_STATUS=MR","SCALING_FORMAT=MLN","Sort=A","Dates=H","DateFormat=P","Fill=—","Direction=H","UseDPDF=Y")</f>
        <v>—</v>
      </c>
      <c r="T21" s="13" t="str">
        <f>_xll.BDH("BLUE US Equity","BS_ASSETS_OF_DISCONTINUED_OPS_ST","FQ1 2023","FQ1 2023","Currency=USD","Period=FQ","BEST_FPERIOD_OVERRIDE=FQ","FILING_STATUS=MR","SCALING_FORMAT=MLN","Sort=A","Dates=H","DateFormat=P","Fill=—","Direction=H","UseDPDF=Y")</f>
        <v>—</v>
      </c>
      <c r="U21" s="13" t="str">
        <f>_xll.BDH("BLUE US Equity","BS_ASSETS_OF_DISCONTINUED_OPS_ST","FQ2 2023","FQ2 2023","Currency=USD","Period=FQ","BEST_FPERIOD_OVERRIDE=FQ","FILING_STATUS=MR","SCALING_FORMAT=MLN","Sort=A","Dates=H","DateFormat=P","Fill=—","Direction=H","UseDPDF=Y")</f>
        <v>—</v>
      </c>
      <c r="V21" s="13" t="str">
        <f>_xll.BDH("BLUE US Equity","BS_ASSETS_OF_DISCONTINUED_OPS_ST","FQ3 2023","FQ3 2023","Currency=USD","Period=FQ","BEST_FPERIOD_OVERRIDE=FQ","FILING_STATUS=MR","SCALING_FORMAT=MLN","Sort=A","Dates=H","DateFormat=P","Fill=—","Direction=H","UseDPDF=Y")</f>
        <v>—</v>
      </c>
      <c r="W21" s="13" t="str">
        <f>_xll.BDH("BLUE US Equity","BS_ASSETS_OF_DISCONTINUED_OPS_ST","FQ4 2023","FQ4 2023","Currency=USD","Period=FQ","BEST_FPERIOD_OVERRIDE=FQ","FILING_STATUS=MR","SCALING_FORMAT=MLN","Sort=A","Dates=H","DateFormat=P","Fill=—","Direction=H","UseDPDF=Y")</f>
        <v>—</v>
      </c>
      <c r="X21" s="13" t="str">
        <f>_xll.BDH("BLUE US Equity","BS_ASSETS_OF_DISCONTINUED_OPS_ST","FQ1 2024","FQ1 2024","Currency=USD","Period=FQ","BEST_FPERIOD_OVERRIDE=FQ","FILING_STATUS=MR","SCALING_FORMAT=MLN","Sort=A","Dates=H","DateFormat=P","Fill=—","Direction=H","UseDPDF=Y")</f>
        <v>—</v>
      </c>
      <c r="Y21" s="13" t="str">
        <f>_xll.BDH("BLUE US Equity","BS_ASSETS_OF_DISCONTINUED_OPS_ST","FQ2 2024","FQ2 2024","Currency=USD","Period=FQ","BEST_FPERIOD_OVERRIDE=FQ","FILING_STATUS=MR","SCALING_FORMAT=MLN","Sort=A","Dates=H","DateFormat=P","Fill=—","Direction=H","UseDPDF=Y")</f>
        <v>—</v>
      </c>
      <c r="Z21" s="13" t="str">
        <f>_xll.BDH("BLUE US Equity","BS_ASSETS_OF_DISCONTINUED_OPS_ST","FQ3 2024","FQ3 2024","Currency=USD","Period=FQ","BEST_FPERIOD_OVERRIDE=FQ","FILING_STATUS=MR","SCALING_FORMAT=MLN","Sort=A","Dates=H","DateFormat=P","Fill=—","Direction=H","UseDPDF=Y")</f>
        <v>—</v>
      </c>
      <c r="AA21" s="13" t="str">
        <f>_xll.BDH("BLUE US Equity","BS_ASSETS_OF_DISCONTINUED_OPS_ST","FQ4 2024","FQ4 2024","Currency=USD","Period=FQ","BEST_FPERIOD_OVERRIDE=FQ","FILING_STATUS=MR","SCALING_FORMAT=MLN","Sort=A","Dates=H","DateFormat=P","Fill=—","Direction=H","UseDPDF=Y")</f>
        <v>—</v>
      </c>
    </row>
    <row r="22" spans="1:27" x14ac:dyDescent="0.25">
      <c r="A22" s="10" t="s">
        <v>623</v>
      </c>
      <c r="B22" s="10" t="s">
        <v>624</v>
      </c>
      <c r="C22" s="13">
        <f>_xll.BDH("BLUE US Equity","BS_OTHER_CUR_ASSET_LESS_PREPAY","FQ4 2018","FQ4 2018","Currency=USD","Period=FQ","BEST_FPERIOD_OVERRIDE=FQ","FILING_STATUS=MR","SCALING_FORMAT=MLN","Sort=A","Dates=H","DateFormat=P","Fill=—","Direction=H","UseDPDF=Y")</f>
        <v>33.692999999999998</v>
      </c>
      <c r="D22" s="13">
        <f>_xll.BDH("BLUE US Equity","BS_OTHER_CUR_ASSET_LESS_PREPAY","FQ1 2019","FQ1 2019","Currency=USD","Period=FQ","BEST_FPERIOD_OVERRIDE=FQ","FILING_STATUS=MR","SCALING_FORMAT=MLN","Sort=A","Dates=H","DateFormat=P","Fill=—","Direction=H","UseDPDF=Y")</f>
        <v>43.215000000000003</v>
      </c>
      <c r="E22" s="13">
        <f>_xll.BDH("BLUE US Equity","BS_OTHER_CUR_ASSET_LESS_PREPAY","FQ2 2019","FQ2 2019","Currency=USD","Period=FQ","BEST_FPERIOD_OVERRIDE=FQ","FILING_STATUS=MR","SCALING_FORMAT=MLN","Sort=A","Dates=H","DateFormat=P","Fill=—","Direction=H","UseDPDF=Y")</f>
        <v>46.9</v>
      </c>
      <c r="F22" s="13">
        <f>_xll.BDH("BLUE US Equity","BS_OTHER_CUR_ASSET_LESS_PREPAY","FQ3 2019","FQ3 2019","Currency=USD","Period=FQ","BEST_FPERIOD_OVERRIDE=FQ","FILING_STATUS=MR","SCALING_FORMAT=MLN","Sort=A","Dates=H","DateFormat=P","Fill=—","Direction=H","UseDPDF=Y")</f>
        <v>40.076999999999998</v>
      </c>
      <c r="G22" s="13">
        <f>_xll.BDH("BLUE US Equity","BS_OTHER_CUR_ASSET_LESS_PREPAY","FQ4 2019","FQ4 2019","Currency=USD","Period=FQ","BEST_FPERIOD_OVERRIDE=FQ","FILING_STATUS=MR","SCALING_FORMAT=MLN","Sort=A","Dates=H","DateFormat=P","Fill=—","Direction=H","UseDPDF=Y")</f>
        <v>45.713999999999999</v>
      </c>
      <c r="H22" s="13">
        <f>_xll.BDH("BLUE US Equity","BS_OTHER_CUR_ASSET_LESS_PREPAY","FQ1 2020","FQ1 2020","Currency=USD","Period=FQ","BEST_FPERIOD_OVERRIDE=FQ","FILING_STATUS=MR","SCALING_FORMAT=MLN","Sort=A","Dates=H","DateFormat=P","Fill=—","Direction=H","UseDPDF=Y")</f>
        <v>56.783999999999999</v>
      </c>
      <c r="I22" s="13">
        <f>_xll.BDH("BLUE US Equity","BS_OTHER_CUR_ASSET_LESS_PREPAY","FQ2 2020","FQ2 2020","Currency=USD","Period=FQ","BEST_FPERIOD_OVERRIDE=FQ","FILING_STATUS=MR","SCALING_FORMAT=MLN","Sort=A","Dates=H","DateFormat=P","Fill=—","Direction=H","UseDPDF=Y")</f>
        <v>64.063000000000002</v>
      </c>
      <c r="J22" s="13">
        <f>_xll.BDH("BLUE US Equity","BS_OTHER_CUR_ASSET_LESS_PREPAY","FQ3 2020","FQ3 2020","Currency=USD","Period=FQ","BEST_FPERIOD_OVERRIDE=FQ","FILING_STATUS=MR","SCALING_FORMAT=MLN","Sort=A","Dates=H","DateFormat=P","Fill=—","Direction=H","UseDPDF=Y")</f>
        <v>62.939</v>
      </c>
      <c r="K22" s="13">
        <f>_xll.BDH("BLUE US Equity","BS_OTHER_CUR_ASSET_LESS_PREPAY","FQ4 2020","FQ4 2020","Currency=USD","Period=FQ","BEST_FPERIOD_OVERRIDE=FQ","FILING_STATUS=MR","SCALING_FORMAT=MLN","Sort=A","Dates=H","DateFormat=P","Fill=—","Direction=H","UseDPDF=Y")</f>
        <v>29.59</v>
      </c>
      <c r="L22" s="13">
        <f>_xll.BDH("BLUE US Equity","BS_OTHER_CUR_ASSET_LESS_PREPAY","FQ1 2021","FQ1 2021","Currency=USD","Period=FQ","BEST_FPERIOD_OVERRIDE=FQ","FILING_STATUS=MR","SCALING_FORMAT=MLN","Sort=A","Dates=H","DateFormat=P","Fill=—","Direction=H","UseDPDF=Y")</f>
        <v>67.02</v>
      </c>
      <c r="M22" s="13">
        <f>_xll.BDH("BLUE US Equity","BS_OTHER_CUR_ASSET_LESS_PREPAY","FQ2 2021","FQ2 2021","Currency=USD","Period=FQ","BEST_FPERIOD_OVERRIDE=FQ","FILING_STATUS=MR","SCALING_FORMAT=MLN","Sort=A","Dates=H","DateFormat=P","Fill=—","Direction=H","UseDPDF=Y")</f>
        <v>50.323</v>
      </c>
      <c r="N22" s="13">
        <f>_xll.BDH("BLUE US Equity","BS_OTHER_CUR_ASSET_LESS_PREPAY","FQ3 2021","FQ3 2021","Currency=USD","Period=FQ","BEST_FPERIOD_OVERRIDE=FQ","FILING_STATUS=MR","SCALING_FORMAT=MLN","Sort=A","Dates=H","DateFormat=P","Fill=—","Direction=H","UseDPDF=Y")</f>
        <v>53.957999999999998</v>
      </c>
      <c r="O22" s="13">
        <f>_xll.BDH("BLUE US Equity","BS_OTHER_CUR_ASSET_LESS_PREPAY","FQ4 2021","FQ4 2021","Currency=USD","Period=FQ","BEST_FPERIOD_OVERRIDE=FQ","FILING_STATUS=MR","SCALING_FORMAT=MLN","Sort=A","Dates=H","DateFormat=P","Fill=—","Direction=H","UseDPDF=Y")</f>
        <v>37.017000000000003</v>
      </c>
      <c r="P22" s="13">
        <f>_xll.BDH("BLUE US Equity","BS_OTHER_CUR_ASSET_LESS_PREPAY","FQ1 2022","FQ1 2022","Currency=USD","Period=FQ","BEST_FPERIOD_OVERRIDE=FQ","FILING_STATUS=MR","SCALING_FORMAT=MLN","Sort=A","Dates=H","DateFormat=P","Fill=—","Direction=H","UseDPDF=Y")</f>
        <v>43.329000000000001</v>
      </c>
      <c r="Q22" s="13">
        <f>_xll.BDH("BLUE US Equity","BS_OTHER_CUR_ASSET_LESS_PREPAY","FQ2 2022","FQ2 2022","Currency=USD","Period=FQ","BEST_FPERIOD_OVERRIDE=FQ","FILING_STATUS=MR","SCALING_FORMAT=MLN","Sort=A","Dates=H","DateFormat=P","Fill=—","Direction=H","UseDPDF=Y")</f>
        <v>34.948999999999998</v>
      </c>
      <c r="R22" s="13">
        <f>_xll.BDH("BLUE US Equity","BS_OTHER_CUR_ASSET_LESS_PREPAY","FQ3 2022","FQ3 2022","Currency=USD","Period=FQ","BEST_FPERIOD_OVERRIDE=FQ","FILING_STATUS=MR","SCALING_FORMAT=MLN","Sort=A","Dates=H","DateFormat=P","Fill=—","Direction=H","UseDPDF=Y")</f>
        <v>20.805</v>
      </c>
      <c r="S22" s="13">
        <f>_xll.BDH("BLUE US Equity","BS_OTHER_CUR_ASSET_LESS_PREPAY","FQ4 2022","FQ4 2022","Currency=USD","Period=FQ","BEST_FPERIOD_OVERRIDE=FQ","FILING_STATUS=MR","SCALING_FORMAT=MLN","Sort=A","Dates=H","DateFormat=P","Fill=—","Direction=H","UseDPDF=Y")</f>
        <v>14.627000000000001</v>
      </c>
      <c r="T22" s="13">
        <f>_xll.BDH("BLUE US Equity","BS_OTHER_CUR_ASSET_LESS_PREPAY","FQ1 2023","FQ1 2023","Currency=USD","Period=FQ","BEST_FPERIOD_OVERRIDE=FQ","FILING_STATUS=MR","SCALING_FORMAT=MLN","Sort=A","Dates=H","DateFormat=P","Fill=—","Direction=H","UseDPDF=Y")</f>
        <v>29.004999999999999</v>
      </c>
      <c r="U22" s="13">
        <f>_xll.BDH("BLUE US Equity","BS_OTHER_CUR_ASSET_LESS_PREPAY","FQ2 2023","FQ2 2023","Currency=USD","Period=FQ","BEST_FPERIOD_OVERRIDE=FQ","FILING_STATUS=MR","SCALING_FORMAT=MLN","Sort=A","Dates=H","DateFormat=P","Fill=—","Direction=H","UseDPDF=Y")</f>
        <v>15.435</v>
      </c>
      <c r="V22" s="13">
        <f>_xll.BDH("BLUE US Equity","BS_OTHER_CUR_ASSET_LESS_PREPAY","FQ3 2023","FQ3 2023","Currency=USD","Period=FQ","BEST_FPERIOD_OVERRIDE=FQ","FILING_STATUS=MR","SCALING_FORMAT=MLN","Sort=A","Dates=H","DateFormat=P","Fill=—","Direction=H","UseDPDF=Y")</f>
        <v>28.814</v>
      </c>
      <c r="W22" s="13">
        <f>_xll.BDH("BLUE US Equity","BS_OTHER_CUR_ASSET_LESS_PREPAY","FQ4 2023","FQ4 2023","Currency=USD","Period=FQ","BEST_FPERIOD_OVERRIDE=FQ","FILING_STATUS=MR","SCALING_FORMAT=MLN","Sort=A","Dates=H","DateFormat=P","Fill=—","Direction=H","UseDPDF=Y")</f>
        <v>22.210999999999999</v>
      </c>
      <c r="X22" s="13">
        <f>_xll.BDH("BLUE US Equity","BS_OTHER_CUR_ASSET_LESS_PREPAY","FQ1 2024","FQ1 2024","Currency=USD","Period=FQ","BEST_FPERIOD_OVERRIDE=FQ","FILING_STATUS=MR","SCALING_FORMAT=MLN","Sort=A","Dates=H","DateFormat=P","Fill=—","Direction=H","UseDPDF=Y")</f>
        <v>29.248999999999999</v>
      </c>
      <c r="Y22" s="13">
        <f>_xll.BDH("BLUE US Equity","BS_OTHER_CUR_ASSET_LESS_PREPAY","FQ2 2024","FQ2 2024","Currency=USD","Period=FQ","BEST_FPERIOD_OVERRIDE=FQ","FILING_STATUS=MR","SCALING_FORMAT=MLN","Sort=A","Dates=H","DateFormat=P","Fill=—","Direction=H","UseDPDF=Y")</f>
        <v>15.58</v>
      </c>
      <c r="Z22" s="13">
        <f>_xll.BDH("BLUE US Equity","BS_OTHER_CUR_ASSET_LESS_PREPAY","FQ3 2024","FQ3 2024","Currency=USD","Period=FQ","BEST_FPERIOD_OVERRIDE=FQ","FILING_STATUS=MR","SCALING_FORMAT=MLN","Sort=A","Dates=H","DateFormat=P","Fill=—","Direction=H","UseDPDF=Y")</f>
        <v>18.663</v>
      </c>
      <c r="AA22" s="13">
        <f>_xll.BDH("BLUE US Equity","BS_OTHER_CUR_ASSET_LESS_PREPAY","FQ4 2024","FQ4 2024","Currency=USD","Period=FQ","BEST_FPERIOD_OVERRIDE=FQ","FILING_STATUS=MR","SCALING_FORMAT=MLN","Sort=A","Dates=H","DateFormat=P","Fill=—","Direction=H","UseDPDF=Y")</f>
        <v>16.712</v>
      </c>
    </row>
    <row r="23" spans="1:27" x14ac:dyDescent="0.25">
      <c r="A23" s="6" t="s">
        <v>110</v>
      </c>
      <c r="B23" s="6" t="s">
        <v>111</v>
      </c>
      <c r="C23" s="19">
        <f>_xll.BDH("BLUE US Equity","BS_CUR_ASSET_REPORT","FQ4 2018","FQ4 2018","Currency=USD","Period=FQ","BEST_FPERIOD_OVERRIDE=FQ","FILING_STATUS=MR","SCALING_FORMAT=MLN","Sort=A","Dates=H","DateFormat=P","Fill=—","Direction=H","UseDPDF=Y")</f>
        <v>1418.9970000000001</v>
      </c>
      <c r="D23" s="19">
        <f>_xll.BDH("BLUE US Equity","BS_CUR_ASSET_REPORT","FQ1 2019","FQ1 2019","Currency=USD","Period=FQ","BEST_FPERIOD_OVERRIDE=FQ","FILING_STATUS=MR","SCALING_FORMAT=MLN","Sort=A","Dates=H","DateFormat=P","Fill=—","Direction=H","UseDPDF=Y")</f>
        <v>1365.0319999999999</v>
      </c>
      <c r="E23" s="19">
        <f>_xll.BDH("BLUE US Equity","BS_CUR_ASSET_REPORT","FQ2 2019","FQ2 2019","Currency=USD","Period=FQ","BEST_FPERIOD_OVERRIDE=FQ","FILING_STATUS=MR","SCALING_FORMAT=MLN","Sort=A","Dates=H","DateFormat=P","Fill=—","Direction=H","UseDPDF=Y")</f>
        <v>1300.78</v>
      </c>
      <c r="F23" s="19">
        <f>_xll.BDH("BLUE US Equity","BS_CUR_ASSET_REPORT","FQ3 2019","FQ3 2019","Currency=USD","Period=FQ","BEST_FPERIOD_OVERRIDE=FQ","FILING_STATUS=MR","SCALING_FORMAT=MLN","Sort=A","Dates=H","DateFormat=P","Fill=—","Direction=H","UseDPDF=Y")</f>
        <v>1220.0319999999999</v>
      </c>
      <c r="G23" s="19">
        <f>_xll.BDH("BLUE US Equity","BS_CUR_ASSET_REPORT","FQ4 2019","FQ4 2019","Currency=USD","Period=FQ","BEST_FPERIOD_OVERRIDE=FQ","FILING_STATUS=MR","SCALING_FORMAT=MLN","Sort=A","Dates=H","DateFormat=P","Fill=—","Direction=H","UseDPDF=Y")</f>
        <v>1152.174</v>
      </c>
      <c r="H23" s="19">
        <f>_xll.BDH("BLUE US Equity","BS_CUR_ASSET_REPORT","FQ1 2020","FQ1 2020","Currency=USD","Period=FQ","BEST_FPERIOD_OVERRIDE=FQ","FILING_STATUS=MR","SCALING_FORMAT=MLN","Sort=A","Dates=H","DateFormat=P","Fill=—","Direction=H","UseDPDF=Y")</f>
        <v>967.46699999999998</v>
      </c>
      <c r="I23" s="19">
        <f>_xll.BDH("BLUE US Equity","BS_CUR_ASSET_REPORT","FQ2 2020","FQ2 2020","Currency=USD","Period=FQ","BEST_FPERIOD_OVERRIDE=FQ","FILING_STATUS=MR","SCALING_FORMAT=MLN","Sort=A","Dates=H","DateFormat=P","Fill=—","Direction=H","UseDPDF=Y")</f>
        <v>1613.4449999999999</v>
      </c>
      <c r="J23" s="19">
        <f>_xll.BDH("BLUE US Equity","BS_CUR_ASSET_REPORT","FQ3 2020","FQ3 2020","Currency=USD","Period=FQ","BEST_FPERIOD_OVERRIDE=FQ","FILING_STATUS=MR","SCALING_FORMAT=MLN","Sort=A","Dates=H","DateFormat=P","Fill=—","Direction=H","UseDPDF=Y")</f>
        <v>1293.194</v>
      </c>
      <c r="K23" s="19">
        <f>_xll.BDH("BLUE US Equity","BS_CUR_ASSET_REPORT","FQ4 2020","FQ4 2020","Currency=USD","Period=FQ","BEST_FPERIOD_OVERRIDE=FQ","FILING_STATUS=MR","SCALING_FORMAT=MLN","Sort=A","Dates=H","DateFormat=P","Fill=—","Direction=H","UseDPDF=Y")</f>
        <v>1215.537</v>
      </c>
      <c r="L23" s="19">
        <f>_xll.BDH("BLUE US Equity","BS_CUR_ASSET_REPORT","FQ1 2021","FQ1 2021","Currency=USD","Period=FQ","BEST_FPERIOD_OVERRIDE=FQ","FILING_STATUS=MR","SCALING_FORMAT=MLN","Sort=A","Dates=H","DateFormat=P","Fill=—","Direction=H","UseDPDF=Y")</f>
        <v>1097.5350000000001</v>
      </c>
      <c r="M23" s="19">
        <f>_xll.BDH("BLUE US Equity","BS_CUR_ASSET_REPORT","FQ2 2021","FQ2 2021","Currency=USD","Period=FQ","BEST_FPERIOD_OVERRIDE=FQ","FILING_STATUS=MR","SCALING_FORMAT=MLN","Sort=A","Dates=H","DateFormat=P","Fill=—","Direction=H","UseDPDF=Y")</f>
        <v>903.52599999999995</v>
      </c>
      <c r="N23" s="19">
        <f>_xll.BDH("BLUE US Equity","BS_CUR_ASSET_REPORT","FQ3 2021","FQ3 2021","Currency=USD","Period=FQ","BEST_FPERIOD_OVERRIDE=FQ","FILING_STATUS=MR","SCALING_FORMAT=MLN","Sort=A","Dates=H","DateFormat=P","Fill=—","Direction=H","UseDPDF=Y")</f>
        <v>832.32500000000005</v>
      </c>
      <c r="O23" s="19">
        <f>_xll.BDH("BLUE US Equity","BS_CUR_ASSET_REPORT","FQ4 2021","FQ4 2021","Currency=USD","Period=FQ","BEST_FPERIOD_OVERRIDE=FQ","FILING_STATUS=MR","SCALING_FORMAT=MLN","Sort=A","Dates=H","DateFormat=P","Fill=—","Direction=H","UseDPDF=Y")</f>
        <v>336.52</v>
      </c>
      <c r="P23" s="19">
        <f>_xll.BDH("BLUE US Equity","BS_CUR_ASSET_REPORT","FQ1 2022","FQ1 2022","Currency=USD","Period=FQ","BEST_FPERIOD_OVERRIDE=FQ","FILING_STATUS=MR","SCALING_FORMAT=MLN","Sort=A","Dates=H","DateFormat=P","Fill=—","Direction=H","UseDPDF=Y")</f>
        <v>254.917</v>
      </c>
      <c r="Q23" s="19">
        <f>_xll.BDH("BLUE US Equity","BS_CUR_ASSET_REPORT","FQ2 2022","FQ2 2022","Currency=USD","Period=FQ","BEST_FPERIOD_OVERRIDE=FQ","FILING_STATUS=MR","SCALING_FORMAT=MLN","Sort=A","Dates=H","DateFormat=P","Fill=—","Direction=H","UseDPDF=Y")</f>
        <v>167.458</v>
      </c>
      <c r="R23" s="19">
        <f>_xll.BDH("BLUE US Equity","BS_CUR_ASSET_REPORT","FQ3 2022","FQ3 2022","Currency=USD","Period=FQ","BEST_FPERIOD_OVERRIDE=FQ","FILING_STATUS=MR","SCALING_FORMAT=MLN","Sort=A","Dates=H","DateFormat=P","Fill=—","Direction=H","UseDPDF=Y")</f>
        <v>160.43799999999999</v>
      </c>
      <c r="S23" s="19">
        <f>_xll.BDH("BLUE US Equity","BS_CUR_ASSET_REPORT","FQ4 2022","FQ4 2022","Currency=USD","Period=FQ","BEST_FPERIOD_OVERRIDE=FQ","FILING_STATUS=MR","SCALING_FORMAT=MLN","Sort=A","Dates=H","DateFormat=P","Fill=—","Direction=H","UseDPDF=Y")</f>
        <v>203.572</v>
      </c>
      <c r="T23" s="19">
        <f>_xll.BDH("BLUE US Equity","BS_CUR_ASSET_REPORT","FQ1 2023","FQ1 2023","Currency=USD","Period=FQ","BEST_FPERIOD_OVERRIDE=FQ","FILING_STATUS=MR","SCALING_FORMAT=MLN","Sort=A","Dates=H","DateFormat=P","Fill=—","Direction=H","UseDPDF=Y")</f>
        <v>351.07100000000003</v>
      </c>
      <c r="U23" s="19">
        <f>_xll.BDH("BLUE US Equity","BS_CUR_ASSET_REPORT","FQ2 2023","FQ2 2023","Currency=USD","Period=FQ","BEST_FPERIOD_OVERRIDE=FQ","FILING_STATUS=MR","SCALING_FORMAT=MLN","Sort=A","Dates=H","DateFormat=P","Fill=—","Direction=H","UseDPDF=Y")</f>
        <v>287.97699999999998</v>
      </c>
      <c r="V23" s="19">
        <f>_xll.BDH("BLUE US Equity","BS_CUR_ASSET_REPORT","FQ3 2023","FQ3 2023","Currency=USD","Period=FQ","BEST_FPERIOD_OVERRIDE=FQ","FILING_STATUS=MR","SCALING_FORMAT=MLN","Sort=A","Dates=H","DateFormat=P","Fill=—","Direction=H","UseDPDF=Y")</f>
        <v>247.07599999999999</v>
      </c>
      <c r="W23" s="19">
        <f>_xll.BDH("BLUE US Equity","BS_CUR_ASSET_REPORT","FQ4 2023","FQ4 2023","Currency=USD","Period=FQ","BEST_FPERIOD_OVERRIDE=FQ","FILING_STATUS=MR","SCALING_FORMAT=MLN","Sort=A","Dates=H","DateFormat=P","Fill=—","Direction=H","UseDPDF=Y")</f>
        <v>281.685</v>
      </c>
      <c r="X23" s="19">
        <f>_xll.BDH("BLUE US Equity","BS_CUR_ASSET_REPORT","FQ1 2024","FQ1 2024","Currency=USD","Period=FQ","BEST_FPERIOD_OVERRIDE=FQ","FILING_STATUS=MR","SCALING_FORMAT=MLN","Sort=A","Dates=H","DateFormat=P","Fill=—","Direction=H","UseDPDF=Y")</f>
        <v>271.601</v>
      </c>
      <c r="Y23" s="19">
        <f>_xll.BDH("BLUE US Equity","BS_CUR_ASSET_REPORT","FQ2 2024","FQ2 2024","Currency=USD","Period=FQ","BEST_FPERIOD_OVERRIDE=FQ","FILING_STATUS=MR","SCALING_FORMAT=MLN","Sort=A","Dates=H","DateFormat=P","Fill=—","Direction=H","UseDPDF=Y")</f>
        <v>203.51599999999999</v>
      </c>
      <c r="Z23" s="19">
        <f>_xll.BDH("BLUE US Equity","BS_CUR_ASSET_REPORT","FQ3 2024","FQ3 2024","Currency=USD","Period=FQ","BEST_FPERIOD_OVERRIDE=FQ","FILING_STATUS=MR","SCALING_FORMAT=MLN","Sort=A","Dates=H","DateFormat=P","Fill=—","Direction=H","UseDPDF=Y")</f>
        <v>150.81100000000001</v>
      </c>
      <c r="AA23" s="19">
        <f>_xll.BDH("BLUE US Equity","BS_CUR_ASSET_REPORT","FQ4 2024","FQ4 2024","Currency=USD","Period=FQ","BEST_FPERIOD_OVERRIDE=FQ","FILING_STATUS=MR","SCALING_FORMAT=MLN","Sort=A","Dates=H","DateFormat=P","Fill=—","Direction=H","UseDPDF=Y")</f>
        <v>154.66800000000001</v>
      </c>
    </row>
    <row r="24" spans="1:27" x14ac:dyDescent="0.25">
      <c r="A24" s="10" t="s">
        <v>625</v>
      </c>
      <c r="B24" s="10" t="s">
        <v>626</v>
      </c>
      <c r="C24" s="13">
        <f>_xll.BDH("BLUE US Equity","BS_NET_FIX_ASSET","FQ4 2018","FQ4 2018","Currency=USD","Period=FQ","BEST_FPERIOD_OVERRIDE=FQ","FILING_STATUS=MR","SCALING_FORMAT=MLN","Sort=A","Dates=H","DateFormat=P","Fill=—","Direction=H","UseDPDF=Y")</f>
        <v>246.62200000000001</v>
      </c>
      <c r="D24" s="13">
        <f>_xll.BDH("BLUE US Equity","BS_NET_FIX_ASSET","FQ1 2019","FQ1 2019","Currency=USD","Period=FQ","BEST_FPERIOD_OVERRIDE=FQ","FILING_STATUS=MR","SCALING_FORMAT=MLN","Sort=A","Dates=H","DateFormat=P","Fill=—","Direction=H","UseDPDF=Y")</f>
        <v>298.64800000000002</v>
      </c>
      <c r="E24" s="13">
        <f>_xll.BDH("BLUE US Equity","BS_NET_FIX_ASSET","FQ2 2019","FQ2 2019","Currency=USD","Period=FQ","BEST_FPERIOD_OVERRIDE=FQ","FILING_STATUS=MR","SCALING_FORMAT=MLN","Sort=A","Dates=H","DateFormat=P","Fill=—","Direction=H","UseDPDF=Y")</f>
        <v>320.11399999999998</v>
      </c>
      <c r="F24" s="13">
        <f>_xll.BDH("BLUE US Equity","BS_NET_FIX_ASSET","FQ3 2019","FQ3 2019","Currency=USD","Period=FQ","BEST_FPERIOD_OVERRIDE=FQ","FILING_STATUS=MR","SCALING_FORMAT=MLN","Sort=A","Dates=H","DateFormat=P","Fill=—","Direction=H","UseDPDF=Y")</f>
        <v>335.66</v>
      </c>
      <c r="G24" s="13">
        <f>_xll.BDH("BLUE US Equity","BS_NET_FIX_ASSET","FQ4 2019","FQ4 2019","Currency=USD","Period=FQ","BEST_FPERIOD_OVERRIDE=FQ","FILING_STATUS=MR","SCALING_FORMAT=MLN","Sort=A","Dates=H","DateFormat=P","Fill=—","Direction=H","UseDPDF=Y")</f>
        <v>337.06099999999998</v>
      </c>
      <c r="H24" s="13">
        <f>_xll.BDH("BLUE US Equity","BS_NET_FIX_ASSET","FQ1 2020","FQ1 2020","Currency=USD","Period=FQ","BEST_FPERIOD_OVERRIDE=FQ","FILING_STATUS=MR","SCALING_FORMAT=MLN","Sort=A","Dates=H","DateFormat=P","Fill=—","Direction=H","UseDPDF=Y")</f>
        <v>348.38900000000001</v>
      </c>
      <c r="I24" s="13">
        <f>_xll.BDH("BLUE US Equity","BS_NET_FIX_ASSET","FQ2 2020","FQ2 2020","Currency=USD","Period=FQ","BEST_FPERIOD_OVERRIDE=FQ","FILING_STATUS=MR","SCALING_FORMAT=MLN","Sort=A","Dates=H","DateFormat=P","Fill=—","Direction=H","UseDPDF=Y")</f>
        <v>344.84</v>
      </c>
      <c r="J24" s="13">
        <f>_xll.BDH("BLUE US Equity","BS_NET_FIX_ASSET","FQ3 2020","FQ3 2020","Currency=USD","Period=FQ","BEST_FPERIOD_OVERRIDE=FQ","FILING_STATUS=MR","SCALING_FORMAT=MLN","Sort=A","Dates=H","DateFormat=P","Fill=—","Direction=H","UseDPDF=Y")</f>
        <v>346.13099999999997</v>
      </c>
      <c r="K24" s="13">
        <f>_xll.BDH("BLUE US Equity","BS_NET_FIX_ASSET","FQ4 2020","FQ4 2020","Currency=USD","Period=FQ","BEST_FPERIOD_OVERRIDE=FQ","FILING_STATUS=MR","SCALING_FORMAT=MLN","Sort=A","Dates=H","DateFormat=P","Fill=—","Direction=H","UseDPDF=Y")</f>
        <v>84.936000000000007</v>
      </c>
      <c r="L24" s="13">
        <f>_xll.BDH("BLUE US Equity","BS_NET_FIX_ASSET","FQ1 2021","FQ1 2021","Currency=USD","Period=FQ","BEST_FPERIOD_OVERRIDE=FQ","FILING_STATUS=MR","SCALING_FORMAT=MLN","Sort=A","Dates=H","DateFormat=P","Fill=—","Direction=H","UseDPDF=Y")</f>
        <v>363.16800000000001</v>
      </c>
      <c r="M24" s="13">
        <f>_xll.BDH("BLUE US Equity","BS_NET_FIX_ASSET","FQ2 2021","FQ2 2021","Currency=USD","Period=FQ","BEST_FPERIOD_OVERRIDE=FQ","FILING_STATUS=MR","SCALING_FORMAT=MLN","Sort=A","Dates=H","DateFormat=P","Fill=—","Direction=H","UseDPDF=Y")</f>
        <v>349.81299999999999</v>
      </c>
      <c r="N24" s="13">
        <f>_xll.BDH("BLUE US Equity","BS_NET_FIX_ASSET","FQ3 2021","FQ3 2021","Currency=USD","Period=FQ","BEST_FPERIOD_OVERRIDE=FQ","FILING_STATUS=MR","SCALING_FORMAT=MLN","Sort=A","Dates=H","DateFormat=P","Fill=—","Direction=H","UseDPDF=Y")</f>
        <v>220.18</v>
      </c>
      <c r="O24" s="13">
        <f>_xll.BDH("BLUE US Equity","BS_NET_FIX_ASSET","FQ4 2021","FQ4 2021","Currency=USD","Period=FQ","BEST_FPERIOD_OVERRIDE=FQ","FILING_STATUS=MR","SCALING_FORMAT=MLN","Sort=A","Dates=H","DateFormat=P","Fill=—","Direction=H","UseDPDF=Y")</f>
        <v>101.238</v>
      </c>
      <c r="P24" s="13">
        <f>_xll.BDH("BLUE US Equity","BS_NET_FIX_ASSET","FQ1 2022","FQ1 2022","Currency=USD","Period=FQ","BEST_FPERIOD_OVERRIDE=FQ","FILING_STATUS=MR","SCALING_FORMAT=MLN","Sort=A","Dates=H","DateFormat=P","Fill=—","Direction=H","UseDPDF=Y")</f>
        <v>123.131</v>
      </c>
      <c r="Q24" s="13">
        <f>_xll.BDH("BLUE US Equity","BS_NET_FIX_ASSET","FQ2 2022","FQ2 2022","Currency=USD","Period=FQ","BEST_FPERIOD_OVERRIDE=FQ","FILING_STATUS=MR","SCALING_FORMAT=MLN","Sort=A","Dates=H","DateFormat=P","Fill=—","Direction=H","UseDPDF=Y")</f>
        <v>307.29700000000003</v>
      </c>
      <c r="R24" s="13">
        <f>_xll.BDH("BLUE US Equity","BS_NET_FIX_ASSET","FQ3 2022","FQ3 2022","Currency=USD","Period=FQ","BEST_FPERIOD_OVERRIDE=FQ","FILING_STATUS=MR","SCALING_FORMAT=MLN","Sort=A","Dates=H","DateFormat=P","Fill=—","Direction=H","UseDPDF=Y")</f>
        <v>300.21899999999999</v>
      </c>
      <c r="S24" s="13">
        <f>_xll.BDH("BLUE US Equity","BS_NET_FIX_ASSET","FQ4 2022","FQ4 2022","Currency=USD","Period=FQ","BEST_FPERIOD_OVERRIDE=FQ","FILING_STATUS=MR","SCALING_FORMAT=MLN","Sort=A","Dates=H","DateFormat=P","Fill=—","Direction=H","UseDPDF=Y")</f>
        <v>298.52100000000002</v>
      </c>
      <c r="T24" s="13">
        <f>_xll.BDH("BLUE US Equity","BS_NET_FIX_ASSET","FQ1 2023","FQ1 2023","Currency=USD","Period=FQ","BEST_FPERIOD_OVERRIDE=FQ","FILING_STATUS=MR","SCALING_FORMAT=MLN","Sort=A","Dates=H","DateFormat=P","Fill=—","Direction=H","UseDPDF=Y")</f>
        <v>278.87099999999998</v>
      </c>
      <c r="U24" s="13">
        <f>_xll.BDH("BLUE US Equity","BS_NET_FIX_ASSET","FQ2 2023","FQ2 2023","Currency=USD","Period=FQ","BEST_FPERIOD_OVERRIDE=FQ","FILING_STATUS=MR","SCALING_FORMAT=MLN","Sort=A","Dates=H","DateFormat=P","Fill=—","Direction=H","UseDPDF=Y")</f>
        <v>313.07600000000002</v>
      </c>
      <c r="V24" s="13">
        <f>_xll.BDH("BLUE US Equity","BS_NET_FIX_ASSET","FQ3 2023","FQ3 2023","Currency=USD","Period=FQ","BEST_FPERIOD_OVERRIDE=FQ","FILING_STATUS=MR","SCALING_FORMAT=MLN","Sort=A","Dates=H","DateFormat=P","Fill=—","Direction=H","UseDPDF=Y")</f>
        <v>304.68900000000002</v>
      </c>
      <c r="W24" s="13">
        <f>_xll.BDH("BLUE US Equity","BS_NET_FIX_ASSET","FQ4 2023","FQ4 2023","Currency=USD","Period=FQ","BEST_FPERIOD_OVERRIDE=FQ","FILING_STATUS=MR","SCALING_FORMAT=MLN","Sort=A","Dates=H","DateFormat=P","Fill=—","Direction=H","UseDPDF=Y")</f>
        <v>267.04899999999998</v>
      </c>
      <c r="X24" s="13">
        <f>_xll.BDH("BLUE US Equity","BS_NET_FIX_ASSET","FQ1 2024","FQ1 2024","Currency=USD","Period=FQ","BEST_FPERIOD_OVERRIDE=FQ","FILING_STATUS=MR","SCALING_FORMAT=MLN","Sort=A","Dates=H","DateFormat=P","Fill=—","Direction=H","UseDPDF=Y")</f>
        <v>285.57499999999999</v>
      </c>
      <c r="Y24" s="13">
        <f>_xll.BDH("BLUE US Equity","BS_NET_FIX_ASSET","FQ2 2024","FQ2 2024","Currency=USD","Period=FQ","BEST_FPERIOD_OVERRIDE=FQ","FILING_STATUS=MR","SCALING_FORMAT=MLN","Sort=A","Dates=H","DateFormat=P","Fill=—","Direction=H","UseDPDF=Y")</f>
        <v>267.96199999999999</v>
      </c>
      <c r="Z24" s="13">
        <f>_xll.BDH("BLUE US Equity","BS_NET_FIX_ASSET","FQ3 2024","FQ3 2024","Currency=USD","Period=FQ","BEST_FPERIOD_OVERRIDE=FQ","FILING_STATUS=MR","SCALING_FORMAT=MLN","Sort=A","Dates=H","DateFormat=P","Fill=—","Direction=H","UseDPDF=Y")</f>
        <v>245.691</v>
      </c>
      <c r="AA24" s="13">
        <f>_xll.BDH("BLUE US Equity","BS_NET_FIX_ASSET","FQ4 2024","FQ4 2024","Currency=USD","Period=FQ","BEST_FPERIOD_OVERRIDE=FQ","FILING_STATUS=MR","SCALING_FORMAT=MLN","Sort=A","Dates=H","DateFormat=P","Fill=—","Direction=H","UseDPDF=Y")</f>
        <v>237.73099999999999</v>
      </c>
    </row>
    <row r="25" spans="1:27" x14ac:dyDescent="0.25">
      <c r="A25" s="10" t="s">
        <v>627</v>
      </c>
      <c r="B25" s="10" t="s">
        <v>628</v>
      </c>
      <c r="C25" s="13">
        <f>_xll.BDH("BLUE US Equity","BS_GROSS_FIX_ASSET","FQ4 2018","FQ4 2018","Currency=USD","Period=FQ","BEST_FPERIOD_OVERRIDE=FQ","FILING_STATUS=MR","SCALING_FORMAT=MLN","Sort=A","Dates=H","DateFormat=P","Fill=—","Direction=H","UseDPDF=Y")</f>
        <v>275.798</v>
      </c>
      <c r="D25" s="13">
        <f>_xll.BDH("BLUE US Equity","BS_GROSS_FIX_ASSET","FQ1 2019","FQ1 2019","Currency=USD","Period=FQ","BEST_FPERIOD_OVERRIDE=FQ","FILING_STATUS=MR","SCALING_FORMAT=MLN","Sort=A","Dates=H","DateFormat=P","Fill=—","Direction=H","UseDPDF=Y")</f>
        <v>325.536</v>
      </c>
      <c r="E25" s="13">
        <f>_xll.BDH("BLUE US Equity","BS_GROSS_FIX_ASSET","FQ2 2019","FQ2 2019","Currency=USD","Period=FQ","BEST_FPERIOD_OVERRIDE=FQ","FILING_STATUS=MR","SCALING_FORMAT=MLN","Sort=A","Dates=H","DateFormat=P","Fill=—","Direction=H","UseDPDF=Y")</f>
        <v>349.94900000000001</v>
      </c>
      <c r="F25" s="13">
        <f>_xll.BDH("BLUE US Equity","BS_GROSS_FIX_ASSET","FQ3 2019","FQ3 2019","Currency=USD","Period=FQ","BEST_FPERIOD_OVERRIDE=FQ","FILING_STATUS=MR","SCALING_FORMAT=MLN","Sort=A","Dates=H","DateFormat=P","Fill=—","Direction=H","UseDPDF=Y")</f>
        <v>368.23599999999999</v>
      </c>
      <c r="G25" s="13">
        <f>_xll.BDH("BLUE US Equity","BS_GROSS_FIX_ASSET","FQ4 2019","FQ4 2019","Currency=USD","Period=FQ","BEST_FPERIOD_OVERRIDE=FQ","FILING_STATUS=MR","SCALING_FORMAT=MLN","Sort=A","Dates=H","DateFormat=P","Fill=—","Direction=H","UseDPDF=Y")</f>
        <v>373.63400000000001</v>
      </c>
      <c r="H25" s="13">
        <f>_xll.BDH("BLUE US Equity","BS_GROSS_FIX_ASSET","FQ1 2020","FQ1 2020","Currency=USD","Period=FQ","BEST_FPERIOD_OVERRIDE=FQ","FILING_STATUS=MR","SCALING_FORMAT=MLN","Sort=A","Dates=H","DateFormat=P","Fill=—","Direction=H","UseDPDF=Y")</f>
        <v>388.70100000000002</v>
      </c>
      <c r="I25" s="13">
        <f>_xll.BDH("BLUE US Equity","BS_GROSS_FIX_ASSET","FQ2 2020","FQ2 2020","Currency=USD","Period=FQ","BEST_FPERIOD_OVERRIDE=FQ","FILING_STATUS=MR","SCALING_FORMAT=MLN","Sort=A","Dates=H","DateFormat=P","Fill=—","Direction=H","UseDPDF=Y")</f>
        <v>388.642</v>
      </c>
      <c r="J25" s="13">
        <f>_xll.BDH("BLUE US Equity","BS_GROSS_FIX_ASSET","FQ3 2020","FQ3 2020","Currency=USD","Period=FQ","BEST_FPERIOD_OVERRIDE=FQ","FILING_STATUS=MR","SCALING_FORMAT=MLN","Sort=A","Dates=H","DateFormat=P","Fill=—","Direction=H","UseDPDF=Y")</f>
        <v>393.20400000000001</v>
      </c>
      <c r="K25" s="13">
        <f>_xll.BDH("BLUE US Equity","BS_GROSS_FIX_ASSET","FQ4 2020","FQ4 2020","Currency=USD","Period=FQ","BEST_FPERIOD_OVERRIDE=FQ","FILING_STATUS=MR","SCALING_FORMAT=MLN","Sort=A","Dates=H","DateFormat=P","Fill=—","Direction=H","UseDPDF=Y")</f>
        <v>103.077</v>
      </c>
      <c r="L25" s="13">
        <f>_xll.BDH("BLUE US Equity","BS_GROSS_FIX_ASSET","FQ1 2021","FQ1 2021","Currency=USD","Period=FQ","BEST_FPERIOD_OVERRIDE=FQ","FILING_STATUS=MR","SCALING_FORMAT=MLN","Sort=A","Dates=H","DateFormat=P","Fill=—","Direction=H","UseDPDF=Y")</f>
        <v>417.96600000000001</v>
      </c>
      <c r="M25" s="13">
        <f>_xll.BDH("BLUE US Equity","BS_GROSS_FIX_ASSET","FQ2 2021","FQ2 2021","Currency=USD","Period=FQ","BEST_FPERIOD_OVERRIDE=FQ","FILING_STATUS=MR","SCALING_FORMAT=MLN","Sort=A","Dates=H","DateFormat=P","Fill=—","Direction=H","UseDPDF=Y")</f>
        <v>408.774</v>
      </c>
      <c r="N25" s="13">
        <f>_xll.BDH("BLUE US Equity","BS_GROSS_FIX_ASSET","FQ3 2021","FQ3 2021","Currency=USD","Period=FQ","BEST_FPERIOD_OVERRIDE=FQ","FILING_STATUS=MR","SCALING_FORMAT=MLN","Sort=A","Dates=H","DateFormat=P","Fill=—","Direction=H","UseDPDF=Y")</f>
        <v>278.947</v>
      </c>
      <c r="O25" s="13">
        <f>_xll.BDH("BLUE US Equity","BS_GROSS_FIX_ASSET","FQ4 2021","FQ4 2021","Currency=USD","Period=FQ","BEST_FPERIOD_OVERRIDE=FQ","FILING_STATUS=MR","SCALING_FORMAT=MLN","Sort=A","Dates=H","DateFormat=P","Fill=—","Direction=H","UseDPDF=Y")</f>
        <v>121.64400000000001</v>
      </c>
      <c r="P25" s="13">
        <f>_xll.BDH("BLUE US Equity","BS_GROSS_FIX_ASSET","FQ1 2022","FQ1 2022","Currency=USD","Period=FQ","BEST_FPERIOD_OVERRIDE=FQ","FILING_STATUS=MR","SCALING_FORMAT=MLN","Sort=A","Dates=H","DateFormat=P","Fill=—","Direction=H","UseDPDF=Y")</f>
        <v>144.34299999999999</v>
      </c>
      <c r="Q25" s="13">
        <f>_xll.BDH("BLUE US Equity","BS_GROSS_FIX_ASSET","FQ2 2022","FQ2 2022","Currency=USD","Period=FQ","BEST_FPERIOD_OVERRIDE=FQ","FILING_STATUS=MR","SCALING_FORMAT=MLN","Sort=A","Dates=H","DateFormat=P","Fill=—","Direction=H","UseDPDF=Y")</f>
        <v>329.798</v>
      </c>
      <c r="R25" s="13">
        <f>_xll.BDH("BLUE US Equity","BS_GROSS_FIX_ASSET","FQ3 2022","FQ3 2022","Currency=USD","Period=FQ","BEST_FPERIOD_OVERRIDE=FQ","FILING_STATUS=MR","SCALING_FORMAT=MLN","Sort=A","Dates=H","DateFormat=P","Fill=—","Direction=H","UseDPDF=Y")</f>
        <v>323.791</v>
      </c>
      <c r="S25" s="13">
        <f>_xll.BDH("BLUE US Equity","BS_GROSS_FIX_ASSET","FQ4 2022","FQ4 2022","Currency=USD","Period=FQ","BEST_FPERIOD_OVERRIDE=FQ","FILING_STATUS=MR","SCALING_FORMAT=MLN","Sort=A","Dates=H","DateFormat=P","Fill=—","Direction=H","UseDPDF=Y")</f>
        <v>329.03199999999998</v>
      </c>
      <c r="T25" s="13">
        <f>_xll.BDH("BLUE US Equity","BS_GROSS_FIX_ASSET","FQ1 2023","FQ1 2023","Currency=USD","Period=FQ","BEST_FPERIOD_OVERRIDE=FQ","FILING_STATUS=MR","SCALING_FORMAT=MLN","Sort=A","Dates=H","DateFormat=P","Fill=—","Direction=H","UseDPDF=Y")</f>
        <v>299.43900000000002</v>
      </c>
      <c r="U25" s="13">
        <f>_xll.BDH("BLUE US Equity","BS_GROSS_FIX_ASSET","FQ2 2023","FQ2 2023","Currency=USD","Period=FQ","BEST_FPERIOD_OVERRIDE=FQ","FILING_STATUS=MR","SCALING_FORMAT=MLN","Sort=A","Dates=H","DateFormat=P","Fill=—","Direction=H","UseDPDF=Y")</f>
        <v>329.15199999999999</v>
      </c>
      <c r="V25" s="13">
        <f>_xll.BDH("BLUE US Equity","BS_GROSS_FIX_ASSET","FQ3 2023","FQ3 2023","Currency=USD","Period=FQ","BEST_FPERIOD_OVERRIDE=FQ","FILING_STATUS=MR","SCALING_FORMAT=MLN","Sort=A","Dates=H","DateFormat=P","Fill=—","Direction=H","UseDPDF=Y")</f>
        <v>321.77100000000002</v>
      </c>
      <c r="W25" s="13">
        <f>_xll.BDH("BLUE US Equity","BS_GROSS_FIX_ASSET","FQ4 2023","FQ4 2023","Currency=USD","Period=FQ","BEST_FPERIOD_OVERRIDE=FQ","FILING_STATUS=MR","SCALING_FORMAT=MLN","Sort=A","Dates=H","DateFormat=P","Fill=—","Direction=H","UseDPDF=Y")</f>
        <v>308.85899999999998</v>
      </c>
      <c r="X25" s="13" t="str">
        <f>_xll.BDH("BLUE US Equity","BS_GROSS_FIX_ASSET","FQ1 2024","FQ1 2024","Currency=USD","Period=FQ","BEST_FPERIOD_OVERRIDE=FQ","FILING_STATUS=MR","SCALING_FORMAT=MLN","Sort=A","Dates=H","DateFormat=P","Fill=—","Direction=H","UseDPDF=Y")</f>
        <v>—</v>
      </c>
      <c r="Y25" s="13" t="str">
        <f>_xll.BDH("BLUE US Equity","BS_GROSS_FIX_ASSET","FQ2 2024","FQ2 2024","Currency=USD","Period=FQ","BEST_FPERIOD_OVERRIDE=FQ","FILING_STATUS=MR","SCALING_FORMAT=MLN","Sort=A","Dates=H","DateFormat=P","Fill=—","Direction=H","UseDPDF=Y")</f>
        <v>—</v>
      </c>
      <c r="Z25" s="13" t="str">
        <f>_xll.BDH("BLUE US Equity","BS_GROSS_FIX_ASSET","FQ3 2024","FQ3 2024","Currency=USD","Period=FQ","BEST_FPERIOD_OVERRIDE=FQ","FILING_STATUS=MR","SCALING_FORMAT=MLN","Sort=A","Dates=H","DateFormat=P","Fill=—","Direction=H","UseDPDF=Y")</f>
        <v>—</v>
      </c>
      <c r="AA25" s="13">
        <f>_xll.BDH("BLUE US Equity","BS_GROSS_FIX_ASSET","FQ4 2024","FQ4 2024","Currency=USD","Period=FQ","BEST_FPERIOD_OVERRIDE=FQ","FILING_STATUS=MR","SCALING_FORMAT=MLN","Sort=A","Dates=H","DateFormat=P","Fill=—","Direction=H","UseDPDF=Y")</f>
        <v>340.339</v>
      </c>
    </row>
    <row r="26" spans="1:27" x14ac:dyDescent="0.25">
      <c r="A26" s="10" t="s">
        <v>629</v>
      </c>
      <c r="B26" s="10" t="s">
        <v>630</v>
      </c>
      <c r="C26" s="13">
        <f>_xll.BDH("BLUE US Equity","BS_ACCUM_DEPR","FQ4 2018","FQ4 2018","Currency=USD","Period=FQ","BEST_FPERIOD_OVERRIDE=FQ","FILING_STATUS=MR","SCALING_FORMAT=MLN","Sort=A","Dates=H","DateFormat=P","Fill=—","Direction=H","UseDPDF=Y")</f>
        <v>29.175999999999998</v>
      </c>
      <c r="D26" s="13">
        <f>_xll.BDH("BLUE US Equity","BS_ACCUM_DEPR","FQ1 2019","FQ1 2019","Currency=USD","Period=FQ","BEST_FPERIOD_OVERRIDE=FQ","FILING_STATUS=MR","SCALING_FORMAT=MLN","Sort=A","Dates=H","DateFormat=P","Fill=—","Direction=H","UseDPDF=Y")</f>
        <v>26.888000000000002</v>
      </c>
      <c r="E26" s="13">
        <f>_xll.BDH("BLUE US Equity","BS_ACCUM_DEPR","FQ2 2019","FQ2 2019","Currency=USD","Period=FQ","BEST_FPERIOD_OVERRIDE=FQ","FILING_STATUS=MR","SCALING_FORMAT=MLN","Sort=A","Dates=H","DateFormat=P","Fill=—","Direction=H","UseDPDF=Y")</f>
        <v>29.835000000000001</v>
      </c>
      <c r="F26" s="13">
        <f>_xll.BDH("BLUE US Equity","BS_ACCUM_DEPR","FQ3 2019","FQ3 2019","Currency=USD","Period=FQ","BEST_FPERIOD_OVERRIDE=FQ","FILING_STATUS=MR","SCALING_FORMAT=MLN","Sort=A","Dates=H","DateFormat=P","Fill=—","Direction=H","UseDPDF=Y")</f>
        <v>32.576000000000001</v>
      </c>
      <c r="G26" s="13">
        <f>_xll.BDH("BLUE US Equity","BS_ACCUM_DEPR","FQ4 2019","FQ4 2019","Currency=USD","Period=FQ","BEST_FPERIOD_OVERRIDE=FQ","FILING_STATUS=MR","SCALING_FORMAT=MLN","Sort=A","Dates=H","DateFormat=P","Fill=—","Direction=H","UseDPDF=Y")</f>
        <v>36.573</v>
      </c>
      <c r="H26" s="13">
        <f>_xll.BDH("BLUE US Equity","BS_ACCUM_DEPR","FQ1 2020","FQ1 2020","Currency=USD","Period=FQ","BEST_FPERIOD_OVERRIDE=FQ","FILING_STATUS=MR","SCALING_FORMAT=MLN","Sort=A","Dates=H","DateFormat=P","Fill=—","Direction=H","UseDPDF=Y")</f>
        <v>40.311999999999998</v>
      </c>
      <c r="I26" s="13">
        <f>_xll.BDH("BLUE US Equity","BS_ACCUM_DEPR","FQ2 2020","FQ2 2020","Currency=USD","Period=FQ","BEST_FPERIOD_OVERRIDE=FQ","FILING_STATUS=MR","SCALING_FORMAT=MLN","Sort=A","Dates=H","DateFormat=P","Fill=—","Direction=H","UseDPDF=Y")</f>
        <v>43.802</v>
      </c>
      <c r="J26" s="13">
        <f>_xll.BDH("BLUE US Equity","BS_ACCUM_DEPR","FQ3 2020","FQ3 2020","Currency=USD","Period=FQ","BEST_FPERIOD_OVERRIDE=FQ","FILING_STATUS=MR","SCALING_FORMAT=MLN","Sort=A","Dates=H","DateFormat=P","Fill=—","Direction=H","UseDPDF=Y")</f>
        <v>47.073</v>
      </c>
      <c r="K26" s="13">
        <f>_xll.BDH("BLUE US Equity","BS_ACCUM_DEPR","FQ4 2020","FQ4 2020","Currency=USD","Period=FQ","BEST_FPERIOD_OVERRIDE=FQ","FILING_STATUS=MR","SCALING_FORMAT=MLN","Sort=A","Dates=H","DateFormat=P","Fill=—","Direction=H","UseDPDF=Y")</f>
        <v>18.140999999999998</v>
      </c>
      <c r="L26" s="13">
        <f>_xll.BDH("BLUE US Equity","BS_ACCUM_DEPR","FQ1 2021","FQ1 2021","Currency=USD","Period=FQ","BEST_FPERIOD_OVERRIDE=FQ","FILING_STATUS=MR","SCALING_FORMAT=MLN","Sort=A","Dates=H","DateFormat=P","Fill=—","Direction=H","UseDPDF=Y")</f>
        <v>54.798000000000002</v>
      </c>
      <c r="M26" s="13">
        <f>_xll.BDH("BLUE US Equity","BS_ACCUM_DEPR","FQ2 2021","FQ2 2021","Currency=USD","Period=FQ","BEST_FPERIOD_OVERRIDE=FQ","FILING_STATUS=MR","SCALING_FORMAT=MLN","Sort=A","Dates=H","DateFormat=P","Fill=—","Direction=H","UseDPDF=Y")</f>
        <v>58.960999999999999</v>
      </c>
      <c r="N26" s="13">
        <f>_xll.BDH("BLUE US Equity","BS_ACCUM_DEPR","FQ3 2021","FQ3 2021","Currency=USD","Period=FQ","BEST_FPERIOD_OVERRIDE=FQ","FILING_STATUS=MR","SCALING_FORMAT=MLN","Sort=A","Dates=H","DateFormat=P","Fill=—","Direction=H","UseDPDF=Y")</f>
        <v>58.767000000000003</v>
      </c>
      <c r="O26" s="13">
        <f>_xll.BDH("BLUE US Equity","BS_ACCUM_DEPR","FQ4 2021","FQ4 2021","Currency=USD","Period=FQ","BEST_FPERIOD_OVERRIDE=FQ","FILING_STATUS=MR","SCALING_FORMAT=MLN","Sort=A","Dates=H","DateFormat=P","Fill=—","Direction=H","UseDPDF=Y")</f>
        <v>20.405999999999999</v>
      </c>
      <c r="P26" s="13">
        <f>_xll.BDH("BLUE US Equity","BS_ACCUM_DEPR","FQ1 2022","FQ1 2022","Currency=USD","Period=FQ","BEST_FPERIOD_OVERRIDE=FQ","FILING_STATUS=MR","SCALING_FORMAT=MLN","Sort=A","Dates=H","DateFormat=P","Fill=—","Direction=H","UseDPDF=Y")</f>
        <v>21.212</v>
      </c>
      <c r="Q26" s="13">
        <f>_xll.BDH("BLUE US Equity","BS_ACCUM_DEPR","FQ2 2022","FQ2 2022","Currency=USD","Period=FQ","BEST_FPERIOD_OVERRIDE=FQ","FILING_STATUS=MR","SCALING_FORMAT=MLN","Sort=A","Dates=H","DateFormat=P","Fill=—","Direction=H","UseDPDF=Y")</f>
        <v>22.501000000000001</v>
      </c>
      <c r="R26" s="13">
        <f>_xll.BDH("BLUE US Equity","BS_ACCUM_DEPR","FQ3 2022","FQ3 2022","Currency=USD","Period=FQ","BEST_FPERIOD_OVERRIDE=FQ","FILING_STATUS=MR","SCALING_FORMAT=MLN","Sort=A","Dates=H","DateFormat=P","Fill=—","Direction=H","UseDPDF=Y")</f>
        <v>23.571999999999999</v>
      </c>
      <c r="S26" s="13">
        <f>_xll.BDH("BLUE US Equity","BS_ACCUM_DEPR","FQ4 2022","FQ4 2022","Currency=USD","Period=FQ","BEST_FPERIOD_OVERRIDE=FQ","FILING_STATUS=MR","SCALING_FORMAT=MLN","Sort=A","Dates=H","DateFormat=P","Fill=—","Direction=H","UseDPDF=Y")</f>
        <v>30.510999999999999</v>
      </c>
      <c r="T26" s="13">
        <f>_xll.BDH("BLUE US Equity","BS_ACCUM_DEPR","FQ1 2023","FQ1 2023","Currency=USD","Period=FQ","BEST_FPERIOD_OVERRIDE=FQ","FILING_STATUS=MR","SCALING_FORMAT=MLN","Sort=A","Dates=H","DateFormat=P","Fill=—","Direction=H","UseDPDF=Y")</f>
        <v>20.568000000000001</v>
      </c>
      <c r="U26" s="13">
        <f>_xll.BDH("BLUE US Equity","BS_ACCUM_DEPR","FQ2 2023","FQ2 2023","Currency=USD","Period=FQ","BEST_FPERIOD_OVERRIDE=FQ","FILING_STATUS=MR","SCALING_FORMAT=MLN","Sort=A","Dates=H","DateFormat=P","Fill=—","Direction=H","UseDPDF=Y")</f>
        <v>16.076000000000001</v>
      </c>
      <c r="V26" s="13">
        <f>_xll.BDH("BLUE US Equity","BS_ACCUM_DEPR","FQ3 2023","FQ3 2023","Currency=USD","Period=FQ","BEST_FPERIOD_OVERRIDE=FQ","FILING_STATUS=MR","SCALING_FORMAT=MLN","Sort=A","Dates=H","DateFormat=P","Fill=—","Direction=H","UseDPDF=Y")</f>
        <v>17.082000000000001</v>
      </c>
      <c r="W26" s="13">
        <f>_xll.BDH("BLUE US Equity","BS_ACCUM_DEPR","FQ4 2023","FQ4 2023","Currency=USD","Period=FQ","BEST_FPERIOD_OVERRIDE=FQ","FILING_STATUS=MR","SCALING_FORMAT=MLN","Sort=A","Dates=H","DateFormat=P","Fill=—","Direction=H","UseDPDF=Y")</f>
        <v>41.81</v>
      </c>
      <c r="X26" s="13" t="str">
        <f>_xll.BDH("BLUE US Equity","BS_ACCUM_DEPR","FQ1 2024","FQ1 2024","Currency=USD","Period=FQ","BEST_FPERIOD_OVERRIDE=FQ","FILING_STATUS=MR","SCALING_FORMAT=MLN","Sort=A","Dates=H","DateFormat=P","Fill=—","Direction=H","UseDPDF=Y")</f>
        <v>—</v>
      </c>
      <c r="Y26" s="13" t="str">
        <f>_xll.BDH("BLUE US Equity","BS_ACCUM_DEPR","FQ2 2024","FQ2 2024","Currency=USD","Period=FQ","BEST_FPERIOD_OVERRIDE=FQ","FILING_STATUS=MR","SCALING_FORMAT=MLN","Sort=A","Dates=H","DateFormat=P","Fill=—","Direction=H","UseDPDF=Y")</f>
        <v>—</v>
      </c>
      <c r="Z26" s="13" t="str">
        <f>_xll.BDH("BLUE US Equity","BS_ACCUM_DEPR","FQ3 2024","FQ3 2024","Currency=USD","Period=FQ","BEST_FPERIOD_OVERRIDE=FQ","FILING_STATUS=MR","SCALING_FORMAT=MLN","Sort=A","Dates=H","DateFormat=P","Fill=—","Direction=H","UseDPDF=Y")</f>
        <v>—</v>
      </c>
      <c r="AA26" s="13">
        <f>_xll.BDH("BLUE US Equity","BS_ACCUM_DEPR","FQ4 2024","FQ4 2024","Currency=USD","Period=FQ","BEST_FPERIOD_OVERRIDE=FQ","FILING_STATUS=MR","SCALING_FORMAT=MLN","Sort=A","Dates=H","DateFormat=P","Fill=—","Direction=H","UseDPDF=Y")</f>
        <v>102.608</v>
      </c>
    </row>
    <row r="27" spans="1:27" x14ac:dyDescent="0.25">
      <c r="A27" s="10" t="s">
        <v>631</v>
      </c>
      <c r="B27" s="10" t="s">
        <v>632</v>
      </c>
      <c r="C27" s="13">
        <f>_xll.BDH("BLUE US Equity","BS_LT_INVEST","FQ4 2018","FQ4 2018","Currency=USD","Period=FQ","BEST_FPERIOD_OVERRIDE=FQ","FILING_STATUS=MR","SCALING_FORMAT=MLN","Sort=A","Dates=H","DateFormat=P","Fill=—","Direction=H","UseDPDF=Y")</f>
        <v>506.12299999999999</v>
      </c>
      <c r="D27" s="13">
        <f>_xll.BDH("BLUE US Equity","BS_LT_INVEST","FQ1 2019","FQ1 2019","Currency=USD","Period=FQ","BEST_FPERIOD_OVERRIDE=FQ","FILING_STATUS=MR","SCALING_FORMAT=MLN","Sort=A","Dates=H","DateFormat=P","Fill=—","Direction=H","UseDPDF=Y")</f>
        <v>408.94900000000001</v>
      </c>
      <c r="E27" s="13">
        <f>_xll.BDH("BLUE US Equity","BS_LT_INVEST","FQ2 2019","FQ2 2019","Currency=USD","Period=FQ","BEST_FPERIOD_OVERRIDE=FQ","FILING_STATUS=MR","SCALING_FORMAT=MLN","Sort=A","Dates=H","DateFormat=P","Fill=—","Direction=H","UseDPDF=Y")</f>
        <v>287.92200000000003</v>
      </c>
      <c r="F27" s="13">
        <f>_xll.BDH("BLUE US Equity","BS_LT_INVEST","FQ3 2019","FQ3 2019","Currency=USD","Period=FQ","BEST_FPERIOD_OVERRIDE=FQ","FILING_STATUS=MR","SCALING_FORMAT=MLN","Sort=A","Dates=H","DateFormat=P","Fill=—","Direction=H","UseDPDF=Y")</f>
        <v>225.93199999999999</v>
      </c>
      <c r="G27" s="13">
        <f>_xll.BDH("BLUE US Equity","BS_LT_INVEST","FQ4 2019","FQ4 2019","Currency=USD","Period=FQ","BEST_FPERIOD_OVERRIDE=FQ","FILING_STATUS=MR","SCALING_FORMAT=MLN","Sort=A","Dates=H","DateFormat=P","Fill=—","Direction=H","UseDPDF=Y")</f>
        <v>131.506</v>
      </c>
      <c r="H27" s="13">
        <f>_xll.BDH("BLUE US Equity","BS_LT_INVEST","FQ1 2020","FQ1 2020","Currency=USD","Period=FQ","BEST_FPERIOD_OVERRIDE=FQ","FILING_STATUS=MR","SCALING_FORMAT=MLN","Sort=A","Dates=H","DateFormat=P","Fill=—","Direction=H","UseDPDF=Y")</f>
        <v>107.67400000000001</v>
      </c>
      <c r="I27" s="13">
        <f>_xll.BDH("BLUE US Equity","BS_LT_INVEST","FQ2 2020","FQ2 2020","Currency=USD","Period=FQ","BEST_FPERIOD_OVERRIDE=FQ","FILING_STATUS=MR","SCALING_FORMAT=MLN","Sort=A","Dates=H","DateFormat=P","Fill=—","Direction=H","UseDPDF=Y")</f>
        <v>49.411000000000001</v>
      </c>
      <c r="J27" s="13">
        <f>_xll.BDH("BLUE US Equity","BS_LT_INVEST","FQ3 2020","FQ3 2020","Currency=USD","Period=FQ","BEST_FPERIOD_OVERRIDE=FQ","FILING_STATUS=MR","SCALING_FORMAT=MLN","Sort=A","Dates=H","DateFormat=P","Fill=—","Direction=H","UseDPDF=Y")</f>
        <v>207.61500000000001</v>
      </c>
      <c r="K27" s="13">
        <f>_xll.BDH("BLUE US Equity","BS_LT_INVEST","FQ4 2020","FQ4 2020","Currency=USD","Period=FQ","BEST_FPERIOD_OVERRIDE=FQ","FILING_STATUS=MR","SCALING_FORMAT=MLN","Sort=A","Dates=H","DateFormat=P","Fill=—","Direction=H","UseDPDF=Y")</f>
        <v>61.445</v>
      </c>
      <c r="L27" s="13">
        <f>_xll.BDH("BLUE US Equity","BS_LT_INVEST","FQ1 2021","FQ1 2021","Currency=USD","Period=FQ","BEST_FPERIOD_OVERRIDE=FQ","FILING_STATUS=MR","SCALING_FORMAT=MLN","Sort=A","Dates=H","DateFormat=P","Fill=—","Direction=H","UseDPDF=Y")</f>
        <v>81.114999999999995</v>
      </c>
      <c r="M27" s="13">
        <f>_xll.BDH("BLUE US Equity","BS_LT_INVEST","FQ2 2021","FQ2 2021","Currency=USD","Period=FQ","BEST_FPERIOD_OVERRIDE=FQ","FILING_STATUS=MR","SCALING_FORMAT=MLN","Sort=A","Dates=H","DateFormat=P","Fill=—","Direction=H","UseDPDF=Y")</f>
        <v>101.92700000000001</v>
      </c>
      <c r="N27" s="13">
        <f>_xll.BDH("BLUE US Equity","BS_LT_INVEST","FQ3 2021","FQ3 2021","Currency=USD","Period=FQ","BEST_FPERIOD_OVERRIDE=FQ","FILING_STATUS=MR","SCALING_FORMAT=MLN","Sort=A","Dates=H","DateFormat=P","Fill=—","Direction=H","UseDPDF=Y")</f>
        <v>193.12899999999999</v>
      </c>
      <c r="O27" s="13">
        <f>_xll.BDH("BLUE US Equity","BS_LT_INVEST","FQ4 2021","FQ4 2021","Currency=USD","Period=FQ","BEST_FPERIOD_OVERRIDE=FQ","FILING_STATUS=MR","SCALING_FORMAT=MLN","Sort=A","Dates=H","DateFormat=P","Fill=—","Direction=H","UseDPDF=Y")</f>
        <v>97.114000000000004</v>
      </c>
      <c r="P27" s="13">
        <f>_xll.BDH("BLUE US Equity","BS_LT_INVEST","FQ1 2022","FQ1 2022","Currency=USD","Period=FQ","BEST_FPERIOD_OVERRIDE=FQ","FILING_STATUS=MR","SCALING_FORMAT=MLN","Sort=A","Dates=H","DateFormat=P","Fill=—","Direction=H","UseDPDF=Y")</f>
        <v>55.048999999999999</v>
      </c>
      <c r="Q27" s="13">
        <f>_xll.BDH("BLUE US Equity","BS_LT_INVEST","FQ2 2022","FQ2 2022","Currency=USD","Period=FQ","BEST_FPERIOD_OVERRIDE=FQ","FILING_STATUS=MR","SCALING_FORMAT=MLN","Sort=A","Dates=H","DateFormat=P","Fill=—","Direction=H","UseDPDF=Y")</f>
        <v>40.640999999999998</v>
      </c>
      <c r="R27" s="13">
        <f>_xll.BDH("BLUE US Equity","BS_LT_INVEST","FQ3 2022","FQ3 2022","Currency=USD","Period=FQ","BEST_FPERIOD_OVERRIDE=FQ","FILING_STATUS=MR","SCALING_FORMAT=MLN","Sort=A","Dates=H","DateFormat=P","Fill=—","Direction=H","UseDPDF=Y")</f>
        <v>1.407</v>
      </c>
      <c r="S27" s="13">
        <f>_xll.BDH("BLUE US Equity","BS_LT_INVEST","FQ4 2022","FQ4 2022","Currency=USD","Period=FQ","BEST_FPERIOD_OVERRIDE=FQ","FILING_STATUS=MR","SCALING_FORMAT=MLN","Sort=A","Dates=H","DateFormat=P","Fill=—","Direction=H","UseDPDF=Y")</f>
        <v>1.4139999999999999</v>
      </c>
      <c r="T27" s="13">
        <f>_xll.BDH("BLUE US Equity","BS_LT_INVEST","FQ1 2023","FQ1 2023","Currency=USD","Period=FQ","BEST_FPERIOD_OVERRIDE=FQ","FILING_STATUS=MR","SCALING_FORMAT=MLN","Sort=A","Dates=H","DateFormat=P","Fill=—","Direction=H","UseDPDF=Y")</f>
        <v>0</v>
      </c>
      <c r="U27" s="13">
        <f>_xll.BDH("BLUE US Equity","BS_LT_INVEST","FQ2 2023","FQ2 2023","Currency=USD","Period=FQ","BEST_FPERIOD_OVERRIDE=FQ","FILING_STATUS=MR","SCALING_FORMAT=MLN","Sort=A","Dates=H","DateFormat=P","Fill=—","Direction=H","UseDPDF=Y")</f>
        <v>0</v>
      </c>
      <c r="V27" s="13">
        <f>_xll.BDH("BLUE US Equity","BS_LT_INVEST","FQ3 2023","FQ3 2023","Currency=USD","Period=FQ","BEST_FPERIOD_OVERRIDE=FQ","FILING_STATUS=MR","SCALING_FORMAT=MLN","Sort=A","Dates=H","DateFormat=P","Fill=—","Direction=H","UseDPDF=Y")</f>
        <v>0</v>
      </c>
      <c r="W27" s="13">
        <f>_xll.BDH("BLUE US Equity","BS_LT_INVEST","FQ4 2023","FQ4 2023","Currency=USD","Period=FQ","BEST_FPERIOD_OVERRIDE=FQ","FILING_STATUS=MR","SCALING_FORMAT=MLN","Sort=A","Dates=H","DateFormat=P","Fill=—","Direction=H","UseDPDF=Y")</f>
        <v>0</v>
      </c>
      <c r="X27" s="13">
        <f>_xll.BDH("BLUE US Equity","BS_LT_INVEST","FQ1 2024","FQ1 2024","Currency=USD","Period=FQ","BEST_FPERIOD_OVERRIDE=FQ","FILING_STATUS=MR","SCALING_FORMAT=MLN","Sort=A","Dates=H","DateFormat=P","Fill=—","Direction=H","UseDPDF=Y")</f>
        <v>0</v>
      </c>
      <c r="Y27" s="13">
        <f>_xll.BDH("BLUE US Equity","BS_LT_INVEST","FQ2 2024","FQ2 2024","Currency=USD","Period=FQ","BEST_FPERIOD_OVERRIDE=FQ","FILING_STATUS=MR","SCALING_FORMAT=MLN","Sort=A","Dates=H","DateFormat=P","Fill=—","Direction=H","UseDPDF=Y")</f>
        <v>0</v>
      </c>
      <c r="Z27" s="13">
        <f>_xll.BDH("BLUE US Equity","BS_LT_INVEST","FQ3 2024","FQ3 2024","Currency=USD","Period=FQ","BEST_FPERIOD_OVERRIDE=FQ","FILING_STATUS=MR","SCALING_FORMAT=MLN","Sort=A","Dates=H","DateFormat=P","Fill=—","Direction=H","UseDPDF=Y")</f>
        <v>0</v>
      </c>
      <c r="AA27" s="13">
        <f>_xll.BDH("BLUE US Equity","BS_LT_INVEST","FQ4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633</v>
      </c>
      <c r="B28" s="10" t="s">
        <v>634</v>
      </c>
      <c r="C28" s="13">
        <f>_xll.BDH("BLUE US Equity","BS_LT_MARKETABLE_SECURITIES","FQ4 2018","FQ4 2018","Currency=USD","Period=FQ","BEST_FPERIOD_OVERRIDE=FQ","FILING_STATUS=MR","SCALING_FORMAT=MLN","Sort=A","Dates=H","DateFormat=P","Fill=—","Direction=H","UseDPDF=Y")</f>
        <v>506.12299999999999</v>
      </c>
      <c r="D28" s="13">
        <f>_xll.BDH("BLUE US Equity","BS_LT_MARKETABLE_SECURITIES","FQ1 2019","FQ1 2019","Currency=USD","Period=FQ","BEST_FPERIOD_OVERRIDE=FQ","FILING_STATUS=MR","SCALING_FORMAT=MLN","Sort=A","Dates=H","DateFormat=P","Fill=—","Direction=H","UseDPDF=Y")</f>
        <v>408.94900000000001</v>
      </c>
      <c r="E28" s="13">
        <f>_xll.BDH("BLUE US Equity","BS_LT_MARKETABLE_SECURITIES","FQ2 2019","FQ2 2019","Currency=USD","Period=FQ","BEST_FPERIOD_OVERRIDE=FQ","FILING_STATUS=MR","SCALING_FORMAT=MLN","Sort=A","Dates=H","DateFormat=P","Fill=—","Direction=H","UseDPDF=Y")</f>
        <v>287.92200000000003</v>
      </c>
      <c r="F28" s="13">
        <f>_xll.BDH("BLUE US Equity","BS_LT_MARKETABLE_SECURITIES","FQ3 2019","FQ3 2019","Currency=USD","Period=FQ","BEST_FPERIOD_OVERRIDE=FQ","FILING_STATUS=MR","SCALING_FORMAT=MLN","Sort=A","Dates=H","DateFormat=P","Fill=—","Direction=H","UseDPDF=Y")</f>
        <v>225.93199999999999</v>
      </c>
      <c r="G28" s="13">
        <f>_xll.BDH("BLUE US Equity","BS_LT_MARKETABLE_SECURITIES","FQ4 2019","FQ4 2019","Currency=USD","Period=FQ","BEST_FPERIOD_OVERRIDE=FQ","FILING_STATUS=MR","SCALING_FORMAT=MLN","Sort=A","Dates=H","DateFormat=P","Fill=—","Direction=H","UseDPDF=Y")</f>
        <v>131.506</v>
      </c>
      <c r="H28" s="13">
        <f>_xll.BDH("BLUE US Equity","BS_LT_MARKETABLE_SECURITIES","FQ1 2020","FQ1 2020","Currency=USD","Period=FQ","BEST_FPERIOD_OVERRIDE=FQ","FILING_STATUS=MR","SCALING_FORMAT=MLN","Sort=A","Dates=H","DateFormat=P","Fill=—","Direction=H","UseDPDF=Y")</f>
        <v>107.67400000000001</v>
      </c>
      <c r="I28" s="13">
        <f>_xll.BDH("BLUE US Equity","BS_LT_MARKETABLE_SECURITIES","FQ2 2020","FQ2 2020","Currency=USD","Period=FQ","BEST_FPERIOD_OVERRIDE=FQ","FILING_STATUS=MR","SCALING_FORMAT=MLN","Sort=A","Dates=H","DateFormat=P","Fill=—","Direction=H","UseDPDF=Y")</f>
        <v>49.411000000000001</v>
      </c>
      <c r="J28" s="13">
        <f>_xll.BDH("BLUE US Equity","BS_LT_MARKETABLE_SECURITIES","FQ3 2020","FQ3 2020","Currency=USD","Period=FQ","BEST_FPERIOD_OVERRIDE=FQ","FILING_STATUS=MR","SCALING_FORMAT=MLN","Sort=A","Dates=H","DateFormat=P","Fill=—","Direction=H","UseDPDF=Y")</f>
        <v>207.61500000000001</v>
      </c>
      <c r="K28" s="13">
        <f>_xll.BDH("BLUE US Equity","BS_LT_MARKETABLE_SECURITIES","FQ4 2020","FQ4 2020","Currency=USD","Period=FQ","BEST_FPERIOD_OVERRIDE=FQ","FILING_STATUS=MR","SCALING_FORMAT=MLN","Sort=A","Dates=H","DateFormat=P","Fill=—","Direction=H","UseDPDF=Y")</f>
        <v>61.445</v>
      </c>
      <c r="L28" s="13">
        <f>_xll.BDH("BLUE US Equity","BS_LT_MARKETABLE_SECURITIES","FQ1 2021","FQ1 2021","Currency=USD","Period=FQ","BEST_FPERIOD_OVERRIDE=FQ","FILING_STATUS=MR","SCALING_FORMAT=MLN","Sort=A","Dates=H","DateFormat=P","Fill=—","Direction=H","UseDPDF=Y")</f>
        <v>81.114999999999995</v>
      </c>
      <c r="M28" s="13">
        <f>_xll.BDH("BLUE US Equity","BS_LT_MARKETABLE_SECURITIES","FQ2 2021","FQ2 2021","Currency=USD","Period=FQ","BEST_FPERIOD_OVERRIDE=FQ","FILING_STATUS=MR","SCALING_FORMAT=MLN","Sort=A","Dates=H","DateFormat=P","Fill=—","Direction=H","UseDPDF=Y")</f>
        <v>101.92700000000001</v>
      </c>
      <c r="N28" s="13">
        <f>_xll.BDH("BLUE US Equity","BS_LT_MARKETABLE_SECURITIES","FQ3 2021","FQ3 2021","Currency=USD","Period=FQ","BEST_FPERIOD_OVERRIDE=FQ","FILING_STATUS=MR","SCALING_FORMAT=MLN","Sort=A","Dates=H","DateFormat=P","Fill=—","Direction=H","UseDPDF=Y")</f>
        <v>193.12899999999999</v>
      </c>
      <c r="O28" s="13">
        <f>_xll.BDH("BLUE US Equity","BS_LT_MARKETABLE_SECURITIES","FQ4 2021","FQ4 2021","Currency=USD","Period=FQ","BEST_FPERIOD_OVERRIDE=FQ","FILING_STATUS=MR","SCALING_FORMAT=MLN","Sort=A","Dates=H","DateFormat=P","Fill=—","Direction=H","UseDPDF=Y")</f>
        <v>97.114000000000004</v>
      </c>
      <c r="P28" s="13">
        <f>_xll.BDH("BLUE US Equity","BS_LT_MARKETABLE_SECURITIES","FQ1 2022","FQ1 2022","Currency=USD","Period=FQ","BEST_FPERIOD_OVERRIDE=FQ","FILING_STATUS=MR","SCALING_FORMAT=MLN","Sort=A","Dates=H","DateFormat=P","Fill=—","Direction=H","UseDPDF=Y")</f>
        <v>55.048999999999999</v>
      </c>
      <c r="Q28" s="13">
        <f>_xll.BDH("BLUE US Equity","BS_LT_MARKETABLE_SECURITIES","FQ2 2022","FQ2 2022","Currency=USD","Period=FQ","BEST_FPERIOD_OVERRIDE=FQ","FILING_STATUS=MR","SCALING_FORMAT=MLN","Sort=A","Dates=H","DateFormat=P","Fill=—","Direction=H","UseDPDF=Y")</f>
        <v>40.640999999999998</v>
      </c>
      <c r="R28" s="13">
        <f>_xll.BDH("BLUE US Equity","BS_LT_MARKETABLE_SECURITIES","FQ3 2022","FQ3 2022","Currency=USD","Period=FQ","BEST_FPERIOD_OVERRIDE=FQ","FILING_STATUS=MR","SCALING_FORMAT=MLN","Sort=A","Dates=H","DateFormat=P","Fill=—","Direction=H","UseDPDF=Y")</f>
        <v>1.407</v>
      </c>
      <c r="S28" s="13">
        <f>_xll.BDH("BLUE US Equity","BS_LT_MARKETABLE_SECURITIES","FQ4 2022","FQ4 2022","Currency=USD","Period=FQ","BEST_FPERIOD_OVERRIDE=FQ","FILING_STATUS=MR","SCALING_FORMAT=MLN","Sort=A","Dates=H","DateFormat=P","Fill=—","Direction=H","UseDPDF=Y")</f>
        <v>1.4139999999999999</v>
      </c>
      <c r="T28" s="13">
        <f>_xll.BDH("BLUE US Equity","BS_LT_MARKETABLE_SECURITIES","FQ1 2023","FQ1 2023","Currency=USD","Period=FQ","BEST_FPERIOD_OVERRIDE=FQ","FILING_STATUS=MR","SCALING_FORMAT=MLN","Sort=A","Dates=H","DateFormat=P","Fill=—","Direction=H","UseDPDF=Y")</f>
        <v>0</v>
      </c>
      <c r="U28" s="13">
        <f>_xll.BDH("BLUE US Equity","BS_LT_MARKETABLE_SECURITIES","FQ2 2023","FQ2 2023","Currency=USD","Period=FQ","BEST_FPERIOD_OVERRIDE=FQ","FILING_STATUS=MR","SCALING_FORMAT=MLN","Sort=A","Dates=H","DateFormat=P","Fill=—","Direction=H","UseDPDF=Y")</f>
        <v>0</v>
      </c>
      <c r="V28" s="13">
        <f>_xll.BDH("BLUE US Equity","BS_LT_MARKETABLE_SECURITIES","FQ3 2023","FQ3 2023","Currency=USD","Period=FQ","BEST_FPERIOD_OVERRIDE=FQ","FILING_STATUS=MR","SCALING_FORMAT=MLN","Sort=A","Dates=H","DateFormat=P","Fill=—","Direction=H","UseDPDF=Y")</f>
        <v>0</v>
      </c>
      <c r="W28" s="13">
        <f>_xll.BDH("BLUE US Equity","BS_LT_MARKETABLE_SECURITIES","FQ4 2023","FQ4 2023","Currency=USD","Period=FQ","BEST_FPERIOD_OVERRIDE=FQ","FILING_STATUS=MR","SCALING_FORMAT=MLN","Sort=A","Dates=H","DateFormat=P","Fill=—","Direction=H","UseDPDF=Y")</f>
        <v>0</v>
      </c>
      <c r="X28" s="13" t="str">
        <f>_xll.BDH("BLUE US Equity","BS_LT_MARKETABLE_SECURITIES","FQ1 2024","FQ1 2024","Currency=USD","Period=FQ","BEST_FPERIOD_OVERRIDE=FQ","FILING_STATUS=MR","SCALING_FORMAT=MLN","Sort=A","Dates=H","DateFormat=P","Fill=—","Direction=H","UseDPDF=Y")</f>
        <v>—</v>
      </c>
      <c r="Y28" s="13" t="str">
        <f>_xll.BDH("BLUE US Equity","BS_LT_MARKETABLE_SECURITIES","FQ2 2024","FQ2 2024","Currency=USD","Period=FQ","BEST_FPERIOD_OVERRIDE=FQ","FILING_STATUS=MR","SCALING_FORMAT=MLN","Sort=A","Dates=H","DateFormat=P","Fill=—","Direction=H","UseDPDF=Y")</f>
        <v>—</v>
      </c>
      <c r="Z28" s="13" t="str">
        <f>_xll.BDH("BLUE US Equity","BS_LT_MARKETABLE_SECURITIES","FQ3 2024","FQ3 2024","Currency=USD","Period=FQ","BEST_FPERIOD_OVERRIDE=FQ","FILING_STATUS=MR","SCALING_FORMAT=MLN","Sort=A","Dates=H","DateFormat=P","Fill=—","Direction=H","UseDPDF=Y")</f>
        <v>—</v>
      </c>
      <c r="AA28" s="13" t="str">
        <f>_xll.BDH("BLUE US Equity","BS_LT_MARKETABLE_SECURITIES","FQ4 2024","FQ4 2024","Currency=USD","Period=FQ","BEST_FPERIOD_OVERRIDE=FQ","FILING_STATUS=MR","SCALING_FORMAT=MLN","Sort=A","Dates=H","DateFormat=P","Fill=—","Direction=H","UseDPDF=Y")</f>
        <v>—</v>
      </c>
    </row>
    <row r="29" spans="1:27" x14ac:dyDescent="0.25">
      <c r="A29" s="10" t="s">
        <v>635</v>
      </c>
      <c r="B29" s="10" t="s">
        <v>636</v>
      </c>
      <c r="C29" s="13">
        <f>_xll.BDH("BLUE US Equity","BS_OTHER_ASSETS_DEF_CHRG_OTHER","FQ4 2018","FQ4 2018","Currency=USD","Period=FQ","BEST_FPERIOD_OVERRIDE=FQ","FILING_STATUS=MR","SCALING_FORMAT=MLN","Sort=A","Dates=H","DateFormat=P","Fill=—","Direction=H","UseDPDF=Y")</f>
        <v>71.102000000000004</v>
      </c>
      <c r="D29" s="13">
        <f>_xll.BDH("BLUE US Equity","BS_OTHER_ASSETS_DEF_CHRG_OTHER","FQ1 2019","FQ1 2019","Currency=USD","Period=FQ","BEST_FPERIOD_OVERRIDE=FQ","FILING_STATUS=MR","SCALING_FORMAT=MLN","Sort=A","Dates=H","DateFormat=P","Fill=—","Direction=H","UseDPDF=Y")</f>
        <v>65.986000000000004</v>
      </c>
      <c r="E29" s="13">
        <f>_xll.BDH("BLUE US Equity","BS_OTHER_ASSETS_DEF_CHRG_OTHER","FQ2 2019","FQ2 2019","Currency=USD","Period=FQ","BEST_FPERIOD_OVERRIDE=FQ","FILING_STATUS=MR","SCALING_FORMAT=MLN","Sort=A","Dates=H","DateFormat=P","Fill=—","Direction=H","UseDPDF=Y")</f>
        <v>114.52800000000001</v>
      </c>
      <c r="F29" s="13">
        <f>_xll.BDH("BLUE US Equity","BS_OTHER_ASSETS_DEF_CHRG_OTHER","FQ3 2019","FQ3 2019","Currency=USD","Period=FQ","BEST_FPERIOD_OVERRIDE=FQ","FILING_STATUS=MR","SCALING_FORMAT=MLN","Sort=A","Dates=H","DateFormat=P","Fill=—","Direction=H","UseDPDF=Y")</f>
        <v>110.59399999999999</v>
      </c>
      <c r="G29" s="13">
        <f>_xll.BDH("BLUE US Equity","BS_OTHER_ASSETS_DEF_CHRG_OTHER","FQ4 2019","FQ4 2019","Currency=USD","Period=FQ","BEST_FPERIOD_OVERRIDE=FQ","FILING_STATUS=MR","SCALING_FORMAT=MLN","Sort=A","Dates=H","DateFormat=P","Fill=—","Direction=H","UseDPDF=Y")</f>
        <v>106.68300000000001</v>
      </c>
      <c r="H29" s="13">
        <f>_xll.BDH("BLUE US Equity","BS_OTHER_ASSETS_DEF_CHRG_OTHER","FQ1 2020","FQ1 2020","Currency=USD","Period=FQ","BEST_FPERIOD_OVERRIDE=FQ","FILING_STATUS=MR","SCALING_FORMAT=MLN","Sort=A","Dates=H","DateFormat=P","Fill=—","Direction=H","UseDPDF=Y")</f>
        <v>105.574</v>
      </c>
      <c r="I29" s="13">
        <f>_xll.BDH("BLUE US Equity","BS_OTHER_ASSETS_DEF_CHRG_OTHER","FQ2 2020","FQ2 2020","Currency=USD","Period=FQ","BEST_FPERIOD_OVERRIDE=FQ","FILING_STATUS=MR","SCALING_FORMAT=MLN","Sort=A","Dates=H","DateFormat=P","Fill=—","Direction=H","UseDPDF=Y")</f>
        <v>100.09399999999999</v>
      </c>
      <c r="J29" s="13">
        <f>_xll.BDH("BLUE US Equity","BS_OTHER_ASSETS_DEF_CHRG_OTHER","FQ3 2020","FQ3 2020","Currency=USD","Period=FQ","BEST_FPERIOD_OVERRIDE=FQ","FILING_STATUS=MR","SCALING_FORMAT=MLN","Sort=A","Dates=H","DateFormat=P","Fill=—","Direction=H","UseDPDF=Y")</f>
        <v>98.543999999999997</v>
      </c>
      <c r="K29" s="13">
        <f>_xll.BDH("BLUE US Equity","BS_OTHER_ASSETS_DEF_CHRG_OTHER","FQ4 2020","FQ4 2020","Currency=USD","Period=FQ","BEST_FPERIOD_OVERRIDE=FQ","FILING_STATUS=MR","SCALING_FORMAT=MLN","Sort=A","Dates=H","DateFormat=P","Fill=—","Direction=H","UseDPDF=Y")</f>
        <v>419.334</v>
      </c>
      <c r="L29" s="13">
        <f>_xll.BDH("BLUE US Equity","BS_OTHER_ASSETS_DEF_CHRG_OTHER","FQ1 2021","FQ1 2021","Currency=USD","Period=FQ","BEST_FPERIOD_OVERRIDE=FQ","FILING_STATUS=MR","SCALING_FORMAT=MLN","Sort=A","Dates=H","DateFormat=P","Fill=—","Direction=H","UseDPDF=Y")</f>
        <v>95.460999999999999</v>
      </c>
      <c r="M29" s="13">
        <f>_xll.BDH("BLUE US Equity","BS_OTHER_ASSETS_DEF_CHRG_OTHER","FQ2 2021","FQ2 2021","Currency=USD","Period=FQ","BEST_FPERIOD_OVERRIDE=FQ","FILING_STATUS=MR","SCALING_FORMAT=MLN","Sort=A","Dates=H","DateFormat=P","Fill=—","Direction=H","UseDPDF=Y")</f>
        <v>99.192999999999998</v>
      </c>
      <c r="N29" s="13">
        <f>_xll.BDH("BLUE US Equity","BS_OTHER_ASSETS_DEF_CHRG_OTHER","FQ3 2021","FQ3 2021","Currency=USD","Period=FQ","BEST_FPERIOD_OVERRIDE=FQ","FILING_STATUS=MR","SCALING_FORMAT=MLN","Sort=A","Dates=H","DateFormat=P","Fill=—","Direction=H","UseDPDF=Y")</f>
        <v>94.01</v>
      </c>
      <c r="O29" s="13">
        <f>_xll.BDH("BLUE US Equity","BS_OTHER_ASSETS_DEF_CHRG_OTHER","FQ4 2021","FQ4 2021","Currency=USD","Period=FQ","BEST_FPERIOD_OVERRIDE=FQ","FILING_STATUS=MR","SCALING_FORMAT=MLN","Sort=A","Dates=H","DateFormat=P","Fill=—","Direction=H","UseDPDF=Y")</f>
        <v>58.923000000000002</v>
      </c>
      <c r="P29" s="13">
        <f>_xll.BDH("BLUE US Equity","BS_OTHER_ASSETS_DEF_CHRG_OTHER","FQ1 2022","FQ1 2022","Currency=USD","Period=FQ","BEST_FPERIOD_OVERRIDE=FQ","FILING_STATUS=MR","SCALING_FORMAT=MLN","Sort=A","Dates=H","DateFormat=P","Fill=—","Direction=H","UseDPDF=Y")</f>
        <v>57.973999999999997</v>
      </c>
      <c r="Q29" s="13">
        <f>_xll.BDH("BLUE US Equity","BS_OTHER_ASSETS_DEF_CHRG_OTHER","FQ2 2022","FQ2 2022","Currency=USD","Period=FQ","BEST_FPERIOD_OVERRIDE=FQ","FILING_STATUS=MR","SCALING_FORMAT=MLN","Sort=A","Dates=H","DateFormat=P","Fill=—","Direction=H","UseDPDF=Y")</f>
        <v>58.195999999999998</v>
      </c>
      <c r="R29" s="13">
        <f>_xll.BDH("BLUE US Equity","BS_OTHER_ASSETS_DEF_CHRG_OTHER","FQ3 2022","FQ3 2022","Currency=USD","Period=FQ","BEST_FPERIOD_OVERRIDE=FQ","FILING_STATUS=MR","SCALING_FORMAT=MLN","Sort=A","Dates=H","DateFormat=P","Fill=—","Direction=H","UseDPDF=Y")</f>
        <v>58.033999999999999</v>
      </c>
      <c r="S29" s="13">
        <f>_xll.BDH("BLUE US Equity","BS_OTHER_ASSETS_DEF_CHRG_OTHER","FQ4 2022","FQ4 2022","Currency=USD","Period=FQ","BEST_FPERIOD_OVERRIDE=FQ","FILING_STATUS=MR","SCALING_FORMAT=MLN","Sort=A","Dates=H","DateFormat=P","Fill=—","Direction=H","UseDPDF=Y")</f>
        <v>66.307000000000002</v>
      </c>
      <c r="T29" s="13">
        <f>_xll.BDH("BLUE US Equity","BS_OTHER_ASSETS_DEF_CHRG_OTHER","FQ1 2023","FQ1 2023","Currency=USD","Period=FQ","BEST_FPERIOD_OVERRIDE=FQ","FILING_STATUS=MR","SCALING_FORMAT=MLN","Sort=A","Dates=H","DateFormat=P","Fill=—","Direction=H","UseDPDF=Y")</f>
        <v>62.793999999999997</v>
      </c>
      <c r="U29" s="13">
        <f>_xll.BDH("BLUE US Equity","BS_OTHER_ASSETS_DEF_CHRG_OTHER","FQ2 2023","FQ2 2023","Currency=USD","Period=FQ","BEST_FPERIOD_OVERRIDE=FQ","FILING_STATUS=MR","SCALING_FORMAT=MLN","Sort=A","Dates=H","DateFormat=P","Fill=—","Direction=H","UseDPDF=Y")</f>
        <v>62.34</v>
      </c>
      <c r="V29" s="13">
        <f>_xll.BDH("BLUE US Equity","BS_OTHER_ASSETS_DEF_CHRG_OTHER","FQ3 2023","FQ3 2023","Currency=USD","Period=FQ","BEST_FPERIOD_OVERRIDE=FQ","FILING_STATUS=MR","SCALING_FORMAT=MLN","Sort=A","Dates=H","DateFormat=P","Fill=—","Direction=H","UseDPDF=Y")</f>
        <v>61.843000000000004</v>
      </c>
      <c r="W29" s="13">
        <f>_xll.BDH("BLUE US Equity","BS_OTHER_ASSETS_DEF_CHRG_OTHER","FQ4 2023","FQ4 2023","Currency=USD","Period=FQ","BEST_FPERIOD_OVERRIDE=FQ","FILING_STATUS=MR","SCALING_FORMAT=MLN","Sort=A","Dates=H","DateFormat=P","Fill=—","Direction=H","UseDPDF=Y")</f>
        <v>70.427000000000007</v>
      </c>
      <c r="X29" s="13">
        <f>_xll.BDH("BLUE US Equity","BS_OTHER_ASSETS_DEF_CHRG_OTHER","FQ1 2024","FQ1 2024","Currency=USD","Period=FQ","BEST_FPERIOD_OVERRIDE=FQ","FILING_STATUS=MR","SCALING_FORMAT=MLN","Sort=A","Dates=H","DateFormat=P","Fill=—","Direction=H","UseDPDF=Y")</f>
        <v>74.307000000000002</v>
      </c>
      <c r="Y29" s="13">
        <f>_xll.BDH("BLUE US Equity","BS_OTHER_ASSETS_DEF_CHRG_OTHER","FQ2 2024","FQ2 2024","Currency=USD","Period=FQ","BEST_FPERIOD_OVERRIDE=FQ","FILING_STATUS=MR","SCALING_FORMAT=MLN","Sort=A","Dates=H","DateFormat=P","Fill=—","Direction=H","UseDPDF=Y")</f>
        <v>73.715000000000003</v>
      </c>
      <c r="Z29" s="13">
        <f>_xll.BDH("BLUE US Equity","BS_OTHER_ASSETS_DEF_CHRG_OTHER","FQ3 2024","FQ3 2024","Currency=USD","Period=FQ","BEST_FPERIOD_OVERRIDE=FQ","FILING_STATUS=MR","SCALING_FORMAT=MLN","Sort=A","Dates=H","DateFormat=P","Fill=—","Direction=H","UseDPDF=Y")</f>
        <v>68.554000000000002</v>
      </c>
      <c r="AA29" s="13">
        <f>_xll.BDH("BLUE US Equity","BS_OTHER_ASSETS_DEF_CHRG_OTHER","FQ4 2024","FQ4 2024","Currency=USD","Period=FQ","BEST_FPERIOD_OVERRIDE=FQ","FILING_STATUS=MR","SCALING_FORMAT=MLN","Sort=A","Dates=H","DateFormat=P","Fill=—","Direction=H","UseDPDF=Y")</f>
        <v>67.832999999999998</v>
      </c>
    </row>
    <row r="30" spans="1:27" x14ac:dyDescent="0.25">
      <c r="A30" s="10" t="s">
        <v>637</v>
      </c>
      <c r="B30" s="10" t="s">
        <v>638</v>
      </c>
      <c r="C30" s="13">
        <f>_xll.BDH("BLUE US Equity","BS_DISCLOSED_INTANGIBLES","FQ4 2018","FQ4 2018","Currency=USD","Period=FQ","BEST_FPERIOD_OVERRIDE=FQ","FILING_STATUS=MR","SCALING_FORMAT=MLN","Sort=A","Dates=H","DateFormat=P","Fill=—","Direction=H","UseDPDF=Y")</f>
        <v>26.297000000000001</v>
      </c>
      <c r="D30" s="13">
        <f>_xll.BDH("BLUE US Equity","BS_DISCLOSED_INTANGIBLES","FQ1 2019","FQ1 2019","Currency=USD","Period=FQ","BEST_FPERIOD_OVERRIDE=FQ","FILING_STATUS=MR","SCALING_FORMAT=MLN","Sort=A","Dates=H","DateFormat=P","Fill=—","Direction=H","UseDPDF=Y")</f>
        <v>25.356000000000002</v>
      </c>
      <c r="E30" s="13">
        <f>_xll.BDH("BLUE US Equity","BS_DISCLOSED_INTANGIBLES","FQ2 2019","FQ2 2019","Currency=USD","Period=FQ","BEST_FPERIOD_OVERRIDE=FQ","FILING_STATUS=MR","SCALING_FORMAT=MLN","Sort=A","Dates=H","DateFormat=P","Fill=—","Direction=H","UseDPDF=Y")</f>
        <v>29.608000000000001</v>
      </c>
      <c r="F30" s="13">
        <f>_xll.BDH("BLUE US Equity","BS_DISCLOSED_INTANGIBLES","FQ3 2019","FQ3 2019","Currency=USD","Period=FQ","BEST_FPERIOD_OVERRIDE=FQ","FILING_STATUS=MR","SCALING_FORMAT=MLN","Sort=A","Dates=H","DateFormat=P","Fill=—","Direction=H","UseDPDF=Y")</f>
        <v>28.524999999999999</v>
      </c>
      <c r="G30" s="13">
        <f>_xll.BDH("BLUE US Equity","BS_DISCLOSED_INTANGIBLES","FQ4 2019","FQ4 2019","Currency=USD","Period=FQ","BEST_FPERIOD_OVERRIDE=FQ","FILING_STATUS=MR","SCALING_FORMAT=MLN","Sort=A","Dates=H","DateFormat=P","Fill=—","Direction=H","UseDPDF=Y")</f>
        <v>27.454000000000001</v>
      </c>
      <c r="H30" s="13">
        <f>_xll.BDH("BLUE US Equity","BS_DISCLOSED_INTANGIBLES","FQ1 2020","FQ1 2020","Currency=USD","Period=FQ","BEST_FPERIOD_OVERRIDE=FQ","FILING_STATUS=MR","SCALING_FORMAT=MLN","Sort=A","Dates=H","DateFormat=P","Fill=—","Direction=H","UseDPDF=Y")</f>
        <v>26.382000000000001</v>
      </c>
      <c r="I30" s="13">
        <f>_xll.BDH("BLUE US Equity","BS_DISCLOSED_INTANGIBLES","FQ2 2020","FQ2 2020","Currency=USD","Period=FQ","BEST_FPERIOD_OVERRIDE=FQ","FILING_STATUS=MR","SCALING_FORMAT=MLN","Sort=A","Dates=H","DateFormat=P","Fill=—","Direction=H","UseDPDF=Y")</f>
        <v>25.311</v>
      </c>
      <c r="J30" s="13">
        <f>_xll.BDH("BLUE US Equity","BS_DISCLOSED_INTANGIBLES","FQ3 2020","FQ3 2020","Currency=USD","Period=FQ","BEST_FPERIOD_OVERRIDE=FQ","FILING_STATUS=MR","SCALING_FORMAT=MLN","Sort=A","Dates=H","DateFormat=P","Fill=—","Direction=H","UseDPDF=Y")</f>
        <v>24.24</v>
      </c>
      <c r="K30" s="13">
        <f>_xll.BDH("BLUE US Equity","BS_DISCLOSED_INTANGIBLES","FQ4 2020","FQ4 2020","Currency=USD","Period=FQ","BEST_FPERIOD_OVERRIDE=FQ","FILING_STATUS=MR","SCALING_FORMAT=MLN","Sort=A","Dates=H","DateFormat=P","Fill=—","Direction=H","UseDPDF=Y")</f>
        <v>10.042999999999999</v>
      </c>
      <c r="L30" s="13">
        <f>_xll.BDH("BLUE US Equity","BS_DISCLOSED_INTANGIBLES","FQ1 2021","FQ1 2021","Currency=USD","Period=FQ","BEST_FPERIOD_OVERRIDE=FQ","FILING_STATUS=MR","SCALING_FORMAT=MLN","Sort=A","Dates=H","DateFormat=P","Fill=—","Direction=H","UseDPDF=Y")</f>
        <v>24.597000000000001</v>
      </c>
      <c r="M30" s="13">
        <f>_xll.BDH("BLUE US Equity","BS_DISCLOSED_INTANGIBLES","FQ2 2021","FQ2 2021","Currency=USD","Period=FQ","BEST_FPERIOD_OVERRIDE=FQ","FILING_STATUS=MR","SCALING_FORMAT=MLN","Sort=A","Dates=H","DateFormat=P","Fill=—","Direction=H","UseDPDF=Y")</f>
        <v>29.390999999999998</v>
      </c>
      <c r="N30" s="13">
        <f>_xll.BDH("BLUE US Equity","BS_DISCLOSED_INTANGIBLES","FQ3 2021","FQ3 2021","Currency=USD","Period=FQ","BEST_FPERIOD_OVERRIDE=FQ","FILING_STATUS=MR","SCALING_FORMAT=MLN","Sort=A","Dates=H","DateFormat=P","Fill=—","Direction=H","UseDPDF=Y")</f>
        <v>23.065000000000001</v>
      </c>
      <c r="O30" s="13">
        <f>_xll.BDH("BLUE US Equity","BS_DISCLOSED_INTANGIBLES","FQ4 2021","FQ4 2021","Currency=USD","Period=FQ","BEST_FPERIOD_OVERRIDE=FQ","FILING_STATUS=MR","SCALING_FORMAT=MLN","Sort=A","Dates=H","DateFormat=P","Fill=—","Direction=H","UseDPDF=Y")</f>
        <v>5.6459999999999999</v>
      </c>
      <c r="P30" s="13">
        <f>_xll.BDH("BLUE US Equity","BS_DISCLOSED_INTANGIBLES","FQ1 2022","FQ1 2022","Currency=USD","Period=FQ","BEST_FPERIOD_OVERRIDE=FQ","FILING_STATUS=MR","SCALING_FORMAT=MLN","Sort=A","Dates=H","DateFormat=P","Fill=—","Direction=H","UseDPDF=Y")</f>
        <v>5.6459999999999999</v>
      </c>
      <c r="Q30" s="13">
        <f>_xll.BDH("BLUE US Equity","BS_DISCLOSED_INTANGIBLES","FQ2 2022","FQ2 2022","Currency=USD","Period=FQ","BEST_FPERIOD_OVERRIDE=FQ","FILING_STATUS=MR","SCALING_FORMAT=MLN","Sort=A","Dates=H","DateFormat=P","Fill=—","Direction=H","UseDPDF=Y")</f>
        <v>5.6459999999999999</v>
      </c>
      <c r="R30" s="13">
        <f>_xll.BDH("BLUE US Equity","BS_DISCLOSED_INTANGIBLES","FQ3 2022","FQ3 2022","Currency=USD","Period=FQ","BEST_FPERIOD_OVERRIDE=FQ","FILING_STATUS=MR","SCALING_FORMAT=MLN","Sort=A","Dates=H","DateFormat=P","Fill=—","Direction=H","UseDPDF=Y")</f>
        <v>5.6459999999999999</v>
      </c>
      <c r="S30" s="13">
        <f>_xll.BDH("BLUE US Equity","BS_DISCLOSED_INTANGIBLES","FQ4 2022","FQ4 2022","Currency=USD","Period=FQ","BEST_FPERIOD_OVERRIDE=FQ","FILING_STATUS=MR","SCALING_FORMAT=MLN","Sort=A","Dates=H","DateFormat=P","Fill=—","Direction=H","UseDPDF=Y")</f>
        <v>10.513999999999999</v>
      </c>
      <c r="T30" s="13">
        <f>_xll.BDH("BLUE US Equity","BS_DISCLOSED_INTANGIBLES","FQ1 2023","FQ1 2023","Currency=USD","Period=FQ","BEST_FPERIOD_OVERRIDE=FQ","FILING_STATUS=MR","SCALING_FORMAT=MLN","Sort=A","Dates=H","DateFormat=P","Fill=—","Direction=H","UseDPDF=Y")</f>
        <v>11.259</v>
      </c>
      <c r="U30" s="13">
        <f>_xll.BDH("BLUE US Equity","BS_DISCLOSED_INTANGIBLES","FQ2 2023","FQ2 2023","Currency=USD","Period=FQ","BEST_FPERIOD_OVERRIDE=FQ","FILING_STATUS=MR","SCALING_FORMAT=MLN","Sort=A","Dates=H","DateFormat=P","Fill=—","Direction=H","UseDPDF=Y")</f>
        <v>11.135999999999999</v>
      </c>
      <c r="V30" s="13">
        <f>_xll.BDH("BLUE US Equity","BS_DISCLOSED_INTANGIBLES","FQ3 2023","FQ3 2023","Currency=USD","Period=FQ","BEST_FPERIOD_OVERRIDE=FQ","FILING_STATUS=MR","SCALING_FORMAT=MLN","Sort=A","Dates=H","DateFormat=P","Fill=—","Direction=H","UseDPDF=Y")</f>
        <v>11.013999999999999</v>
      </c>
      <c r="W30" s="13">
        <f>_xll.BDH("BLUE US Equity","BS_DISCLOSED_INTANGIBLES","FQ4 2023","FQ4 2023","Currency=USD","Period=FQ","BEST_FPERIOD_OVERRIDE=FQ","FILING_STATUS=MR","SCALING_FORMAT=MLN","Sort=A","Dates=H","DateFormat=P","Fill=—","Direction=H","UseDPDF=Y")</f>
        <v>16.084</v>
      </c>
      <c r="X30" s="13">
        <f>_xll.BDH("BLUE US Equity","BS_DISCLOSED_INTANGIBLES","FQ1 2024","FQ1 2024","Currency=USD","Period=FQ","BEST_FPERIOD_OVERRIDE=FQ","FILING_STATUS=MR","SCALING_FORMAT=MLN","Sort=A","Dates=H","DateFormat=P","Fill=—","Direction=H","UseDPDF=Y")</f>
        <v>15.89</v>
      </c>
      <c r="Y30" s="13">
        <f>_xll.BDH("BLUE US Equity","BS_DISCLOSED_INTANGIBLES","FQ2 2024","FQ2 2024","Currency=USD","Period=FQ","BEST_FPERIOD_OVERRIDE=FQ","FILING_STATUS=MR","SCALING_FORMAT=MLN","Sort=A","Dates=H","DateFormat=P","Fill=—","Direction=H","UseDPDF=Y")</f>
        <v>15.657999999999999</v>
      </c>
      <c r="Z30" s="13">
        <f>_xll.BDH("BLUE US Equity","BS_DISCLOSED_INTANGIBLES","FQ3 2024","FQ3 2024","Currency=USD","Period=FQ","BEST_FPERIOD_OVERRIDE=FQ","FILING_STATUS=MR","SCALING_FORMAT=MLN","Sort=A","Dates=H","DateFormat=P","Fill=—","Direction=H","UseDPDF=Y")</f>
        <v>15.426</v>
      </c>
      <c r="AA30" s="13">
        <f>_xll.BDH("BLUE US Equity","BS_DISCLOSED_INTANGIBLES","FQ4 2024","FQ4 2024","Currency=USD","Period=FQ","BEST_FPERIOD_OVERRIDE=FQ","FILING_STATUS=MR","SCALING_FORMAT=MLN","Sort=A","Dates=H","DateFormat=P","Fill=—","Direction=H","UseDPDF=Y")</f>
        <v>15.193</v>
      </c>
    </row>
    <row r="31" spans="1:27" x14ac:dyDescent="0.25">
      <c r="A31" s="11" t="s">
        <v>639</v>
      </c>
      <c r="B31" s="11" t="s">
        <v>640</v>
      </c>
      <c r="C31" s="25">
        <f>_xll.BDH("BLUE US Equity","BS_GOODWILL","FQ4 2018","FQ4 2018","Currency=USD","Period=FQ","BEST_FPERIOD_OVERRIDE=FQ","FILING_STATUS=MR","SCALING_FORMAT=MLN","Sort=A","Dates=H","DateFormat=P","Fill=—","Direction=H","UseDPDF=Y")</f>
        <v>13.128</v>
      </c>
      <c r="D31" s="25">
        <f>_xll.BDH("BLUE US Equity","BS_GOODWILL","FQ1 2019","FQ1 2019","Currency=USD","Period=FQ","BEST_FPERIOD_OVERRIDE=FQ","FILING_STATUS=MR","SCALING_FORMAT=MLN","Sort=A","Dates=H","DateFormat=P","Fill=—","Direction=H","UseDPDF=Y")</f>
        <v>13.128</v>
      </c>
      <c r="E31" s="25">
        <f>_xll.BDH("BLUE US Equity","BS_GOODWILL","FQ2 2019","FQ2 2019","Currency=USD","Period=FQ","BEST_FPERIOD_OVERRIDE=FQ","FILING_STATUS=MR","SCALING_FORMAT=MLN","Sort=A","Dates=H","DateFormat=P","Fill=—","Direction=H","UseDPDF=Y")</f>
        <v>13.128</v>
      </c>
      <c r="F31" s="25">
        <f>_xll.BDH("BLUE US Equity","BS_GOODWILL","FQ3 2019","FQ3 2019","Currency=USD","Period=FQ","BEST_FPERIOD_OVERRIDE=FQ","FILING_STATUS=MR","SCALING_FORMAT=MLN","Sort=A","Dates=H","DateFormat=P","Fill=—","Direction=H","UseDPDF=Y")</f>
        <v>13.128</v>
      </c>
      <c r="G31" s="25">
        <f>_xll.BDH("BLUE US Equity","BS_GOODWILL","FQ4 2019","FQ4 2019","Currency=USD","Period=FQ","BEST_FPERIOD_OVERRIDE=FQ","FILING_STATUS=MR","SCALING_FORMAT=MLN","Sort=A","Dates=H","DateFormat=P","Fill=—","Direction=H","UseDPDF=Y")</f>
        <v>13.128</v>
      </c>
      <c r="H31" s="25">
        <f>_xll.BDH("BLUE US Equity","BS_GOODWILL","FQ1 2020","FQ1 2020","Currency=USD","Period=FQ","BEST_FPERIOD_OVERRIDE=FQ","FILING_STATUS=MR","SCALING_FORMAT=MLN","Sort=A","Dates=H","DateFormat=P","Fill=—","Direction=H","UseDPDF=Y")</f>
        <v>13.128</v>
      </c>
      <c r="I31" s="25">
        <f>_xll.BDH("BLUE US Equity","BS_GOODWILL","FQ2 2020","FQ2 2020","Currency=USD","Period=FQ","BEST_FPERIOD_OVERRIDE=FQ","FILING_STATUS=MR","SCALING_FORMAT=MLN","Sort=A","Dates=H","DateFormat=P","Fill=—","Direction=H","UseDPDF=Y")</f>
        <v>13.128</v>
      </c>
      <c r="J31" s="25">
        <f>_xll.BDH("BLUE US Equity","BS_GOODWILL","FQ3 2020","FQ3 2020","Currency=USD","Period=FQ","BEST_FPERIOD_OVERRIDE=FQ","FILING_STATUS=MR","SCALING_FORMAT=MLN","Sort=A","Dates=H","DateFormat=P","Fill=—","Direction=H","UseDPDF=Y")</f>
        <v>13.128</v>
      </c>
      <c r="K31" s="25">
        <f>_xll.BDH("BLUE US Equity","BS_GOODWILL","FQ4 2020","FQ4 2020","Currency=USD","Period=FQ","BEST_FPERIOD_OVERRIDE=FQ","FILING_STATUS=MR","SCALING_FORMAT=MLN","Sort=A","Dates=H","DateFormat=P","Fill=—","Direction=H","UseDPDF=Y")</f>
        <v>5.6459999999999999</v>
      </c>
      <c r="L31" s="25">
        <f>_xll.BDH("BLUE US Equity","BS_GOODWILL","FQ1 2021","FQ1 2021","Currency=USD","Period=FQ","BEST_FPERIOD_OVERRIDE=FQ","FILING_STATUS=MR","SCALING_FORMAT=MLN","Sort=A","Dates=H","DateFormat=P","Fill=—","Direction=H","UseDPDF=Y")</f>
        <v>13.128</v>
      </c>
      <c r="M31" s="25">
        <f>_xll.BDH("BLUE US Equity","BS_GOODWILL","FQ2 2021","FQ2 2021","Currency=USD","Period=FQ","BEST_FPERIOD_OVERRIDE=FQ","FILING_STATUS=MR","SCALING_FORMAT=MLN","Sort=A","Dates=H","DateFormat=P","Fill=—","Direction=H","UseDPDF=Y")</f>
        <v>13.128</v>
      </c>
      <c r="N31" s="25">
        <f>_xll.BDH("BLUE US Equity","BS_GOODWILL","FQ3 2021","FQ3 2021","Currency=USD","Period=FQ","BEST_FPERIOD_OVERRIDE=FQ","FILING_STATUS=MR","SCALING_FORMAT=MLN","Sort=A","Dates=H","DateFormat=P","Fill=—","Direction=H","UseDPDF=Y")</f>
        <v>12.055999999999999</v>
      </c>
      <c r="O31" s="25">
        <f>_xll.BDH("BLUE US Equity","BS_GOODWILL","FQ4 2021","FQ4 2021","Currency=USD","Period=FQ","BEST_FPERIOD_OVERRIDE=FQ","FILING_STATUS=MR","SCALING_FORMAT=MLN","Sort=A","Dates=H","DateFormat=P","Fill=—","Direction=H","UseDPDF=Y")</f>
        <v>5.6459999999999999</v>
      </c>
      <c r="P31" s="25">
        <f>_xll.BDH("BLUE US Equity","BS_GOODWILL","FQ1 2022","FQ1 2022","Currency=USD","Period=FQ","BEST_FPERIOD_OVERRIDE=FQ","FILING_STATUS=MR","SCALING_FORMAT=MLN","Sort=A","Dates=H","DateFormat=P","Fill=—","Direction=H","UseDPDF=Y")</f>
        <v>5.6459999999999999</v>
      </c>
      <c r="Q31" s="25">
        <f>_xll.BDH("BLUE US Equity","BS_GOODWILL","FQ2 2022","FQ2 2022","Currency=USD","Period=FQ","BEST_FPERIOD_OVERRIDE=FQ","FILING_STATUS=MR","SCALING_FORMAT=MLN","Sort=A","Dates=H","DateFormat=P","Fill=—","Direction=H","UseDPDF=Y")</f>
        <v>5.6459999999999999</v>
      </c>
      <c r="R31" s="25">
        <f>_xll.BDH("BLUE US Equity","BS_GOODWILL","FQ3 2022","FQ3 2022","Currency=USD","Period=FQ","BEST_FPERIOD_OVERRIDE=FQ","FILING_STATUS=MR","SCALING_FORMAT=MLN","Sort=A","Dates=H","DateFormat=P","Fill=—","Direction=H","UseDPDF=Y")</f>
        <v>5.6459999999999999</v>
      </c>
      <c r="S31" s="25">
        <f>_xll.BDH("BLUE US Equity","BS_GOODWILL","FQ4 2022","FQ4 2022","Currency=USD","Period=FQ","BEST_FPERIOD_OVERRIDE=FQ","FILING_STATUS=MR","SCALING_FORMAT=MLN","Sort=A","Dates=H","DateFormat=P","Fill=—","Direction=H","UseDPDF=Y")</f>
        <v>5.6459999999999999</v>
      </c>
      <c r="T31" s="25">
        <f>_xll.BDH("BLUE US Equity","BS_GOODWILL","FQ1 2023","FQ1 2023","Currency=USD","Period=FQ","BEST_FPERIOD_OVERRIDE=FQ","FILING_STATUS=MR","SCALING_FORMAT=MLN","Sort=A","Dates=H","DateFormat=P","Fill=—","Direction=H","UseDPDF=Y")</f>
        <v>5.6459999999999999</v>
      </c>
      <c r="U31" s="25">
        <f>_xll.BDH("BLUE US Equity","BS_GOODWILL","FQ2 2023","FQ2 2023","Currency=USD","Period=FQ","BEST_FPERIOD_OVERRIDE=FQ","FILING_STATUS=MR","SCALING_FORMAT=MLN","Sort=A","Dates=H","DateFormat=P","Fill=—","Direction=H","UseDPDF=Y")</f>
        <v>5.6459999999999999</v>
      </c>
      <c r="V31" s="25">
        <f>_xll.BDH("BLUE US Equity","BS_GOODWILL","FQ3 2023","FQ3 2023","Currency=USD","Period=FQ","BEST_FPERIOD_OVERRIDE=FQ","FILING_STATUS=MR","SCALING_FORMAT=MLN","Sort=A","Dates=H","DateFormat=P","Fill=—","Direction=H","UseDPDF=Y")</f>
        <v>5.6459999999999999</v>
      </c>
      <c r="W31" s="25">
        <f>_xll.BDH("BLUE US Equity","BS_GOODWILL","FQ4 2023","FQ4 2023","Currency=USD","Period=FQ","BEST_FPERIOD_OVERRIDE=FQ","FILING_STATUS=MR","SCALING_FORMAT=MLN","Sort=A","Dates=H","DateFormat=P","Fill=—","Direction=H","UseDPDF=Y")</f>
        <v>5.6459999999999999</v>
      </c>
      <c r="X31" s="25">
        <f>_xll.BDH("BLUE US Equity","BS_GOODWILL","FQ1 2024","FQ1 2024","Currency=USD","Period=FQ","BEST_FPERIOD_OVERRIDE=FQ","FILING_STATUS=MR","SCALING_FORMAT=MLN","Sort=A","Dates=H","DateFormat=P","Fill=—","Direction=H","UseDPDF=Y")</f>
        <v>5.6459999999999999</v>
      </c>
      <c r="Y31" s="25">
        <f>_xll.BDH("BLUE US Equity","BS_GOODWILL","FQ2 2024","FQ2 2024","Currency=USD","Period=FQ","BEST_FPERIOD_OVERRIDE=FQ","FILING_STATUS=MR","SCALING_FORMAT=MLN","Sort=A","Dates=H","DateFormat=P","Fill=—","Direction=H","UseDPDF=Y")</f>
        <v>5.6459999999999999</v>
      </c>
      <c r="Z31" s="25">
        <f>_xll.BDH("BLUE US Equity","BS_GOODWILL","FQ3 2024","FQ3 2024","Currency=USD","Period=FQ","BEST_FPERIOD_OVERRIDE=FQ","FILING_STATUS=MR","SCALING_FORMAT=MLN","Sort=A","Dates=H","DateFormat=P","Fill=—","Direction=H","UseDPDF=Y")</f>
        <v>5.6459999999999999</v>
      </c>
      <c r="AA31" s="25">
        <f>_xll.BDH("BLUE US Equity","BS_GOODWILL","FQ4 2024","FQ4 2024","Currency=USD","Period=FQ","BEST_FPERIOD_OVERRIDE=FQ","FILING_STATUS=MR","SCALING_FORMAT=MLN","Sort=A","Dates=H","DateFormat=P","Fill=—","Direction=H","UseDPDF=Y")</f>
        <v>5.6459999999999999</v>
      </c>
    </row>
    <row r="32" spans="1:27" x14ac:dyDescent="0.25">
      <c r="A32" s="11" t="s">
        <v>641</v>
      </c>
      <c r="B32" s="11" t="s">
        <v>642</v>
      </c>
      <c r="C32" s="25">
        <f>_xll.BDH("BLUE US Equity","OTHER_INTANGIBLE_ASSETS_DETAILED","FQ4 2018","FQ4 2018","Currency=USD","Period=FQ","BEST_FPERIOD_OVERRIDE=FQ","FILING_STATUS=MR","SCALING_FORMAT=MLN","Sort=A","Dates=H","DateFormat=P","Fill=—","Direction=H","UseDPDF=Y")</f>
        <v>13.169</v>
      </c>
      <c r="D32" s="25">
        <f>_xll.BDH("BLUE US Equity","OTHER_INTANGIBLE_ASSETS_DETAILED","FQ1 2019","FQ1 2019","Currency=USD","Period=FQ","BEST_FPERIOD_OVERRIDE=FQ","FILING_STATUS=MR","SCALING_FORMAT=MLN","Sort=A","Dates=H","DateFormat=P","Fill=—","Direction=H","UseDPDF=Y")</f>
        <v>12.228</v>
      </c>
      <c r="E32" s="25">
        <f>_xll.BDH("BLUE US Equity","OTHER_INTANGIBLE_ASSETS_DETAILED","FQ2 2019","FQ2 2019","Currency=USD","Period=FQ","BEST_FPERIOD_OVERRIDE=FQ","FILING_STATUS=MR","SCALING_FORMAT=MLN","Sort=A","Dates=H","DateFormat=P","Fill=—","Direction=H","UseDPDF=Y")</f>
        <v>16.48</v>
      </c>
      <c r="F32" s="25">
        <f>_xll.BDH("BLUE US Equity","OTHER_INTANGIBLE_ASSETS_DETAILED","FQ3 2019","FQ3 2019","Currency=USD","Period=FQ","BEST_FPERIOD_OVERRIDE=FQ","FILING_STATUS=MR","SCALING_FORMAT=MLN","Sort=A","Dates=H","DateFormat=P","Fill=—","Direction=H","UseDPDF=Y")</f>
        <v>15.397</v>
      </c>
      <c r="G32" s="25">
        <f>_xll.BDH("BLUE US Equity","OTHER_INTANGIBLE_ASSETS_DETAILED","FQ4 2019","FQ4 2019","Currency=USD","Period=FQ","BEST_FPERIOD_OVERRIDE=FQ","FILING_STATUS=MR","SCALING_FORMAT=MLN","Sort=A","Dates=H","DateFormat=P","Fill=—","Direction=H","UseDPDF=Y")</f>
        <v>14.326000000000001</v>
      </c>
      <c r="H32" s="25">
        <f>_xll.BDH("BLUE US Equity","OTHER_INTANGIBLE_ASSETS_DETAILED","FQ1 2020","FQ1 2020","Currency=USD","Period=FQ","BEST_FPERIOD_OVERRIDE=FQ","FILING_STATUS=MR","SCALING_FORMAT=MLN","Sort=A","Dates=H","DateFormat=P","Fill=—","Direction=H","UseDPDF=Y")</f>
        <v>13.254</v>
      </c>
      <c r="I32" s="25">
        <f>_xll.BDH("BLUE US Equity","OTHER_INTANGIBLE_ASSETS_DETAILED","FQ2 2020","FQ2 2020","Currency=USD","Period=FQ","BEST_FPERIOD_OVERRIDE=FQ","FILING_STATUS=MR","SCALING_FORMAT=MLN","Sort=A","Dates=H","DateFormat=P","Fill=—","Direction=H","UseDPDF=Y")</f>
        <v>12.183</v>
      </c>
      <c r="J32" s="25">
        <f>_xll.BDH("BLUE US Equity","OTHER_INTANGIBLE_ASSETS_DETAILED","FQ3 2020","FQ3 2020","Currency=USD","Period=FQ","BEST_FPERIOD_OVERRIDE=FQ","FILING_STATUS=MR","SCALING_FORMAT=MLN","Sort=A","Dates=H","DateFormat=P","Fill=—","Direction=H","UseDPDF=Y")</f>
        <v>11.112</v>
      </c>
      <c r="K32" s="25">
        <f>_xll.BDH("BLUE US Equity","OTHER_INTANGIBLE_ASSETS_DETAILED","FQ4 2020","FQ4 2020","Currency=USD","Period=FQ","BEST_FPERIOD_OVERRIDE=FQ","FILING_STATUS=MR","SCALING_FORMAT=MLN","Sort=A","Dates=H","DateFormat=P","Fill=—","Direction=H","UseDPDF=Y")</f>
        <v>4.3970000000000002</v>
      </c>
      <c r="L32" s="25">
        <f>_xll.BDH("BLUE US Equity","OTHER_INTANGIBLE_ASSETS_DETAILED","FQ1 2021","FQ1 2021","Currency=USD","Period=FQ","BEST_FPERIOD_OVERRIDE=FQ","FILING_STATUS=MR","SCALING_FORMAT=MLN","Sort=A","Dates=H","DateFormat=P","Fill=—","Direction=H","UseDPDF=Y")</f>
        <v>11.468999999999999</v>
      </c>
      <c r="M32" s="25">
        <f>_xll.BDH("BLUE US Equity","OTHER_INTANGIBLE_ASSETS_DETAILED","FQ2 2021","FQ2 2021","Currency=USD","Period=FQ","BEST_FPERIOD_OVERRIDE=FQ","FILING_STATUS=MR","SCALING_FORMAT=MLN","Sort=A","Dates=H","DateFormat=P","Fill=—","Direction=H","UseDPDF=Y")</f>
        <v>16.263000000000002</v>
      </c>
      <c r="N32" s="25">
        <f>_xll.BDH("BLUE US Equity","OTHER_INTANGIBLE_ASSETS_DETAILED","FQ3 2021","FQ3 2021","Currency=USD","Period=FQ","BEST_FPERIOD_OVERRIDE=FQ","FILING_STATUS=MR","SCALING_FORMAT=MLN","Sort=A","Dates=H","DateFormat=P","Fill=—","Direction=H","UseDPDF=Y")</f>
        <v>11.009</v>
      </c>
      <c r="O32" s="25">
        <f>_xll.BDH("BLUE US Equity","OTHER_INTANGIBLE_ASSETS_DETAILED","FQ4 2021","FQ4 2021","Currency=USD","Period=FQ","BEST_FPERIOD_OVERRIDE=FQ","FILING_STATUS=MR","SCALING_FORMAT=MLN","Sort=A","Dates=H","DateFormat=P","Fill=—","Direction=H","UseDPDF=Y")</f>
        <v>0</v>
      </c>
      <c r="P32" s="25">
        <f>_xll.BDH("BLUE US Equity","OTHER_INTANGIBLE_ASSETS_DETAILED","FQ1 2022","FQ1 2022","Currency=USD","Period=FQ","BEST_FPERIOD_OVERRIDE=FQ","FILING_STATUS=MR","SCALING_FORMAT=MLN","Sort=A","Dates=H","DateFormat=P","Fill=—","Direction=H","UseDPDF=Y")</f>
        <v>0</v>
      </c>
      <c r="Q32" s="25">
        <f>_xll.BDH("BLUE US Equity","OTHER_INTANGIBLE_ASSETS_DETAILED","FQ2 2022","FQ2 2022","Currency=USD","Period=FQ","BEST_FPERIOD_OVERRIDE=FQ","FILING_STATUS=MR","SCALING_FORMAT=MLN","Sort=A","Dates=H","DateFormat=P","Fill=—","Direction=H","UseDPDF=Y")</f>
        <v>0</v>
      </c>
      <c r="R32" s="25">
        <f>_xll.BDH("BLUE US Equity","OTHER_INTANGIBLE_ASSETS_DETAILED","FQ3 2022","FQ3 2022","Currency=USD","Period=FQ","BEST_FPERIOD_OVERRIDE=FQ","FILING_STATUS=MR","SCALING_FORMAT=MLN","Sort=A","Dates=H","DateFormat=P","Fill=—","Direction=H","UseDPDF=Y")</f>
        <v>0</v>
      </c>
      <c r="S32" s="25">
        <f>_xll.BDH("BLUE US Equity","OTHER_INTANGIBLE_ASSETS_DETAILED","FQ4 2022","FQ4 2022","Currency=USD","Period=FQ","BEST_FPERIOD_OVERRIDE=FQ","FILING_STATUS=MR","SCALING_FORMAT=MLN","Sort=A","Dates=H","DateFormat=P","Fill=—","Direction=H","UseDPDF=Y")</f>
        <v>4.8680000000000003</v>
      </c>
      <c r="T32" s="25">
        <f>_xll.BDH("BLUE US Equity","OTHER_INTANGIBLE_ASSETS_DETAILED","FQ1 2023","FQ1 2023","Currency=USD","Period=FQ","BEST_FPERIOD_OVERRIDE=FQ","FILING_STATUS=MR","SCALING_FORMAT=MLN","Sort=A","Dates=H","DateFormat=P","Fill=—","Direction=H","UseDPDF=Y")</f>
        <v>5.6130000000000004</v>
      </c>
      <c r="U32" s="25">
        <f>_xll.BDH("BLUE US Equity","OTHER_INTANGIBLE_ASSETS_DETAILED","FQ2 2023","FQ2 2023","Currency=USD","Period=FQ","BEST_FPERIOD_OVERRIDE=FQ","FILING_STATUS=MR","SCALING_FORMAT=MLN","Sort=A","Dates=H","DateFormat=P","Fill=—","Direction=H","UseDPDF=Y")</f>
        <v>5.49</v>
      </c>
      <c r="V32" s="25">
        <f>_xll.BDH("BLUE US Equity","OTHER_INTANGIBLE_ASSETS_DETAILED","FQ3 2023","FQ3 2023","Currency=USD","Period=FQ","BEST_FPERIOD_OVERRIDE=FQ","FILING_STATUS=MR","SCALING_FORMAT=MLN","Sort=A","Dates=H","DateFormat=P","Fill=—","Direction=H","UseDPDF=Y")</f>
        <v>5.3680000000000003</v>
      </c>
      <c r="W32" s="25">
        <f>_xll.BDH("BLUE US Equity","OTHER_INTANGIBLE_ASSETS_DETAILED","FQ4 2023","FQ4 2023","Currency=USD","Period=FQ","BEST_FPERIOD_OVERRIDE=FQ","FILING_STATUS=MR","SCALING_FORMAT=MLN","Sort=A","Dates=H","DateFormat=P","Fill=—","Direction=H","UseDPDF=Y")</f>
        <v>10.438000000000001</v>
      </c>
      <c r="X32" s="25">
        <f>_xll.BDH("BLUE US Equity","OTHER_INTANGIBLE_ASSETS_DETAILED","FQ1 2024","FQ1 2024","Currency=USD","Period=FQ","BEST_FPERIOD_OVERRIDE=FQ","FILING_STATUS=MR","SCALING_FORMAT=MLN","Sort=A","Dates=H","DateFormat=P","Fill=—","Direction=H","UseDPDF=Y")</f>
        <v>10.244</v>
      </c>
      <c r="Y32" s="25">
        <f>_xll.BDH("BLUE US Equity","OTHER_INTANGIBLE_ASSETS_DETAILED","FQ2 2024","FQ2 2024","Currency=USD","Period=FQ","BEST_FPERIOD_OVERRIDE=FQ","FILING_STATUS=MR","SCALING_FORMAT=MLN","Sort=A","Dates=H","DateFormat=P","Fill=—","Direction=H","UseDPDF=Y")</f>
        <v>10.012</v>
      </c>
      <c r="Z32" s="25">
        <f>_xll.BDH("BLUE US Equity","OTHER_INTANGIBLE_ASSETS_DETAILED","FQ3 2024","FQ3 2024","Currency=USD","Period=FQ","BEST_FPERIOD_OVERRIDE=FQ","FILING_STATUS=MR","SCALING_FORMAT=MLN","Sort=A","Dates=H","DateFormat=P","Fill=—","Direction=H","UseDPDF=Y")</f>
        <v>9.7799999999999994</v>
      </c>
      <c r="AA32" s="25">
        <f>_xll.BDH("BLUE US Equity","OTHER_INTANGIBLE_ASSETS_DETAILED","FQ4 2024","FQ4 2024","Currency=USD","Period=FQ","BEST_FPERIOD_OVERRIDE=FQ","FILING_STATUS=MR","SCALING_FORMAT=MLN","Sort=A","Dates=H","DateFormat=P","Fill=—","Direction=H","UseDPDF=Y")</f>
        <v>9.5470000000000006</v>
      </c>
    </row>
    <row r="33" spans="1:27" x14ac:dyDescent="0.25">
      <c r="A33" s="10" t="s">
        <v>620</v>
      </c>
      <c r="B33" s="10" t="s">
        <v>643</v>
      </c>
      <c r="C33" s="13">
        <f>_xll.BDH("BLUE US Equity","BS_DERIV_HEDGING_ASST_LT","FQ4 2018","FQ4 2018","Currency=USD","Period=FQ","BEST_FPERIOD_OVERRIDE=FQ","FILING_STATUS=MR","SCALING_FORMAT=MLN","Sort=A","Dates=H","DateFormat=P","Fill=—","Direction=H","UseDPDF=Y")</f>
        <v>0</v>
      </c>
      <c r="D33" s="13" t="str">
        <f>_xll.BDH("BLUE US Equity","BS_DERIV_HEDGING_ASST_LT","FQ1 2019","FQ1 2019","Currency=USD","Period=FQ","BEST_FPERIOD_OVERRIDE=FQ","FILING_STATUS=MR","SCALING_FORMAT=MLN","Sort=A","Dates=H","DateFormat=P","Fill=—","Direction=H","UseDPDF=Y")</f>
        <v>—</v>
      </c>
      <c r="E33" s="13" t="str">
        <f>_xll.BDH("BLUE US Equity","BS_DERIV_HEDGING_ASST_LT","FQ2 2019","FQ2 2019","Currency=USD","Period=FQ","BEST_FPERIOD_OVERRIDE=FQ","FILING_STATUS=MR","SCALING_FORMAT=MLN","Sort=A","Dates=H","DateFormat=P","Fill=—","Direction=H","UseDPDF=Y")</f>
        <v>—</v>
      </c>
      <c r="F33" s="13" t="str">
        <f>_xll.BDH("BLUE US Equity","BS_DERIV_HEDGING_ASST_LT","FQ3 2019","FQ3 2019","Currency=USD","Period=FQ","BEST_FPERIOD_OVERRIDE=FQ","FILING_STATUS=MR","SCALING_FORMAT=MLN","Sort=A","Dates=H","DateFormat=P","Fill=—","Direction=H","UseDPDF=Y")</f>
        <v>—</v>
      </c>
      <c r="G33" s="13">
        <f>_xll.BDH("BLUE US Equity","BS_DERIV_HEDGING_ASST_LT","FQ4 2019","FQ4 2019","Currency=USD","Period=FQ","BEST_FPERIOD_OVERRIDE=FQ","FILING_STATUS=MR","SCALING_FORMAT=MLN","Sort=A","Dates=H","DateFormat=P","Fill=—","Direction=H","UseDPDF=Y")</f>
        <v>0</v>
      </c>
      <c r="H33" s="13" t="str">
        <f>_xll.BDH("BLUE US Equity","BS_DERIV_HEDGING_ASST_LT","FQ1 2020","FQ1 2020","Currency=USD","Period=FQ","BEST_FPERIOD_OVERRIDE=FQ","FILING_STATUS=MR","SCALING_FORMAT=MLN","Sort=A","Dates=H","DateFormat=P","Fill=—","Direction=H","UseDPDF=Y")</f>
        <v>—</v>
      </c>
      <c r="I33" s="13" t="str">
        <f>_xll.BDH("BLUE US Equity","BS_DERIV_HEDGING_ASST_LT","FQ2 2020","FQ2 2020","Currency=USD","Period=FQ","BEST_FPERIOD_OVERRIDE=FQ","FILING_STATUS=MR","SCALING_FORMAT=MLN","Sort=A","Dates=H","DateFormat=P","Fill=—","Direction=H","UseDPDF=Y")</f>
        <v>—</v>
      </c>
      <c r="J33" s="13" t="str">
        <f>_xll.BDH("BLUE US Equity","BS_DERIV_HEDGING_ASST_LT","FQ3 2020","FQ3 2020","Currency=USD","Period=FQ","BEST_FPERIOD_OVERRIDE=FQ","FILING_STATUS=MR","SCALING_FORMAT=MLN","Sort=A","Dates=H","DateFormat=P","Fill=—","Direction=H","UseDPDF=Y")</f>
        <v>—</v>
      </c>
      <c r="K33" s="13">
        <f>_xll.BDH("BLUE US Equity","BS_DERIV_HEDGING_ASST_LT","FQ4 2020","FQ4 2020","Currency=USD","Period=FQ","BEST_FPERIOD_OVERRIDE=FQ","FILING_STATUS=MR","SCALING_FORMAT=MLN","Sort=A","Dates=H","DateFormat=P","Fill=—","Direction=H","UseDPDF=Y")</f>
        <v>0</v>
      </c>
      <c r="L33" s="13" t="str">
        <f>_xll.BDH("BLUE US Equity","BS_DERIV_HEDGING_ASST_LT","FQ1 2021","FQ1 2021","Currency=USD","Period=FQ","BEST_FPERIOD_OVERRIDE=FQ","FILING_STATUS=MR","SCALING_FORMAT=MLN","Sort=A","Dates=H","DateFormat=P","Fill=—","Direction=H","UseDPDF=Y")</f>
        <v>—</v>
      </c>
      <c r="M33" s="13" t="str">
        <f>_xll.BDH("BLUE US Equity","BS_DERIV_HEDGING_ASST_LT","FQ2 2021","FQ2 2021","Currency=USD","Period=FQ","BEST_FPERIOD_OVERRIDE=FQ","FILING_STATUS=MR","SCALING_FORMAT=MLN","Sort=A","Dates=H","DateFormat=P","Fill=—","Direction=H","UseDPDF=Y")</f>
        <v>—</v>
      </c>
      <c r="N33" s="13" t="str">
        <f>_xll.BDH("BLUE US Equity","BS_DERIV_HEDGING_ASST_LT","FQ3 2021","FQ3 2021","Currency=USD","Period=FQ","BEST_FPERIOD_OVERRIDE=FQ","FILING_STATUS=MR","SCALING_FORMAT=MLN","Sort=A","Dates=H","DateFormat=P","Fill=—","Direction=H","UseDPDF=Y")</f>
        <v>—</v>
      </c>
      <c r="O33" s="13">
        <f>_xll.BDH("BLUE US Equity","BS_DERIV_HEDGING_ASST_LT","FQ4 2021","FQ4 2021","Currency=USD","Period=FQ","BEST_FPERIOD_OVERRIDE=FQ","FILING_STATUS=MR","SCALING_FORMAT=MLN","Sort=A","Dates=H","DateFormat=P","Fill=—","Direction=H","UseDPDF=Y")</f>
        <v>0</v>
      </c>
      <c r="P33" s="13" t="str">
        <f>_xll.BDH("BLUE US Equity","BS_DERIV_HEDGING_ASST_LT","FQ1 2022","FQ1 2022","Currency=USD","Period=FQ","BEST_FPERIOD_OVERRIDE=FQ","FILING_STATUS=MR","SCALING_FORMAT=MLN","Sort=A","Dates=H","DateFormat=P","Fill=—","Direction=H","UseDPDF=Y")</f>
        <v>—</v>
      </c>
      <c r="Q33" s="13" t="str">
        <f>_xll.BDH("BLUE US Equity","BS_DERIV_HEDGING_ASST_LT","FQ2 2022","FQ2 2022","Currency=USD","Period=FQ","BEST_FPERIOD_OVERRIDE=FQ","FILING_STATUS=MR","SCALING_FORMAT=MLN","Sort=A","Dates=H","DateFormat=P","Fill=—","Direction=H","UseDPDF=Y")</f>
        <v>—</v>
      </c>
      <c r="R33" s="13" t="str">
        <f>_xll.BDH("BLUE US Equity","BS_DERIV_HEDGING_ASST_LT","FQ3 2022","FQ3 2022","Currency=USD","Period=FQ","BEST_FPERIOD_OVERRIDE=FQ","FILING_STATUS=MR","SCALING_FORMAT=MLN","Sort=A","Dates=H","DateFormat=P","Fill=—","Direction=H","UseDPDF=Y")</f>
        <v>—</v>
      </c>
      <c r="S33" s="13">
        <f>_xll.BDH("BLUE US Equity","BS_DERIV_HEDGING_ASST_LT","FQ4 2022","FQ4 2022","Currency=USD","Period=FQ","BEST_FPERIOD_OVERRIDE=FQ","FILING_STATUS=MR","SCALING_FORMAT=MLN","Sort=A","Dates=H","DateFormat=P","Fill=—","Direction=H","UseDPDF=Y")</f>
        <v>0</v>
      </c>
      <c r="T33" s="13" t="str">
        <f>_xll.BDH("BLUE US Equity","BS_DERIV_HEDGING_ASST_LT","FQ1 2023","FQ1 2023","Currency=USD","Period=FQ","BEST_FPERIOD_OVERRIDE=FQ","FILING_STATUS=MR","SCALING_FORMAT=MLN","Sort=A","Dates=H","DateFormat=P","Fill=—","Direction=H","UseDPDF=Y")</f>
        <v>—</v>
      </c>
      <c r="U33" s="13" t="str">
        <f>_xll.BDH("BLUE US Equity","BS_DERIV_HEDGING_ASST_LT","FQ2 2023","FQ2 2023","Currency=USD","Period=FQ","BEST_FPERIOD_OVERRIDE=FQ","FILING_STATUS=MR","SCALING_FORMAT=MLN","Sort=A","Dates=H","DateFormat=P","Fill=—","Direction=H","UseDPDF=Y")</f>
        <v>—</v>
      </c>
      <c r="V33" s="13" t="str">
        <f>_xll.BDH("BLUE US Equity","BS_DERIV_HEDGING_ASST_LT","FQ3 2023","FQ3 2023","Currency=USD","Period=FQ","BEST_FPERIOD_OVERRIDE=FQ","FILING_STATUS=MR","SCALING_FORMAT=MLN","Sort=A","Dates=H","DateFormat=P","Fill=—","Direction=H","UseDPDF=Y")</f>
        <v>—</v>
      </c>
      <c r="W33" s="13">
        <f>_xll.BDH("BLUE US Equity","BS_DERIV_HEDGING_ASST_LT","FQ4 2023","FQ4 2023","Currency=USD","Period=FQ","BEST_FPERIOD_OVERRIDE=FQ","FILING_STATUS=MR","SCALING_FORMAT=MLN","Sort=A","Dates=H","DateFormat=P","Fill=—","Direction=H","UseDPDF=Y")</f>
        <v>0</v>
      </c>
      <c r="X33" s="13" t="str">
        <f>_xll.BDH("BLUE US Equity","BS_DERIV_HEDGING_ASST_LT","FQ1 2024","FQ1 2024","Currency=USD","Period=FQ","BEST_FPERIOD_OVERRIDE=FQ","FILING_STATUS=MR","SCALING_FORMAT=MLN","Sort=A","Dates=H","DateFormat=P","Fill=—","Direction=H","UseDPDF=Y")</f>
        <v>—</v>
      </c>
      <c r="Y33" s="13" t="str">
        <f>_xll.BDH("BLUE US Equity","BS_DERIV_HEDGING_ASST_LT","FQ2 2024","FQ2 2024","Currency=USD","Period=FQ","BEST_FPERIOD_OVERRIDE=FQ","FILING_STATUS=MR","SCALING_FORMAT=MLN","Sort=A","Dates=H","DateFormat=P","Fill=—","Direction=H","UseDPDF=Y")</f>
        <v>—</v>
      </c>
      <c r="Z33" s="13" t="str">
        <f>_xll.BDH("BLUE US Equity","BS_DERIV_HEDGING_ASST_LT","FQ3 2024","FQ3 2024","Currency=USD","Period=FQ","BEST_FPERIOD_OVERRIDE=FQ","FILING_STATUS=MR","SCALING_FORMAT=MLN","Sort=A","Dates=H","DateFormat=P","Fill=—","Direction=H","UseDPDF=Y")</f>
        <v>—</v>
      </c>
      <c r="AA33" s="13">
        <f>_xll.BDH("BLUE US Equity","BS_DERIV_HEDGING_ASST_LT","FQ4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329</v>
      </c>
      <c r="B34" s="10" t="s">
        <v>644</v>
      </c>
      <c r="C34" s="13" t="str">
        <f>_xll.BDH("BLUE US Equity","BS_ASSETS_OF_DISCONTINUED_OPS_LT","FQ4 2018","FQ4 2018","Currency=USD","Period=FQ","BEST_FPERIOD_OVERRIDE=FQ","FILING_STATUS=MR","SCALING_FORMAT=MLN","Sort=A","Dates=H","DateFormat=P","Fill=—","Direction=H","UseDPDF=Y")</f>
        <v>—</v>
      </c>
      <c r="D34" s="13" t="str">
        <f>_xll.BDH("BLUE US Equity","BS_ASSETS_OF_DISCONTINUED_OPS_LT","FQ1 2019","FQ1 2019","Currency=USD","Period=FQ","BEST_FPERIOD_OVERRIDE=FQ","FILING_STATUS=MR","SCALING_FORMAT=MLN","Sort=A","Dates=H","DateFormat=P","Fill=—","Direction=H","UseDPDF=Y")</f>
        <v>—</v>
      </c>
      <c r="E34" s="13" t="str">
        <f>_xll.BDH("BLUE US Equity","BS_ASSETS_OF_DISCONTINUED_OPS_LT","FQ2 2019","FQ2 2019","Currency=USD","Period=FQ","BEST_FPERIOD_OVERRIDE=FQ","FILING_STATUS=MR","SCALING_FORMAT=MLN","Sort=A","Dates=H","DateFormat=P","Fill=—","Direction=H","UseDPDF=Y")</f>
        <v>—</v>
      </c>
      <c r="F34" s="13" t="str">
        <f>_xll.BDH("BLUE US Equity","BS_ASSETS_OF_DISCONTINUED_OPS_LT","FQ3 2019","FQ3 2019","Currency=USD","Period=FQ","BEST_FPERIOD_OVERRIDE=FQ","FILING_STATUS=MR","SCALING_FORMAT=MLN","Sort=A","Dates=H","DateFormat=P","Fill=—","Direction=H","UseDPDF=Y")</f>
        <v>—</v>
      </c>
      <c r="G34" s="13" t="str">
        <f>_xll.BDH("BLUE US Equity","BS_ASSETS_OF_DISCONTINUED_OPS_LT","FQ4 2019","FQ4 2019","Currency=USD","Period=FQ","BEST_FPERIOD_OVERRIDE=FQ","FILING_STATUS=MR","SCALING_FORMAT=MLN","Sort=A","Dates=H","DateFormat=P","Fill=—","Direction=H","UseDPDF=Y")</f>
        <v>—</v>
      </c>
      <c r="H34" s="13" t="str">
        <f>_xll.BDH("BLUE US Equity","BS_ASSETS_OF_DISCONTINUED_OPS_LT","FQ1 2020","FQ1 2020","Currency=USD","Period=FQ","BEST_FPERIOD_OVERRIDE=FQ","FILING_STATUS=MR","SCALING_FORMAT=MLN","Sort=A","Dates=H","DateFormat=P","Fill=—","Direction=H","UseDPDF=Y")</f>
        <v>—</v>
      </c>
      <c r="I34" s="13" t="str">
        <f>_xll.BDH("BLUE US Equity","BS_ASSETS_OF_DISCONTINUED_OPS_LT","FQ2 2020","FQ2 2020","Currency=USD","Period=FQ","BEST_FPERIOD_OVERRIDE=FQ","FILING_STATUS=MR","SCALING_FORMAT=MLN","Sort=A","Dates=H","DateFormat=P","Fill=—","Direction=H","UseDPDF=Y")</f>
        <v>—</v>
      </c>
      <c r="J34" s="13" t="str">
        <f>_xll.BDH("BLUE US Equity","BS_ASSETS_OF_DISCONTINUED_OPS_LT","FQ3 2020","FQ3 2020","Currency=USD","Period=FQ","BEST_FPERIOD_OVERRIDE=FQ","FILING_STATUS=MR","SCALING_FORMAT=MLN","Sort=A","Dates=H","DateFormat=P","Fill=—","Direction=H","UseDPDF=Y")</f>
        <v>—</v>
      </c>
      <c r="K34" s="13">
        <f>_xll.BDH("BLUE US Equity","BS_ASSETS_OF_DISCONTINUED_OPS_LT","FQ4 2020","FQ4 2020","Currency=USD","Period=FQ","BEST_FPERIOD_OVERRIDE=FQ","FILING_STATUS=MR","SCALING_FORMAT=MLN","Sort=A","Dates=H","DateFormat=P","Fill=—","Direction=H","UseDPDF=Y")</f>
        <v>343.56400000000002</v>
      </c>
      <c r="L34" s="13" t="str">
        <f>_xll.BDH("BLUE US Equity","BS_ASSETS_OF_DISCONTINUED_OPS_LT","FQ1 2021","FQ1 2021","Currency=USD","Period=FQ","BEST_FPERIOD_OVERRIDE=FQ","FILING_STATUS=MR","SCALING_FORMAT=MLN","Sort=A","Dates=H","DateFormat=P","Fill=—","Direction=H","UseDPDF=Y")</f>
        <v>—</v>
      </c>
      <c r="M34" s="13" t="str">
        <f>_xll.BDH("BLUE US Equity","BS_ASSETS_OF_DISCONTINUED_OPS_LT","FQ2 2021","FQ2 2021","Currency=USD","Period=FQ","BEST_FPERIOD_OVERRIDE=FQ","FILING_STATUS=MR","SCALING_FORMAT=MLN","Sort=A","Dates=H","DateFormat=P","Fill=—","Direction=H","UseDPDF=Y")</f>
        <v>—</v>
      </c>
      <c r="N34" s="13" t="str">
        <f>_xll.BDH("BLUE US Equity","BS_ASSETS_OF_DISCONTINUED_OPS_LT","FQ3 2021","FQ3 2021","Currency=USD","Period=FQ","BEST_FPERIOD_OVERRIDE=FQ","FILING_STATUS=MR","SCALING_FORMAT=MLN","Sort=A","Dates=H","DateFormat=P","Fill=—","Direction=H","UseDPDF=Y")</f>
        <v>—</v>
      </c>
      <c r="O34" s="13">
        <f>_xll.BDH("BLUE US Equity","BS_ASSETS_OF_DISCONTINUED_OPS_LT","FQ4 2021","FQ4 2021","Currency=USD","Period=FQ","BEST_FPERIOD_OVERRIDE=FQ","FILING_STATUS=MR","SCALING_FORMAT=MLN","Sort=A","Dates=H","DateFormat=P","Fill=—","Direction=H","UseDPDF=Y")</f>
        <v>0</v>
      </c>
      <c r="P34" s="13" t="str">
        <f>_xll.BDH("BLUE US Equity","BS_ASSETS_OF_DISCONTINUED_OPS_LT","FQ1 2022","FQ1 2022","Currency=USD","Period=FQ","BEST_FPERIOD_OVERRIDE=FQ","FILING_STATUS=MR","SCALING_FORMAT=MLN","Sort=A","Dates=H","DateFormat=P","Fill=—","Direction=H","UseDPDF=Y")</f>
        <v>—</v>
      </c>
      <c r="Q34" s="13" t="str">
        <f>_xll.BDH("BLUE US Equity","BS_ASSETS_OF_DISCONTINUED_OPS_LT","FQ2 2022","FQ2 2022","Currency=USD","Period=FQ","BEST_FPERIOD_OVERRIDE=FQ","FILING_STATUS=MR","SCALING_FORMAT=MLN","Sort=A","Dates=H","DateFormat=P","Fill=—","Direction=H","UseDPDF=Y")</f>
        <v>—</v>
      </c>
      <c r="R34" s="13" t="str">
        <f>_xll.BDH("BLUE US Equity","BS_ASSETS_OF_DISCONTINUED_OPS_LT","FQ3 2022","FQ3 2022","Currency=USD","Period=FQ","BEST_FPERIOD_OVERRIDE=FQ","FILING_STATUS=MR","SCALING_FORMAT=MLN","Sort=A","Dates=H","DateFormat=P","Fill=—","Direction=H","UseDPDF=Y")</f>
        <v>—</v>
      </c>
      <c r="S34" s="13" t="str">
        <f>_xll.BDH("BLUE US Equity","BS_ASSETS_OF_DISCONTINUED_OPS_LT","FQ4 2022","FQ4 2022","Currency=USD","Period=FQ","BEST_FPERIOD_OVERRIDE=FQ","FILING_STATUS=MR","SCALING_FORMAT=MLN","Sort=A","Dates=H","DateFormat=P","Fill=—","Direction=H","UseDPDF=Y")</f>
        <v>—</v>
      </c>
      <c r="T34" s="13" t="str">
        <f>_xll.BDH("BLUE US Equity","BS_ASSETS_OF_DISCONTINUED_OPS_LT","FQ1 2023","FQ1 2023","Currency=USD","Period=FQ","BEST_FPERIOD_OVERRIDE=FQ","FILING_STATUS=MR","SCALING_FORMAT=MLN","Sort=A","Dates=H","DateFormat=P","Fill=—","Direction=H","UseDPDF=Y")</f>
        <v>—</v>
      </c>
      <c r="U34" s="13" t="str">
        <f>_xll.BDH("BLUE US Equity","BS_ASSETS_OF_DISCONTINUED_OPS_LT","FQ2 2023","FQ2 2023","Currency=USD","Period=FQ","BEST_FPERIOD_OVERRIDE=FQ","FILING_STATUS=MR","SCALING_FORMAT=MLN","Sort=A","Dates=H","DateFormat=P","Fill=—","Direction=H","UseDPDF=Y")</f>
        <v>—</v>
      </c>
      <c r="V34" s="13" t="str">
        <f>_xll.BDH("BLUE US Equity","BS_ASSETS_OF_DISCONTINUED_OPS_LT","FQ3 2023","FQ3 2023","Currency=USD","Period=FQ","BEST_FPERIOD_OVERRIDE=FQ","FILING_STATUS=MR","SCALING_FORMAT=MLN","Sort=A","Dates=H","DateFormat=P","Fill=—","Direction=H","UseDPDF=Y")</f>
        <v>—</v>
      </c>
      <c r="W34" s="13" t="str">
        <f>_xll.BDH("BLUE US Equity","BS_ASSETS_OF_DISCONTINUED_OPS_LT","FQ4 2023","FQ4 2023","Currency=USD","Period=FQ","BEST_FPERIOD_OVERRIDE=FQ","FILING_STATUS=MR","SCALING_FORMAT=MLN","Sort=A","Dates=H","DateFormat=P","Fill=—","Direction=H","UseDPDF=Y")</f>
        <v>—</v>
      </c>
      <c r="X34" s="13" t="str">
        <f>_xll.BDH("BLUE US Equity","BS_ASSETS_OF_DISCONTINUED_OPS_LT","FQ1 2024","FQ1 2024","Currency=USD","Period=FQ","BEST_FPERIOD_OVERRIDE=FQ","FILING_STATUS=MR","SCALING_FORMAT=MLN","Sort=A","Dates=H","DateFormat=P","Fill=—","Direction=H","UseDPDF=Y")</f>
        <v>—</v>
      </c>
      <c r="Y34" s="13" t="str">
        <f>_xll.BDH("BLUE US Equity","BS_ASSETS_OF_DISCONTINUED_OPS_LT","FQ2 2024","FQ2 2024","Currency=USD","Period=FQ","BEST_FPERIOD_OVERRIDE=FQ","FILING_STATUS=MR","SCALING_FORMAT=MLN","Sort=A","Dates=H","DateFormat=P","Fill=—","Direction=H","UseDPDF=Y")</f>
        <v>—</v>
      </c>
      <c r="Z34" s="13" t="str">
        <f>_xll.BDH("BLUE US Equity","BS_ASSETS_OF_DISCONTINUED_OPS_LT","FQ3 2024","FQ3 2024","Currency=USD","Period=FQ","BEST_FPERIOD_OVERRIDE=FQ","FILING_STATUS=MR","SCALING_FORMAT=MLN","Sort=A","Dates=H","DateFormat=P","Fill=—","Direction=H","UseDPDF=Y")</f>
        <v>—</v>
      </c>
      <c r="AA34" s="13" t="str">
        <f>_xll.BDH("BLUE US Equity","BS_ASSETS_OF_DISCONTINUED_OPS_LT","FQ4 2024","FQ4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645</v>
      </c>
      <c r="B35" s="10" t="s">
        <v>646</v>
      </c>
      <c r="C35" s="13">
        <f>_xll.BDH("BLUE US Equity","OTHER_NONCURRENT_ASSETS_DETAILED","FQ4 2018","FQ4 2018","Currency=USD","Period=FQ","BEST_FPERIOD_OVERRIDE=FQ","FILING_STATUS=MR","SCALING_FORMAT=MLN","Sort=A","Dates=H","DateFormat=P","Fill=—","Direction=H","UseDPDF=Y")</f>
        <v>44.805</v>
      </c>
      <c r="D35" s="13">
        <f>_xll.BDH("BLUE US Equity","OTHER_NONCURRENT_ASSETS_DETAILED","FQ1 2019","FQ1 2019","Currency=USD","Period=FQ","BEST_FPERIOD_OVERRIDE=FQ","FILING_STATUS=MR","SCALING_FORMAT=MLN","Sort=A","Dates=H","DateFormat=P","Fill=—","Direction=H","UseDPDF=Y")</f>
        <v>40.630000000000003</v>
      </c>
      <c r="E35" s="13">
        <f>_xll.BDH("BLUE US Equity","OTHER_NONCURRENT_ASSETS_DETAILED","FQ2 2019","FQ2 2019","Currency=USD","Period=FQ","BEST_FPERIOD_OVERRIDE=FQ","FILING_STATUS=MR","SCALING_FORMAT=MLN","Sort=A","Dates=H","DateFormat=P","Fill=—","Direction=H","UseDPDF=Y")</f>
        <v>84.92</v>
      </c>
      <c r="F35" s="13">
        <f>_xll.BDH("BLUE US Equity","OTHER_NONCURRENT_ASSETS_DETAILED","FQ3 2019","FQ3 2019","Currency=USD","Period=FQ","BEST_FPERIOD_OVERRIDE=FQ","FILING_STATUS=MR","SCALING_FORMAT=MLN","Sort=A","Dates=H","DateFormat=P","Fill=—","Direction=H","UseDPDF=Y")</f>
        <v>82.069000000000003</v>
      </c>
      <c r="G35" s="13">
        <f>_xll.BDH("BLUE US Equity","OTHER_NONCURRENT_ASSETS_DETAILED","FQ4 2019","FQ4 2019","Currency=USD","Period=FQ","BEST_FPERIOD_OVERRIDE=FQ","FILING_STATUS=MR","SCALING_FORMAT=MLN","Sort=A","Dates=H","DateFormat=P","Fill=—","Direction=H","UseDPDF=Y")</f>
        <v>79.228999999999999</v>
      </c>
      <c r="H35" s="13">
        <f>_xll.BDH("BLUE US Equity","OTHER_NONCURRENT_ASSETS_DETAILED","FQ1 2020","FQ1 2020","Currency=USD","Period=FQ","BEST_FPERIOD_OVERRIDE=FQ","FILING_STATUS=MR","SCALING_FORMAT=MLN","Sort=A","Dates=H","DateFormat=P","Fill=—","Direction=H","UseDPDF=Y")</f>
        <v>79.191999999999993</v>
      </c>
      <c r="I35" s="13">
        <f>_xll.BDH("BLUE US Equity","OTHER_NONCURRENT_ASSETS_DETAILED","FQ2 2020","FQ2 2020","Currency=USD","Period=FQ","BEST_FPERIOD_OVERRIDE=FQ","FILING_STATUS=MR","SCALING_FORMAT=MLN","Sort=A","Dates=H","DateFormat=P","Fill=—","Direction=H","UseDPDF=Y")</f>
        <v>74.783000000000001</v>
      </c>
      <c r="J35" s="13">
        <f>_xll.BDH("BLUE US Equity","OTHER_NONCURRENT_ASSETS_DETAILED","FQ3 2020","FQ3 2020","Currency=USD","Period=FQ","BEST_FPERIOD_OVERRIDE=FQ","FILING_STATUS=MR","SCALING_FORMAT=MLN","Sort=A","Dates=H","DateFormat=P","Fill=—","Direction=H","UseDPDF=Y")</f>
        <v>74.304000000000002</v>
      </c>
      <c r="K35" s="13">
        <f>_xll.BDH("BLUE US Equity","OTHER_NONCURRENT_ASSETS_DETAILED","FQ4 2020","FQ4 2020","Currency=USD","Period=FQ","BEST_FPERIOD_OVERRIDE=FQ","FILING_STATUS=MR","SCALING_FORMAT=MLN","Sort=A","Dates=H","DateFormat=P","Fill=—","Direction=H","UseDPDF=Y")</f>
        <v>65.727000000000004</v>
      </c>
      <c r="L35" s="13">
        <f>_xll.BDH("BLUE US Equity","OTHER_NONCURRENT_ASSETS_DETAILED","FQ1 2021","FQ1 2021","Currency=USD","Period=FQ","BEST_FPERIOD_OVERRIDE=FQ","FILING_STATUS=MR","SCALING_FORMAT=MLN","Sort=A","Dates=H","DateFormat=P","Fill=—","Direction=H","UseDPDF=Y")</f>
        <v>70.864000000000004</v>
      </c>
      <c r="M35" s="13">
        <f>_xll.BDH("BLUE US Equity","OTHER_NONCURRENT_ASSETS_DETAILED","FQ2 2021","FQ2 2021","Currency=USD","Period=FQ","BEST_FPERIOD_OVERRIDE=FQ","FILING_STATUS=MR","SCALING_FORMAT=MLN","Sort=A","Dates=H","DateFormat=P","Fill=—","Direction=H","UseDPDF=Y")</f>
        <v>69.802000000000007</v>
      </c>
      <c r="N35" s="13">
        <f>_xll.BDH("BLUE US Equity","OTHER_NONCURRENT_ASSETS_DETAILED","FQ3 2021","FQ3 2021","Currency=USD","Period=FQ","BEST_FPERIOD_OVERRIDE=FQ","FILING_STATUS=MR","SCALING_FORMAT=MLN","Sort=A","Dates=H","DateFormat=P","Fill=—","Direction=H","UseDPDF=Y")</f>
        <v>70.944999999999993</v>
      </c>
      <c r="O35" s="13">
        <f>_xll.BDH("BLUE US Equity","OTHER_NONCURRENT_ASSETS_DETAILED","FQ4 2021","FQ4 2021","Currency=USD","Period=FQ","BEST_FPERIOD_OVERRIDE=FQ","FILING_STATUS=MR","SCALING_FORMAT=MLN","Sort=A","Dates=H","DateFormat=P","Fill=—","Direction=H","UseDPDF=Y")</f>
        <v>53.277000000000001</v>
      </c>
      <c r="P35" s="13">
        <f>_xll.BDH("BLUE US Equity","OTHER_NONCURRENT_ASSETS_DETAILED","FQ1 2022","FQ1 2022","Currency=USD","Period=FQ","BEST_FPERIOD_OVERRIDE=FQ","FILING_STATUS=MR","SCALING_FORMAT=MLN","Sort=A","Dates=H","DateFormat=P","Fill=—","Direction=H","UseDPDF=Y")</f>
        <v>52.328000000000003</v>
      </c>
      <c r="Q35" s="13">
        <f>_xll.BDH("BLUE US Equity","OTHER_NONCURRENT_ASSETS_DETAILED","FQ2 2022","FQ2 2022","Currency=USD","Period=FQ","BEST_FPERIOD_OVERRIDE=FQ","FILING_STATUS=MR","SCALING_FORMAT=MLN","Sort=A","Dates=H","DateFormat=P","Fill=—","Direction=H","UseDPDF=Y")</f>
        <v>52.55</v>
      </c>
      <c r="R35" s="13">
        <f>_xll.BDH("BLUE US Equity","OTHER_NONCURRENT_ASSETS_DETAILED","FQ3 2022","FQ3 2022","Currency=USD","Period=FQ","BEST_FPERIOD_OVERRIDE=FQ","FILING_STATUS=MR","SCALING_FORMAT=MLN","Sort=A","Dates=H","DateFormat=P","Fill=—","Direction=H","UseDPDF=Y")</f>
        <v>52.387999999999998</v>
      </c>
      <c r="S35" s="13">
        <f>_xll.BDH("BLUE US Equity","OTHER_NONCURRENT_ASSETS_DETAILED","FQ4 2022","FQ4 2022","Currency=USD","Period=FQ","BEST_FPERIOD_OVERRIDE=FQ","FILING_STATUS=MR","SCALING_FORMAT=MLN","Sort=A","Dates=H","DateFormat=P","Fill=—","Direction=H","UseDPDF=Y")</f>
        <v>55.792999999999999</v>
      </c>
      <c r="T35" s="13">
        <f>_xll.BDH("BLUE US Equity","OTHER_NONCURRENT_ASSETS_DETAILED","FQ1 2023","FQ1 2023","Currency=USD","Period=FQ","BEST_FPERIOD_OVERRIDE=FQ","FILING_STATUS=MR","SCALING_FORMAT=MLN","Sort=A","Dates=H","DateFormat=P","Fill=—","Direction=H","UseDPDF=Y")</f>
        <v>51.534999999999997</v>
      </c>
      <c r="U35" s="13">
        <f>_xll.BDH("BLUE US Equity","OTHER_NONCURRENT_ASSETS_DETAILED","FQ2 2023","FQ2 2023","Currency=USD","Period=FQ","BEST_FPERIOD_OVERRIDE=FQ","FILING_STATUS=MR","SCALING_FORMAT=MLN","Sort=A","Dates=H","DateFormat=P","Fill=—","Direction=H","UseDPDF=Y")</f>
        <v>51.204000000000001</v>
      </c>
      <c r="V35" s="13">
        <f>_xll.BDH("BLUE US Equity","OTHER_NONCURRENT_ASSETS_DETAILED","FQ3 2023","FQ3 2023","Currency=USD","Period=FQ","BEST_FPERIOD_OVERRIDE=FQ","FILING_STATUS=MR","SCALING_FORMAT=MLN","Sort=A","Dates=H","DateFormat=P","Fill=—","Direction=H","UseDPDF=Y")</f>
        <v>50.829000000000001</v>
      </c>
      <c r="W35" s="13">
        <f>_xll.BDH("BLUE US Equity","OTHER_NONCURRENT_ASSETS_DETAILED","FQ4 2023","FQ4 2023","Currency=USD","Period=FQ","BEST_FPERIOD_OVERRIDE=FQ","FILING_STATUS=MR","SCALING_FORMAT=MLN","Sort=A","Dates=H","DateFormat=P","Fill=—","Direction=H","UseDPDF=Y")</f>
        <v>54.343000000000004</v>
      </c>
      <c r="X35" s="13">
        <f>_xll.BDH("BLUE US Equity","OTHER_NONCURRENT_ASSETS_DETAILED","FQ1 2024","FQ1 2024","Currency=USD","Period=FQ","BEST_FPERIOD_OVERRIDE=FQ","FILING_STATUS=MR","SCALING_FORMAT=MLN","Sort=A","Dates=H","DateFormat=P","Fill=—","Direction=H","UseDPDF=Y")</f>
        <v>58.417000000000002</v>
      </c>
      <c r="Y35" s="13">
        <f>_xll.BDH("BLUE US Equity","OTHER_NONCURRENT_ASSETS_DETAILED","FQ2 2024","FQ2 2024","Currency=USD","Period=FQ","BEST_FPERIOD_OVERRIDE=FQ","FILING_STATUS=MR","SCALING_FORMAT=MLN","Sort=A","Dates=H","DateFormat=P","Fill=—","Direction=H","UseDPDF=Y")</f>
        <v>58.057000000000002</v>
      </c>
      <c r="Z35" s="13">
        <f>_xll.BDH("BLUE US Equity","OTHER_NONCURRENT_ASSETS_DETAILED","FQ3 2024","FQ3 2024","Currency=USD","Period=FQ","BEST_FPERIOD_OVERRIDE=FQ","FILING_STATUS=MR","SCALING_FORMAT=MLN","Sort=A","Dates=H","DateFormat=P","Fill=—","Direction=H","UseDPDF=Y")</f>
        <v>53.128</v>
      </c>
      <c r="AA35" s="13">
        <f>_xll.BDH("BLUE US Equity","OTHER_NONCURRENT_ASSETS_DETAILED","FQ4 2024","FQ4 2024","Currency=USD","Period=FQ","BEST_FPERIOD_OVERRIDE=FQ","FILING_STATUS=MR","SCALING_FORMAT=MLN","Sort=A","Dates=H","DateFormat=P","Fill=—","Direction=H","UseDPDF=Y")</f>
        <v>52.64</v>
      </c>
    </row>
    <row r="36" spans="1:27" x14ac:dyDescent="0.25">
      <c r="A36" s="6" t="s">
        <v>647</v>
      </c>
      <c r="B36" s="6" t="s">
        <v>648</v>
      </c>
      <c r="C36" s="19">
        <f>_xll.BDH("BLUE US Equity","BS_TOT_NON_CUR_ASSET","FQ4 2018","FQ4 2018","Currency=USD","Period=FQ","BEST_FPERIOD_OVERRIDE=FQ","FILING_STATUS=MR","SCALING_FORMAT=MLN","Sort=A","Dates=H","DateFormat=P","Fill=—","Direction=H","UseDPDF=Y")</f>
        <v>823.84699999999998</v>
      </c>
      <c r="D36" s="19">
        <f>_xll.BDH("BLUE US Equity","BS_TOT_NON_CUR_ASSET","FQ1 2019","FQ1 2019","Currency=USD","Period=FQ","BEST_FPERIOD_OVERRIDE=FQ","FILING_STATUS=MR","SCALING_FORMAT=MLN","Sort=A","Dates=H","DateFormat=P","Fill=—","Direction=H","UseDPDF=Y")</f>
        <v>773.58299999999997</v>
      </c>
      <c r="E36" s="19">
        <f>_xll.BDH("BLUE US Equity","BS_TOT_NON_CUR_ASSET","FQ2 2019","FQ2 2019","Currency=USD","Period=FQ","BEST_FPERIOD_OVERRIDE=FQ","FILING_STATUS=MR","SCALING_FORMAT=MLN","Sort=A","Dates=H","DateFormat=P","Fill=—","Direction=H","UseDPDF=Y")</f>
        <v>722.56399999999996</v>
      </c>
      <c r="F36" s="19">
        <f>_xll.BDH("BLUE US Equity","BS_TOT_NON_CUR_ASSET","FQ3 2019","FQ3 2019","Currency=USD","Period=FQ","BEST_FPERIOD_OVERRIDE=FQ","FILING_STATUS=MR","SCALING_FORMAT=MLN","Sort=A","Dates=H","DateFormat=P","Fill=—","Direction=H","UseDPDF=Y")</f>
        <v>672.18600000000004</v>
      </c>
      <c r="G36" s="19">
        <f>_xll.BDH("BLUE US Equity","BS_TOT_NON_CUR_ASSET","FQ4 2019","FQ4 2019","Currency=USD","Period=FQ","BEST_FPERIOD_OVERRIDE=FQ","FILING_STATUS=MR","SCALING_FORMAT=MLN","Sort=A","Dates=H","DateFormat=P","Fill=—","Direction=H","UseDPDF=Y")</f>
        <v>575.25</v>
      </c>
      <c r="H36" s="19">
        <f>_xll.BDH("BLUE US Equity","BS_TOT_NON_CUR_ASSET","FQ1 2020","FQ1 2020","Currency=USD","Period=FQ","BEST_FPERIOD_OVERRIDE=FQ","FILING_STATUS=MR","SCALING_FORMAT=MLN","Sort=A","Dates=H","DateFormat=P","Fill=—","Direction=H","UseDPDF=Y")</f>
        <v>561.63699999999994</v>
      </c>
      <c r="I36" s="19">
        <f>_xll.BDH("BLUE US Equity","BS_TOT_NON_CUR_ASSET","FQ2 2020","FQ2 2020","Currency=USD","Period=FQ","BEST_FPERIOD_OVERRIDE=FQ","FILING_STATUS=MR","SCALING_FORMAT=MLN","Sort=A","Dates=H","DateFormat=P","Fill=—","Direction=H","UseDPDF=Y")</f>
        <v>494.34500000000003</v>
      </c>
      <c r="J36" s="19">
        <f>_xll.BDH("BLUE US Equity","BS_TOT_NON_CUR_ASSET","FQ3 2020","FQ3 2020","Currency=USD","Period=FQ","BEST_FPERIOD_OVERRIDE=FQ","FILING_STATUS=MR","SCALING_FORMAT=MLN","Sort=A","Dates=H","DateFormat=P","Fill=—","Direction=H","UseDPDF=Y")</f>
        <v>652.29</v>
      </c>
      <c r="K36" s="19">
        <f>_xll.BDH("BLUE US Equity","BS_TOT_NON_CUR_ASSET","FQ4 2020","FQ4 2020","Currency=USD","Period=FQ","BEST_FPERIOD_OVERRIDE=FQ","FILING_STATUS=MR","SCALING_FORMAT=MLN","Sort=A","Dates=H","DateFormat=P","Fill=—","Direction=H","UseDPDF=Y")</f>
        <v>565.71500000000003</v>
      </c>
      <c r="L36" s="19">
        <f>_xll.BDH("BLUE US Equity","BS_TOT_NON_CUR_ASSET","FQ1 2021","FQ1 2021","Currency=USD","Period=FQ","BEST_FPERIOD_OVERRIDE=FQ","FILING_STATUS=MR","SCALING_FORMAT=MLN","Sort=A","Dates=H","DateFormat=P","Fill=—","Direction=H","UseDPDF=Y")</f>
        <v>539.74400000000003</v>
      </c>
      <c r="M36" s="19">
        <f>_xll.BDH("BLUE US Equity","BS_TOT_NON_CUR_ASSET","FQ2 2021","FQ2 2021","Currency=USD","Period=FQ","BEST_FPERIOD_OVERRIDE=FQ","FILING_STATUS=MR","SCALING_FORMAT=MLN","Sort=A","Dates=H","DateFormat=P","Fill=—","Direction=H","UseDPDF=Y")</f>
        <v>550.93299999999999</v>
      </c>
      <c r="N36" s="19">
        <f>_xll.BDH("BLUE US Equity","BS_TOT_NON_CUR_ASSET","FQ3 2021","FQ3 2021","Currency=USD","Period=FQ","BEST_FPERIOD_OVERRIDE=FQ","FILING_STATUS=MR","SCALING_FORMAT=MLN","Sort=A","Dates=H","DateFormat=P","Fill=—","Direction=H","UseDPDF=Y")</f>
        <v>507.31900000000002</v>
      </c>
      <c r="O36" s="19">
        <f>_xll.BDH("BLUE US Equity","BS_TOT_NON_CUR_ASSET","FQ4 2021","FQ4 2021","Currency=USD","Period=FQ","BEST_FPERIOD_OVERRIDE=FQ","FILING_STATUS=MR","SCALING_FORMAT=MLN","Sort=A","Dates=H","DateFormat=P","Fill=—","Direction=H","UseDPDF=Y")</f>
        <v>257.27499999999998</v>
      </c>
      <c r="P36" s="19">
        <f>_xll.BDH("BLUE US Equity","BS_TOT_NON_CUR_ASSET","FQ1 2022","FQ1 2022","Currency=USD","Period=FQ","BEST_FPERIOD_OVERRIDE=FQ","FILING_STATUS=MR","SCALING_FORMAT=MLN","Sort=A","Dates=H","DateFormat=P","Fill=—","Direction=H","UseDPDF=Y")</f>
        <v>236.154</v>
      </c>
      <c r="Q36" s="19">
        <f>_xll.BDH("BLUE US Equity","BS_TOT_NON_CUR_ASSET","FQ2 2022","FQ2 2022","Currency=USD","Period=FQ","BEST_FPERIOD_OVERRIDE=FQ","FILING_STATUS=MR","SCALING_FORMAT=MLN","Sort=A","Dates=H","DateFormat=P","Fill=—","Direction=H","UseDPDF=Y")</f>
        <v>406.13400000000001</v>
      </c>
      <c r="R36" s="19">
        <f>_xll.BDH("BLUE US Equity","BS_TOT_NON_CUR_ASSET","FQ3 2022","FQ3 2022","Currency=USD","Period=FQ","BEST_FPERIOD_OVERRIDE=FQ","FILING_STATUS=MR","SCALING_FORMAT=MLN","Sort=A","Dates=H","DateFormat=P","Fill=—","Direction=H","UseDPDF=Y")</f>
        <v>359.66</v>
      </c>
      <c r="S36" s="19">
        <f>_xll.BDH("BLUE US Equity","BS_TOT_NON_CUR_ASSET","FQ4 2022","FQ4 2022","Currency=USD","Period=FQ","BEST_FPERIOD_OVERRIDE=FQ","FILING_STATUS=MR","SCALING_FORMAT=MLN","Sort=A","Dates=H","DateFormat=P","Fill=—","Direction=H","UseDPDF=Y")</f>
        <v>366.24200000000002</v>
      </c>
      <c r="T36" s="19">
        <f>_xll.BDH("BLUE US Equity","BS_TOT_NON_CUR_ASSET","FQ1 2023","FQ1 2023","Currency=USD","Period=FQ","BEST_FPERIOD_OVERRIDE=FQ","FILING_STATUS=MR","SCALING_FORMAT=MLN","Sort=A","Dates=H","DateFormat=P","Fill=—","Direction=H","UseDPDF=Y")</f>
        <v>341.66500000000002</v>
      </c>
      <c r="U36" s="19">
        <f>_xll.BDH("BLUE US Equity","BS_TOT_NON_CUR_ASSET","FQ2 2023","FQ2 2023","Currency=USD","Period=FQ","BEST_FPERIOD_OVERRIDE=FQ","FILING_STATUS=MR","SCALING_FORMAT=MLN","Sort=A","Dates=H","DateFormat=P","Fill=—","Direction=H","UseDPDF=Y")</f>
        <v>375.416</v>
      </c>
      <c r="V36" s="19">
        <f>_xll.BDH("BLUE US Equity","BS_TOT_NON_CUR_ASSET","FQ3 2023","FQ3 2023","Currency=USD","Period=FQ","BEST_FPERIOD_OVERRIDE=FQ","FILING_STATUS=MR","SCALING_FORMAT=MLN","Sort=A","Dates=H","DateFormat=P","Fill=—","Direction=H","UseDPDF=Y")</f>
        <v>366.53199999999998</v>
      </c>
      <c r="W36" s="19">
        <f>_xll.BDH("BLUE US Equity","BS_TOT_NON_CUR_ASSET","FQ4 2023","FQ4 2023","Currency=USD","Period=FQ","BEST_FPERIOD_OVERRIDE=FQ","FILING_STATUS=MR","SCALING_FORMAT=MLN","Sort=A","Dates=H","DateFormat=P","Fill=—","Direction=H","UseDPDF=Y")</f>
        <v>337.476</v>
      </c>
      <c r="X36" s="19">
        <f>_xll.BDH("BLUE US Equity","BS_TOT_NON_CUR_ASSET","FQ1 2024","FQ1 2024","Currency=USD","Period=FQ","BEST_FPERIOD_OVERRIDE=FQ","FILING_STATUS=MR","SCALING_FORMAT=MLN","Sort=A","Dates=H","DateFormat=P","Fill=—","Direction=H","UseDPDF=Y")</f>
        <v>359.88200000000001</v>
      </c>
      <c r="Y36" s="19">
        <f>_xll.BDH("BLUE US Equity","BS_TOT_NON_CUR_ASSET","FQ2 2024","FQ2 2024","Currency=USD","Period=FQ","BEST_FPERIOD_OVERRIDE=FQ","FILING_STATUS=MR","SCALING_FORMAT=MLN","Sort=A","Dates=H","DateFormat=P","Fill=—","Direction=H","UseDPDF=Y")</f>
        <v>341.67700000000002</v>
      </c>
      <c r="Z36" s="19">
        <f>_xll.BDH("BLUE US Equity","BS_TOT_NON_CUR_ASSET","FQ3 2024","FQ3 2024","Currency=USD","Period=FQ","BEST_FPERIOD_OVERRIDE=FQ","FILING_STATUS=MR","SCALING_FORMAT=MLN","Sort=A","Dates=H","DateFormat=P","Fill=—","Direction=H","UseDPDF=Y")</f>
        <v>314.245</v>
      </c>
      <c r="AA36" s="19">
        <f>_xll.BDH("BLUE US Equity","BS_TOT_NON_CUR_ASSET","FQ4 2024","FQ4 2024","Currency=USD","Period=FQ","BEST_FPERIOD_OVERRIDE=FQ","FILING_STATUS=MR","SCALING_FORMAT=MLN","Sort=A","Dates=H","DateFormat=P","Fill=—","Direction=H","UseDPDF=Y")</f>
        <v>305.56400000000002</v>
      </c>
    </row>
    <row r="37" spans="1:27" x14ac:dyDescent="0.25">
      <c r="A37" s="6" t="s">
        <v>112</v>
      </c>
      <c r="B37" s="6" t="s">
        <v>113</v>
      </c>
      <c r="C37" s="19">
        <f>_xll.BDH("BLUE US Equity","BS_TOT_ASSET","FQ4 2018","FQ4 2018","Currency=USD","Period=FQ","BEST_FPERIOD_OVERRIDE=FQ","FILING_STATUS=MR","SCALING_FORMAT=MLN","Sort=A","Dates=H","DateFormat=P","Fill=—","Direction=H","UseDPDF=Y")</f>
        <v>2242.8440000000001</v>
      </c>
      <c r="D37" s="19">
        <f>_xll.BDH("BLUE US Equity","BS_TOT_ASSET","FQ1 2019","FQ1 2019","Currency=USD","Period=FQ","BEST_FPERIOD_OVERRIDE=FQ","FILING_STATUS=MR","SCALING_FORMAT=MLN","Sort=A","Dates=H","DateFormat=P","Fill=—","Direction=H","UseDPDF=Y")</f>
        <v>2138.6149999999998</v>
      </c>
      <c r="E37" s="19">
        <f>_xll.BDH("BLUE US Equity","BS_TOT_ASSET","FQ2 2019","FQ2 2019","Currency=USD","Period=FQ","BEST_FPERIOD_OVERRIDE=FQ","FILING_STATUS=MR","SCALING_FORMAT=MLN","Sort=A","Dates=H","DateFormat=P","Fill=—","Direction=H","UseDPDF=Y")</f>
        <v>2023.3440000000001</v>
      </c>
      <c r="F37" s="19">
        <f>_xll.BDH("BLUE US Equity","BS_TOT_ASSET","FQ3 2019","FQ3 2019","Currency=USD","Period=FQ","BEST_FPERIOD_OVERRIDE=FQ","FILING_STATUS=MR","SCALING_FORMAT=MLN","Sort=A","Dates=H","DateFormat=P","Fill=—","Direction=H","UseDPDF=Y")</f>
        <v>1892.2180000000001</v>
      </c>
      <c r="G37" s="19">
        <f>_xll.BDH("BLUE US Equity","BS_TOT_ASSET","FQ4 2019","FQ4 2019","Currency=USD","Period=FQ","BEST_FPERIOD_OVERRIDE=FQ","FILING_STATUS=MR","SCALING_FORMAT=MLN","Sort=A","Dates=H","DateFormat=P","Fill=—","Direction=H","UseDPDF=Y")</f>
        <v>1727.424</v>
      </c>
      <c r="H37" s="19">
        <f>_xll.BDH("BLUE US Equity","BS_TOT_ASSET","FQ1 2020","FQ1 2020","Currency=USD","Period=FQ","BEST_FPERIOD_OVERRIDE=FQ","FILING_STATUS=MR","SCALING_FORMAT=MLN","Sort=A","Dates=H","DateFormat=P","Fill=—","Direction=H","UseDPDF=Y")</f>
        <v>1529.104</v>
      </c>
      <c r="I37" s="19">
        <f>_xll.BDH("BLUE US Equity","BS_TOT_ASSET","FQ2 2020","FQ2 2020","Currency=USD","Period=FQ","BEST_FPERIOD_OVERRIDE=FQ","FILING_STATUS=MR","SCALING_FORMAT=MLN","Sort=A","Dates=H","DateFormat=P","Fill=—","Direction=H","UseDPDF=Y")</f>
        <v>2107.79</v>
      </c>
      <c r="J37" s="19">
        <f>_xll.BDH("BLUE US Equity","BS_TOT_ASSET","FQ3 2020","FQ3 2020","Currency=USD","Period=FQ","BEST_FPERIOD_OVERRIDE=FQ","FILING_STATUS=MR","SCALING_FORMAT=MLN","Sort=A","Dates=H","DateFormat=P","Fill=—","Direction=H","UseDPDF=Y")</f>
        <v>1945.4839999999999</v>
      </c>
      <c r="K37" s="19">
        <f>_xll.BDH("BLUE US Equity","BS_TOT_ASSET","FQ4 2020","FQ4 2020","Currency=USD","Period=FQ","BEST_FPERIOD_OVERRIDE=FQ","FILING_STATUS=MR","SCALING_FORMAT=MLN","Sort=A","Dates=H","DateFormat=P","Fill=—","Direction=H","UseDPDF=Y")</f>
        <v>1781.252</v>
      </c>
      <c r="L37" s="19">
        <f>_xll.BDH("BLUE US Equity","BS_TOT_ASSET","FQ1 2021","FQ1 2021","Currency=USD","Period=FQ","BEST_FPERIOD_OVERRIDE=FQ","FILING_STATUS=MR","SCALING_FORMAT=MLN","Sort=A","Dates=H","DateFormat=P","Fill=—","Direction=H","UseDPDF=Y")</f>
        <v>1637.279</v>
      </c>
      <c r="M37" s="19">
        <f>_xll.BDH("BLUE US Equity","BS_TOT_ASSET","FQ2 2021","FQ2 2021","Currency=USD","Period=FQ","BEST_FPERIOD_OVERRIDE=FQ","FILING_STATUS=MR","SCALING_FORMAT=MLN","Sort=A","Dates=H","DateFormat=P","Fill=—","Direction=H","UseDPDF=Y")</f>
        <v>1454.4590000000001</v>
      </c>
      <c r="N37" s="19">
        <f>_xll.BDH("BLUE US Equity","BS_TOT_ASSET","FQ3 2021","FQ3 2021","Currency=USD","Period=FQ","BEST_FPERIOD_OVERRIDE=FQ","FILING_STATUS=MR","SCALING_FORMAT=MLN","Sort=A","Dates=H","DateFormat=P","Fill=—","Direction=H","UseDPDF=Y")</f>
        <v>1339.644</v>
      </c>
      <c r="O37" s="19">
        <f>_xll.BDH("BLUE US Equity","BS_TOT_ASSET","FQ4 2021","FQ4 2021","Currency=USD","Period=FQ","BEST_FPERIOD_OVERRIDE=FQ","FILING_STATUS=MR","SCALING_FORMAT=MLN","Sort=A","Dates=H","DateFormat=P","Fill=—","Direction=H","UseDPDF=Y")</f>
        <v>593.79499999999996</v>
      </c>
      <c r="P37" s="19">
        <f>_xll.BDH("BLUE US Equity","BS_TOT_ASSET","FQ1 2022","FQ1 2022","Currency=USD","Period=FQ","BEST_FPERIOD_OVERRIDE=FQ","FILING_STATUS=MR","SCALING_FORMAT=MLN","Sort=A","Dates=H","DateFormat=P","Fill=—","Direction=H","UseDPDF=Y")</f>
        <v>491.07100000000003</v>
      </c>
      <c r="Q37" s="19">
        <f>_xll.BDH("BLUE US Equity","BS_TOT_ASSET","FQ2 2022","FQ2 2022","Currency=USD","Period=FQ","BEST_FPERIOD_OVERRIDE=FQ","FILING_STATUS=MR","SCALING_FORMAT=MLN","Sort=A","Dates=H","DateFormat=P","Fill=—","Direction=H","UseDPDF=Y")</f>
        <v>573.59199999999998</v>
      </c>
      <c r="R37" s="19">
        <f>_xll.BDH("BLUE US Equity","BS_TOT_ASSET","FQ3 2022","FQ3 2022","Currency=USD","Period=FQ","BEST_FPERIOD_OVERRIDE=FQ","FILING_STATUS=MR","SCALING_FORMAT=MLN","Sort=A","Dates=H","DateFormat=P","Fill=—","Direction=H","UseDPDF=Y")</f>
        <v>520.09799999999996</v>
      </c>
      <c r="S37" s="19">
        <f>_xll.BDH("BLUE US Equity","BS_TOT_ASSET","FQ4 2022","FQ4 2022","Currency=USD","Period=FQ","BEST_FPERIOD_OVERRIDE=FQ","FILING_STATUS=MR","SCALING_FORMAT=MLN","Sort=A","Dates=H","DateFormat=P","Fill=—","Direction=H","UseDPDF=Y")</f>
        <v>569.81399999999996</v>
      </c>
      <c r="T37" s="19">
        <f>_xll.BDH("BLUE US Equity","BS_TOT_ASSET","FQ1 2023","FQ1 2023","Currency=USD","Period=FQ","BEST_FPERIOD_OVERRIDE=FQ","FILING_STATUS=MR","SCALING_FORMAT=MLN","Sort=A","Dates=H","DateFormat=P","Fill=—","Direction=H","UseDPDF=Y")</f>
        <v>692.73599999999999</v>
      </c>
      <c r="U37" s="19">
        <f>_xll.BDH("BLUE US Equity","BS_TOT_ASSET","FQ2 2023","FQ2 2023","Currency=USD","Period=FQ","BEST_FPERIOD_OVERRIDE=FQ","FILING_STATUS=MR","SCALING_FORMAT=MLN","Sort=A","Dates=H","DateFormat=P","Fill=—","Direction=H","UseDPDF=Y")</f>
        <v>663.39300000000003</v>
      </c>
      <c r="V37" s="19">
        <f>_xll.BDH("BLUE US Equity","BS_TOT_ASSET","FQ3 2023","FQ3 2023","Currency=USD","Period=FQ","BEST_FPERIOD_OVERRIDE=FQ","FILING_STATUS=MR","SCALING_FORMAT=MLN","Sort=A","Dates=H","DateFormat=P","Fill=—","Direction=H","UseDPDF=Y")</f>
        <v>613.60799999999995</v>
      </c>
      <c r="W37" s="19">
        <f>_xll.BDH("BLUE US Equity","BS_TOT_ASSET","FQ4 2023","FQ4 2023","Currency=USD","Period=FQ","BEST_FPERIOD_OVERRIDE=FQ","FILING_STATUS=MR","SCALING_FORMAT=MLN","Sort=A","Dates=H","DateFormat=P","Fill=—","Direction=H","UseDPDF=Y")</f>
        <v>619.16099999999994</v>
      </c>
      <c r="X37" s="19">
        <f>_xll.BDH("BLUE US Equity","BS_TOT_ASSET","FQ1 2024","FQ1 2024","Currency=USD","Period=FQ","BEST_FPERIOD_OVERRIDE=FQ","FILING_STATUS=MR","SCALING_FORMAT=MLN","Sort=A","Dates=H","DateFormat=P","Fill=—","Direction=H","UseDPDF=Y")</f>
        <v>631.48299999999995</v>
      </c>
      <c r="Y37" s="19">
        <f>_xll.BDH("BLUE US Equity","BS_TOT_ASSET","FQ2 2024","FQ2 2024","Currency=USD","Period=FQ","BEST_FPERIOD_OVERRIDE=FQ","FILING_STATUS=MR","SCALING_FORMAT=MLN","Sort=A","Dates=H","DateFormat=P","Fill=—","Direction=H","UseDPDF=Y")</f>
        <v>545.19299999999998</v>
      </c>
      <c r="Z37" s="19">
        <f>_xll.BDH("BLUE US Equity","BS_TOT_ASSET","FQ3 2024","FQ3 2024","Currency=USD","Period=FQ","BEST_FPERIOD_OVERRIDE=FQ","FILING_STATUS=MR","SCALING_FORMAT=MLN","Sort=A","Dates=H","DateFormat=P","Fill=—","Direction=H","UseDPDF=Y")</f>
        <v>465.05599999999998</v>
      </c>
      <c r="AA37" s="19">
        <f>_xll.BDH("BLUE US Equity","BS_TOT_ASSET","FQ4 2024","FQ4 2024","Currency=USD","Period=FQ","BEST_FPERIOD_OVERRIDE=FQ","FILING_STATUS=MR","SCALING_FORMAT=MLN","Sort=A","Dates=H","DateFormat=P","Fill=—","Direction=H","UseDPDF=Y")</f>
        <v>460.23200000000003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649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650</v>
      </c>
      <c r="B40" s="10" t="s">
        <v>651</v>
      </c>
      <c r="C40" s="13">
        <f>_xll.BDH("BLUE US Equity","ACCT_PAYABLE_ACCRUALS_DETAILED","FQ4 2018","FQ4 2018","Currency=USD","Period=FQ","BEST_FPERIOD_OVERRIDE=FQ","FILING_STATUS=MR","SCALING_FORMAT=MLN","Sort=A","Dates=H","DateFormat=P","Fill=—","Direction=H","UseDPDF=Y")</f>
        <v>117.224</v>
      </c>
      <c r="D40" s="13">
        <f>_xll.BDH("BLUE US Equity","ACCT_PAYABLE_ACCRUALS_DETAILED","FQ1 2019","FQ1 2019","Currency=USD","Period=FQ","BEST_FPERIOD_OVERRIDE=FQ","FILING_STATUS=MR","SCALING_FORMAT=MLN","Sort=A","Dates=H","DateFormat=P","Fill=—","Direction=H","UseDPDF=Y")</f>
        <v>106.393</v>
      </c>
      <c r="E40" s="13">
        <f>_xll.BDH("BLUE US Equity","ACCT_PAYABLE_ACCRUALS_DETAILED","FQ2 2019","FQ2 2019","Currency=USD","Period=FQ","BEST_FPERIOD_OVERRIDE=FQ","FILING_STATUS=MR","SCALING_FORMAT=MLN","Sort=A","Dates=H","DateFormat=P","Fill=—","Direction=H","UseDPDF=Y")</f>
        <v>120.563</v>
      </c>
      <c r="F40" s="13">
        <f>_xll.BDH("BLUE US Equity","ACCT_PAYABLE_ACCRUALS_DETAILED","FQ3 2019","FQ3 2019","Currency=USD","Period=FQ","BEST_FPERIOD_OVERRIDE=FQ","FILING_STATUS=MR","SCALING_FORMAT=MLN","Sort=A","Dates=H","DateFormat=P","Fill=—","Direction=H","UseDPDF=Y")</f>
        <v>154.35300000000001</v>
      </c>
      <c r="G40" s="13">
        <f>_xll.BDH("BLUE US Equity","ACCT_PAYABLE_ACCRUALS_DETAILED","FQ4 2019","FQ4 2019","Currency=USD","Period=FQ","BEST_FPERIOD_OVERRIDE=FQ","FILING_STATUS=MR","SCALING_FORMAT=MLN","Sort=A","Dates=H","DateFormat=P","Fill=—","Direction=H","UseDPDF=Y")</f>
        <v>184.55099999999999</v>
      </c>
      <c r="H40" s="13">
        <f>_xll.BDH("BLUE US Equity","ACCT_PAYABLE_ACCRUALS_DETAILED","FQ1 2020","FQ1 2020","Currency=USD","Period=FQ","BEST_FPERIOD_OVERRIDE=FQ","FILING_STATUS=MR","SCALING_FORMAT=MLN","Sort=A","Dates=H","DateFormat=P","Fill=—","Direction=H","UseDPDF=Y")</f>
        <v>148.61799999999999</v>
      </c>
      <c r="I40" s="13">
        <f>_xll.BDH("BLUE US Equity","ACCT_PAYABLE_ACCRUALS_DETAILED","FQ2 2020","FQ2 2020","Currency=USD","Period=FQ","BEST_FPERIOD_OVERRIDE=FQ","FILING_STATUS=MR","SCALING_FORMAT=MLN","Sort=A","Dates=H","DateFormat=P","Fill=—","Direction=H","UseDPDF=Y")</f>
        <v>161.79300000000001</v>
      </c>
      <c r="J40" s="13">
        <f>_xll.BDH("BLUE US Equity","ACCT_PAYABLE_ACCRUALS_DETAILED","FQ3 2020","FQ3 2020","Currency=USD","Period=FQ","BEST_FPERIOD_OVERRIDE=FQ","FILING_STATUS=MR","SCALING_FORMAT=MLN","Sort=A","Dates=H","DateFormat=P","Fill=—","Direction=H","UseDPDF=Y")</f>
        <v>163.583</v>
      </c>
      <c r="K40" s="13">
        <f>_xll.BDH("BLUE US Equity","ACCT_PAYABLE_ACCRUALS_DETAILED","FQ4 2020","FQ4 2020","Currency=USD","Period=FQ","BEST_FPERIOD_OVERRIDE=FQ","FILING_STATUS=MR","SCALING_FORMAT=MLN","Sort=A","Dates=H","DateFormat=P","Fill=—","Direction=H","UseDPDF=Y")</f>
        <v>112.001</v>
      </c>
      <c r="L40" s="13">
        <f>_xll.BDH("BLUE US Equity","ACCT_PAYABLE_ACCRUALS_DETAILED","FQ1 2021","FQ1 2021","Currency=USD","Period=FQ","BEST_FPERIOD_OVERRIDE=FQ","FILING_STATUS=MR","SCALING_FORMAT=MLN","Sort=A","Dates=H","DateFormat=P","Fill=—","Direction=H","UseDPDF=Y")</f>
        <v>167.023</v>
      </c>
      <c r="M40" s="13">
        <f>_xll.BDH("BLUE US Equity","ACCT_PAYABLE_ACCRUALS_DETAILED","FQ2 2021","FQ2 2021","Currency=USD","Period=FQ","BEST_FPERIOD_OVERRIDE=FQ","FILING_STATUS=MR","SCALING_FORMAT=MLN","Sort=A","Dates=H","DateFormat=P","Fill=—","Direction=H","UseDPDF=Y")</f>
        <v>207.32900000000001</v>
      </c>
      <c r="N40" s="13">
        <f>_xll.BDH("BLUE US Equity","ACCT_PAYABLE_ACCRUALS_DETAILED","FQ3 2021","FQ3 2021","Currency=USD","Period=FQ","BEST_FPERIOD_OVERRIDE=FQ","FILING_STATUS=MR","SCALING_FORMAT=MLN","Sort=A","Dates=H","DateFormat=P","Fill=—","Direction=H","UseDPDF=Y")</f>
        <v>225.458</v>
      </c>
      <c r="O40" s="13">
        <f>_xll.BDH("BLUE US Equity","ACCT_PAYABLE_ACCRUALS_DETAILED","FQ4 2021","FQ4 2021","Currency=USD","Period=FQ","BEST_FPERIOD_OVERRIDE=FQ","FILING_STATUS=MR","SCALING_FORMAT=MLN","Sort=A","Dates=H","DateFormat=P","Fill=—","Direction=H","UseDPDF=Y")</f>
        <v>129.84100000000001</v>
      </c>
      <c r="P40" s="13">
        <f>_xll.BDH("BLUE US Equity","ACCT_PAYABLE_ACCRUALS_DETAILED","FQ1 2022","FQ1 2022","Currency=USD","Period=FQ","BEST_FPERIOD_OVERRIDE=FQ","FILING_STATUS=MR","SCALING_FORMAT=MLN","Sort=A","Dates=H","DateFormat=P","Fill=—","Direction=H","UseDPDF=Y")</f>
        <v>117.38200000000001</v>
      </c>
      <c r="Q40" s="13">
        <f>_xll.BDH("BLUE US Equity","ACCT_PAYABLE_ACCRUALS_DETAILED","FQ2 2022","FQ2 2022","Currency=USD","Period=FQ","BEST_FPERIOD_OVERRIDE=FQ","FILING_STATUS=MR","SCALING_FORMAT=MLN","Sort=A","Dates=H","DateFormat=P","Fill=—","Direction=H","UseDPDF=Y")</f>
        <v>100.41500000000001</v>
      </c>
      <c r="R40" s="13">
        <f>_xll.BDH("BLUE US Equity","ACCT_PAYABLE_ACCRUALS_DETAILED","FQ3 2022","FQ3 2022","Currency=USD","Period=FQ","BEST_FPERIOD_OVERRIDE=FQ","FILING_STATUS=MR","SCALING_FORMAT=MLN","Sort=A","Dates=H","DateFormat=P","Fill=—","Direction=H","UseDPDF=Y")</f>
        <v>82.936000000000007</v>
      </c>
      <c r="S40" s="13">
        <f>_xll.BDH("BLUE US Equity","ACCT_PAYABLE_ACCRUALS_DETAILED","FQ4 2022","FQ4 2022","Currency=USD","Period=FQ","BEST_FPERIOD_OVERRIDE=FQ","FILING_STATUS=MR","SCALING_FORMAT=MLN","Sort=A","Dates=H","DateFormat=P","Fill=—","Direction=H","UseDPDF=Y")</f>
        <v>68.331000000000003</v>
      </c>
      <c r="T40" s="13">
        <f>_xll.BDH("BLUE US Equity","ACCT_PAYABLE_ACCRUALS_DETAILED","FQ1 2023","FQ1 2023","Currency=USD","Period=FQ","BEST_FPERIOD_OVERRIDE=FQ","FILING_STATUS=MR","SCALING_FORMAT=MLN","Sort=A","Dates=H","DateFormat=P","Fill=—","Direction=H","UseDPDF=Y")</f>
        <v>64.528999999999996</v>
      </c>
      <c r="U40" s="13">
        <f>_xll.BDH("BLUE US Equity","ACCT_PAYABLE_ACCRUALS_DETAILED","FQ2 2023","FQ2 2023","Currency=USD","Period=FQ","BEST_FPERIOD_OVERRIDE=FQ","FILING_STATUS=MR","SCALING_FORMAT=MLN","Sort=A","Dates=H","DateFormat=P","Fill=—","Direction=H","UseDPDF=Y")</f>
        <v>67.424999999999997</v>
      </c>
      <c r="V40" s="13">
        <f>_xll.BDH("BLUE US Equity","ACCT_PAYABLE_ACCRUALS_DETAILED","FQ3 2023","FQ3 2023","Currency=USD","Period=FQ","BEST_FPERIOD_OVERRIDE=FQ","FILING_STATUS=MR","SCALING_FORMAT=MLN","Sort=A","Dates=H","DateFormat=P","Fill=—","Direction=H","UseDPDF=Y")</f>
        <v>77.62</v>
      </c>
      <c r="W40" s="13">
        <f>_xll.BDH("BLUE US Equity","ACCT_PAYABLE_ACCRUALS_DETAILED","FQ4 2023","FQ4 2023","Currency=USD","Period=FQ","BEST_FPERIOD_OVERRIDE=FQ","FILING_STATUS=MR","SCALING_FORMAT=MLN","Sort=A","Dates=H","DateFormat=P","Fill=—","Direction=H","UseDPDF=Y")</f>
        <v>91.686000000000007</v>
      </c>
      <c r="X40" s="13">
        <f>_xll.BDH("BLUE US Equity","ACCT_PAYABLE_ACCRUALS_DETAILED","FQ1 2024","FQ1 2024","Currency=USD","Period=FQ","BEST_FPERIOD_OVERRIDE=FQ","FILING_STATUS=MR","SCALING_FORMAT=MLN","Sort=A","Dates=H","DateFormat=P","Fill=—","Direction=H","UseDPDF=Y")</f>
        <v>83.483000000000004</v>
      </c>
      <c r="Y40" s="13">
        <f>_xll.BDH("BLUE US Equity","ACCT_PAYABLE_ACCRUALS_DETAILED","FQ2 2024","FQ2 2024","Currency=USD","Period=FQ","BEST_FPERIOD_OVERRIDE=FQ","FILING_STATUS=MR","SCALING_FORMAT=MLN","Sort=A","Dates=H","DateFormat=P","Fill=—","Direction=H","UseDPDF=Y")</f>
        <v>96.48</v>
      </c>
      <c r="Z40" s="13">
        <f>_xll.BDH("BLUE US Equity","ACCT_PAYABLE_ACCRUALS_DETAILED","FQ3 2024","FQ3 2024","Currency=USD","Period=FQ","BEST_FPERIOD_OVERRIDE=FQ","FILING_STATUS=MR","SCALING_FORMAT=MLN","Sort=A","Dates=H","DateFormat=P","Fill=—","Direction=H","UseDPDF=Y")</f>
        <v>94.66</v>
      </c>
      <c r="AA40" s="13">
        <f>_xll.BDH("BLUE US Equity","ACCT_PAYABLE_ACCRUALS_DETAILED","FQ4 2024","FQ4 2024","Currency=USD","Period=FQ","BEST_FPERIOD_OVERRIDE=FQ","FILING_STATUS=MR","SCALING_FORMAT=MLN","Sort=A","Dates=H","DateFormat=P","Fill=—","Direction=H","UseDPDF=Y")</f>
        <v>120.291</v>
      </c>
    </row>
    <row r="41" spans="1:27" x14ac:dyDescent="0.25">
      <c r="A41" s="10" t="s">
        <v>652</v>
      </c>
      <c r="B41" s="10" t="s">
        <v>653</v>
      </c>
      <c r="C41" s="13">
        <f>_xll.BDH("BLUE US Equity","BS_ACCT_PAYABLE","FQ4 2018","FQ4 2018","Currency=USD","Period=FQ","BEST_FPERIOD_OVERRIDE=FQ","FILING_STATUS=MR","SCALING_FORMAT=MLN","Sort=A","Dates=H","DateFormat=P","Fill=—","Direction=H","UseDPDF=Y")</f>
        <v>17.831</v>
      </c>
      <c r="D41" s="13">
        <f>_xll.BDH("BLUE US Equity","BS_ACCT_PAYABLE","FQ1 2019","FQ1 2019","Currency=USD","Period=FQ","BEST_FPERIOD_OVERRIDE=FQ","FILING_STATUS=MR","SCALING_FORMAT=MLN","Sort=A","Dates=H","DateFormat=P","Fill=—","Direction=H","UseDPDF=Y")</f>
        <v>30.241</v>
      </c>
      <c r="E41" s="13">
        <f>_xll.BDH("BLUE US Equity","BS_ACCT_PAYABLE","FQ2 2019","FQ2 2019","Currency=USD","Period=FQ","BEST_FPERIOD_OVERRIDE=FQ","FILING_STATUS=MR","SCALING_FORMAT=MLN","Sort=A","Dates=H","DateFormat=P","Fill=—","Direction=H","UseDPDF=Y")</f>
        <v>29.457999999999998</v>
      </c>
      <c r="F41" s="13">
        <f>_xll.BDH("BLUE US Equity","BS_ACCT_PAYABLE","FQ3 2019","FQ3 2019","Currency=USD","Period=FQ","BEST_FPERIOD_OVERRIDE=FQ","FILING_STATUS=MR","SCALING_FORMAT=MLN","Sort=A","Dates=H","DateFormat=P","Fill=—","Direction=H","UseDPDF=Y")</f>
        <v>41.874000000000002</v>
      </c>
      <c r="G41" s="13">
        <f>_xll.BDH("BLUE US Equity","BS_ACCT_PAYABLE","FQ4 2019","FQ4 2019","Currency=USD","Period=FQ","BEST_FPERIOD_OVERRIDE=FQ","FILING_STATUS=MR","SCALING_FORMAT=MLN","Sort=A","Dates=H","DateFormat=P","Fill=—","Direction=H","UseDPDF=Y")</f>
        <v>42.994999999999997</v>
      </c>
      <c r="H41" s="13">
        <f>_xll.BDH("BLUE US Equity","BS_ACCT_PAYABLE","FQ1 2020","FQ1 2020","Currency=USD","Period=FQ","BEST_FPERIOD_OVERRIDE=FQ","FILING_STATUS=MR","SCALING_FORMAT=MLN","Sort=A","Dates=H","DateFormat=P","Fill=—","Direction=H","UseDPDF=Y")</f>
        <v>30.527000000000001</v>
      </c>
      <c r="I41" s="13">
        <f>_xll.BDH("BLUE US Equity","BS_ACCT_PAYABLE","FQ2 2020","FQ2 2020","Currency=USD","Period=FQ","BEST_FPERIOD_OVERRIDE=FQ","FILING_STATUS=MR","SCALING_FORMAT=MLN","Sort=A","Dates=H","DateFormat=P","Fill=—","Direction=H","UseDPDF=Y")</f>
        <v>26.181000000000001</v>
      </c>
      <c r="J41" s="13">
        <f>_xll.BDH("BLUE US Equity","BS_ACCT_PAYABLE","FQ3 2020","FQ3 2020","Currency=USD","Period=FQ","BEST_FPERIOD_OVERRIDE=FQ","FILING_STATUS=MR","SCALING_FORMAT=MLN","Sort=A","Dates=H","DateFormat=P","Fill=—","Direction=H","UseDPDF=Y")</f>
        <v>25.309000000000001</v>
      </c>
      <c r="K41" s="13">
        <f>_xll.BDH("BLUE US Equity","BS_ACCT_PAYABLE","FQ4 2020","FQ4 2020","Currency=USD","Period=FQ","BEST_FPERIOD_OVERRIDE=FQ","FILING_STATUS=MR","SCALING_FORMAT=MLN","Sort=A","Dates=H","DateFormat=P","Fill=—","Direction=H","UseDPDF=Y")</f>
        <v>13.811</v>
      </c>
      <c r="L41" s="13">
        <f>_xll.BDH("BLUE US Equity","BS_ACCT_PAYABLE","FQ1 2021","FQ1 2021","Currency=USD","Period=FQ","BEST_FPERIOD_OVERRIDE=FQ","FILING_STATUS=MR","SCALING_FORMAT=MLN","Sort=A","Dates=H","DateFormat=P","Fill=—","Direction=H","UseDPDF=Y")</f>
        <v>20.231999999999999</v>
      </c>
      <c r="M41" s="13">
        <f>_xll.BDH("BLUE US Equity","BS_ACCT_PAYABLE","FQ2 2021","FQ2 2021","Currency=USD","Period=FQ","BEST_FPERIOD_OVERRIDE=FQ","FILING_STATUS=MR","SCALING_FORMAT=MLN","Sort=A","Dates=H","DateFormat=P","Fill=—","Direction=H","UseDPDF=Y")</f>
        <v>39.293999999999997</v>
      </c>
      <c r="N41" s="13">
        <f>_xll.BDH("BLUE US Equity","BS_ACCT_PAYABLE","FQ3 2021","FQ3 2021","Currency=USD","Period=FQ","BEST_FPERIOD_OVERRIDE=FQ","FILING_STATUS=MR","SCALING_FORMAT=MLN","Sort=A","Dates=H","DateFormat=P","Fill=—","Direction=H","UseDPDF=Y")</f>
        <v>21.667999999999999</v>
      </c>
      <c r="O41" s="13">
        <f>_xll.BDH("BLUE US Equity","BS_ACCT_PAYABLE","FQ4 2021","FQ4 2021","Currency=USD","Period=FQ","BEST_FPERIOD_OVERRIDE=FQ","FILING_STATUS=MR","SCALING_FORMAT=MLN","Sort=A","Dates=H","DateFormat=P","Fill=—","Direction=H","UseDPDF=Y")</f>
        <v>25.882999999999999</v>
      </c>
      <c r="P41" s="13">
        <f>_xll.BDH("BLUE US Equity","BS_ACCT_PAYABLE","FQ1 2022","FQ1 2022","Currency=USD","Period=FQ","BEST_FPERIOD_OVERRIDE=FQ","FILING_STATUS=MR","SCALING_FORMAT=MLN","Sort=A","Dates=H","DateFormat=P","Fill=—","Direction=H","UseDPDF=Y")</f>
        <v>28.35</v>
      </c>
      <c r="Q41" s="13">
        <f>_xll.BDH("BLUE US Equity","BS_ACCT_PAYABLE","FQ2 2022","FQ2 2022","Currency=USD","Period=FQ","BEST_FPERIOD_OVERRIDE=FQ","FILING_STATUS=MR","SCALING_FORMAT=MLN","Sort=A","Dates=H","DateFormat=P","Fill=—","Direction=H","UseDPDF=Y")</f>
        <v>24.864999999999998</v>
      </c>
      <c r="R41" s="13">
        <f>_xll.BDH("BLUE US Equity","BS_ACCT_PAYABLE","FQ3 2022","FQ3 2022","Currency=USD","Period=FQ","BEST_FPERIOD_OVERRIDE=FQ","FILING_STATUS=MR","SCALING_FORMAT=MLN","Sort=A","Dates=H","DateFormat=P","Fill=—","Direction=H","UseDPDF=Y")</f>
        <v>18.622</v>
      </c>
      <c r="S41" s="13">
        <f>_xll.BDH("BLUE US Equity","BS_ACCT_PAYABLE","FQ4 2022","FQ4 2022","Currency=USD","Period=FQ","BEST_FPERIOD_OVERRIDE=FQ","FILING_STATUS=MR","SCALING_FORMAT=MLN","Sort=A","Dates=H","DateFormat=P","Fill=—","Direction=H","UseDPDF=Y")</f>
        <v>14.867000000000001</v>
      </c>
      <c r="T41" s="13">
        <f>_xll.BDH("BLUE US Equity","BS_ACCT_PAYABLE","FQ1 2023","FQ1 2023","Currency=USD","Period=FQ","BEST_FPERIOD_OVERRIDE=FQ","FILING_STATUS=MR","SCALING_FORMAT=MLN","Sort=A","Dates=H","DateFormat=P","Fill=—","Direction=H","UseDPDF=Y")</f>
        <v>19.234999999999999</v>
      </c>
      <c r="U41" s="13">
        <f>_xll.BDH("BLUE US Equity","BS_ACCT_PAYABLE","FQ2 2023","FQ2 2023","Currency=USD","Period=FQ","BEST_FPERIOD_OVERRIDE=FQ","FILING_STATUS=MR","SCALING_FORMAT=MLN","Sort=A","Dates=H","DateFormat=P","Fill=—","Direction=H","UseDPDF=Y")</f>
        <v>10.894</v>
      </c>
      <c r="V41" s="13">
        <f>_xll.BDH("BLUE US Equity","BS_ACCT_PAYABLE","FQ3 2023","FQ3 2023","Currency=USD","Period=FQ","BEST_FPERIOD_OVERRIDE=FQ","FILING_STATUS=MR","SCALING_FORMAT=MLN","Sort=A","Dates=H","DateFormat=P","Fill=—","Direction=H","UseDPDF=Y")</f>
        <v>19.852</v>
      </c>
      <c r="W41" s="13">
        <f>_xll.BDH("BLUE US Equity","BS_ACCT_PAYABLE","FQ4 2023","FQ4 2023","Currency=USD","Period=FQ","BEST_FPERIOD_OVERRIDE=FQ","FILING_STATUS=MR","SCALING_FORMAT=MLN","Sort=A","Dates=H","DateFormat=P","Fill=—","Direction=H","UseDPDF=Y")</f>
        <v>18.498000000000001</v>
      </c>
      <c r="X41" s="13">
        <f>_xll.BDH("BLUE US Equity","BS_ACCT_PAYABLE","FQ1 2024","FQ1 2024","Currency=USD","Period=FQ","BEST_FPERIOD_OVERRIDE=FQ","FILING_STATUS=MR","SCALING_FORMAT=MLN","Sort=A","Dates=H","DateFormat=P","Fill=—","Direction=H","UseDPDF=Y")</f>
        <v>19.387</v>
      </c>
      <c r="Y41" s="13">
        <f>_xll.BDH("BLUE US Equity","BS_ACCT_PAYABLE","FQ2 2024","FQ2 2024","Currency=USD","Period=FQ","BEST_FPERIOD_OVERRIDE=FQ","FILING_STATUS=MR","SCALING_FORMAT=MLN","Sort=A","Dates=H","DateFormat=P","Fill=—","Direction=H","UseDPDF=Y")</f>
        <v>30.591000000000001</v>
      </c>
      <c r="Z41" s="13">
        <f>_xll.BDH("BLUE US Equity","BS_ACCT_PAYABLE","FQ3 2024","FQ3 2024","Currency=USD","Period=FQ","BEST_FPERIOD_OVERRIDE=FQ","FILING_STATUS=MR","SCALING_FORMAT=MLN","Sort=A","Dates=H","DateFormat=P","Fill=—","Direction=H","UseDPDF=Y")</f>
        <v>24.481000000000002</v>
      </c>
      <c r="AA41" s="13">
        <f>_xll.BDH("BLUE US Equity","BS_ACCT_PAYABLE","FQ4 2024","FQ4 2024","Currency=USD","Period=FQ","BEST_FPERIOD_OVERRIDE=FQ","FILING_STATUS=MR","SCALING_FORMAT=MLN","Sort=A","Dates=H","DateFormat=P","Fill=—","Direction=H","UseDPDF=Y")</f>
        <v>34.316000000000003</v>
      </c>
    </row>
    <row r="42" spans="1:27" x14ac:dyDescent="0.25">
      <c r="A42" s="10" t="s">
        <v>654</v>
      </c>
      <c r="B42" s="10" t="s">
        <v>655</v>
      </c>
      <c r="C42" s="13">
        <f>_xll.BDH("BLUE US Equity","BS_TAXES_PAYABLE","FQ4 2018","FQ4 2018","Currency=USD","Period=FQ","BEST_FPERIOD_OVERRIDE=FQ","FILING_STATUS=MR","SCALING_FORMAT=MLN","Sort=A","Dates=H","DateFormat=P","Fill=—","Direction=H","UseDPDF=Y")</f>
        <v>0</v>
      </c>
      <c r="D42" s="13" t="str">
        <f>_xll.BDH("BLUE US Equity","BS_TAXES_PAYABLE","FQ1 2019","FQ1 2019","Currency=USD","Period=FQ","BEST_FPERIOD_OVERRIDE=FQ","FILING_STATUS=MR","SCALING_FORMAT=MLN","Sort=A","Dates=H","DateFormat=P","Fill=—","Direction=H","UseDPDF=Y")</f>
        <v>—</v>
      </c>
      <c r="E42" s="13" t="str">
        <f>_xll.BDH("BLUE US Equity","BS_TAXES_PAYABLE","FQ2 2019","FQ2 2019","Currency=USD","Period=FQ","BEST_FPERIOD_OVERRIDE=FQ","FILING_STATUS=MR","SCALING_FORMAT=MLN","Sort=A","Dates=H","DateFormat=P","Fill=—","Direction=H","UseDPDF=Y")</f>
        <v>—</v>
      </c>
      <c r="F42" s="13" t="str">
        <f>_xll.BDH("BLUE US Equity","BS_TAXES_PAYABLE","FQ3 2019","FQ3 2019","Currency=USD","Period=FQ","BEST_FPERIOD_OVERRIDE=FQ","FILING_STATUS=MR","SCALING_FORMAT=MLN","Sort=A","Dates=H","DateFormat=P","Fill=—","Direction=H","UseDPDF=Y")</f>
        <v>—</v>
      </c>
      <c r="G42" s="13">
        <f>_xll.BDH("BLUE US Equity","BS_TAXES_PAYABLE","FQ4 2019","FQ4 2019","Currency=USD","Period=FQ","BEST_FPERIOD_OVERRIDE=FQ","FILING_STATUS=MR","SCALING_FORMAT=MLN","Sort=A","Dates=H","DateFormat=P","Fill=—","Direction=H","UseDPDF=Y")</f>
        <v>0</v>
      </c>
      <c r="H42" s="13" t="str">
        <f>_xll.BDH("BLUE US Equity","BS_TAXES_PAYABLE","FQ1 2020","FQ1 2020","Currency=USD","Period=FQ","BEST_FPERIOD_OVERRIDE=FQ","FILING_STATUS=MR","SCALING_FORMAT=MLN","Sort=A","Dates=H","DateFormat=P","Fill=—","Direction=H","UseDPDF=Y")</f>
        <v>—</v>
      </c>
      <c r="I42" s="13" t="str">
        <f>_xll.BDH("BLUE US Equity","BS_TAXES_PAYABLE","FQ2 2020","FQ2 2020","Currency=USD","Period=FQ","BEST_FPERIOD_OVERRIDE=FQ","FILING_STATUS=MR","SCALING_FORMAT=MLN","Sort=A","Dates=H","DateFormat=P","Fill=—","Direction=H","UseDPDF=Y")</f>
        <v>—</v>
      </c>
      <c r="J42" s="13" t="str">
        <f>_xll.BDH("BLUE US Equity","BS_TAXES_PAYABLE","FQ3 2020","FQ3 2020","Currency=USD","Period=FQ","BEST_FPERIOD_OVERRIDE=FQ","FILING_STATUS=MR","SCALING_FORMAT=MLN","Sort=A","Dates=H","DateFormat=P","Fill=—","Direction=H","UseDPDF=Y")</f>
        <v>—</v>
      </c>
      <c r="K42" s="13">
        <f>_xll.BDH("BLUE US Equity","BS_TAXES_PAYABLE","FQ4 2020","FQ4 2020","Currency=USD","Period=FQ","BEST_FPERIOD_OVERRIDE=FQ","FILING_STATUS=MR","SCALING_FORMAT=MLN","Sort=A","Dates=H","DateFormat=P","Fill=—","Direction=H","UseDPDF=Y")</f>
        <v>0</v>
      </c>
      <c r="L42" s="13" t="str">
        <f>_xll.BDH("BLUE US Equity","BS_TAXES_PAYABLE","FQ1 2021","FQ1 2021","Currency=USD","Period=FQ","BEST_FPERIOD_OVERRIDE=FQ","FILING_STATUS=MR","SCALING_FORMAT=MLN","Sort=A","Dates=H","DateFormat=P","Fill=—","Direction=H","UseDPDF=Y")</f>
        <v>—</v>
      </c>
      <c r="M42" s="13" t="str">
        <f>_xll.BDH("BLUE US Equity","BS_TAXES_PAYABLE","FQ2 2021","FQ2 2021","Currency=USD","Period=FQ","BEST_FPERIOD_OVERRIDE=FQ","FILING_STATUS=MR","SCALING_FORMAT=MLN","Sort=A","Dates=H","DateFormat=P","Fill=—","Direction=H","UseDPDF=Y")</f>
        <v>—</v>
      </c>
      <c r="N42" s="13" t="str">
        <f>_xll.BDH("BLUE US Equity","BS_TAXES_PAYABLE","FQ3 2021","FQ3 2021","Currency=USD","Period=FQ","BEST_FPERIOD_OVERRIDE=FQ","FILING_STATUS=MR","SCALING_FORMAT=MLN","Sort=A","Dates=H","DateFormat=P","Fill=—","Direction=H","UseDPDF=Y")</f>
        <v>—</v>
      </c>
      <c r="O42" s="13">
        <f>_xll.BDH("BLUE US Equity","BS_TAXES_PAYABLE","FQ4 2021","FQ4 2021","Currency=USD","Period=FQ","BEST_FPERIOD_OVERRIDE=FQ","FILING_STATUS=MR","SCALING_FORMAT=MLN","Sort=A","Dates=H","DateFormat=P","Fill=—","Direction=H","UseDPDF=Y")</f>
        <v>0</v>
      </c>
      <c r="P42" s="13" t="str">
        <f>_xll.BDH("BLUE US Equity","BS_TAXES_PAYABLE","FQ1 2022","FQ1 2022","Currency=USD","Period=FQ","BEST_FPERIOD_OVERRIDE=FQ","FILING_STATUS=MR","SCALING_FORMAT=MLN","Sort=A","Dates=H","DateFormat=P","Fill=—","Direction=H","UseDPDF=Y")</f>
        <v>—</v>
      </c>
      <c r="Q42" s="13" t="str">
        <f>_xll.BDH("BLUE US Equity","BS_TAXES_PAYABLE","FQ2 2022","FQ2 2022","Currency=USD","Period=FQ","BEST_FPERIOD_OVERRIDE=FQ","FILING_STATUS=MR","SCALING_FORMAT=MLN","Sort=A","Dates=H","DateFormat=P","Fill=—","Direction=H","UseDPDF=Y")</f>
        <v>—</v>
      </c>
      <c r="R42" s="13" t="str">
        <f>_xll.BDH("BLUE US Equity","BS_TAXES_PAYABLE","FQ3 2022","FQ3 2022","Currency=USD","Period=FQ","BEST_FPERIOD_OVERRIDE=FQ","FILING_STATUS=MR","SCALING_FORMAT=MLN","Sort=A","Dates=H","DateFormat=P","Fill=—","Direction=H","UseDPDF=Y")</f>
        <v>—</v>
      </c>
      <c r="S42" s="13">
        <f>_xll.BDH("BLUE US Equity","BS_TAXES_PAYABLE","FQ4 2022","FQ4 2022","Currency=USD","Period=FQ","BEST_FPERIOD_OVERRIDE=FQ","FILING_STATUS=MR","SCALING_FORMAT=MLN","Sort=A","Dates=H","DateFormat=P","Fill=—","Direction=H","UseDPDF=Y")</f>
        <v>0</v>
      </c>
      <c r="T42" s="13" t="str">
        <f>_xll.BDH("BLUE US Equity","BS_TAXES_PAYABLE","FQ1 2023","FQ1 2023","Currency=USD","Period=FQ","BEST_FPERIOD_OVERRIDE=FQ","FILING_STATUS=MR","SCALING_FORMAT=MLN","Sort=A","Dates=H","DateFormat=P","Fill=—","Direction=H","UseDPDF=Y")</f>
        <v>—</v>
      </c>
      <c r="U42" s="13" t="str">
        <f>_xll.BDH("BLUE US Equity","BS_TAXES_PAYABLE","FQ2 2023","FQ2 2023","Currency=USD","Period=FQ","BEST_FPERIOD_OVERRIDE=FQ","FILING_STATUS=MR","SCALING_FORMAT=MLN","Sort=A","Dates=H","DateFormat=P","Fill=—","Direction=H","UseDPDF=Y")</f>
        <v>—</v>
      </c>
      <c r="V42" s="13" t="str">
        <f>_xll.BDH("BLUE US Equity","BS_TAXES_PAYABLE","FQ3 2023","FQ3 2023","Currency=USD","Period=FQ","BEST_FPERIOD_OVERRIDE=FQ","FILING_STATUS=MR","SCALING_FORMAT=MLN","Sort=A","Dates=H","DateFormat=P","Fill=—","Direction=H","UseDPDF=Y")</f>
        <v>—</v>
      </c>
      <c r="W42" s="13">
        <f>_xll.BDH("BLUE US Equity","BS_TAXES_PAYABLE","FQ4 2023","FQ4 2023","Currency=USD","Period=FQ","BEST_FPERIOD_OVERRIDE=FQ","FILING_STATUS=MR","SCALING_FORMAT=MLN","Sort=A","Dates=H","DateFormat=P","Fill=—","Direction=H","UseDPDF=Y")</f>
        <v>0</v>
      </c>
      <c r="X42" s="13" t="str">
        <f>_xll.BDH("BLUE US Equity","BS_TAXES_PAYABLE","FQ1 2024","FQ1 2024","Currency=USD","Period=FQ","BEST_FPERIOD_OVERRIDE=FQ","FILING_STATUS=MR","SCALING_FORMAT=MLN","Sort=A","Dates=H","DateFormat=P","Fill=—","Direction=H","UseDPDF=Y")</f>
        <v>—</v>
      </c>
      <c r="Y42" s="13" t="str">
        <f>_xll.BDH("BLUE US Equity","BS_TAXES_PAYABLE","FQ2 2024","FQ2 2024","Currency=USD","Period=FQ","BEST_FPERIOD_OVERRIDE=FQ","FILING_STATUS=MR","SCALING_FORMAT=MLN","Sort=A","Dates=H","DateFormat=P","Fill=—","Direction=H","UseDPDF=Y")</f>
        <v>—</v>
      </c>
      <c r="Z42" s="13" t="str">
        <f>_xll.BDH("BLUE US Equity","BS_TAXES_PAYABLE","FQ3 2024","FQ3 2024","Currency=USD","Period=FQ","BEST_FPERIOD_OVERRIDE=FQ","FILING_STATUS=MR","SCALING_FORMAT=MLN","Sort=A","Dates=H","DateFormat=P","Fill=—","Direction=H","UseDPDF=Y")</f>
        <v>—</v>
      </c>
      <c r="AA42" s="13">
        <f>_xll.BDH("BLUE US Equity","BS_TAXES_PAYABLE","FQ4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656</v>
      </c>
      <c r="B43" s="10" t="s">
        <v>657</v>
      </c>
      <c r="C43" s="13">
        <f>_xll.BDH("BLUE US Equity","INTEREST_DIVIDENDS_PAYABLE","FQ4 2018","FQ4 2018","Currency=USD","Period=FQ","BEST_FPERIOD_OVERRIDE=FQ","FILING_STATUS=MR","SCALING_FORMAT=MLN","Sort=A","Dates=H","DateFormat=P","Fill=—","Direction=H","UseDPDF=Y")</f>
        <v>0</v>
      </c>
      <c r="D43" s="13" t="str">
        <f>_xll.BDH("BLUE US Equity","INTEREST_DIVIDENDS_PAYABLE","FQ1 2019","FQ1 2019","Currency=USD","Period=FQ","BEST_FPERIOD_OVERRIDE=FQ","FILING_STATUS=MR","SCALING_FORMAT=MLN","Sort=A","Dates=H","DateFormat=P","Fill=—","Direction=H","UseDPDF=Y")</f>
        <v>—</v>
      </c>
      <c r="E43" s="13" t="str">
        <f>_xll.BDH("BLUE US Equity","INTEREST_DIVIDENDS_PAYABLE","FQ2 2019","FQ2 2019","Currency=USD","Period=FQ","BEST_FPERIOD_OVERRIDE=FQ","FILING_STATUS=MR","SCALING_FORMAT=MLN","Sort=A","Dates=H","DateFormat=P","Fill=—","Direction=H","UseDPDF=Y")</f>
        <v>—</v>
      </c>
      <c r="F43" s="13" t="str">
        <f>_xll.BDH("BLUE US Equity","INTEREST_DIVIDENDS_PAYABLE","FQ3 2019","FQ3 2019","Currency=USD","Period=FQ","BEST_FPERIOD_OVERRIDE=FQ","FILING_STATUS=MR","SCALING_FORMAT=MLN","Sort=A","Dates=H","DateFormat=P","Fill=—","Direction=H","UseDPDF=Y")</f>
        <v>—</v>
      </c>
      <c r="G43" s="13">
        <f>_xll.BDH("BLUE US Equity","INTEREST_DIVIDENDS_PAYABLE","FQ4 2019","FQ4 2019","Currency=USD","Period=FQ","BEST_FPERIOD_OVERRIDE=FQ","FILING_STATUS=MR","SCALING_FORMAT=MLN","Sort=A","Dates=H","DateFormat=P","Fill=—","Direction=H","UseDPDF=Y")</f>
        <v>0</v>
      </c>
      <c r="H43" s="13" t="str">
        <f>_xll.BDH("BLUE US Equity","INTEREST_DIVIDENDS_PAYABLE","FQ1 2020","FQ1 2020","Currency=USD","Period=FQ","BEST_FPERIOD_OVERRIDE=FQ","FILING_STATUS=MR","SCALING_FORMAT=MLN","Sort=A","Dates=H","DateFormat=P","Fill=—","Direction=H","UseDPDF=Y")</f>
        <v>—</v>
      </c>
      <c r="I43" s="13" t="str">
        <f>_xll.BDH("BLUE US Equity","INTEREST_DIVIDENDS_PAYABLE","FQ2 2020","FQ2 2020","Currency=USD","Period=FQ","BEST_FPERIOD_OVERRIDE=FQ","FILING_STATUS=MR","SCALING_FORMAT=MLN","Sort=A","Dates=H","DateFormat=P","Fill=—","Direction=H","UseDPDF=Y")</f>
        <v>—</v>
      </c>
      <c r="J43" s="13" t="str">
        <f>_xll.BDH("BLUE US Equity","INTEREST_DIVIDENDS_PAYABLE","FQ3 2020","FQ3 2020","Currency=USD","Period=FQ","BEST_FPERIOD_OVERRIDE=FQ","FILING_STATUS=MR","SCALING_FORMAT=MLN","Sort=A","Dates=H","DateFormat=P","Fill=—","Direction=H","UseDPDF=Y")</f>
        <v>—</v>
      </c>
      <c r="K43" s="13">
        <f>_xll.BDH("BLUE US Equity","INTEREST_DIVIDENDS_PAYABLE","FQ4 2020","FQ4 2020","Currency=USD","Period=FQ","BEST_FPERIOD_OVERRIDE=FQ","FILING_STATUS=MR","SCALING_FORMAT=MLN","Sort=A","Dates=H","DateFormat=P","Fill=—","Direction=H","UseDPDF=Y")</f>
        <v>0</v>
      </c>
      <c r="L43" s="13" t="str">
        <f>_xll.BDH("BLUE US Equity","INTEREST_DIVIDENDS_PAYABLE","FQ1 2021","FQ1 2021","Currency=USD","Period=FQ","BEST_FPERIOD_OVERRIDE=FQ","FILING_STATUS=MR","SCALING_FORMAT=MLN","Sort=A","Dates=H","DateFormat=P","Fill=—","Direction=H","UseDPDF=Y")</f>
        <v>—</v>
      </c>
      <c r="M43" s="13" t="str">
        <f>_xll.BDH("BLUE US Equity","INTEREST_DIVIDENDS_PAYABLE","FQ2 2021","FQ2 2021","Currency=USD","Period=FQ","BEST_FPERIOD_OVERRIDE=FQ","FILING_STATUS=MR","SCALING_FORMAT=MLN","Sort=A","Dates=H","DateFormat=P","Fill=—","Direction=H","UseDPDF=Y")</f>
        <v>—</v>
      </c>
      <c r="N43" s="13" t="str">
        <f>_xll.BDH("BLUE US Equity","INTEREST_DIVIDENDS_PAYABLE","FQ3 2021","FQ3 2021","Currency=USD","Period=FQ","BEST_FPERIOD_OVERRIDE=FQ","FILING_STATUS=MR","SCALING_FORMAT=MLN","Sort=A","Dates=H","DateFormat=P","Fill=—","Direction=H","UseDPDF=Y")</f>
        <v>—</v>
      </c>
      <c r="O43" s="13">
        <f>_xll.BDH("BLUE US Equity","INTEREST_DIVIDENDS_PAYABLE","FQ4 2021","FQ4 2021","Currency=USD","Period=FQ","BEST_FPERIOD_OVERRIDE=FQ","FILING_STATUS=MR","SCALING_FORMAT=MLN","Sort=A","Dates=H","DateFormat=P","Fill=—","Direction=H","UseDPDF=Y")</f>
        <v>0</v>
      </c>
      <c r="P43" s="13" t="str">
        <f>_xll.BDH("BLUE US Equity","INTEREST_DIVIDENDS_PAYABLE","FQ1 2022","FQ1 2022","Currency=USD","Period=FQ","BEST_FPERIOD_OVERRIDE=FQ","FILING_STATUS=MR","SCALING_FORMAT=MLN","Sort=A","Dates=H","DateFormat=P","Fill=—","Direction=H","UseDPDF=Y")</f>
        <v>—</v>
      </c>
      <c r="Q43" s="13" t="str">
        <f>_xll.BDH("BLUE US Equity","INTEREST_DIVIDENDS_PAYABLE","FQ2 2022","FQ2 2022","Currency=USD","Period=FQ","BEST_FPERIOD_OVERRIDE=FQ","FILING_STATUS=MR","SCALING_FORMAT=MLN","Sort=A","Dates=H","DateFormat=P","Fill=—","Direction=H","UseDPDF=Y")</f>
        <v>—</v>
      </c>
      <c r="R43" s="13" t="str">
        <f>_xll.BDH("BLUE US Equity","INTEREST_DIVIDENDS_PAYABLE","FQ3 2022","FQ3 2022","Currency=USD","Period=FQ","BEST_FPERIOD_OVERRIDE=FQ","FILING_STATUS=MR","SCALING_FORMAT=MLN","Sort=A","Dates=H","DateFormat=P","Fill=—","Direction=H","UseDPDF=Y")</f>
        <v>—</v>
      </c>
      <c r="S43" s="13">
        <f>_xll.BDH("BLUE US Equity","INTEREST_DIVIDENDS_PAYABLE","FQ4 2022","FQ4 2022","Currency=USD","Period=FQ","BEST_FPERIOD_OVERRIDE=FQ","FILING_STATUS=MR","SCALING_FORMAT=MLN","Sort=A","Dates=H","DateFormat=P","Fill=—","Direction=H","UseDPDF=Y")</f>
        <v>0</v>
      </c>
      <c r="T43" s="13" t="str">
        <f>_xll.BDH("BLUE US Equity","INTEREST_DIVIDENDS_PAYABLE","FQ1 2023","FQ1 2023","Currency=USD","Period=FQ","BEST_FPERIOD_OVERRIDE=FQ","FILING_STATUS=MR","SCALING_FORMAT=MLN","Sort=A","Dates=H","DateFormat=P","Fill=—","Direction=H","UseDPDF=Y")</f>
        <v>—</v>
      </c>
      <c r="U43" s="13" t="str">
        <f>_xll.BDH("BLUE US Equity","INTEREST_DIVIDENDS_PAYABLE","FQ2 2023","FQ2 2023","Currency=USD","Period=FQ","BEST_FPERIOD_OVERRIDE=FQ","FILING_STATUS=MR","SCALING_FORMAT=MLN","Sort=A","Dates=H","DateFormat=P","Fill=—","Direction=H","UseDPDF=Y")</f>
        <v>—</v>
      </c>
      <c r="V43" s="13" t="str">
        <f>_xll.BDH("BLUE US Equity","INTEREST_DIVIDENDS_PAYABLE","FQ3 2023","FQ3 2023","Currency=USD","Period=FQ","BEST_FPERIOD_OVERRIDE=FQ","FILING_STATUS=MR","SCALING_FORMAT=MLN","Sort=A","Dates=H","DateFormat=P","Fill=—","Direction=H","UseDPDF=Y")</f>
        <v>—</v>
      </c>
      <c r="W43" s="13">
        <f>_xll.BDH("BLUE US Equity","INTEREST_DIVIDENDS_PAYABLE","FQ4 2023","FQ4 2023","Currency=USD","Period=FQ","BEST_FPERIOD_OVERRIDE=FQ","FILING_STATUS=MR","SCALING_FORMAT=MLN","Sort=A","Dates=H","DateFormat=P","Fill=—","Direction=H","UseDPDF=Y")</f>
        <v>0</v>
      </c>
      <c r="X43" s="13" t="str">
        <f>_xll.BDH("BLUE US Equity","INTEREST_DIVIDENDS_PAYABLE","FQ1 2024","FQ1 2024","Currency=USD","Period=FQ","BEST_FPERIOD_OVERRIDE=FQ","FILING_STATUS=MR","SCALING_FORMAT=MLN","Sort=A","Dates=H","DateFormat=P","Fill=—","Direction=H","UseDPDF=Y")</f>
        <v>—</v>
      </c>
      <c r="Y43" s="13" t="str">
        <f>_xll.BDH("BLUE US Equity","INTEREST_DIVIDENDS_PAYABLE","FQ2 2024","FQ2 2024","Currency=USD","Period=FQ","BEST_FPERIOD_OVERRIDE=FQ","FILING_STATUS=MR","SCALING_FORMAT=MLN","Sort=A","Dates=H","DateFormat=P","Fill=—","Direction=H","UseDPDF=Y")</f>
        <v>—</v>
      </c>
      <c r="Z43" s="13" t="str">
        <f>_xll.BDH("BLUE US Equity","INTEREST_DIVIDENDS_PAYABLE","FQ3 2024","FQ3 2024","Currency=USD","Period=FQ","BEST_FPERIOD_OVERRIDE=FQ","FILING_STATUS=MR","SCALING_FORMAT=MLN","Sort=A","Dates=H","DateFormat=P","Fill=—","Direction=H","UseDPDF=Y")</f>
        <v>—</v>
      </c>
      <c r="AA43" s="13">
        <f>_xll.BDH("BLUE US Equity","INTEREST_DIVIDENDS_PAYABLE","FQ4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658</v>
      </c>
      <c r="B44" s="10" t="s">
        <v>659</v>
      </c>
      <c r="C44" s="13">
        <f>_xll.BDH("BLUE US Equity","BS_ACCRUAL","FQ4 2018","FQ4 2018","Currency=USD","Period=FQ","BEST_FPERIOD_OVERRIDE=FQ","FILING_STATUS=MR","SCALING_FORMAT=MLN","Sort=A","Dates=H","DateFormat=P","Fill=—","Direction=H","UseDPDF=Y")</f>
        <v>99.393000000000001</v>
      </c>
      <c r="D44" s="13">
        <f>_xll.BDH("BLUE US Equity","BS_ACCRUAL","FQ1 2019","FQ1 2019","Currency=USD","Period=FQ","BEST_FPERIOD_OVERRIDE=FQ","FILING_STATUS=MR","SCALING_FORMAT=MLN","Sort=A","Dates=H","DateFormat=P","Fill=—","Direction=H","UseDPDF=Y")</f>
        <v>76.152000000000001</v>
      </c>
      <c r="E44" s="13">
        <f>_xll.BDH("BLUE US Equity","BS_ACCRUAL","FQ2 2019","FQ2 2019","Currency=USD","Period=FQ","BEST_FPERIOD_OVERRIDE=FQ","FILING_STATUS=MR","SCALING_FORMAT=MLN","Sort=A","Dates=H","DateFormat=P","Fill=—","Direction=H","UseDPDF=Y")</f>
        <v>91.105000000000004</v>
      </c>
      <c r="F44" s="13">
        <f>_xll.BDH("BLUE US Equity","BS_ACCRUAL","FQ3 2019","FQ3 2019","Currency=USD","Period=FQ","BEST_FPERIOD_OVERRIDE=FQ","FILING_STATUS=MR","SCALING_FORMAT=MLN","Sort=A","Dates=H","DateFormat=P","Fill=—","Direction=H","UseDPDF=Y")</f>
        <v>112.479</v>
      </c>
      <c r="G44" s="13">
        <f>_xll.BDH("BLUE US Equity","BS_ACCRUAL","FQ4 2019","FQ4 2019","Currency=USD","Period=FQ","BEST_FPERIOD_OVERRIDE=FQ","FILING_STATUS=MR","SCALING_FORMAT=MLN","Sort=A","Dates=H","DateFormat=P","Fill=—","Direction=H","UseDPDF=Y")</f>
        <v>141.55600000000001</v>
      </c>
      <c r="H44" s="13">
        <f>_xll.BDH("BLUE US Equity","BS_ACCRUAL","FQ1 2020","FQ1 2020","Currency=USD","Period=FQ","BEST_FPERIOD_OVERRIDE=FQ","FILING_STATUS=MR","SCALING_FORMAT=MLN","Sort=A","Dates=H","DateFormat=P","Fill=—","Direction=H","UseDPDF=Y")</f>
        <v>118.09099999999999</v>
      </c>
      <c r="I44" s="13">
        <f>_xll.BDH("BLUE US Equity","BS_ACCRUAL","FQ2 2020","FQ2 2020","Currency=USD","Period=FQ","BEST_FPERIOD_OVERRIDE=FQ","FILING_STATUS=MR","SCALING_FORMAT=MLN","Sort=A","Dates=H","DateFormat=P","Fill=—","Direction=H","UseDPDF=Y")</f>
        <v>135.61199999999999</v>
      </c>
      <c r="J44" s="13">
        <f>_xll.BDH("BLUE US Equity","BS_ACCRUAL","FQ3 2020","FQ3 2020","Currency=USD","Period=FQ","BEST_FPERIOD_OVERRIDE=FQ","FILING_STATUS=MR","SCALING_FORMAT=MLN","Sort=A","Dates=H","DateFormat=P","Fill=—","Direction=H","UseDPDF=Y")</f>
        <v>138.274</v>
      </c>
      <c r="K44" s="13">
        <f>_xll.BDH("BLUE US Equity","BS_ACCRUAL","FQ4 2020","FQ4 2020","Currency=USD","Period=FQ","BEST_FPERIOD_OVERRIDE=FQ","FILING_STATUS=MR","SCALING_FORMAT=MLN","Sort=A","Dates=H","DateFormat=P","Fill=—","Direction=H","UseDPDF=Y")</f>
        <v>98.19</v>
      </c>
      <c r="L44" s="13">
        <f>_xll.BDH("BLUE US Equity","BS_ACCRUAL","FQ1 2021","FQ1 2021","Currency=USD","Period=FQ","BEST_FPERIOD_OVERRIDE=FQ","FILING_STATUS=MR","SCALING_FORMAT=MLN","Sort=A","Dates=H","DateFormat=P","Fill=—","Direction=H","UseDPDF=Y")</f>
        <v>146.791</v>
      </c>
      <c r="M44" s="13">
        <f>_xll.BDH("BLUE US Equity","BS_ACCRUAL","FQ2 2021","FQ2 2021","Currency=USD","Period=FQ","BEST_FPERIOD_OVERRIDE=FQ","FILING_STATUS=MR","SCALING_FORMAT=MLN","Sort=A","Dates=H","DateFormat=P","Fill=—","Direction=H","UseDPDF=Y")</f>
        <v>168.035</v>
      </c>
      <c r="N44" s="13">
        <f>_xll.BDH("BLUE US Equity","BS_ACCRUAL","FQ3 2021","FQ3 2021","Currency=USD","Period=FQ","BEST_FPERIOD_OVERRIDE=FQ","FILING_STATUS=MR","SCALING_FORMAT=MLN","Sort=A","Dates=H","DateFormat=P","Fill=—","Direction=H","UseDPDF=Y")</f>
        <v>203.79</v>
      </c>
      <c r="O44" s="13">
        <f>_xll.BDH("BLUE US Equity","BS_ACCRUAL","FQ4 2021","FQ4 2021","Currency=USD","Period=FQ","BEST_FPERIOD_OVERRIDE=FQ","FILING_STATUS=MR","SCALING_FORMAT=MLN","Sort=A","Dates=H","DateFormat=P","Fill=—","Direction=H","UseDPDF=Y")</f>
        <v>103.958</v>
      </c>
      <c r="P44" s="13">
        <f>_xll.BDH("BLUE US Equity","BS_ACCRUAL","FQ1 2022","FQ1 2022","Currency=USD","Period=FQ","BEST_FPERIOD_OVERRIDE=FQ","FILING_STATUS=MR","SCALING_FORMAT=MLN","Sort=A","Dates=H","DateFormat=P","Fill=—","Direction=H","UseDPDF=Y")</f>
        <v>89.031999999999996</v>
      </c>
      <c r="Q44" s="13">
        <f>_xll.BDH("BLUE US Equity","BS_ACCRUAL","FQ2 2022","FQ2 2022","Currency=USD","Period=FQ","BEST_FPERIOD_OVERRIDE=FQ","FILING_STATUS=MR","SCALING_FORMAT=MLN","Sort=A","Dates=H","DateFormat=P","Fill=—","Direction=H","UseDPDF=Y")</f>
        <v>75.55</v>
      </c>
      <c r="R44" s="13">
        <f>_xll.BDH("BLUE US Equity","BS_ACCRUAL","FQ3 2022","FQ3 2022","Currency=USD","Period=FQ","BEST_FPERIOD_OVERRIDE=FQ","FILING_STATUS=MR","SCALING_FORMAT=MLN","Sort=A","Dates=H","DateFormat=P","Fill=—","Direction=H","UseDPDF=Y")</f>
        <v>64.313999999999993</v>
      </c>
      <c r="S44" s="13">
        <f>_xll.BDH("BLUE US Equity","BS_ACCRUAL","FQ4 2022","FQ4 2022","Currency=USD","Period=FQ","BEST_FPERIOD_OVERRIDE=FQ","FILING_STATUS=MR","SCALING_FORMAT=MLN","Sort=A","Dates=H","DateFormat=P","Fill=—","Direction=H","UseDPDF=Y")</f>
        <v>53.463999999999999</v>
      </c>
      <c r="T44" s="13">
        <f>_xll.BDH("BLUE US Equity","BS_ACCRUAL","FQ1 2023","FQ1 2023","Currency=USD","Period=FQ","BEST_FPERIOD_OVERRIDE=FQ","FILING_STATUS=MR","SCALING_FORMAT=MLN","Sort=A","Dates=H","DateFormat=P","Fill=—","Direction=H","UseDPDF=Y")</f>
        <v>45.293999999999997</v>
      </c>
      <c r="U44" s="13">
        <f>_xll.BDH("BLUE US Equity","BS_ACCRUAL","FQ2 2023","FQ2 2023","Currency=USD","Period=FQ","BEST_FPERIOD_OVERRIDE=FQ","FILING_STATUS=MR","SCALING_FORMAT=MLN","Sort=A","Dates=H","DateFormat=P","Fill=—","Direction=H","UseDPDF=Y")</f>
        <v>56.530999999999999</v>
      </c>
      <c r="V44" s="13">
        <f>_xll.BDH("BLUE US Equity","BS_ACCRUAL","FQ3 2023","FQ3 2023","Currency=USD","Period=FQ","BEST_FPERIOD_OVERRIDE=FQ","FILING_STATUS=MR","SCALING_FORMAT=MLN","Sort=A","Dates=H","DateFormat=P","Fill=—","Direction=H","UseDPDF=Y")</f>
        <v>57.768000000000001</v>
      </c>
      <c r="W44" s="13">
        <f>_xll.BDH("BLUE US Equity","BS_ACCRUAL","FQ4 2023","FQ4 2023","Currency=USD","Period=FQ","BEST_FPERIOD_OVERRIDE=FQ","FILING_STATUS=MR","SCALING_FORMAT=MLN","Sort=A","Dates=H","DateFormat=P","Fill=—","Direction=H","UseDPDF=Y")</f>
        <v>73.188000000000002</v>
      </c>
      <c r="X44" s="13">
        <f>_xll.BDH("BLUE US Equity","BS_ACCRUAL","FQ1 2024","FQ1 2024","Currency=USD","Period=FQ","BEST_FPERIOD_OVERRIDE=FQ","FILING_STATUS=MR","SCALING_FORMAT=MLN","Sort=A","Dates=H","DateFormat=P","Fill=—","Direction=H","UseDPDF=Y")</f>
        <v>64.096000000000004</v>
      </c>
      <c r="Y44" s="13">
        <f>_xll.BDH("BLUE US Equity","BS_ACCRUAL","FQ2 2024","FQ2 2024","Currency=USD","Period=FQ","BEST_FPERIOD_OVERRIDE=FQ","FILING_STATUS=MR","SCALING_FORMAT=MLN","Sort=A","Dates=H","DateFormat=P","Fill=—","Direction=H","UseDPDF=Y")</f>
        <v>65.888999999999996</v>
      </c>
      <c r="Z44" s="13">
        <f>_xll.BDH("BLUE US Equity","BS_ACCRUAL","FQ3 2024","FQ3 2024","Currency=USD","Period=FQ","BEST_FPERIOD_OVERRIDE=FQ","FILING_STATUS=MR","SCALING_FORMAT=MLN","Sort=A","Dates=H","DateFormat=P","Fill=—","Direction=H","UseDPDF=Y")</f>
        <v>70.179000000000002</v>
      </c>
      <c r="AA44" s="13">
        <f>_xll.BDH("BLUE US Equity","BS_ACCRUAL","FQ4 2024","FQ4 2024","Currency=USD","Period=FQ","BEST_FPERIOD_OVERRIDE=FQ","FILING_STATUS=MR","SCALING_FORMAT=MLN","Sort=A","Dates=H","DateFormat=P","Fill=—","Direction=H","UseDPDF=Y")</f>
        <v>85.974999999999994</v>
      </c>
    </row>
    <row r="45" spans="1:27" x14ac:dyDescent="0.25">
      <c r="A45" s="10" t="s">
        <v>660</v>
      </c>
      <c r="B45" s="10" t="s">
        <v>661</v>
      </c>
      <c r="C45" s="13">
        <f>_xll.BDH("BLUE US Equity","BS_ST_BORROW","FQ4 2018","FQ4 2018","Currency=USD","Period=FQ","BEST_FPERIOD_OVERRIDE=FQ","FILING_STATUS=MR","SCALING_FORMAT=MLN","Sort=A","Dates=H","DateFormat=P","Fill=—","Direction=H","UseDPDF=Y")</f>
        <v>0</v>
      </c>
      <c r="D45" s="13">
        <f>_xll.BDH("BLUE US Equity","BS_ST_BORROW","FQ1 2019","FQ1 2019","Currency=USD","Period=FQ","BEST_FPERIOD_OVERRIDE=FQ","FILING_STATUS=MR","SCALING_FORMAT=MLN","Sort=A","Dates=H","DateFormat=P","Fill=—","Direction=H","UseDPDF=Y")</f>
        <v>17.565999999999999</v>
      </c>
      <c r="E45" s="13">
        <f>_xll.BDH("BLUE US Equity","BS_ST_BORROW","FQ2 2019","FQ2 2019","Currency=USD","Period=FQ","BEST_FPERIOD_OVERRIDE=FQ","FILING_STATUS=MR","SCALING_FORMAT=MLN","Sort=A","Dates=H","DateFormat=P","Fill=—","Direction=H","UseDPDF=Y")</f>
        <v>18.872</v>
      </c>
      <c r="F45" s="13">
        <f>_xll.BDH("BLUE US Equity","BS_ST_BORROW","FQ3 2019","FQ3 2019","Currency=USD","Period=FQ","BEST_FPERIOD_OVERRIDE=FQ","FILING_STATUS=MR","SCALING_FORMAT=MLN","Sort=A","Dates=H","DateFormat=P","Fill=—","Direction=H","UseDPDF=Y")</f>
        <v>19.931000000000001</v>
      </c>
      <c r="G45" s="13">
        <f>_xll.BDH("BLUE US Equity","BS_ST_BORROW","FQ4 2019","FQ4 2019","Currency=USD","Period=FQ","BEST_FPERIOD_OVERRIDE=FQ","FILING_STATUS=MR","SCALING_FORMAT=MLN","Sort=A","Dates=H","DateFormat=P","Fill=—","Direction=H","UseDPDF=Y")</f>
        <v>20.175000000000001</v>
      </c>
      <c r="H45" s="13">
        <f>_xll.BDH("BLUE US Equity","BS_ST_BORROW","FQ1 2020","FQ1 2020","Currency=USD","Period=FQ","BEST_FPERIOD_OVERRIDE=FQ","FILING_STATUS=MR","SCALING_FORMAT=MLN","Sort=A","Dates=H","DateFormat=P","Fill=—","Direction=H","UseDPDF=Y")</f>
        <v>20.38</v>
      </c>
      <c r="I45" s="13">
        <f>_xll.BDH("BLUE US Equity","BS_ST_BORROW","FQ2 2020","FQ2 2020","Currency=USD","Period=FQ","BEST_FPERIOD_OVERRIDE=FQ","FILING_STATUS=MR","SCALING_FORMAT=MLN","Sort=A","Dates=H","DateFormat=P","Fill=—","Direction=H","UseDPDF=Y")</f>
        <v>20.954999999999998</v>
      </c>
      <c r="J45" s="13">
        <f>_xll.BDH("BLUE US Equity","BS_ST_BORROW","FQ3 2020","FQ3 2020","Currency=USD","Period=FQ","BEST_FPERIOD_OVERRIDE=FQ","FILING_STATUS=MR","SCALING_FORMAT=MLN","Sort=A","Dates=H","DateFormat=P","Fill=—","Direction=H","UseDPDF=Y")</f>
        <v>22.218</v>
      </c>
      <c r="K45" s="13">
        <f>_xll.BDH("BLUE US Equity","BS_ST_BORROW","FQ4 2020","FQ4 2020","Currency=USD","Period=FQ","BEST_FPERIOD_OVERRIDE=FQ","FILING_STATUS=MR","SCALING_FORMAT=MLN","Sort=A","Dates=H","DateFormat=P","Fill=—","Direction=H","UseDPDF=Y")</f>
        <v>9.7110000000000003</v>
      </c>
      <c r="L45" s="13">
        <f>_xll.BDH("BLUE US Equity","BS_ST_BORROW","FQ1 2021","FQ1 2021","Currency=USD","Period=FQ","BEST_FPERIOD_OVERRIDE=FQ","FILING_STATUS=MR","SCALING_FORMAT=MLN","Sort=A","Dates=H","DateFormat=P","Fill=—","Direction=H","UseDPDF=Y")</f>
        <v>28.062999999999999</v>
      </c>
      <c r="M45" s="13">
        <f>_xll.BDH("BLUE US Equity","BS_ST_BORROW","FQ2 2021","FQ2 2021","Currency=USD","Period=FQ","BEST_FPERIOD_OVERRIDE=FQ","FILING_STATUS=MR","SCALING_FORMAT=MLN","Sort=A","Dates=H","DateFormat=P","Fill=—","Direction=H","UseDPDF=Y")</f>
        <v>28.669</v>
      </c>
      <c r="N45" s="13">
        <f>_xll.BDH("BLUE US Equity","BS_ST_BORROW","FQ3 2021","FQ3 2021","Currency=USD","Period=FQ","BEST_FPERIOD_OVERRIDE=FQ","FILING_STATUS=MR","SCALING_FORMAT=MLN","Sort=A","Dates=H","DateFormat=P","Fill=—","Direction=H","UseDPDF=Y")</f>
        <v>29.440999999999999</v>
      </c>
      <c r="O45" s="13">
        <f>_xll.BDH("BLUE US Equity","BS_ST_BORROW","FQ4 2021","FQ4 2021","Currency=USD","Period=FQ","BEST_FPERIOD_OVERRIDE=FQ","FILING_STATUS=MR","SCALING_FORMAT=MLN","Sort=A","Dates=H","DateFormat=P","Fill=—","Direction=H","UseDPDF=Y")</f>
        <v>23.152000000000001</v>
      </c>
      <c r="P45" s="13">
        <f>_xll.BDH("BLUE US Equity","BS_ST_BORROW","FQ1 2022","FQ1 2022","Currency=USD","Period=FQ","BEST_FPERIOD_OVERRIDE=FQ","FILING_STATUS=MR","SCALING_FORMAT=MLN","Sort=A","Dates=H","DateFormat=P","Fill=—","Direction=H","UseDPDF=Y")</f>
        <v>25.51</v>
      </c>
      <c r="Q45" s="13">
        <f>_xll.BDH("BLUE US Equity","BS_ST_BORROW","FQ2 2022","FQ2 2022","Currency=USD","Period=FQ","BEST_FPERIOD_OVERRIDE=FQ","FILING_STATUS=MR","SCALING_FORMAT=MLN","Sort=A","Dates=H","DateFormat=P","Fill=—","Direction=H","UseDPDF=Y")</f>
        <v>48.445999999999998</v>
      </c>
      <c r="R45" s="13">
        <f>_xll.BDH("BLUE US Equity","BS_ST_BORROW","FQ3 2022","FQ3 2022","Currency=USD","Period=FQ","BEST_FPERIOD_OVERRIDE=FQ","FILING_STATUS=MR","SCALING_FORMAT=MLN","Sort=A","Dates=H","DateFormat=P","Fill=—","Direction=H","UseDPDF=Y")</f>
        <v>43.790999999999997</v>
      </c>
      <c r="S45" s="13">
        <f>_xll.BDH("BLUE US Equity","BS_ST_BORROW","FQ4 2022","FQ4 2022","Currency=USD","Period=FQ","BEST_FPERIOD_OVERRIDE=FQ","FILING_STATUS=MR","SCALING_FORMAT=MLN","Sort=A","Dates=H","DateFormat=P","Fill=—","Direction=H","UseDPDF=Y")</f>
        <v>88.248000000000005</v>
      </c>
      <c r="T45" s="13">
        <f>_xll.BDH("BLUE US Equity","BS_ST_BORROW","FQ1 2023","FQ1 2023","Currency=USD","Period=FQ","BEST_FPERIOD_OVERRIDE=FQ","FILING_STATUS=MR","SCALING_FORMAT=MLN","Sort=A","Dates=H","DateFormat=P","Fill=—","Direction=H","UseDPDF=Y")</f>
        <v>51.404000000000003</v>
      </c>
      <c r="U45" s="13">
        <f>_xll.BDH("BLUE US Equity","BS_ST_BORROW","FQ2 2023","FQ2 2023","Currency=USD","Period=FQ","BEST_FPERIOD_OVERRIDE=FQ","FILING_STATUS=MR","SCALING_FORMAT=MLN","Sort=A","Dates=H","DateFormat=P","Fill=—","Direction=H","UseDPDF=Y")</f>
        <v>67.590999999999994</v>
      </c>
      <c r="V45" s="13">
        <f>_xll.BDH("BLUE US Equity","BS_ST_BORROW","FQ3 2023","FQ3 2023","Currency=USD","Period=FQ","BEST_FPERIOD_OVERRIDE=FQ","FILING_STATUS=MR","SCALING_FORMAT=MLN","Sort=A","Dates=H","DateFormat=P","Fill=—","Direction=H","UseDPDF=Y")</f>
        <v>71.683999999999997</v>
      </c>
      <c r="W45" s="13">
        <f>_xll.BDH("BLUE US Equity","BS_ST_BORROW","FQ4 2023","FQ4 2023","Currency=USD","Period=FQ","BEST_FPERIOD_OVERRIDE=FQ","FILING_STATUS=MR","SCALING_FORMAT=MLN","Sort=A","Dates=H","DateFormat=P","Fill=—","Direction=H","UseDPDF=Y")</f>
        <v>105.907</v>
      </c>
      <c r="X45" s="13">
        <f>_xll.BDH("BLUE US Equity","BS_ST_BORROW","FQ1 2024","FQ1 2024","Currency=USD","Period=FQ","BEST_FPERIOD_OVERRIDE=FQ","FILING_STATUS=MR","SCALING_FORMAT=MLN","Sort=A","Dates=H","DateFormat=P","Fill=—","Direction=H","UseDPDF=Y")</f>
        <v>207.57</v>
      </c>
      <c r="Y45" s="13">
        <f>_xll.BDH("BLUE US Equity","BS_ST_BORROW","FQ2 2024","FQ2 2024","Currency=USD","Period=FQ","BEST_FPERIOD_OVERRIDE=FQ","FILING_STATUS=MR","SCALING_FORMAT=MLN","Sort=A","Dates=H","DateFormat=P","Fill=—","Direction=H","UseDPDF=Y")</f>
        <v>196.23</v>
      </c>
      <c r="Z45" s="13">
        <f>_xll.BDH("BLUE US Equity","BS_ST_BORROW","FQ3 2024","FQ3 2024","Currency=USD","Period=FQ","BEST_FPERIOD_OVERRIDE=FQ","FILING_STATUS=MR","SCALING_FORMAT=MLN","Sort=A","Dates=H","DateFormat=P","Fill=—","Direction=H","UseDPDF=Y")</f>
        <v>191.292</v>
      </c>
      <c r="AA45" s="13">
        <f>_xll.BDH("BLUE US Equity","BS_ST_BORROW","FQ4 2024","FQ4 2024","Currency=USD","Period=FQ","BEST_FPERIOD_OVERRIDE=FQ","FILING_STATUS=MR","SCALING_FORMAT=MLN","Sort=A","Dates=H","DateFormat=P","Fill=—","Direction=H","UseDPDF=Y")</f>
        <v>185.511</v>
      </c>
    </row>
    <row r="46" spans="1:27" x14ac:dyDescent="0.25">
      <c r="A46" s="10" t="s">
        <v>662</v>
      </c>
      <c r="B46" s="10" t="s">
        <v>663</v>
      </c>
      <c r="C46" s="13">
        <f>_xll.BDH("BLUE US Equity","SHORT_TERM_DEBT_DETAILED","FQ4 2018","FQ4 2018","Currency=USD","Period=FQ","BEST_FPERIOD_OVERRIDE=FQ","FILING_STATUS=MR","SCALING_FORMAT=MLN","Sort=A","Dates=H","DateFormat=P","Fill=—","Direction=H","UseDPDF=Y")</f>
        <v>0</v>
      </c>
      <c r="D46" s="13">
        <f>_xll.BDH("BLUE US Equity","SHORT_TERM_DEBT_DETAILED","FQ1 2019","FQ1 2019","Currency=USD","Period=FQ","BEST_FPERIOD_OVERRIDE=FQ","FILING_STATUS=MR","SCALING_FORMAT=MLN","Sort=A","Dates=H","DateFormat=P","Fill=—","Direction=H","UseDPDF=Y")</f>
        <v>0</v>
      </c>
      <c r="E46" s="13">
        <f>_xll.BDH("BLUE US Equity","SHORT_TERM_DEBT_DETAILED","FQ2 2019","FQ2 2019","Currency=USD","Period=FQ","BEST_FPERIOD_OVERRIDE=FQ","FILING_STATUS=MR","SCALING_FORMAT=MLN","Sort=A","Dates=H","DateFormat=P","Fill=—","Direction=H","UseDPDF=Y")</f>
        <v>0</v>
      </c>
      <c r="F46" s="13">
        <f>_xll.BDH("BLUE US Equity","SHORT_TERM_DEBT_DETAILED","FQ3 2019","FQ3 2019","Currency=USD","Period=FQ","BEST_FPERIOD_OVERRIDE=FQ","FILING_STATUS=MR","SCALING_FORMAT=MLN","Sort=A","Dates=H","DateFormat=P","Fill=—","Direction=H","UseDPDF=Y")</f>
        <v>0</v>
      </c>
      <c r="G46" s="13">
        <f>_xll.BDH("BLUE US Equity","SHORT_TERM_DEBT_DETAILED","FQ4 2019","FQ4 2019","Currency=USD","Period=FQ","BEST_FPERIOD_OVERRIDE=FQ","FILING_STATUS=MR","SCALING_FORMAT=MLN","Sort=A","Dates=H","DateFormat=P","Fill=—","Direction=H","UseDPDF=Y")</f>
        <v>0</v>
      </c>
      <c r="H46" s="13">
        <f>_xll.BDH("BLUE US Equity","SHORT_TERM_DEBT_DETAILED","FQ1 2020","FQ1 2020","Currency=USD","Period=FQ","BEST_FPERIOD_OVERRIDE=FQ","FILING_STATUS=MR","SCALING_FORMAT=MLN","Sort=A","Dates=H","DateFormat=P","Fill=—","Direction=H","UseDPDF=Y")</f>
        <v>0</v>
      </c>
      <c r="I46" s="13">
        <f>_xll.BDH("BLUE US Equity","SHORT_TERM_DEBT_DETAILED","FQ2 2020","FQ2 2020","Currency=USD","Period=FQ","BEST_FPERIOD_OVERRIDE=FQ","FILING_STATUS=MR","SCALING_FORMAT=MLN","Sort=A","Dates=H","DateFormat=P","Fill=—","Direction=H","UseDPDF=Y")</f>
        <v>0</v>
      </c>
      <c r="J46" s="13">
        <f>_xll.BDH("BLUE US Equity","SHORT_TERM_DEBT_DETAILED","FQ3 2020","FQ3 2020","Currency=USD","Period=FQ","BEST_FPERIOD_OVERRIDE=FQ","FILING_STATUS=MR","SCALING_FORMAT=MLN","Sort=A","Dates=H","DateFormat=P","Fill=—","Direction=H","UseDPDF=Y")</f>
        <v>0</v>
      </c>
      <c r="K46" s="13">
        <f>_xll.BDH("BLUE US Equity","SHORT_TERM_DEBT_DETAILED","FQ4 2020","FQ4 2020","Currency=USD","Period=FQ","BEST_FPERIOD_OVERRIDE=FQ","FILING_STATUS=MR","SCALING_FORMAT=MLN","Sort=A","Dates=H","DateFormat=P","Fill=—","Direction=H","UseDPDF=Y")</f>
        <v>0</v>
      </c>
      <c r="L46" s="13">
        <f>_xll.BDH("BLUE US Equity","SHORT_TERM_DEBT_DETAILED","FQ1 2021","FQ1 2021","Currency=USD","Period=FQ","BEST_FPERIOD_OVERRIDE=FQ","FILING_STATUS=MR","SCALING_FORMAT=MLN","Sort=A","Dates=H","DateFormat=P","Fill=—","Direction=H","UseDPDF=Y")</f>
        <v>0</v>
      </c>
      <c r="M46" s="13">
        <f>_xll.BDH("BLUE US Equity","SHORT_TERM_DEBT_DETAILED","FQ2 2021","FQ2 2021","Currency=USD","Period=FQ","BEST_FPERIOD_OVERRIDE=FQ","FILING_STATUS=MR","SCALING_FORMAT=MLN","Sort=A","Dates=H","DateFormat=P","Fill=—","Direction=H","UseDPDF=Y")</f>
        <v>0</v>
      </c>
      <c r="N46" s="13">
        <f>_xll.BDH("BLUE US Equity","SHORT_TERM_DEBT_DETAILED","FQ3 2021","FQ3 2021","Currency=USD","Period=FQ","BEST_FPERIOD_OVERRIDE=FQ","FILING_STATUS=MR","SCALING_FORMAT=MLN","Sort=A","Dates=H","DateFormat=P","Fill=—","Direction=H","UseDPDF=Y")</f>
        <v>0</v>
      </c>
      <c r="O46" s="13">
        <f>_xll.BDH("BLUE US Equity","SHORT_TERM_DEBT_DETAILED","FQ4 2021","FQ4 2021","Currency=USD","Period=FQ","BEST_FPERIOD_OVERRIDE=FQ","FILING_STATUS=MR","SCALING_FORMAT=MLN","Sort=A","Dates=H","DateFormat=P","Fill=—","Direction=H","UseDPDF=Y")</f>
        <v>0</v>
      </c>
      <c r="P46" s="13">
        <f>_xll.BDH("BLUE US Equity","SHORT_TERM_DEBT_DETAILED","FQ1 2022","FQ1 2022","Currency=USD","Period=FQ","BEST_FPERIOD_OVERRIDE=FQ","FILING_STATUS=MR","SCALING_FORMAT=MLN","Sort=A","Dates=H","DateFormat=P","Fill=—","Direction=H","UseDPDF=Y")</f>
        <v>0</v>
      </c>
      <c r="Q46" s="13">
        <f>_xll.BDH("BLUE US Equity","SHORT_TERM_DEBT_DETAILED","FQ2 2022","FQ2 2022","Currency=USD","Period=FQ","BEST_FPERIOD_OVERRIDE=FQ","FILING_STATUS=MR","SCALING_FORMAT=MLN","Sort=A","Dates=H","DateFormat=P","Fill=—","Direction=H","UseDPDF=Y")</f>
        <v>0</v>
      </c>
      <c r="R46" s="13">
        <f>_xll.BDH("BLUE US Equity","SHORT_TERM_DEBT_DETAILED","FQ3 2022","FQ3 2022","Currency=USD","Period=FQ","BEST_FPERIOD_OVERRIDE=FQ","FILING_STATUS=MR","SCALING_FORMAT=MLN","Sort=A","Dates=H","DateFormat=P","Fill=—","Direction=H","UseDPDF=Y")</f>
        <v>0</v>
      </c>
      <c r="S46" s="13">
        <f>_xll.BDH("BLUE US Equity","SHORT_TERM_DEBT_DETAILED","FQ4 2022","FQ4 2022","Currency=USD","Period=FQ","BEST_FPERIOD_OVERRIDE=FQ","FILING_STATUS=MR","SCALING_FORMAT=MLN","Sort=A","Dates=H","DateFormat=P","Fill=—","Direction=H","UseDPDF=Y")</f>
        <v>0</v>
      </c>
      <c r="T46" s="13">
        <f>_xll.BDH("BLUE US Equity","SHORT_TERM_DEBT_DETAILED","FQ1 2023","FQ1 2023","Currency=USD","Period=FQ","BEST_FPERIOD_OVERRIDE=FQ","FILING_STATUS=MR","SCALING_FORMAT=MLN","Sort=A","Dates=H","DateFormat=P","Fill=—","Direction=H","UseDPDF=Y")</f>
        <v>0</v>
      </c>
      <c r="U46" s="13">
        <f>_xll.BDH("BLUE US Equity","SHORT_TERM_DEBT_DETAILED","FQ2 2023","FQ2 2023","Currency=USD","Period=FQ","BEST_FPERIOD_OVERRIDE=FQ","FILING_STATUS=MR","SCALING_FORMAT=MLN","Sort=A","Dates=H","DateFormat=P","Fill=—","Direction=H","UseDPDF=Y")</f>
        <v>0</v>
      </c>
      <c r="V46" s="13">
        <f>_xll.BDH("BLUE US Equity","SHORT_TERM_DEBT_DETAILED","FQ3 2023","FQ3 2023","Currency=USD","Period=FQ","BEST_FPERIOD_OVERRIDE=FQ","FILING_STATUS=MR","SCALING_FORMAT=MLN","Sort=A","Dates=H","DateFormat=P","Fill=—","Direction=H","UseDPDF=Y")</f>
        <v>0</v>
      </c>
      <c r="W46" s="13">
        <f>_xll.BDH("BLUE US Equity","SHORT_TERM_DEBT_DETAILED","FQ4 2023","FQ4 2023","Currency=USD","Period=FQ","BEST_FPERIOD_OVERRIDE=FQ","FILING_STATUS=MR","SCALING_FORMAT=MLN","Sort=A","Dates=H","DateFormat=P","Fill=—","Direction=H","UseDPDF=Y")</f>
        <v>0</v>
      </c>
      <c r="X46" s="13">
        <f>_xll.BDH("BLUE US Equity","SHORT_TERM_DEBT_DETAILED","FQ1 2024","FQ1 2024","Currency=USD","Period=FQ","BEST_FPERIOD_OVERRIDE=FQ","FILING_STATUS=MR","SCALING_FORMAT=MLN","Sort=A","Dates=H","DateFormat=P","Fill=—","Direction=H","UseDPDF=Y")</f>
        <v>0</v>
      </c>
      <c r="Y46" s="13">
        <f>_xll.BDH("BLUE US Equity","SHORT_TERM_DEBT_DETAILED","FQ2 2024","FQ2 2024","Currency=USD","Period=FQ","BEST_FPERIOD_OVERRIDE=FQ","FILING_STATUS=MR","SCALING_FORMAT=MLN","Sort=A","Dates=H","DateFormat=P","Fill=—","Direction=H","UseDPDF=Y")</f>
        <v>0</v>
      </c>
      <c r="Z46" s="13">
        <f>_xll.BDH("BLUE US Equity","SHORT_TERM_DEBT_DETAILED","FQ3 2024","FQ3 2024","Currency=USD","Period=FQ","BEST_FPERIOD_OVERRIDE=FQ","FILING_STATUS=MR","SCALING_FORMAT=MLN","Sort=A","Dates=H","DateFormat=P","Fill=—","Direction=H","UseDPDF=Y")</f>
        <v>0</v>
      </c>
      <c r="AA46" s="13">
        <f>_xll.BDH("BLUE US Equity","SHORT_TERM_DEBT_DETAILED","FQ4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10" t="s">
        <v>664</v>
      </c>
      <c r="B47" s="10" t="s">
        <v>665</v>
      </c>
      <c r="C47" s="13" t="str">
        <f>_xll.BDH("BLUE US Equity","ST_CAPITALIZED_LEASE_LIABILITIES","FQ4 2018","FQ4 2018","Currency=USD","Period=FQ","BEST_FPERIOD_OVERRIDE=FQ","FILING_STATUS=MR","SCALING_FORMAT=MLN","Sort=A","Dates=H","DateFormat=P","Fill=—","Direction=H","UseDPDF=Y")</f>
        <v>—</v>
      </c>
      <c r="D47" s="13">
        <f>_xll.BDH("BLUE US Equity","ST_CAPITALIZED_LEASE_LIABILITIES","FQ1 2019","FQ1 2019","Currency=USD","Period=FQ","BEST_FPERIOD_OVERRIDE=FQ","FILING_STATUS=MR","SCALING_FORMAT=MLN","Sort=A","Dates=H","DateFormat=P","Fill=—","Direction=H","UseDPDF=Y")</f>
        <v>17.565999999999999</v>
      </c>
      <c r="E47" s="13">
        <f>_xll.BDH("BLUE US Equity","ST_CAPITALIZED_LEASE_LIABILITIES","FQ2 2019","FQ2 2019","Currency=USD","Period=FQ","BEST_FPERIOD_OVERRIDE=FQ","FILING_STATUS=MR","SCALING_FORMAT=MLN","Sort=A","Dates=H","DateFormat=P","Fill=—","Direction=H","UseDPDF=Y")</f>
        <v>18.872</v>
      </c>
      <c r="F47" s="13">
        <f>_xll.BDH("BLUE US Equity","ST_CAPITALIZED_LEASE_LIABILITIES","FQ3 2019","FQ3 2019","Currency=USD","Period=FQ","BEST_FPERIOD_OVERRIDE=FQ","FILING_STATUS=MR","SCALING_FORMAT=MLN","Sort=A","Dates=H","DateFormat=P","Fill=—","Direction=H","UseDPDF=Y")</f>
        <v>19.931000000000001</v>
      </c>
      <c r="G47" s="13">
        <f>_xll.BDH("BLUE US Equity","ST_CAPITALIZED_LEASE_LIABILITIES","FQ4 2019","FQ4 2019","Currency=USD","Period=FQ","BEST_FPERIOD_OVERRIDE=FQ","FILING_STATUS=MR","SCALING_FORMAT=MLN","Sort=A","Dates=H","DateFormat=P","Fill=—","Direction=H","UseDPDF=Y")</f>
        <v>20.175000000000001</v>
      </c>
      <c r="H47" s="13">
        <f>_xll.BDH("BLUE US Equity","ST_CAPITALIZED_LEASE_LIABILITIES","FQ1 2020","FQ1 2020","Currency=USD","Period=FQ","BEST_FPERIOD_OVERRIDE=FQ","FILING_STATUS=MR","SCALING_FORMAT=MLN","Sort=A","Dates=H","DateFormat=P","Fill=—","Direction=H","UseDPDF=Y")</f>
        <v>20.38</v>
      </c>
      <c r="I47" s="13">
        <f>_xll.BDH("BLUE US Equity","ST_CAPITALIZED_LEASE_LIABILITIES","FQ2 2020","FQ2 2020","Currency=USD","Period=FQ","BEST_FPERIOD_OVERRIDE=FQ","FILING_STATUS=MR","SCALING_FORMAT=MLN","Sort=A","Dates=H","DateFormat=P","Fill=—","Direction=H","UseDPDF=Y")</f>
        <v>20.954999999999998</v>
      </c>
      <c r="J47" s="13">
        <f>_xll.BDH("BLUE US Equity","ST_CAPITALIZED_LEASE_LIABILITIES","FQ3 2020","FQ3 2020","Currency=USD","Period=FQ","BEST_FPERIOD_OVERRIDE=FQ","FILING_STATUS=MR","SCALING_FORMAT=MLN","Sort=A","Dates=H","DateFormat=P","Fill=—","Direction=H","UseDPDF=Y")</f>
        <v>22.218</v>
      </c>
      <c r="K47" s="13">
        <f>_xll.BDH("BLUE US Equity","ST_CAPITALIZED_LEASE_LIABILITIES","FQ4 2020","FQ4 2020","Currency=USD","Period=FQ","BEST_FPERIOD_OVERRIDE=FQ","FILING_STATUS=MR","SCALING_FORMAT=MLN","Sort=A","Dates=H","DateFormat=P","Fill=—","Direction=H","UseDPDF=Y")</f>
        <v>9.7110000000000003</v>
      </c>
      <c r="L47" s="13">
        <f>_xll.BDH("BLUE US Equity","ST_CAPITALIZED_LEASE_LIABILITIES","FQ1 2021","FQ1 2021","Currency=USD","Period=FQ","BEST_FPERIOD_OVERRIDE=FQ","FILING_STATUS=MR","SCALING_FORMAT=MLN","Sort=A","Dates=H","DateFormat=P","Fill=—","Direction=H","UseDPDF=Y")</f>
        <v>28.062999999999999</v>
      </c>
      <c r="M47" s="13">
        <f>_xll.BDH("BLUE US Equity","ST_CAPITALIZED_LEASE_LIABILITIES","FQ2 2021","FQ2 2021","Currency=USD","Period=FQ","BEST_FPERIOD_OVERRIDE=FQ","FILING_STATUS=MR","SCALING_FORMAT=MLN","Sort=A","Dates=H","DateFormat=P","Fill=—","Direction=H","UseDPDF=Y")</f>
        <v>28.669</v>
      </c>
      <c r="N47" s="13">
        <f>_xll.BDH("BLUE US Equity","ST_CAPITALIZED_LEASE_LIABILITIES","FQ3 2021","FQ3 2021","Currency=USD","Period=FQ","BEST_FPERIOD_OVERRIDE=FQ","FILING_STATUS=MR","SCALING_FORMAT=MLN","Sort=A","Dates=H","DateFormat=P","Fill=—","Direction=H","UseDPDF=Y")</f>
        <v>29.440999999999999</v>
      </c>
      <c r="O47" s="13">
        <f>_xll.BDH("BLUE US Equity","ST_CAPITALIZED_LEASE_LIABILITIES","FQ4 2021","FQ4 2021","Currency=USD","Period=FQ","BEST_FPERIOD_OVERRIDE=FQ","FILING_STATUS=MR","SCALING_FORMAT=MLN","Sort=A","Dates=H","DateFormat=P","Fill=—","Direction=H","UseDPDF=Y")</f>
        <v>23.152000000000001</v>
      </c>
      <c r="P47" s="13">
        <f>_xll.BDH("BLUE US Equity","ST_CAPITALIZED_LEASE_LIABILITIES","FQ1 2022","FQ1 2022","Currency=USD","Period=FQ","BEST_FPERIOD_OVERRIDE=FQ","FILING_STATUS=MR","SCALING_FORMAT=MLN","Sort=A","Dates=H","DateFormat=P","Fill=—","Direction=H","UseDPDF=Y")</f>
        <v>25.51</v>
      </c>
      <c r="Q47" s="13">
        <f>_xll.BDH("BLUE US Equity","ST_CAPITALIZED_LEASE_LIABILITIES","FQ2 2022","FQ2 2022","Currency=USD","Period=FQ","BEST_FPERIOD_OVERRIDE=FQ","FILING_STATUS=MR","SCALING_FORMAT=MLN","Sort=A","Dates=H","DateFormat=P","Fill=—","Direction=H","UseDPDF=Y")</f>
        <v>48.445999999999998</v>
      </c>
      <c r="R47" s="13">
        <f>_xll.BDH("BLUE US Equity","ST_CAPITALIZED_LEASE_LIABILITIES","FQ3 2022","FQ3 2022","Currency=USD","Period=FQ","BEST_FPERIOD_OVERRIDE=FQ","FILING_STATUS=MR","SCALING_FORMAT=MLN","Sort=A","Dates=H","DateFormat=P","Fill=—","Direction=H","UseDPDF=Y")</f>
        <v>43.790999999999997</v>
      </c>
      <c r="S47" s="13">
        <f>_xll.BDH("BLUE US Equity","ST_CAPITALIZED_LEASE_LIABILITIES","FQ4 2022","FQ4 2022","Currency=USD","Period=FQ","BEST_FPERIOD_OVERRIDE=FQ","FILING_STATUS=MR","SCALING_FORMAT=MLN","Sort=A","Dates=H","DateFormat=P","Fill=—","Direction=H","UseDPDF=Y")</f>
        <v>88.248000000000005</v>
      </c>
      <c r="T47" s="13">
        <f>_xll.BDH("BLUE US Equity","ST_CAPITALIZED_LEASE_LIABILITIES","FQ1 2023","FQ1 2023","Currency=USD","Period=FQ","BEST_FPERIOD_OVERRIDE=FQ","FILING_STATUS=MR","SCALING_FORMAT=MLN","Sort=A","Dates=H","DateFormat=P","Fill=—","Direction=H","UseDPDF=Y")</f>
        <v>51.404000000000003</v>
      </c>
      <c r="U47" s="13">
        <f>_xll.BDH("BLUE US Equity","ST_CAPITALIZED_LEASE_LIABILITIES","FQ2 2023","FQ2 2023","Currency=USD","Period=FQ","BEST_FPERIOD_OVERRIDE=FQ","FILING_STATUS=MR","SCALING_FORMAT=MLN","Sort=A","Dates=H","DateFormat=P","Fill=—","Direction=H","UseDPDF=Y")</f>
        <v>67.590999999999994</v>
      </c>
      <c r="V47" s="13">
        <f>_xll.BDH("BLUE US Equity","ST_CAPITALIZED_LEASE_LIABILITIES","FQ3 2023","FQ3 2023","Currency=USD","Period=FQ","BEST_FPERIOD_OVERRIDE=FQ","FILING_STATUS=MR","SCALING_FORMAT=MLN","Sort=A","Dates=H","DateFormat=P","Fill=—","Direction=H","UseDPDF=Y")</f>
        <v>71.683999999999997</v>
      </c>
      <c r="W47" s="13">
        <f>_xll.BDH("BLUE US Equity","ST_CAPITALIZED_LEASE_LIABILITIES","FQ4 2023","FQ4 2023","Currency=USD","Period=FQ","BEST_FPERIOD_OVERRIDE=FQ","FILING_STATUS=MR","SCALING_FORMAT=MLN","Sort=A","Dates=H","DateFormat=P","Fill=—","Direction=H","UseDPDF=Y")</f>
        <v>105.907</v>
      </c>
      <c r="X47" s="13">
        <f>_xll.BDH("BLUE US Equity","ST_CAPITALIZED_LEASE_LIABILITIES","FQ1 2024","FQ1 2024","Currency=USD","Period=FQ","BEST_FPERIOD_OVERRIDE=FQ","FILING_STATUS=MR","SCALING_FORMAT=MLN","Sort=A","Dates=H","DateFormat=P","Fill=—","Direction=H","UseDPDF=Y")</f>
        <v>138.57499999999999</v>
      </c>
      <c r="Y47" s="13">
        <f>_xll.BDH("BLUE US Equity","ST_CAPITALIZED_LEASE_LIABILITIES","FQ2 2024","FQ2 2024","Currency=USD","Period=FQ","BEST_FPERIOD_OVERRIDE=FQ","FILING_STATUS=MR","SCALING_FORMAT=MLN","Sort=A","Dates=H","DateFormat=P","Fill=—","Direction=H","UseDPDF=Y")</f>
        <v>126.387</v>
      </c>
      <c r="Z47" s="13">
        <f>_xll.BDH("BLUE US Equity","ST_CAPITALIZED_LEASE_LIABILITIES","FQ3 2024","FQ3 2024","Currency=USD","Period=FQ","BEST_FPERIOD_OVERRIDE=FQ","FILING_STATUS=MR","SCALING_FORMAT=MLN","Sort=A","Dates=H","DateFormat=P","Fill=—","Direction=H","UseDPDF=Y")</f>
        <v>120.69199999999999</v>
      </c>
      <c r="AA47" s="13">
        <f>_xll.BDH("BLUE US Equity","ST_CAPITALIZED_LEASE_LIABILITIES","FQ4 2024","FQ4 2024","Currency=USD","Period=FQ","BEST_FPERIOD_OVERRIDE=FQ","FILING_STATUS=MR","SCALING_FORMAT=MLN","Sort=A","Dates=H","DateFormat=P","Fill=—","Direction=H","UseDPDF=Y")</f>
        <v>114.004</v>
      </c>
    </row>
    <row r="48" spans="1:27" x14ac:dyDescent="0.25">
      <c r="A48" s="11" t="s">
        <v>666</v>
      </c>
      <c r="B48" s="11" t="s">
        <v>667</v>
      </c>
      <c r="C48" s="25" t="str">
        <f>_xll.BDH("BLUE US Equity","ST_CAPITAL_LEASE_OBLIGATIONS","FQ4 2018","FQ4 2018","Currency=USD","Period=FQ","BEST_FPERIOD_OVERRIDE=FQ","FILING_STATUS=MR","SCALING_FORMAT=MLN","Sort=A","Dates=H","DateFormat=P","Fill=—","Direction=H","UseDPDF=Y")</f>
        <v>—</v>
      </c>
      <c r="D48" s="25" t="str">
        <f>_xll.BDH("BLUE US Equity","ST_CAPITAL_LEASE_OBLIGATIONS","FQ1 2019","FQ1 2019","Currency=USD","Period=FQ","BEST_FPERIOD_OVERRIDE=FQ","FILING_STATUS=MR","SCALING_FORMAT=MLN","Sort=A","Dates=H","DateFormat=P","Fill=—","Direction=H","UseDPDF=Y")</f>
        <v>—</v>
      </c>
      <c r="E48" s="25" t="str">
        <f>_xll.BDH("BLUE US Equity","ST_CAPITAL_LEASE_OBLIGATIONS","FQ2 2019","FQ2 2019","Currency=USD","Period=FQ","BEST_FPERIOD_OVERRIDE=FQ","FILING_STATUS=MR","SCALING_FORMAT=MLN","Sort=A","Dates=H","DateFormat=P","Fill=—","Direction=H","UseDPDF=Y")</f>
        <v>—</v>
      </c>
      <c r="F48" s="25" t="str">
        <f>_xll.BDH("BLUE US Equity","ST_CAPITAL_LEASE_OBLIGATIONS","FQ3 2019","FQ3 2019","Currency=USD","Period=FQ","BEST_FPERIOD_OVERRIDE=FQ","FILING_STATUS=MR","SCALING_FORMAT=MLN","Sort=A","Dates=H","DateFormat=P","Fill=—","Direction=H","UseDPDF=Y")</f>
        <v>—</v>
      </c>
      <c r="G48" s="25" t="str">
        <f>_xll.BDH("BLUE US Equity","ST_CAPITAL_LEASE_OBLIGATIONS","FQ4 2019","FQ4 2019","Currency=USD","Period=FQ","BEST_FPERIOD_OVERRIDE=FQ","FILING_STATUS=MR","SCALING_FORMAT=MLN","Sort=A","Dates=H","DateFormat=P","Fill=—","Direction=H","UseDPDF=Y")</f>
        <v>—</v>
      </c>
      <c r="H48" s="25" t="str">
        <f>_xll.BDH("BLUE US Equity","ST_CAPITAL_LEASE_OBLIGATIONS","FQ1 2020","FQ1 2020","Currency=USD","Period=FQ","BEST_FPERIOD_OVERRIDE=FQ","FILING_STATUS=MR","SCALING_FORMAT=MLN","Sort=A","Dates=H","DateFormat=P","Fill=—","Direction=H","UseDPDF=Y")</f>
        <v>—</v>
      </c>
      <c r="I48" s="25" t="str">
        <f>_xll.BDH("BLUE US Equity","ST_CAPITAL_LEASE_OBLIGATIONS","FQ2 2020","FQ2 2020","Currency=USD","Period=FQ","BEST_FPERIOD_OVERRIDE=FQ","FILING_STATUS=MR","SCALING_FORMAT=MLN","Sort=A","Dates=H","DateFormat=P","Fill=—","Direction=H","UseDPDF=Y")</f>
        <v>—</v>
      </c>
      <c r="J48" s="25" t="str">
        <f>_xll.BDH("BLUE US Equity","ST_CAPITAL_LEASE_OBLIGATIONS","FQ3 2020","FQ3 2020","Currency=USD","Period=FQ","BEST_FPERIOD_OVERRIDE=FQ","FILING_STATUS=MR","SCALING_FORMAT=MLN","Sort=A","Dates=H","DateFormat=P","Fill=—","Direction=H","UseDPDF=Y")</f>
        <v>—</v>
      </c>
      <c r="K48" s="25" t="str">
        <f>_xll.BDH("BLUE US Equity","ST_CAPITAL_LEASE_OBLIGATIONS","FQ4 2020","FQ4 2020","Currency=USD","Period=FQ","BEST_FPERIOD_OVERRIDE=FQ","FILING_STATUS=MR","SCALING_FORMAT=MLN","Sort=A","Dates=H","DateFormat=P","Fill=—","Direction=H","UseDPDF=Y")</f>
        <v>—</v>
      </c>
      <c r="L48" s="25" t="str">
        <f>_xll.BDH("BLUE US Equity","ST_CAPITAL_LEASE_OBLIGATIONS","FQ1 2021","FQ1 2021","Currency=USD","Period=FQ","BEST_FPERIOD_OVERRIDE=FQ","FILING_STATUS=MR","SCALING_FORMAT=MLN","Sort=A","Dates=H","DateFormat=P","Fill=—","Direction=H","UseDPDF=Y")</f>
        <v>—</v>
      </c>
      <c r="M48" s="25" t="str">
        <f>_xll.BDH("BLUE US Equity","ST_CAPITAL_LEASE_OBLIGATIONS","FQ2 2021","FQ2 2021","Currency=USD","Period=FQ","BEST_FPERIOD_OVERRIDE=FQ","FILING_STATUS=MR","SCALING_FORMAT=MLN","Sort=A","Dates=H","DateFormat=P","Fill=—","Direction=H","UseDPDF=Y")</f>
        <v>—</v>
      </c>
      <c r="N48" s="25" t="str">
        <f>_xll.BDH("BLUE US Equity","ST_CAPITAL_LEASE_OBLIGATIONS","FQ3 2021","FQ3 2021","Currency=USD","Period=FQ","BEST_FPERIOD_OVERRIDE=FQ","FILING_STATUS=MR","SCALING_FORMAT=MLN","Sort=A","Dates=H","DateFormat=P","Fill=—","Direction=H","UseDPDF=Y")</f>
        <v>—</v>
      </c>
      <c r="O48" s="25" t="str">
        <f>_xll.BDH("BLUE US Equity","ST_CAPITAL_LEASE_OBLIGATIONS","FQ4 2021","FQ4 2021","Currency=USD","Period=FQ","BEST_FPERIOD_OVERRIDE=FQ","FILING_STATUS=MR","SCALING_FORMAT=MLN","Sort=A","Dates=H","DateFormat=P","Fill=—","Direction=H","UseDPDF=Y")</f>
        <v>—</v>
      </c>
      <c r="P48" s="25" t="str">
        <f>_xll.BDH("BLUE US Equity","ST_CAPITAL_LEASE_OBLIGATIONS","FQ1 2022","FQ1 2022","Currency=USD","Period=FQ","BEST_FPERIOD_OVERRIDE=FQ","FILING_STATUS=MR","SCALING_FORMAT=MLN","Sort=A","Dates=H","DateFormat=P","Fill=—","Direction=H","UseDPDF=Y")</f>
        <v>—</v>
      </c>
      <c r="Q48" s="25" t="str">
        <f>_xll.BDH("BLUE US Equity","ST_CAPITAL_LEASE_OBLIGATIONS","FQ2 2022","FQ2 2022","Currency=USD","Period=FQ","BEST_FPERIOD_OVERRIDE=FQ","FILING_STATUS=MR","SCALING_FORMAT=MLN","Sort=A","Dates=H","DateFormat=P","Fill=—","Direction=H","UseDPDF=Y")</f>
        <v>—</v>
      </c>
      <c r="R48" s="25" t="str">
        <f>_xll.BDH("BLUE US Equity","ST_CAPITAL_LEASE_OBLIGATIONS","FQ3 2022","FQ3 2022","Currency=USD","Period=FQ","BEST_FPERIOD_OVERRIDE=FQ","FILING_STATUS=MR","SCALING_FORMAT=MLN","Sort=A","Dates=H","DateFormat=P","Fill=—","Direction=H","UseDPDF=Y")</f>
        <v>—</v>
      </c>
      <c r="S48" s="25" t="str">
        <f>_xll.BDH("BLUE US Equity","ST_CAPITAL_LEASE_OBLIGATIONS","FQ4 2022","FQ4 2022","Currency=USD","Period=FQ","BEST_FPERIOD_OVERRIDE=FQ","FILING_STATUS=MR","SCALING_FORMAT=MLN","Sort=A","Dates=H","DateFormat=P","Fill=—","Direction=H","UseDPDF=Y")</f>
        <v>—</v>
      </c>
      <c r="T48" s="25" t="str">
        <f>_xll.BDH("BLUE US Equity","ST_CAPITAL_LEASE_OBLIGATIONS","FQ1 2023","FQ1 2023","Currency=USD","Period=FQ","BEST_FPERIOD_OVERRIDE=FQ","FILING_STATUS=MR","SCALING_FORMAT=MLN","Sort=A","Dates=H","DateFormat=P","Fill=—","Direction=H","UseDPDF=Y")</f>
        <v>—</v>
      </c>
      <c r="U48" s="25" t="str">
        <f>_xll.BDH("BLUE US Equity","ST_CAPITAL_LEASE_OBLIGATIONS","FQ2 2023","FQ2 2023","Currency=USD","Period=FQ","BEST_FPERIOD_OVERRIDE=FQ","FILING_STATUS=MR","SCALING_FORMAT=MLN","Sort=A","Dates=H","DateFormat=P","Fill=—","Direction=H","UseDPDF=Y")</f>
        <v>—</v>
      </c>
      <c r="V48" s="25" t="str">
        <f>_xll.BDH("BLUE US Equity","ST_CAPITAL_LEASE_OBLIGATIONS","FQ3 2023","FQ3 2023","Currency=USD","Period=FQ","BEST_FPERIOD_OVERRIDE=FQ","FILING_STATUS=MR","SCALING_FORMAT=MLN","Sort=A","Dates=H","DateFormat=P","Fill=—","Direction=H","UseDPDF=Y")</f>
        <v>—</v>
      </c>
      <c r="W48" s="25" t="str">
        <f>_xll.BDH("BLUE US Equity","ST_CAPITAL_LEASE_OBLIGATIONS","FQ4 2023","FQ4 2023","Currency=USD","Period=FQ","BEST_FPERIOD_OVERRIDE=FQ","FILING_STATUS=MR","SCALING_FORMAT=MLN","Sort=A","Dates=H","DateFormat=P","Fill=—","Direction=H","UseDPDF=Y")</f>
        <v>—</v>
      </c>
      <c r="X48" s="25">
        <f>_xll.BDH("BLUE US Equity","ST_CAPITAL_LEASE_OBLIGATIONS","FQ1 2024","FQ1 2024","Currency=USD","Period=FQ","BEST_FPERIOD_OVERRIDE=FQ","FILING_STATUS=MR","SCALING_FORMAT=MLN","Sort=A","Dates=H","DateFormat=P","Fill=—","Direction=H","UseDPDF=Y")</f>
        <v>114.212</v>
      </c>
      <c r="Y48" s="25">
        <f>_xll.BDH("BLUE US Equity","ST_CAPITAL_LEASE_OBLIGATIONS","FQ2 2024","FQ2 2024","Currency=USD","Period=FQ","BEST_FPERIOD_OVERRIDE=FQ","FILING_STATUS=MR","SCALING_FORMAT=MLN","Sort=A","Dates=H","DateFormat=P","Fill=—","Direction=H","UseDPDF=Y")</f>
        <v>101.33499999999999</v>
      </c>
      <c r="Z48" s="25">
        <f>_xll.BDH("BLUE US Equity","ST_CAPITAL_LEASE_OBLIGATIONS","FQ3 2024","FQ3 2024","Currency=USD","Period=FQ","BEST_FPERIOD_OVERRIDE=FQ","FILING_STATUS=MR","SCALING_FORMAT=MLN","Sort=A","Dates=H","DateFormat=P","Fill=—","Direction=H","UseDPDF=Y")</f>
        <v>96.180999999999997</v>
      </c>
      <c r="AA48" s="25">
        <f>_xll.BDH("BLUE US Equity","ST_CAPITAL_LEASE_OBLIGATIONS","FQ4 2024","FQ4 2024","Currency=USD","Period=FQ","BEST_FPERIOD_OVERRIDE=FQ","FILING_STATUS=MR","SCALING_FORMAT=MLN","Sort=A","Dates=H","DateFormat=P","Fill=—","Direction=H","UseDPDF=Y")</f>
        <v>88.876999999999995</v>
      </c>
    </row>
    <row r="49" spans="1:27" x14ac:dyDescent="0.25">
      <c r="A49" s="11" t="s">
        <v>668</v>
      </c>
      <c r="B49" s="11" t="s">
        <v>669</v>
      </c>
      <c r="C49" s="25" t="str">
        <f>_xll.BDH("BLUE US Equity","BS_ST_OPERATING_LEASE_LIABS","FQ4 2018","FQ4 2018","Currency=USD","Period=FQ","BEST_FPERIOD_OVERRIDE=FQ","FILING_STATUS=MR","SCALING_FORMAT=MLN","Sort=A","Dates=H","DateFormat=P","Fill=—","Direction=H","UseDPDF=Y")</f>
        <v>—</v>
      </c>
      <c r="D49" s="25">
        <f>_xll.BDH("BLUE US Equity","BS_ST_OPERATING_LEASE_LIABS","FQ1 2019","FQ1 2019","Currency=USD","Period=FQ","BEST_FPERIOD_OVERRIDE=FQ","FILING_STATUS=MR","SCALING_FORMAT=MLN","Sort=A","Dates=H","DateFormat=P","Fill=—","Direction=H","UseDPDF=Y")</f>
        <v>17.565999999999999</v>
      </c>
      <c r="E49" s="25">
        <f>_xll.BDH("BLUE US Equity","BS_ST_OPERATING_LEASE_LIABS","FQ2 2019","FQ2 2019","Currency=USD","Period=FQ","BEST_FPERIOD_OVERRIDE=FQ","FILING_STATUS=MR","SCALING_FORMAT=MLN","Sort=A","Dates=H","DateFormat=P","Fill=—","Direction=H","UseDPDF=Y")</f>
        <v>18.872</v>
      </c>
      <c r="F49" s="25">
        <f>_xll.BDH("BLUE US Equity","BS_ST_OPERATING_LEASE_LIABS","FQ3 2019","FQ3 2019","Currency=USD","Period=FQ","BEST_FPERIOD_OVERRIDE=FQ","FILING_STATUS=MR","SCALING_FORMAT=MLN","Sort=A","Dates=H","DateFormat=P","Fill=—","Direction=H","UseDPDF=Y")</f>
        <v>19.931000000000001</v>
      </c>
      <c r="G49" s="25">
        <f>_xll.BDH("BLUE US Equity","BS_ST_OPERATING_LEASE_LIABS","FQ4 2019","FQ4 2019","Currency=USD","Period=FQ","BEST_FPERIOD_OVERRIDE=FQ","FILING_STATUS=MR","SCALING_FORMAT=MLN","Sort=A","Dates=H","DateFormat=P","Fill=—","Direction=H","UseDPDF=Y")</f>
        <v>20.175000000000001</v>
      </c>
      <c r="H49" s="25">
        <f>_xll.BDH("BLUE US Equity","BS_ST_OPERATING_LEASE_LIABS","FQ1 2020","FQ1 2020","Currency=USD","Period=FQ","BEST_FPERIOD_OVERRIDE=FQ","FILING_STATUS=MR","SCALING_FORMAT=MLN","Sort=A","Dates=H","DateFormat=P","Fill=—","Direction=H","UseDPDF=Y")</f>
        <v>20.38</v>
      </c>
      <c r="I49" s="25">
        <f>_xll.BDH("BLUE US Equity","BS_ST_OPERATING_LEASE_LIABS","FQ2 2020","FQ2 2020","Currency=USD","Period=FQ","BEST_FPERIOD_OVERRIDE=FQ","FILING_STATUS=MR","SCALING_FORMAT=MLN","Sort=A","Dates=H","DateFormat=P","Fill=—","Direction=H","UseDPDF=Y")</f>
        <v>20.954999999999998</v>
      </c>
      <c r="J49" s="25">
        <f>_xll.BDH("BLUE US Equity","BS_ST_OPERATING_LEASE_LIABS","FQ3 2020","FQ3 2020","Currency=USD","Period=FQ","BEST_FPERIOD_OVERRIDE=FQ","FILING_STATUS=MR","SCALING_FORMAT=MLN","Sort=A","Dates=H","DateFormat=P","Fill=—","Direction=H","UseDPDF=Y")</f>
        <v>22.218</v>
      </c>
      <c r="K49" s="25">
        <f>_xll.BDH("BLUE US Equity","BS_ST_OPERATING_LEASE_LIABS","FQ4 2020","FQ4 2020","Currency=USD","Period=FQ","BEST_FPERIOD_OVERRIDE=FQ","FILING_STATUS=MR","SCALING_FORMAT=MLN","Sort=A","Dates=H","DateFormat=P","Fill=—","Direction=H","UseDPDF=Y")</f>
        <v>9.7110000000000003</v>
      </c>
      <c r="L49" s="25">
        <f>_xll.BDH("BLUE US Equity","BS_ST_OPERATING_LEASE_LIABS","FQ1 2021","FQ1 2021","Currency=USD","Period=FQ","BEST_FPERIOD_OVERRIDE=FQ","FILING_STATUS=MR","SCALING_FORMAT=MLN","Sort=A","Dates=H","DateFormat=P","Fill=—","Direction=H","UseDPDF=Y")</f>
        <v>28.062999999999999</v>
      </c>
      <c r="M49" s="25">
        <f>_xll.BDH("BLUE US Equity","BS_ST_OPERATING_LEASE_LIABS","FQ2 2021","FQ2 2021","Currency=USD","Period=FQ","BEST_FPERIOD_OVERRIDE=FQ","FILING_STATUS=MR","SCALING_FORMAT=MLN","Sort=A","Dates=H","DateFormat=P","Fill=—","Direction=H","UseDPDF=Y")</f>
        <v>28.669</v>
      </c>
      <c r="N49" s="25">
        <f>_xll.BDH("BLUE US Equity","BS_ST_OPERATING_LEASE_LIABS","FQ3 2021","FQ3 2021","Currency=USD","Period=FQ","BEST_FPERIOD_OVERRIDE=FQ","FILING_STATUS=MR","SCALING_FORMAT=MLN","Sort=A","Dates=H","DateFormat=P","Fill=—","Direction=H","UseDPDF=Y")</f>
        <v>29.440999999999999</v>
      </c>
      <c r="O49" s="25">
        <f>_xll.BDH("BLUE US Equity","BS_ST_OPERATING_LEASE_LIABS","FQ4 2021","FQ4 2021","Currency=USD","Period=FQ","BEST_FPERIOD_OVERRIDE=FQ","FILING_STATUS=MR","SCALING_FORMAT=MLN","Sort=A","Dates=H","DateFormat=P","Fill=—","Direction=H","UseDPDF=Y")</f>
        <v>23.152000000000001</v>
      </c>
      <c r="P49" s="25">
        <f>_xll.BDH("BLUE US Equity","BS_ST_OPERATING_LEASE_LIABS","FQ1 2022","FQ1 2022","Currency=USD","Period=FQ","BEST_FPERIOD_OVERRIDE=FQ","FILING_STATUS=MR","SCALING_FORMAT=MLN","Sort=A","Dates=H","DateFormat=P","Fill=—","Direction=H","UseDPDF=Y")</f>
        <v>25.51</v>
      </c>
      <c r="Q49" s="25">
        <f>_xll.BDH("BLUE US Equity","BS_ST_OPERATING_LEASE_LIABS","FQ2 2022","FQ2 2022","Currency=USD","Period=FQ","BEST_FPERIOD_OVERRIDE=FQ","FILING_STATUS=MR","SCALING_FORMAT=MLN","Sort=A","Dates=H","DateFormat=P","Fill=—","Direction=H","UseDPDF=Y")</f>
        <v>48.445999999999998</v>
      </c>
      <c r="R49" s="25">
        <f>_xll.BDH("BLUE US Equity","BS_ST_OPERATING_LEASE_LIABS","FQ3 2022","FQ3 2022","Currency=USD","Period=FQ","BEST_FPERIOD_OVERRIDE=FQ","FILING_STATUS=MR","SCALING_FORMAT=MLN","Sort=A","Dates=H","DateFormat=P","Fill=—","Direction=H","UseDPDF=Y")</f>
        <v>43.790999999999997</v>
      </c>
      <c r="S49" s="25">
        <f>_xll.BDH("BLUE US Equity","BS_ST_OPERATING_LEASE_LIABS","FQ4 2022","FQ4 2022","Currency=USD","Period=FQ","BEST_FPERIOD_OVERRIDE=FQ","FILING_STATUS=MR","SCALING_FORMAT=MLN","Sort=A","Dates=H","DateFormat=P","Fill=—","Direction=H","UseDPDF=Y")</f>
        <v>88.248000000000005</v>
      </c>
      <c r="T49" s="25">
        <f>_xll.BDH("BLUE US Equity","BS_ST_OPERATING_LEASE_LIABS","FQ1 2023","FQ1 2023","Currency=USD","Period=FQ","BEST_FPERIOD_OVERRIDE=FQ","FILING_STATUS=MR","SCALING_FORMAT=MLN","Sort=A","Dates=H","DateFormat=P","Fill=—","Direction=H","UseDPDF=Y")</f>
        <v>51.404000000000003</v>
      </c>
      <c r="U49" s="25">
        <f>_xll.BDH("BLUE US Equity","BS_ST_OPERATING_LEASE_LIABS","FQ2 2023","FQ2 2023","Currency=USD","Period=FQ","BEST_FPERIOD_OVERRIDE=FQ","FILING_STATUS=MR","SCALING_FORMAT=MLN","Sort=A","Dates=H","DateFormat=P","Fill=—","Direction=H","UseDPDF=Y")</f>
        <v>67.590999999999994</v>
      </c>
      <c r="V49" s="25">
        <f>_xll.BDH("BLUE US Equity","BS_ST_OPERATING_LEASE_LIABS","FQ3 2023","FQ3 2023","Currency=USD","Period=FQ","BEST_FPERIOD_OVERRIDE=FQ","FILING_STATUS=MR","SCALING_FORMAT=MLN","Sort=A","Dates=H","DateFormat=P","Fill=—","Direction=H","UseDPDF=Y")</f>
        <v>71.683999999999997</v>
      </c>
      <c r="W49" s="25">
        <f>_xll.BDH("BLUE US Equity","BS_ST_OPERATING_LEASE_LIABS","FQ4 2023","FQ4 2023","Currency=USD","Period=FQ","BEST_FPERIOD_OVERRIDE=FQ","FILING_STATUS=MR","SCALING_FORMAT=MLN","Sort=A","Dates=H","DateFormat=P","Fill=—","Direction=H","UseDPDF=Y")</f>
        <v>105.907</v>
      </c>
      <c r="X49" s="25">
        <f>_xll.BDH("BLUE US Equity","BS_ST_OPERATING_LEASE_LIABS","FQ1 2024","FQ1 2024","Currency=USD","Period=FQ","BEST_FPERIOD_OVERRIDE=FQ","FILING_STATUS=MR","SCALING_FORMAT=MLN","Sort=A","Dates=H","DateFormat=P","Fill=—","Direction=H","UseDPDF=Y")</f>
        <v>24.363</v>
      </c>
      <c r="Y49" s="25">
        <f>_xll.BDH("BLUE US Equity","BS_ST_OPERATING_LEASE_LIABS","FQ2 2024","FQ2 2024","Currency=USD","Period=FQ","BEST_FPERIOD_OVERRIDE=FQ","FILING_STATUS=MR","SCALING_FORMAT=MLN","Sort=A","Dates=H","DateFormat=P","Fill=—","Direction=H","UseDPDF=Y")</f>
        <v>25.052</v>
      </c>
      <c r="Z49" s="25">
        <f>_xll.BDH("BLUE US Equity","BS_ST_OPERATING_LEASE_LIABS","FQ3 2024","FQ3 2024","Currency=USD","Period=FQ","BEST_FPERIOD_OVERRIDE=FQ","FILING_STATUS=MR","SCALING_FORMAT=MLN","Sort=A","Dates=H","DateFormat=P","Fill=—","Direction=H","UseDPDF=Y")</f>
        <v>24.510999999999999</v>
      </c>
      <c r="AA49" s="25">
        <f>_xll.BDH("BLUE US Equity","BS_ST_OPERATING_LEASE_LIABS","FQ4 2024","FQ4 2024","Currency=USD","Period=FQ","BEST_FPERIOD_OVERRIDE=FQ","FILING_STATUS=MR","SCALING_FORMAT=MLN","Sort=A","Dates=H","DateFormat=P","Fill=—","Direction=H","UseDPDF=Y")</f>
        <v>25.126999999999999</v>
      </c>
    </row>
    <row r="50" spans="1:27" x14ac:dyDescent="0.25">
      <c r="A50" s="10" t="s">
        <v>670</v>
      </c>
      <c r="B50" s="10" t="s">
        <v>671</v>
      </c>
      <c r="C50" s="13" t="str">
        <f>_xll.BDH("BLUE US Equity","BS_CURR_PORTION_LT_DEBT","FQ4 2018","FQ4 2018","Currency=USD","Period=FQ","BEST_FPERIOD_OVERRIDE=FQ","FILING_STATUS=MR","SCALING_FORMAT=MLN","Sort=A","Dates=H","DateFormat=P","Fill=—","Direction=H","UseDPDF=Y")</f>
        <v>—</v>
      </c>
      <c r="D50" s="13" t="str">
        <f>_xll.BDH("BLUE US Equity","BS_CURR_PORTION_LT_DEBT","FQ1 2019","FQ1 2019","Currency=USD","Period=FQ","BEST_FPERIOD_OVERRIDE=FQ","FILING_STATUS=MR","SCALING_FORMAT=MLN","Sort=A","Dates=H","DateFormat=P","Fill=—","Direction=H","UseDPDF=Y")</f>
        <v>—</v>
      </c>
      <c r="E50" s="13" t="str">
        <f>_xll.BDH("BLUE US Equity","BS_CURR_PORTION_LT_DEBT","FQ2 2019","FQ2 2019","Currency=USD","Period=FQ","BEST_FPERIOD_OVERRIDE=FQ","FILING_STATUS=MR","SCALING_FORMAT=MLN","Sort=A","Dates=H","DateFormat=P","Fill=—","Direction=H","UseDPDF=Y")</f>
        <v>—</v>
      </c>
      <c r="F50" s="13" t="str">
        <f>_xll.BDH("BLUE US Equity","BS_CURR_PORTION_LT_DEBT","FQ3 2019","FQ3 2019","Currency=USD","Period=FQ","BEST_FPERIOD_OVERRIDE=FQ","FILING_STATUS=MR","SCALING_FORMAT=MLN","Sort=A","Dates=H","DateFormat=P","Fill=—","Direction=H","UseDPDF=Y")</f>
        <v>—</v>
      </c>
      <c r="G50" s="13" t="str">
        <f>_xll.BDH("BLUE US Equity","BS_CURR_PORTION_LT_DEBT","FQ4 2019","FQ4 2019","Currency=USD","Period=FQ","BEST_FPERIOD_OVERRIDE=FQ","FILING_STATUS=MR","SCALING_FORMAT=MLN","Sort=A","Dates=H","DateFormat=P","Fill=—","Direction=H","UseDPDF=Y")</f>
        <v>—</v>
      </c>
      <c r="H50" s="13" t="str">
        <f>_xll.BDH("BLUE US Equity","BS_CURR_PORTION_LT_DEBT","FQ1 2020","FQ1 2020","Currency=USD","Period=FQ","BEST_FPERIOD_OVERRIDE=FQ","FILING_STATUS=MR","SCALING_FORMAT=MLN","Sort=A","Dates=H","DateFormat=P","Fill=—","Direction=H","UseDPDF=Y")</f>
        <v>—</v>
      </c>
      <c r="I50" s="13" t="str">
        <f>_xll.BDH("BLUE US Equity","BS_CURR_PORTION_LT_DEBT","FQ2 2020","FQ2 2020","Currency=USD","Period=FQ","BEST_FPERIOD_OVERRIDE=FQ","FILING_STATUS=MR","SCALING_FORMAT=MLN","Sort=A","Dates=H","DateFormat=P","Fill=—","Direction=H","UseDPDF=Y")</f>
        <v>—</v>
      </c>
      <c r="J50" s="13" t="str">
        <f>_xll.BDH("BLUE US Equity","BS_CURR_PORTION_LT_DEBT","FQ3 2020","FQ3 2020","Currency=USD","Period=FQ","BEST_FPERIOD_OVERRIDE=FQ","FILING_STATUS=MR","SCALING_FORMAT=MLN","Sort=A","Dates=H","DateFormat=P","Fill=—","Direction=H","UseDPDF=Y")</f>
        <v>—</v>
      </c>
      <c r="K50" s="13" t="str">
        <f>_xll.BDH("BLUE US Equity","BS_CURR_PORTION_LT_DEBT","FQ4 2020","FQ4 2020","Currency=USD","Period=FQ","BEST_FPERIOD_OVERRIDE=FQ","FILING_STATUS=MR","SCALING_FORMAT=MLN","Sort=A","Dates=H","DateFormat=P","Fill=—","Direction=H","UseDPDF=Y")</f>
        <v>—</v>
      </c>
      <c r="L50" s="13" t="str">
        <f>_xll.BDH("BLUE US Equity","BS_CURR_PORTION_LT_DEBT","FQ1 2021","FQ1 2021","Currency=USD","Period=FQ","BEST_FPERIOD_OVERRIDE=FQ","FILING_STATUS=MR","SCALING_FORMAT=MLN","Sort=A","Dates=H","DateFormat=P","Fill=—","Direction=H","UseDPDF=Y")</f>
        <v>—</v>
      </c>
      <c r="M50" s="13" t="str">
        <f>_xll.BDH("BLUE US Equity","BS_CURR_PORTION_LT_DEBT","FQ2 2021","FQ2 2021","Currency=USD","Period=FQ","BEST_FPERIOD_OVERRIDE=FQ","FILING_STATUS=MR","SCALING_FORMAT=MLN","Sort=A","Dates=H","DateFormat=P","Fill=—","Direction=H","UseDPDF=Y")</f>
        <v>—</v>
      </c>
      <c r="N50" s="13" t="str">
        <f>_xll.BDH("BLUE US Equity","BS_CURR_PORTION_LT_DEBT","FQ3 2021","FQ3 2021","Currency=USD","Period=FQ","BEST_FPERIOD_OVERRIDE=FQ","FILING_STATUS=MR","SCALING_FORMAT=MLN","Sort=A","Dates=H","DateFormat=P","Fill=—","Direction=H","UseDPDF=Y")</f>
        <v>—</v>
      </c>
      <c r="O50" s="13" t="str">
        <f>_xll.BDH("BLUE US Equity","BS_CURR_PORTION_LT_DEBT","FQ4 2021","FQ4 2021","Currency=USD","Period=FQ","BEST_FPERIOD_OVERRIDE=FQ","FILING_STATUS=MR","SCALING_FORMAT=MLN","Sort=A","Dates=H","DateFormat=P","Fill=—","Direction=H","UseDPDF=Y")</f>
        <v>—</v>
      </c>
      <c r="P50" s="13" t="str">
        <f>_xll.BDH("BLUE US Equity","BS_CURR_PORTION_LT_DEBT","FQ1 2022","FQ1 2022","Currency=USD","Period=FQ","BEST_FPERIOD_OVERRIDE=FQ","FILING_STATUS=MR","SCALING_FORMAT=MLN","Sort=A","Dates=H","DateFormat=P","Fill=—","Direction=H","UseDPDF=Y")</f>
        <v>—</v>
      </c>
      <c r="Q50" s="13" t="str">
        <f>_xll.BDH("BLUE US Equity","BS_CURR_PORTION_LT_DEBT","FQ2 2022","FQ2 2022","Currency=USD","Period=FQ","BEST_FPERIOD_OVERRIDE=FQ","FILING_STATUS=MR","SCALING_FORMAT=MLN","Sort=A","Dates=H","DateFormat=P","Fill=—","Direction=H","UseDPDF=Y")</f>
        <v>—</v>
      </c>
      <c r="R50" s="13" t="str">
        <f>_xll.BDH("BLUE US Equity","BS_CURR_PORTION_LT_DEBT","FQ3 2022","FQ3 2022","Currency=USD","Period=FQ","BEST_FPERIOD_OVERRIDE=FQ","FILING_STATUS=MR","SCALING_FORMAT=MLN","Sort=A","Dates=H","DateFormat=P","Fill=—","Direction=H","UseDPDF=Y")</f>
        <v>—</v>
      </c>
      <c r="S50" s="13" t="str">
        <f>_xll.BDH("BLUE US Equity","BS_CURR_PORTION_LT_DEBT","FQ4 2022","FQ4 2022","Currency=USD","Period=FQ","BEST_FPERIOD_OVERRIDE=FQ","FILING_STATUS=MR","SCALING_FORMAT=MLN","Sort=A","Dates=H","DateFormat=P","Fill=—","Direction=H","UseDPDF=Y")</f>
        <v>—</v>
      </c>
      <c r="T50" s="13" t="str">
        <f>_xll.BDH("BLUE US Equity","BS_CURR_PORTION_LT_DEBT","FQ1 2023","FQ1 2023","Currency=USD","Period=FQ","BEST_FPERIOD_OVERRIDE=FQ","FILING_STATUS=MR","SCALING_FORMAT=MLN","Sort=A","Dates=H","DateFormat=P","Fill=—","Direction=H","UseDPDF=Y")</f>
        <v>—</v>
      </c>
      <c r="U50" s="13" t="str">
        <f>_xll.BDH("BLUE US Equity","BS_CURR_PORTION_LT_DEBT","FQ2 2023","FQ2 2023","Currency=USD","Period=FQ","BEST_FPERIOD_OVERRIDE=FQ","FILING_STATUS=MR","SCALING_FORMAT=MLN","Sort=A","Dates=H","DateFormat=P","Fill=—","Direction=H","UseDPDF=Y")</f>
        <v>—</v>
      </c>
      <c r="V50" s="13" t="str">
        <f>_xll.BDH("BLUE US Equity","BS_CURR_PORTION_LT_DEBT","FQ3 2023","FQ3 2023","Currency=USD","Period=FQ","BEST_FPERIOD_OVERRIDE=FQ","FILING_STATUS=MR","SCALING_FORMAT=MLN","Sort=A","Dates=H","DateFormat=P","Fill=—","Direction=H","UseDPDF=Y")</f>
        <v>—</v>
      </c>
      <c r="W50" s="13" t="str">
        <f>_xll.BDH("BLUE US Equity","BS_CURR_PORTION_LT_DEBT","FQ4 2023","FQ4 2023","Currency=USD","Period=FQ","BEST_FPERIOD_OVERRIDE=FQ","FILING_STATUS=MR","SCALING_FORMAT=MLN","Sort=A","Dates=H","DateFormat=P","Fill=—","Direction=H","UseDPDF=Y")</f>
        <v>—</v>
      </c>
      <c r="X50" s="13">
        <f>_xll.BDH("BLUE US Equity","BS_CURR_PORTION_LT_DEBT","FQ1 2024","FQ1 2024","Currency=USD","Period=FQ","BEST_FPERIOD_OVERRIDE=FQ","FILING_STATUS=MR","SCALING_FORMAT=MLN","Sort=A","Dates=H","DateFormat=P","Fill=—","Direction=H","UseDPDF=Y")</f>
        <v>68.995000000000005</v>
      </c>
      <c r="Y50" s="13">
        <f>_xll.BDH("BLUE US Equity","BS_CURR_PORTION_LT_DEBT","FQ2 2024","FQ2 2024","Currency=USD","Period=FQ","BEST_FPERIOD_OVERRIDE=FQ","FILING_STATUS=MR","SCALING_FORMAT=MLN","Sort=A","Dates=H","DateFormat=P","Fill=—","Direction=H","UseDPDF=Y")</f>
        <v>69.843000000000004</v>
      </c>
      <c r="Z50" s="13">
        <f>_xll.BDH("BLUE US Equity","BS_CURR_PORTION_LT_DEBT","FQ3 2024","FQ3 2024","Currency=USD","Period=FQ","BEST_FPERIOD_OVERRIDE=FQ","FILING_STATUS=MR","SCALING_FORMAT=MLN","Sort=A","Dates=H","DateFormat=P","Fill=—","Direction=H","UseDPDF=Y")</f>
        <v>70.599999999999994</v>
      </c>
      <c r="AA50" s="13">
        <f>_xll.BDH("BLUE US Equity","BS_CURR_PORTION_LT_DEBT","FQ4 2024","FQ4 2024","Currency=USD","Period=FQ","BEST_FPERIOD_OVERRIDE=FQ","FILING_STATUS=MR","SCALING_FORMAT=MLN","Sort=A","Dates=H","DateFormat=P","Fill=—","Direction=H","UseDPDF=Y")</f>
        <v>71.507000000000005</v>
      </c>
    </row>
    <row r="51" spans="1:27" x14ac:dyDescent="0.25">
      <c r="A51" s="10" t="s">
        <v>672</v>
      </c>
      <c r="B51" s="10" t="s">
        <v>673</v>
      </c>
      <c r="C51" s="13">
        <f>_xll.BDH("BLUE US Equity","OTHER_CURRENT_LIABS_SUB_DETAILED","FQ4 2018","FQ4 2018","Currency=USD","Period=FQ","BEST_FPERIOD_OVERRIDE=FQ","FILING_STATUS=MR","SCALING_FORMAT=MLN","Sort=A","Dates=H","DateFormat=P","Fill=—","Direction=H","UseDPDF=Y")</f>
        <v>29.207000000000001</v>
      </c>
      <c r="D51" s="13">
        <f>_xll.BDH("BLUE US Equity","OTHER_CURRENT_LIABS_SUB_DETAILED","FQ1 2019","FQ1 2019","Currency=USD","Period=FQ","BEST_FPERIOD_OVERRIDE=FQ","FILING_STATUS=MR","SCALING_FORMAT=MLN","Sort=A","Dates=H","DateFormat=P","Fill=—","Direction=H","UseDPDF=Y")</f>
        <v>22.731999999999999</v>
      </c>
      <c r="E51" s="13">
        <f>_xll.BDH("BLUE US Equity","OTHER_CURRENT_LIABS_SUB_DETAILED","FQ2 2019","FQ2 2019","Currency=USD","Period=FQ","BEST_FPERIOD_OVERRIDE=FQ","FILING_STATUS=MR","SCALING_FORMAT=MLN","Sort=A","Dates=H","DateFormat=P","Fill=—","Direction=H","UseDPDF=Y")</f>
        <v>22.673999999999999</v>
      </c>
      <c r="F51" s="13">
        <f>_xll.BDH("BLUE US Equity","OTHER_CURRENT_LIABS_SUB_DETAILED","FQ3 2019","FQ3 2019","Currency=USD","Period=FQ","BEST_FPERIOD_OVERRIDE=FQ","FILING_STATUS=MR","SCALING_FORMAT=MLN","Sort=A","Dates=H","DateFormat=P","Fill=—","Direction=H","UseDPDF=Y")</f>
        <v>21.747</v>
      </c>
      <c r="G51" s="13">
        <f>_xll.BDH("BLUE US Equity","OTHER_CURRENT_LIABS_SUB_DETAILED","FQ4 2019","FQ4 2019","Currency=USD","Period=FQ","BEST_FPERIOD_OVERRIDE=FQ","FILING_STATUS=MR","SCALING_FORMAT=MLN","Sort=A","Dates=H","DateFormat=P","Fill=—","Direction=H","UseDPDF=Y")</f>
        <v>18.853999999999999</v>
      </c>
      <c r="H51" s="13">
        <f>_xll.BDH("BLUE US Equity","OTHER_CURRENT_LIABS_SUB_DETAILED","FQ1 2020","FQ1 2020","Currency=USD","Period=FQ","BEST_FPERIOD_OVERRIDE=FQ","FILING_STATUS=MR","SCALING_FORMAT=MLN","Sort=A","Dates=H","DateFormat=P","Fill=—","Direction=H","UseDPDF=Y")</f>
        <v>15.423999999999999</v>
      </c>
      <c r="I51" s="13">
        <f>_xll.BDH("BLUE US Equity","OTHER_CURRENT_LIABS_SUB_DETAILED","FQ2 2020","FQ2 2020","Currency=USD","Period=FQ","BEST_FPERIOD_OVERRIDE=FQ","FILING_STATUS=MR","SCALING_FORMAT=MLN","Sort=A","Dates=H","DateFormat=P","Fill=—","Direction=H","UseDPDF=Y")</f>
        <v>14.433</v>
      </c>
      <c r="J51" s="13">
        <f>_xll.BDH("BLUE US Equity","OTHER_CURRENT_LIABS_SUB_DETAILED","FQ3 2020","FQ3 2020","Currency=USD","Period=FQ","BEST_FPERIOD_OVERRIDE=FQ","FILING_STATUS=MR","SCALING_FORMAT=MLN","Sort=A","Dates=H","DateFormat=P","Fill=—","Direction=H","UseDPDF=Y")</f>
        <v>11.106</v>
      </c>
      <c r="K51" s="13">
        <f>_xll.BDH("BLUE US Equity","OTHER_CURRENT_LIABS_SUB_DETAILED","FQ4 2020","FQ4 2020","Currency=USD","Period=FQ","BEST_FPERIOD_OVERRIDE=FQ","FILING_STATUS=MR","SCALING_FORMAT=MLN","Sort=A","Dates=H","DateFormat=P","Fill=—","Direction=H","UseDPDF=Y")</f>
        <v>81.876000000000005</v>
      </c>
      <c r="L51" s="13">
        <f>_xll.BDH("BLUE US Equity","OTHER_CURRENT_LIABS_SUB_DETAILED","FQ1 2021","FQ1 2021","Currency=USD","Period=FQ","BEST_FPERIOD_OVERRIDE=FQ","FILING_STATUS=MR","SCALING_FORMAT=MLN","Sort=A","Dates=H","DateFormat=P","Fill=—","Direction=H","UseDPDF=Y")</f>
        <v>11.228999999999999</v>
      </c>
      <c r="M51" s="13">
        <f>_xll.BDH("BLUE US Equity","OTHER_CURRENT_LIABS_SUB_DETAILED","FQ2 2021","FQ2 2021","Currency=USD","Period=FQ","BEST_FPERIOD_OVERRIDE=FQ","FILING_STATUS=MR","SCALING_FORMAT=MLN","Sort=A","Dates=H","DateFormat=P","Fill=—","Direction=H","UseDPDF=Y")</f>
        <v>11.766999999999999</v>
      </c>
      <c r="N51" s="13">
        <f>_xll.BDH("BLUE US Equity","OTHER_CURRENT_LIABS_SUB_DETAILED","FQ3 2021","FQ3 2021","Currency=USD","Period=FQ","BEST_FPERIOD_OVERRIDE=FQ","FILING_STATUS=MR","SCALING_FORMAT=MLN","Sort=A","Dates=H","DateFormat=P","Fill=—","Direction=H","UseDPDF=Y")</f>
        <v>11.66</v>
      </c>
      <c r="O51" s="13">
        <f>_xll.BDH("BLUE US Equity","OTHER_CURRENT_LIABS_SUB_DETAILED","FQ4 2021","FQ4 2021","Currency=USD","Period=FQ","BEST_FPERIOD_OVERRIDE=FQ","FILING_STATUS=MR","SCALING_FORMAT=MLN","Sort=A","Dates=H","DateFormat=P","Fill=—","Direction=H","UseDPDF=Y")</f>
        <v>0</v>
      </c>
      <c r="P51" s="13">
        <f>_xll.BDH("BLUE US Equity","OTHER_CURRENT_LIABS_SUB_DETAILED","FQ1 2022","FQ1 2022","Currency=USD","Period=FQ","BEST_FPERIOD_OVERRIDE=FQ","FILING_STATUS=MR","SCALING_FORMAT=MLN","Sort=A","Dates=H","DateFormat=P","Fill=—","Direction=H","UseDPDF=Y")</f>
        <v>0</v>
      </c>
      <c r="Q51" s="13">
        <f>_xll.BDH("BLUE US Equity","OTHER_CURRENT_LIABS_SUB_DETAILED","FQ2 2022","FQ2 2022","Currency=USD","Period=FQ","BEST_FPERIOD_OVERRIDE=FQ","FILING_STATUS=MR","SCALING_FORMAT=MLN","Sort=A","Dates=H","DateFormat=P","Fill=—","Direction=H","UseDPDF=Y")</f>
        <v>0</v>
      </c>
      <c r="R51" s="13">
        <f>_xll.BDH("BLUE US Equity","OTHER_CURRENT_LIABS_SUB_DETAILED","FQ3 2022","FQ3 2022","Currency=USD","Period=FQ","BEST_FPERIOD_OVERRIDE=FQ","FILING_STATUS=MR","SCALING_FORMAT=MLN","Sort=A","Dates=H","DateFormat=P","Fill=—","Direction=H","UseDPDF=Y")</f>
        <v>0</v>
      </c>
      <c r="S51" s="13">
        <f>_xll.BDH("BLUE US Equity","OTHER_CURRENT_LIABS_SUB_DETAILED","FQ4 2022","FQ4 2022","Currency=USD","Period=FQ","BEST_FPERIOD_OVERRIDE=FQ","FILING_STATUS=MR","SCALING_FORMAT=MLN","Sort=A","Dates=H","DateFormat=P","Fill=—","Direction=H","UseDPDF=Y")</f>
        <v>0</v>
      </c>
      <c r="T51" s="13">
        <f>_xll.BDH("BLUE US Equity","OTHER_CURRENT_LIABS_SUB_DETAILED","FQ1 2023","FQ1 2023","Currency=USD","Period=FQ","BEST_FPERIOD_OVERRIDE=FQ","FILING_STATUS=MR","SCALING_FORMAT=MLN","Sort=A","Dates=H","DateFormat=P","Fill=—","Direction=H","UseDPDF=Y")</f>
        <v>0</v>
      </c>
      <c r="U51" s="13">
        <f>_xll.BDH("BLUE US Equity","OTHER_CURRENT_LIABS_SUB_DETAILED","FQ2 2023","FQ2 2023","Currency=USD","Period=FQ","BEST_FPERIOD_OVERRIDE=FQ","FILING_STATUS=MR","SCALING_FORMAT=MLN","Sort=A","Dates=H","DateFormat=P","Fill=—","Direction=H","UseDPDF=Y")</f>
        <v>0</v>
      </c>
      <c r="V51" s="13">
        <f>_xll.BDH("BLUE US Equity","OTHER_CURRENT_LIABS_SUB_DETAILED","FQ3 2023","FQ3 2023","Currency=USD","Period=FQ","BEST_FPERIOD_OVERRIDE=FQ","FILING_STATUS=MR","SCALING_FORMAT=MLN","Sort=A","Dates=H","DateFormat=P","Fill=—","Direction=H","UseDPDF=Y")</f>
        <v>9.6530000000000005</v>
      </c>
      <c r="W51" s="13">
        <f>_xll.BDH("BLUE US Equity","OTHER_CURRENT_LIABS_SUB_DETAILED","FQ4 2023","FQ4 2023","Currency=USD","Period=FQ","BEST_FPERIOD_OVERRIDE=FQ","FILING_STATUS=MR","SCALING_FORMAT=MLN","Sort=A","Dates=H","DateFormat=P","Fill=—","Direction=H","UseDPDF=Y")</f>
        <v>2.52</v>
      </c>
      <c r="X51" s="13">
        <f>_xll.BDH("BLUE US Equity","OTHER_CURRENT_LIABS_SUB_DETAILED","FQ1 2024","FQ1 2024","Currency=USD","Period=FQ","BEST_FPERIOD_OVERRIDE=FQ","FILING_STATUS=MR","SCALING_FORMAT=MLN","Sort=A","Dates=H","DateFormat=P","Fill=—","Direction=H","UseDPDF=Y")</f>
        <v>2.52</v>
      </c>
      <c r="Y51" s="13">
        <f>_xll.BDH("BLUE US Equity","OTHER_CURRENT_LIABS_SUB_DETAILED","FQ2 2024","FQ2 2024","Currency=USD","Period=FQ","BEST_FPERIOD_OVERRIDE=FQ","FILING_STATUS=MR","SCALING_FORMAT=MLN","Sort=A","Dates=H","DateFormat=P","Fill=—","Direction=H","UseDPDF=Y")</f>
        <v>5.22</v>
      </c>
      <c r="Z51" s="13">
        <f>_xll.BDH("BLUE US Equity","OTHER_CURRENT_LIABS_SUB_DETAILED","FQ3 2024","FQ3 2024","Currency=USD","Period=FQ","BEST_FPERIOD_OVERRIDE=FQ","FILING_STATUS=MR","SCALING_FORMAT=MLN","Sort=A","Dates=H","DateFormat=P","Fill=—","Direction=H","UseDPDF=Y")</f>
        <v>10.08</v>
      </c>
      <c r="AA51" s="13">
        <f>_xll.BDH("BLUE US Equity","OTHER_CURRENT_LIABS_SUB_DETAILED","FQ4 2024","FQ4 2024","Currency=USD","Period=FQ","BEST_FPERIOD_OVERRIDE=FQ","FILING_STATUS=MR","SCALING_FORMAT=MLN","Sort=A","Dates=H","DateFormat=P","Fill=—","Direction=H","UseDPDF=Y")</f>
        <v>15.66</v>
      </c>
    </row>
    <row r="52" spans="1:27" x14ac:dyDescent="0.25">
      <c r="A52" s="10" t="s">
        <v>674</v>
      </c>
      <c r="B52" s="10" t="s">
        <v>675</v>
      </c>
      <c r="C52" s="13">
        <f>_xll.BDH("BLUE US Equity","ST_DEFERRED_REVENUE","FQ4 2018","FQ4 2018","Currency=USD","Period=FQ","BEST_FPERIOD_OVERRIDE=FQ","FILING_STATUS=MR","SCALING_FORMAT=MLN","Sort=A","Dates=H","DateFormat=P","Fill=—","Direction=H","UseDPDF=Y")</f>
        <v>18.602</v>
      </c>
      <c r="D52" s="13">
        <f>_xll.BDH("BLUE US Equity","ST_DEFERRED_REVENUE","FQ1 2019","FQ1 2019","Currency=USD","Period=FQ","BEST_FPERIOD_OVERRIDE=FQ","FILING_STATUS=MR","SCALING_FORMAT=MLN","Sort=A","Dates=H","DateFormat=P","Fill=—","Direction=H","UseDPDF=Y")</f>
        <v>11.49</v>
      </c>
      <c r="E52" s="13">
        <f>_xll.BDH("BLUE US Equity","ST_DEFERRED_REVENUE","FQ2 2019","FQ2 2019","Currency=USD","Period=FQ","BEST_FPERIOD_OVERRIDE=FQ","FILING_STATUS=MR","SCALING_FORMAT=MLN","Sort=A","Dates=H","DateFormat=P","Fill=—","Direction=H","UseDPDF=Y")</f>
        <v>9.484</v>
      </c>
      <c r="F52" s="13">
        <f>_xll.BDH("BLUE US Equity","ST_DEFERRED_REVENUE","FQ3 2019","FQ3 2019","Currency=USD","Period=FQ","BEST_FPERIOD_OVERRIDE=FQ","FILING_STATUS=MR","SCALING_FORMAT=MLN","Sort=A","Dates=H","DateFormat=P","Fill=—","Direction=H","UseDPDF=Y")</f>
        <v>8.4740000000000002</v>
      </c>
      <c r="G52" s="13">
        <f>_xll.BDH("BLUE US Equity","ST_DEFERRED_REVENUE","FQ4 2019","FQ4 2019","Currency=USD","Period=FQ","BEST_FPERIOD_OVERRIDE=FQ","FILING_STATUS=MR","SCALING_FORMAT=MLN","Sort=A","Dates=H","DateFormat=P","Fill=—","Direction=H","UseDPDF=Y")</f>
        <v>8.4740000000000002</v>
      </c>
      <c r="H52" s="13">
        <f>_xll.BDH("BLUE US Equity","ST_DEFERRED_REVENUE","FQ1 2020","FQ1 2020","Currency=USD","Period=FQ","BEST_FPERIOD_OVERRIDE=FQ","FILING_STATUS=MR","SCALING_FORMAT=MLN","Sort=A","Dates=H","DateFormat=P","Fill=—","Direction=H","UseDPDF=Y")</f>
        <v>6.3550000000000004</v>
      </c>
      <c r="I52" s="13">
        <f>_xll.BDH("BLUE US Equity","ST_DEFERRED_REVENUE","FQ2 2020","FQ2 2020","Currency=USD","Period=FQ","BEST_FPERIOD_OVERRIDE=FQ","FILING_STATUS=MR","SCALING_FORMAT=MLN","Sort=A","Dates=H","DateFormat=P","Fill=—","Direction=H","UseDPDF=Y")</f>
        <v>3.915</v>
      </c>
      <c r="J52" s="13">
        <f>_xll.BDH("BLUE US Equity","ST_DEFERRED_REVENUE","FQ3 2020","FQ3 2020","Currency=USD","Period=FQ","BEST_FPERIOD_OVERRIDE=FQ","FILING_STATUS=MR","SCALING_FORMAT=MLN","Sort=A","Dates=H","DateFormat=P","Fill=—","Direction=H","UseDPDF=Y")</f>
        <v>1.0609999999999999</v>
      </c>
      <c r="K52" s="13">
        <f>_xll.BDH("BLUE US Equity","ST_DEFERRED_REVENUE","FQ4 2020","FQ4 2020","Currency=USD","Period=FQ","BEST_FPERIOD_OVERRIDE=FQ","FILING_STATUS=MR","SCALING_FORMAT=MLN","Sort=A","Dates=H","DateFormat=P","Fill=—","Direction=H","UseDPDF=Y")</f>
        <v>0</v>
      </c>
      <c r="L52" s="13">
        <f>_xll.BDH("BLUE US Equity","ST_DEFERRED_REVENUE","FQ1 2021","FQ1 2021","Currency=USD","Period=FQ","BEST_FPERIOD_OVERRIDE=FQ","FILING_STATUS=MR","SCALING_FORMAT=MLN","Sort=A","Dates=H","DateFormat=P","Fill=—","Direction=H","UseDPDF=Y")</f>
        <v>1.33</v>
      </c>
      <c r="M52" s="13">
        <f>_xll.BDH("BLUE US Equity","ST_DEFERRED_REVENUE","FQ2 2021","FQ2 2021","Currency=USD","Period=FQ","BEST_FPERIOD_OVERRIDE=FQ","FILING_STATUS=MR","SCALING_FORMAT=MLN","Sort=A","Dates=H","DateFormat=P","Fill=—","Direction=H","UseDPDF=Y")</f>
        <v>2.6869999999999998</v>
      </c>
      <c r="N52" s="13">
        <f>_xll.BDH("BLUE US Equity","ST_DEFERRED_REVENUE","FQ3 2021","FQ3 2021","Currency=USD","Period=FQ","BEST_FPERIOD_OVERRIDE=FQ","FILING_STATUS=MR","SCALING_FORMAT=MLN","Sort=A","Dates=H","DateFormat=P","Fill=—","Direction=H","UseDPDF=Y")</f>
        <v>2.5299999999999998</v>
      </c>
      <c r="O52" s="13">
        <f>_xll.BDH("BLUE US Equity","ST_DEFERRED_REVENUE","FQ4 2021","FQ4 2021","Currency=USD","Period=FQ","BEST_FPERIOD_OVERRIDE=FQ","FILING_STATUS=MR","SCALING_FORMAT=MLN","Sort=A","Dates=H","DateFormat=P","Fill=—","Direction=H","UseDPDF=Y")</f>
        <v>0</v>
      </c>
      <c r="P52" s="13" t="str">
        <f>_xll.BDH("BLUE US Equity","ST_DEFERRED_REVENUE","FQ1 2022","FQ1 2022","Currency=USD","Period=FQ","BEST_FPERIOD_OVERRIDE=FQ","FILING_STATUS=MR","SCALING_FORMAT=MLN","Sort=A","Dates=H","DateFormat=P","Fill=—","Direction=H","UseDPDF=Y")</f>
        <v>—</v>
      </c>
      <c r="Q52" s="13" t="str">
        <f>_xll.BDH("BLUE US Equity","ST_DEFERRED_REVENUE","FQ2 2022","FQ2 2022","Currency=USD","Period=FQ","BEST_FPERIOD_OVERRIDE=FQ","FILING_STATUS=MR","SCALING_FORMAT=MLN","Sort=A","Dates=H","DateFormat=P","Fill=—","Direction=H","UseDPDF=Y")</f>
        <v>—</v>
      </c>
      <c r="R52" s="13">
        <f>_xll.BDH("BLUE US Equity","ST_DEFERRED_REVENUE","FQ3 2022","FQ3 2022","Currency=USD","Period=FQ","BEST_FPERIOD_OVERRIDE=FQ","FILING_STATUS=MR","SCALING_FORMAT=MLN","Sort=A","Dates=H","DateFormat=P","Fill=—","Direction=H","UseDPDF=Y")</f>
        <v>0</v>
      </c>
      <c r="S52" s="13">
        <f>_xll.BDH("BLUE US Equity","ST_DEFERRED_REVENUE","FQ4 2022","FQ4 2022","Currency=USD","Period=FQ","BEST_FPERIOD_OVERRIDE=FQ","FILING_STATUS=MR","SCALING_FORMAT=MLN","Sort=A","Dates=H","DateFormat=P","Fill=—","Direction=H","UseDPDF=Y")</f>
        <v>0</v>
      </c>
      <c r="T52" s="13" t="str">
        <f>_xll.BDH("BLUE US Equity","ST_DEFERRED_REVENUE","FQ1 2023","FQ1 2023","Currency=USD","Period=FQ","BEST_FPERIOD_OVERRIDE=FQ","FILING_STATUS=MR","SCALING_FORMAT=MLN","Sort=A","Dates=H","DateFormat=P","Fill=—","Direction=H","UseDPDF=Y")</f>
        <v>—</v>
      </c>
      <c r="U52" s="13" t="str">
        <f>_xll.BDH("BLUE US Equity","ST_DEFERRED_REVENUE","FQ2 2023","FQ2 2023","Currency=USD","Period=FQ","BEST_FPERIOD_OVERRIDE=FQ","FILING_STATUS=MR","SCALING_FORMAT=MLN","Sort=A","Dates=H","DateFormat=P","Fill=—","Direction=H","UseDPDF=Y")</f>
        <v>—</v>
      </c>
      <c r="V52" s="13">
        <f>_xll.BDH("BLUE US Equity","ST_DEFERRED_REVENUE","FQ3 2023","FQ3 2023","Currency=USD","Period=FQ","BEST_FPERIOD_OVERRIDE=FQ","FILING_STATUS=MR","SCALING_FORMAT=MLN","Sort=A","Dates=H","DateFormat=P","Fill=—","Direction=H","UseDPDF=Y")</f>
        <v>9.6530000000000005</v>
      </c>
      <c r="W52" s="13">
        <f>_xll.BDH("BLUE US Equity","ST_DEFERRED_REVENUE","FQ4 2023","FQ4 2023","Currency=USD","Period=FQ","BEST_FPERIOD_OVERRIDE=FQ","FILING_STATUS=MR","SCALING_FORMAT=MLN","Sort=A","Dates=H","DateFormat=P","Fill=—","Direction=H","UseDPDF=Y")</f>
        <v>0</v>
      </c>
      <c r="X52" s="13" t="str">
        <f>_xll.BDH("BLUE US Equity","ST_DEFERRED_REVENUE","FQ1 2024","FQ1 2024","Currency=USD","Period=FQ","BEST_FPERIOD_OVERRIDE=FQ","FILING_STATUS=MR","SCALING_FORMAT=MLN","Sort=A","Dates=H","DateFormat=P","Fill=—","Direction=H","UseDPDF=Y")</f>
        <v>—</v>
      </c>
      <c r="Y52" s="13" t="str">
        <f>_xll.BDH("BLUE US Equity","ST_DEFERRED_REVENUE","FQ2 2024","FQ2 2024","Currency=USD","Period=FQ","BEST_FPERIOD_OVERRIDE=FQ","FILING_STATUS=MR","SCALING_FORMAT=MLN","Sort=A","Dates=H","DateFormat=P","Fill=—","Direction=H","UseDPDF=Y")</f>
        <v>—</v>
      </c>
      <c r="Z52" s="13" t="str">
        <f>_xll.BDH("BLUE US Equity","ST_DEFERRED_REVENUE","FQ3 2024","FQ3 2024","Currency=USD","Period=FQ","BEST_FPERIOD_OVERRIDE=FQ","FILING_STATUS=MR","SCALING_FORMAT=MLN","Sort=A","Dates=H","DateFormat=P","Fill=—","Direction=H","UseDPDF=Y")</f>
        <v>—</v>
      </c>
      <c r="AA52" s="13">
        <f>_xll.BDH("BLUE US Equity","ST_DEFERRED_REVENUE","FQ4 2024","FQ4 2024","Currency=USD","Period=FQ","BEST_FPERIOD_OVERRIDE=FQ","FILING_STATUS=MR","SCALING_FORMAT=MLN","Sort=A","Dates=H","DateFormat=P","Fill=—","Direction=H","UseDPDF=Y")</f>
        <v>0</v>
      </c>
    </row>
    <row r="53" spans="1:27" x14ac:dyDescent="0.25">
      <c r="A53" s="10" t="s">
        <v>676</v>
      </c>
      <c r="B53" s="10" t="s">
        <v>677</v>
      </c>
      <c r="C53" s="13">
        <f>_xll.BDH("BLUE US Equity","BS_DERIV_HEDGING_LIAB_ST","FQ4 2018","FQ4 2018","Currency=USD","Period=FQ","BEST_FPERIOD_OVERRIDE=FQ","FILING_STATUS=MR","SCALING_FORMAT=MLN","Sort=A","Dates=H","DateFormat=P","Fill=—","Direction=H","UseDPDF=Y")</f>
        <v>0</v>
      </c>
      <c r="D53" s="13" t="str">
        <f>_xll.BDH("BLUE US Equity","BS_DERIV_HEDGING_LIAB_ST","FQ1 2019","FQ1 2019","Currency=USD","Period=FQ","BEST_FPERIOD_OVERRIDE=FQ","FILING_STATUS=MR","SCALING_FORMAT=MLN","Sort=A","Dates=H","DateFormat=P","Fill=—","Direction=H","UseDPDF=Y")</f>
        <v>—</v>
      </c>
      <c r="E53" s="13" t="str">
        <f>_xll.BDH("BLUE US Equity","BS_DERIV_HEDGING_LIAB_ST","FQ2 2019","FQ2 2019","Currency=USD","Period=FQ","BEST_FPERIOD_OVERRIDE=FQ","FILING_STATUS=MR","SCALING_FORMAT=MLN","Sort=A","Dates=H","DateFormat=P","Fill=—","Direction=H","UseDPDF=Y")</f>
        <v>—</v>
      </c>
      <c r="F53" s="13" t="str">
        <f>_xll.BDH("BLUE US Equity","BS_DERIV_HEDGING_LIAB_ST","FQ3 2019","FQ3 2019","Currency=USD","Period=FQ","BEST_FPERIOD_OVERRIDE=FQ","FILING_STATUS=MR","SCALING_FORMAT=MLN","Sort=A","Dates=H","DateFormat=P","Fill=—","Direction=H","UseDPDF=Y")</f>
        <v>—</v>
      </c>
      <c r="G53" s="13">
        <f>_xll.BDH("BLUE US Equity","BS_DERIV_HEDGING_LIAB_ST","FQ4 2019","FQ4 2019","Currency=USD","Period=FQ","BEST_FPERIOD_OVERRIDE=FQ","FILING_STATUS=MR","SCALING_FORMAT=MLN","Sort=A","Dates=H","DateFormat=P","Fill=—","Direction=H","UseDPDF=Y")</f>
        <v>0</v>
      </c>
      <c r="H53" s="13" t="str">
        <f>_xll.BDH("BLUE US Equity","BS_DERIV_HEDGING_LIAB_ST","FQ1 2020","FQ1 2020","Currency=USD","Period=FQ","BEST_FPERIOD_OVERRIDE=FQ","FILING_STATUS=MR","SCALING_FORMAT=MLN","Sort=A","Dates=H","DateFormat=P","Fill=—","Direction=H","UseDPDF=Y")</f>
        <v>—</v>
      </c>
      <c r="I53" s="13" t="str">
        <f>_xll.BDH("BLUE US Equity","BS_DERIV_HEDGING_LIAB_ST","FQ2 2020","FQ2 2020","Currency=USD","Period=FQ","BEST_FPERIOD_OVERRIDE=FQ","FILING_STATUS=MR","SCALING_FORMAT=MLN","Sort=A","Dates=H","DateFormat=P","Fill=—","Direction=H","UseDPDF=Y")</f>
        <v>—</v>
      </c>
      <c r="J53" s="13" t="str">
        <f>_xll.BDH("BLUE US Equity","BS_DERIV_HEDGING_LIAB_ST","FQ3 2020","FQ3 2020","Currency=USD","Period=FQ","BEST_FPERIOD_OVERRIDE=FQ","FILING_STATUS=MR","SCALING_FORMAT=MLN","Sort=A","Dates=H","DateFormat=P","Fill=—","Direction=H","UseDPDF=Y")</f>
        <v>—</v>
      </c>
      <c r="K53" s="13">
        <f>_xll.BDH("BLUE US Equity","BS_DERIV_HEDGING_LIAB_ST","FQ4 2020","FQ4 2020","Currency=USD","Period=FQ","BEST_FPERIOD_OVERRIDE=FQ","FILING_STATUS=MR","SCALING_FORMAT=MLN","Sort=A","Dates=H","DateFormat=P","Fill=—","Direction=H","UseDPDF=Y")</f>
        <v>0</v>
      </c>
      <c r="L53" s="13" t="str">
        <f>_xll.BDH("BLUE US Equity","BS_DERIV_HEDGING_LIAB_ST","FQ1 2021","FQ1 2021","Currency=USD","Period=FQ","BEST_FPERIOD_OVERRIDE=FQ","FILING_STATUS=MR","SCALING_FORMAT=MLN","Sort=A","Dates=H","DateFormat=P","Fill=—","Direction=H","UseDPDF=Y")</f>
        <v>—</v>
      </c>
      <c r="M53" s="13" t="str">
        <f>_xll.BDH("BLUE US Equity","BS_DERIV_HEDGING_LIAB_ST","FQ2 2021","FQ2 2021","Currency=USD","Period=FQ","BEST_FPERIOD_OVERRIDE=FQ","FILING_STATUS=MR","SCALING_FORMAT=MLN","Sort=A","Dates=H","DateFormat=P","Fill=—","Direction=H","UseDPDF=Y")</f>
        <v>—</v>
      </c>
      <c r="N53" s="13" t="str">
        <f>_xll.BDH("BLUE US Equity","BS_DERIV_HEDGING_LIAB_ST","FQ3 2021","FQ3 2021","Currency=USD","Period=FQ","BEST_FPERIOD_OVERRIDE=FQ","FILING_STATUS=MR","SCALING_FORMAT=MLN","Sort=A","Dates=H","DateFormat=P","Fill=—","Direction=H","UseDPDF=Y")</f>
        <v>—</v>
      </c>
      <c r="O53" s="13">
        <f>_xll.BDH("BLUE US Equity","BS_DERIV_HEDGING_LIAB_ST","FQ4 2021","FQ4 2021","Currency=USD","Period=FQ","BEST_FPERIOD_OVERRIDE=FQ","FILING_STATUS=MR","SCALING_FORMAT=MLN","Sort=A","Dates=H","DateFormat=P","Fill=—","Direction=H","UseDPDF=Y")</f>
        <v>0</v>
      </c>
      <c r="P53" s="13" t="str">
        <f>_xll.BDH("BLUE US Equity","BS_DERIV_HEDGING_LIAB_ST","FQ1 2022","FQ1 2022","Currency=USD","Period=FQ","BEST_FPERIOD_OVERRIDE=FQ","FILING_STATUS=MR","SCALING_FORMAT=MLN","Sort=A","Dates=H","DateFormat=P","Fill=—","Direction=H","UseDPDF=Y")</f>
        <v>—</v>
      </c>
      <c r="Q53" s="13" t="str">
        <f>_xll.BDH("BLUE US Equity","BS_DERIV_HEDGING_LIAB_ST","FQ2 2022","FQ2 2022","Currency=USD","Period=FQ","BEST_FPERIOD_OVERRIDE=FQ","FILING_STATUS=MR","SCALING_FORMAT=MLN","Sort=A","Dates=H","DateFormat=P","Fill=—","Direction=H","UseDPDF=Y")</f>
        <v>—</v>
      </c>
      <c r="R53" s="13" t="str">
        <f>_xll.BDH("BLUE US Equity","BS_DERIV_HEDGING_LIAB_ST","FQ3 2022","FQ3 2022","Currency=USD","Period=FQ","BEST_FPERIOD_OVERRIDE=FQ","FILING_STATUS=MR","SCALING_FORMAT=MLN","Sort=A","Dates=H","DateFormat=P","Fill=—","Direction=H","UseDPDF=Y")</f>
        <v>—</v>
      </c>
      <c r="S53" s="13">
        <f>_xll.BDH("BLUE US Equity","BS_DERIV_HEDGING_LIAB_ST","FQ4 2022","FQ4 2022","Currency=USD","Period=FQ","BEST_FPERIOD_OVERRIDE=FQ","FILING_STATUS=MR","SCALING_FORMAT=MLN","Sort=A","Dates=H","DateFormat=P","Fill=—","Direction=H","UseDPDF=Y")</f>
        <v>0</v>
      </c>
      <c r="T53" s="13" t="str">
        <f>_xll.BDH("BLUE US Equity","BS_DERIV_HEDGING_LIAB_ST","FQ1 2023","FQ1 2023","Currency=USD","Period=FQ","BEST_FPERIOD_OVERRIDE=FQ","FILING_STATUS=MR","SCALING_FORMAT=MLN","Sort=A","Dates=H","DateFormat=P","Fill=—","Direction=H","UseDPDF=Y")</f>
        <v>—</v>
      </c>
      <c r="U53" s="13" t="str">
        <f>_xll.BDH("BLUE US Equity","BS_DERIV_HEDGING_LIAB_ST","FQ2 2023","FQ2 2023","Currency=USD","Period=FQ","BEST_FPERIOD_OVERRIDE=FQ","FILING_STATUS=MR","SCALING_FORMAT=MLN","Sort=A","Dates=H","DateFormat=P","Fill=—","Direction=H","UseDPDF=Y")</f>
        <v>—</v>
      </c>
      <c r="V53" s="13" t="str">
        <f>_xll.BDH("BLUE US Equity","BS_DERIV_HEDGING_LIAB_ST","FQ3 2023","FQ3 2023","Currency=USD","Period=FQ","BEST_FPERIOD_OVERRIDE=FQ","FILING_STATUS=MR","SCALING_FORMAT=MLN","Sort=A","Dates=H","DateFormat=P","Fill=—","Direction=H","UseDPDF=Y")</f>
        <v>—</v>
      </c>
      <c r="W53" s="13">
        <f>_xll.BDH("BLUE US Equity","BS_DERIV_HEDGING_LIAB_ST","FQ4 2023","FQ4 2023","Currency=USD","Period=FQ","BEST_FPERIOD_OVERRIDE=FQ","FILING_STATUS=MR","SCALING_FORMAT=MLN","Sort=A","Dates=H","DateFormat=P","Fill=—","Direction=H","UseDPDF=Y")</f>
        <v>0</v>
      </c>
      <c r="X53" s="13" t="str">
        <f>_xll.BDH("BLUE US Equity","BS_DERIV_HEDGING_LIAB_ST","FQ1 2024","FQ1 2024","Currency=USD","Period=FQ","BEST_FPERIOD_OVERRIDE=FQ","FILING_STATUS=MR","SCALING_FORMAT=MLN","Sort=A","Dates=H","DateFormat=P","Fill=—","Direction=H","UseDPDF=Y")</f>
        <v>—</v>
      </c>
      <c r="Y53" s="13" t="str">
        <f>_xll.BDH("BLUE US Equity","BS_DERIV_HEDGING_LIAB_ST","FQ2 2024","FQ2 2024","Currency=USD","Period=FQ","BEST_FPERIOD_OVERRIDE=FQ","FILING_STATUS=MR","SCALING_FORMAT=MLN","Sort=A","Dates=H","DateFormat=P","Fill=—","Direction=H","UseDPDF=Y")</f>
        <v>—</v>
      </c>
      <c r="Z53" s="13" t="str">
        <f>_xll.BDH("BLUE US Equity","BS_DERIV_HEDGING_LIAB_ST","FQ3 2024","FQ3 2024","Currency=USD","Period=FQ","BEST_FPERIOD_OVERRIDE=FQ","FILING_STATUS=MR","SCALING_FORMAT=MLN","Sort=A","Dates=H","DateFormat=P","Fill=—","Direction=H","UseDPDF=Y")</f>
        <v>—</v>
      </c>
      <c r="AA53" s="13">
        <f>_xll.BDH("BLUE US Equity","BS_DERIV_HEDGING_LIAB_ST","FQ4 2024","FQ4 2024","Currency=USD","Period=FQ","BEST_FPERIOD_OVERRIDE=FQ","FILING_STATUS=MR","SCALING_FORMAT=MLN","Sort=A","Dates=H","DateFormat=P","Fill=—","Direction=H","UseDPDF=Y")</f>
        <v>0</v>
      </c>
    </row>
    <row r="54" spans="1:27" x14ac:dyDescent="0.25">
      <c r="A54" s="10" t="s">
        <v>329</v>
      </c>
      <c r="B54" s="10" t="s">
        <v>678</v>
      </c>
      <c r="C54" s="13" t="str">
        <f>_xll.BDH("BLUE US Equity","BS_LIABS_OF_DISCONTINUED_OPS_ST","FQ4 2018","FQ4 2018","Currency=USD","Period=FQ","BEST_FPERIOD_OVERRIDE=FQ","FILING_STATUS=MR","SCALING_FORMAT=MLN","Sort=A","Dates=H","DateFormat=P","Fill=—","Direction=H","UseDPDF=Y")</f>
        <v>—</v>
      </c>
      <c r="D54" s="13" t="str">
        <f>_xll.BDH("BLUE US Equity","BS_LIABS_OF_DISCONTINUED_OPS_ST","FQ1 2019","FQ1 2019","Currency=USD","Period=FQ","BEST_FPERIOD_OVERRIDE=FQ","FILING_STATUS=MR","SCALING_FORMAT=MLN","Sort=A","Dates=H","DateFormat=P","Fill=—","Direction=H","UseDPDF=Y")</f>
        <v>—</v>
      </c>
      <c r="E54" s="13" t="str">
        <f>_xll.BDH("BLUE US Equity","BS_LIABS_OF_DISCONTINUED_OPS_ST","FQ2 2019","FQ2 2019","Currency=USD","Period=FQ","BEST_FPERIOD_OVERRIDE=FQ","FILING_STATUS=MR","SCALING_FORMAT=MLN","Sort=A","Dates=H","DateFormat=P","Fill=—","Direction=H","UseDPDF=Y")</f>
        <v>—</v>
      </c>
      <c r="F54" s="13" t="str">
        <f>_xll.BDH("BLUE US Equity","BS_LIABS_OF_DISCONTINUED_OPS_ST","FQ3 2019","FQ3 2019","Currency=USD","Period=FQ","BEST_FPERIOD_OVERRIDE=FQ","FILING_STATUS=MR","SCALING_FORMAT=MLN","Sort=A","Dates=H","DateFormat=P","Fill=—","Direction=H","UseDPDF=Y")</f>
        <v>—</v>
      </c>
      <c r="G54" s="13" t="str">
        <f>_xll.BDH("BLUE US Equity","BS_LIABS_OF_DISCONTINUED_OPS_ST","FQ4 2019","FQ4 2019","Currency=USD","Period=FQ","BEST_FPERIOD_OVERRIDE=FQ","FILING_STATUS=MR","SCALING_FORMAT=MLN","Sort=A","Dates=H","DateFormat=P","Fill=—","Direction=H","UseDPDF=Y")</f>
        <v>—</v>
      </c>
      <c r="H54" s="13" t="str">
        <f>_xll.BDH("BLUE US Equity","BS_LIABS_OF_DISCONTINUED_OPS_ST","FQ1 2020","FQ1 2020","Currency=USD","Period=FQ","BEST_FPERIOD_OVERRIDE=FQ","FILING_STATUS=MR","SCALING_FORMAT=MLN","Sort=A","Dates=H","DateFormat=P","Fill=—","Direction=H","UseDPDF=Y")</f>
        <v>—</v>
      </c>
      <c r="I54" s="13" t="str">
        <f>_xll.BDH("BLUE US Equity","BS_LIABS_OF_DISCONTINUED_OPS_ST","FQ2 2020","FQ2 2020","Currency=USD","Period=FQ","BEST_FPERIOD_OVERRIDE=FQ","FILING_STATUS=MR","SCALING_FORMAT=MLN","Sort=A","Dates=H","DateFormat=P","Fill=—","Direction=H","UseDPDF=Y")</f>
        <v>—</v>
      </c>
      <c r="J54" s="13" t="str">
        <f>_xll.BDH("BLUE US Equity","BS_LIABS_OF_DISCONTINUED_OPS_ST","FQ3 2020","FQ3 2020","Currency=USD","Period=FQ","BEST_FPERIOD_OVERRIDE=FQ","FILING_STATUS=MR","SCALING_FORMAT=MLN","Sort=A","Dates=H","DateFormat=P","Fill=—","Direction=H","UseDPDF=Y")</f>
        <v>—</v>
      </c>
      <c r="K54" s="13">
        <f>_xll.BDH("BLUE US Equity","BS_LIABS_OF_DISCONTINUED_OPS_ST","FQ4 2020","FQ4 2020","Currency=USD","Period=FQ","BEST_FPERIOD_OVERRIDE=FQ","FILING_STATUS=MR","SCALING_FORMAT=MLN","Sort=A","Dates=H","DateFormat=P","Fill=—","Direction=H","UseDPDF=Y")</f>
        <v>81.876000000000005</v>
      </c>
      <c r="L54" s="13" t="str">
        <f>_xll.BDH("BLUE US Equity","BS_LIABS_OF_DISCONTINUED_OPS_ST","FQ1 2021","FQ1 2021","Currency=USD","Period=FQ","BEST_FPERIOD_OVERRIDE=FQ","FILING_STATUS=MR","SCALING_FORMAT=MLN","Sort=A","Dates=H","DateFormat=P","Fill=—","Direction=H","UseDPDF=Y")</f>
        <v>—</v>
      </c>
      <c r="M54" s="13" t="str">
        <f>_xll.BDH("BLUE US Equity","BS_LIABS_OF_DISCONTINUED_OPS_ST","FQ2 2021","FQ2 2021","Currency=USD","Period=FQ","BEST_FPERIOD_OVERRIDE=FQ","FILING_STATUS=MR","SCALING_FORMAT=MLN","Sort=A","Dates=H","DateFormat=P","Fill=—","Direction=H","UseDPDF=Y")</f>
        <v>—</v>
      </c>
      <c r="N54" s="13" t="str">
        <f>_xll.BDH("BLUE US Equity","BS_LIABS_OF_DISCONTINUED_OPS_ST","FQ3 2021","FQ3 2021","Currency=USD","Period=FQ","BEST_FPERIOD_OVERRIDE=FQ","FILING_STATUS=MR","SCALING_FORMAT=MLN","Sort=A","Dates=H","DateFormat=P","Fill=—","Direction=H","UseDPDF=Y")</f>
        <v>—</v>
      </c>
      <c r="O54" s="13">
        <f>_xll.BDH("BLUE US Equity","BS_LIABS_OF_DISCONTINUED_OPS_ST","FQ4 2021","FQ4 2021","Currency=USD","Period=FQ","BEST_FPERIOD_OVERRIDE=FQ","FILING_STATUS=MR","SCALING_FORMAT=MLN","Sort=A","Dates=H","DateFormat=P","Fill=—","Direction=H","UseDPDF=Y")</f>
        <v>0</v>
      </c>
      <c r="P54" s="13" t="str">
        <f>_xll.BDH("BLUE US Equity","BS_LIABS_OF_DISCONTINUED_OPS_ST","FQ1 2022","FQ1 2022","Currency=USD","Period=FQ","BEST_FPERIOD_OVERRIDE=FQ","FILING_STATUS=MR","SCALING_FORMAT=MLN","Sort=A","Dates=H","DateFormat=P","Fill=—","Direction=H","UseDPDF=Y")</f>
        <v>—</v>
      </c>
      <c r="Q54" s="13" t="str">
        <f>_xll.BDH("BLUE US Equity","BS_LIABS_OF_DISCONTINUED_OPS_ST","FQ2 2022","FQ2 2022","Currency=USD","Period=FQ","BEST_FPERIOD_OVERRIDE=FQ","FILING_STATUS=MR","SCALING_FORMAT=MLN","Sort=A","Dates=H","DateFormat=P","Fill=—","Direction=H","UseDPDF=Y")</f>
        <v>—</v>
      </c>
      <c r="R54" s="13" t="str">
        <f>_xll.BDH("BLUE US Equity","BS_LIABS_OF_DISCONTINUED_OPS_ST","FQ3 2022","FQ3 2022","Currency=USD","Period=FQ","BEST_FPERIOD_OVERRIDE=FQ","FILING_STATUS=MR","SCALING_FORMAT=MLN","Sort=A","Dates=H","DateFormat=P","Fill=—","Direction=H","UseDPDF=Y")</f>
        <v>—</v>
      </c>
      <c r="S54" s="13" t="str">
        <f>_xll.BDH("BLUE US Equity","BS_LIABS_OF_DISCONTINUED_OPS_ST","FQ4 2022","FQ4 2022","Currency=USD","Period=FQ","BEST_FPERIOD_OVERRIDE=FQ","FILING_STATUS=MR","SCALING_FORMAT=MLN","Sort=A","Dates=H","DateFormat=P","Fill=—","Direction=H","UseDPDF=Y")</f>
        <v>—</v>
      </c>
      <c r="T54" s="13" t="str">
        <f>_xll.BDH("BLUE US Equity","BS_LIABS_OF_DISCONTINUED_OPS_ST","FQ1 2023","FQ1 2023","Currency=USD","Period=FQ","BEST_FPERIOD_OVERRIDE=FQ","FILING_STATUS=MR","SCALING_FORMAT=MLN","Sort=A","Dates=H","DateFormat=P","Fill=—","Direction=H","UseDPDF=Y")</f>
        <v>—</v>
      </c>
      <c r="U54" s="13" t="str">
        <f>_xll.BDH("BLUE US Equity","BS_LIABS_OF_DISCONTINUED_OPS_ST","FQ2 2023","FQ2 2023","Currency=USD","Period=FQ","BEST_FPERIOD_OVERRIDE=FQ","FILING_STATUS=MR","SCALING_FORMAT=MLN","Sort=A","Dates=H","DateFormat=P","Fill=—","Direction=H","UseDPDF=Y")</f>
        <v>—</v>
      </c>
      <c r="V54" s="13" t="str">
        <f>_xll.BDH("BLUE US Equity","BS_LIABS_OF_DISCONTINUED_OPS_ST","FQ3 2023","FQ3 2023","Currency=USD","Period=FQ","BEST_FPERIOD_OVERRIDE=FQ","FILING_STATUS=MR","SCALING_FORMAT=MLN","Sort=A","Dates=H","DateFormat=P","Fill=—","Direction=H","UseDPDF=Y")</f>
        <v>—</v>
      </c>
      <c r="W54" s="13" t="str">
        <f>_xll.BDH("BLUE US Equity","BS_LIABS_OF_DISCONTINUED_OPS_ST","FQ4 2023","FQ4 2023","Currency=USD","Period=FQ","BEST_FPERIOD_OVERRIDE=FQ","FILING_STATUS=MR","SCALING_FORMAT=MLN","Sort=A","Dates=H","DateFormat=P","Fill=—","Direction=H","UseDPDF=Y")</f>
        <v>—</v>
      </c>
      <c r="X54" s="13" t="str">
        <f>_xll.BDH("BLUE US Equity","BS_LIABS_OF_DISCONTINUED_OPS_ST","FQ1 2024","FQ1 2024","Currency=USD","Period=FQ","BEST_FPERIOD_OVERRIDE=FQ","FILING_STATUS=MR","SCALING_FORMAT=MLN","Sort=A","Dates=H","DateFormat=P","Fill=—","Direction=H","UseDPDF=Y")</f>
        <v>—</v>
      </c>
      <c r="Y54" s="13" t="str">
        <f>_xll.BDH("BLUE US Equity","BS_LIABS_OF_DISCONTINUED_OPS_ST","FQ2 2024","FQ2 2024","Currency=USD","Period=FQ","BEST_FPERIOD_OVERRIDE=FQ","FILING_STATUS=MR","SCALING_FORMAT=MLN","Sort=A","Dates=H","DateFormat=P","Fill=—","Direction=H","UseDPDF=Y")</f>
        <v>—</v>
      </c>
      <c r="Z54" s="13" t="str">
        <f>_xll.BDH("BLUE US Equity","BS_LIABS_OF_DISCONTINUED_OPS_ST","FQ3 2024","FQ3 2024","Currency=USD","Period=FQ","BEST_FPERIOD_OVERRIDE=FQ","FILING_STATUS=MR","SCALING_FORMAT=MLN","Sort=A","Dates=H","DateFormat=P","Fill=—","Direction=H","UseDPDF=Y")</f>
        <v>—</v>
      </c>
      <c r="AA54" s="13" t="str">
        <f>_xll.BDH("BLUE US Equity","BS_LIABS_OF_DISCONTINUED_OPS_ST","FQ4 2024","FQ4 2024","Currency=USD","Period=FQ","BEST_FPERIOD_OVERRIDE=FQ","FILING_STATUS=MR","SCALING_FORMAT=MLN","Sort=A","Dates=H","DateFormat=P","Fill=—","Direction=H","UseDPDF=Y")</f>
        <v>—</v>
      </c>
    </row>
    <row r="55" spans="1:27" x14ac:dyDescent="0.25">
      <c r="A55" s="10" t="s">
        <v>679</v>
      </c>
      <c r="B55" s="10" t="s">
        <v>680</v>
      </c>
      <c r="C55" s="13">
        <f>_xll.BDH("BLUE US Equity","OTHER_CURRENT_LIABS_DETAILED","FQ4 2018","FQ4 2018","Currency=USD","Period=FQ","BEST_FPERIOD_OVERRIDE=FQ","FILING_STATUS=MR","SCALING_FORMAT=MLN","Sort=A","Dates=H","DateFormat=P","Fill=—","Direction=H","UseDPDF=Y")</f>
        <v>10.605</v>
      </c>
      <c r="D55" s="13">
        <f>_xll.BDH("BLUE US Equity","OTHER_CURRENT_LIABS_DETAILED","FQ1 2019","FQ1 2019","Currency=USD","Period=FQ","BEST_FPERIOD_OVERRIDE=FQ","FILING_STATUS=MR","SCALING_FORMAT=MLN","Sort=A","Dates=H","DateFormat=P","Fill=—","Direction=H","UseDPDF=Y")</f>
        <v>11.242000000000001</v>
      </c>
      <c r="E55" s="13">
        <f>_xll.BDH("BLUE US Equity","OTHER_CURRENT_LIABS_DETAILED","FQ2 2019","FQ2 2019","Currency=USD","Period=FQ","BEST_FPERIOD_OVERRIDE=FQ","FILING_STATUS=MR","SCALING_FORMAT=MLN","Sort=A","Dates=H","DateFormat=P","Fill=—","Direction=H","UseDPDF=Y")</f>
        <v>13.19</v>
      </c>
      <c r="F55" s="13">
        <f>_xll.BDH("BLUE US Equity","OTHER_CURRENT_LIABS_DETAILED","FQ3 2019","FQ3 2019","Currency=USD","Period=FQ","BEST_FPERIOD_OVERRIDE=FQ","FILING_STATUS=MR","SCALING_FORMAT=MLN","Sort=A","Dates=H","DateFormat=P","Fill=—","Direction=H","UseDPDF=Y")</f>
        <v>13.273</v>
      </c>
      <c r="G55" s="13">
        <f>_xll.BDH("BLUE US Equity","OTHER_CURRENT_LIABS_DETAILED","FQ4 2019","FQ4 2019","Currency=USD","Period=FQ","BEST_FPERIOD_OVERRIDE=FQ","FILING_STATUS=MR","SCALING_FORMAT=MLN","Sort=A","Dates=H","DateFormat=P","Fill=—","Direction=H","UseDPDF=Y")</f>
        <v>10.38</v>
      </c>
      <c r="H55" s="13">
        <f>_xll.BDH("BLUE US Equity","OTHER_CURRENT_LIABS_DETAILED","FQ1 2020","FQ1 2020","Currency=USD","Period=FQ","BEST_FPERIOD_OVERRIDE=FQ","FILING_STATUS=MR","SCALING_FORMAT=MLN","Sort=A","Dates=H","DateFormat=P","Fill=—","Direction=H","UseDPDF=Y")</f>
        <v>9.0690000000000008</v>
      </c>
      <c r="I55" s="13">
        <f>_xll.BDH("BLUE US Equity","OTHER_CURRENT_LIABS_DETAILED","FQ2 2020","FQ2 2020","Currency=USD","Period=FQ","BEST_FPERIOD_OVERRIDE=FQ","FILING_STATUS=MR","SCALING_FORMAT=MLN","Sort=A","Dates=H","DateFormat=P","Fill=—","Direction=H","UseDPDF=Y")</f>
        <v>10.518000000000001</v>
      </c>
      <c r="J55" s="13">
        <f>_xll.BDH("BLUE US Equity","OTHER_CURRENT_LIABS_DETAILED","FQ3 2020","FQ3 2020","Currency=USD","Period=FQ","BEST_FPERIOD_OVERRIDE=FQ","FILING_STATUS=MR","SCALING_FORMAT=MLN","Sort=A","Dates=H","DateFormat=P","Fill=—","Direction=H","UseDPDF=Y")</f>
        <v>10.045</v>
      </c>
      <c r="K55" s="13">
        <f>_xll.BDH("BLUE US Equity","OTHER_CURRENT_LIABS_DETAILED","FQ4 2020","FQ4 2020","Currency=USD","Period=FQ","BEST_FPERIOD_OVERRIDE=FQ","FILING_STATUS=MR","SCALING_FORMAT=MLN","Sort=A","Dates=H","DateFormat=P","Fill=—","Direction=H","UseDPDF=Y")</f>
        <v>0</v>
      </c>
      <c r="L55" s="13">
        <f>_xll.BDH("BLUE US Equity","OTHER_CURRENT_LIABS_DETAILED","FQ1 2021","FQ1 2021","Currency=USD","Period=FQ","BEST_FPERIOD_OVERRIDE=FQ","FILING_STATUS=MR","SCALING_FORMAT=MLN","Sort=A","Dates=H","DateFormat=P","Fill=—","Direction=H","UseDPDF=Y")</f>
        <v>9.8989999999999991</v>
      </c>
      <c r="M55" s="13">
        <f>_xll.BDH("BLUE US Equity","OTHER_CURRENT_LIABS_DETAILED","FQ2 2021","FQ2 2021","Currency=USD","Period=FQ","BEST_FPERIOD_OVERRIDE=FQ","FILING_STATUS=MR","SCALING_FORMAT=MLN","Sort=A","Dates=H","DateFormat=P","Fill=—","Direction=H","UseDPDF=Y")</f>
        <v>9.08</v>
      </c>
      <c r="N55" s="13">
        <f>_xll.BDH("BLUE US Equity","OTHER_CURRENT_LIABS_DETAILED","FQ3 2021","FQ3 2021","Currency=USD","Period=FQ","BEST_FPERIOD_OVERRIDE=FQ","FILING_STATUS=MR","SCALING_FORMAT=MLN","Sort=A","Dates=H","DateFormat=P","Fill=—","Direction=H","UseDPDF=Y")</f>
        <v>9.1300000000000008</v>
      </c>
      <c r="O55" s="13">
        <f>_xll.BDH("BLUE US Equity","OTHER_CURRENT_LIABS_DETAILED","FQ4 2021","FQ4 2021","Currency=USD","Period=FQ","BEST_FPERIOD_OVERRIDE=FQ","FILING_STATUS=MR","SCALING_FORMAT=MLN","Sort=A","Dates=H","DateFormat=P","Fill=—","Direction=H","UseDPDF=Y")</f>
        <v>0</v>
      </c>
      <c r="P55" s="13">
        <f>_xll.BDH("BLUE US Equity","OTHER_CURRENT_LIABS_DETAILED","FQ1 2022","FQ1 2022","Currency=USD","Period=FQ","BEST_FPERIOD_OVERRIDE=FQ","FILING_STATUS=MR","SCALING_FORMAT=MLN","Sort=A","Dates=H","DateFormat=P","Fill=—","Direction=H","UseDPDF=Y")</f>
        <v>0</v>
      </c>
      <c r="Q55" s="13">
        <f>_xll.BDH("BLUE US Equity","OTHER_CURRENT_LIABS_DETAILED","FQ2 2022","FQ2 2022","Currency=USD","Period=FQ","BEST_FPERIOD_OVERRIDE=FQ","FILING_STATUS=MR","SCALING_FORMAT=MLN","Sort=A","Dates=H","DateFormat=P","Fill=—","Direction=H","UseDPDF=Y")</f>
        <v>0</v>
      </c>
      <c r="R55" s="13">
        <f>_xll.BDH("BLUE US Equity","OTHER_CURRENT_LIABS_DETAILED","FQ3 2022","FQ3 2022","Currency=USD","Period=FQ","BEST_FPERIOD_OVERRIDE=FQ","FILING_STATUS=MR","SCALING_FORMAT=MLN","Sort=A","Dates=H","DateFormat=P","Fill=—","Direction=H","UseDPDF=Y")</f>
        <v>0</v>
      </c>
      <c r="S55" s="13">
        <f>_xll.BDH("BLUE US Equity","OTHER_CURRENT_LIABS_DETAILED","FQ4 2022","FQ4 2022","Currency=USD","Period=FQ","BEST_FPERIOD_OVERRIDE=FQ","FILING_STATUS=MR","SCALING_FORMAT=MLN","Sort=A","Dates=H","DateFormat=P","Fill=—","Direction=H","UseDPDF=Y")</f>
        <v>0</v>
      </c>
      <c r="T55" s="13">
        <f>_xll.BDH("BLUE US Equity","OTHER_CURRENT_LIABS_DETAILED","FQ1 2023","FQ1 2023","Currency=USD","Period=FQ","BEST_FPERIOD_OVERRIDE=FQ","FILING_STATUS=MR","SCALING_FORMAT=MLN","Sort=A","Dates=H","DateFormat=P","Fill=—","Direction=H","UseDPDF=Y")</f>
        <v>0</v>
      </c>
      <c r="U55" s="13">
        <f>_xll.BDH("BLUE US Equity","OTHER_CURRENT_LIABS_DETAILED","FQ2 2023","FQ2 2023","Currency=USD","Period=FQ","BEST_FPERIOD_OVERRIDE=FQ","FILING_STATUS=MR","SCALING_FORMAT=MLN","Sort=A","Dates=H","DateFormat=P","Fill=—","Direction=H","UseDPDF=Y")</f>
        <v>0</v>
      </c>
      <c r="V55" s="13">
        <f>_xll.BDH("BLUE US Equity","OTHER_CURRENT_LIABS_DETAILED","FQ3 2023","FQ3 2023","Currency=USD","Period=FQ","BEST_FPERIOD_OVERRIDE=FQ","FILING_STATUS=MR","SCALING_FORMAT=MLN","Sort=A","Dates=H","DateFormat=P","Fill=—","Direction=H","UseDPDF=Y")</f>
        <v>0</v>
      </c>
      <c r="W55" s="13">
        <f>_xll.BDH("BLUE US Equity","OTHER_CURRENT_LIABS_DETAILED","FQ4 2023","FQ4 2023","Currency=USD","Period=FQ","BEST_FPERIOD_OVERRIDE=FQ","FILING_STATUS=MR","SCALING_FORMAT=MLN","Sort=A","Dates=H","DateFormat=P","Fill=—","Direction=H","UseDPDF=Y")</f>
        <v>2.52</v>
      </c>
      <c r="X55" s="13">
        <f>_xll.BDH("BLUE US Equity","OTHER_CURRENT_LIABS_DETAILED","FQ1 2024","FQ1 2024","Currency=USD","Period=FQ","BEST_FPERIOD_OVERRIDE=FQ","FILING_STATUS=MR","SCALING_FORMAT=MLN","Sort=A","Dates=H","DateFormat=P","Fill=—","Direction=H","UseDPDF=Y")</f>
        <v>2.52</v>
      </c>
      <c r="Y55" s="13">
        <f>_xll.BDH("BLUE US Equity","OTHER_CURRENT_LIABS_DETAILED","FQ2 2024","FQ2 2024","Currency=USD","Period=FQ","BEST_FPERIOD_OVERRIDE=FQ","FILING_STATUS=MR","SCALING_FORMAT=MLN","Sort=A","Dates=H","DateFormat=P","Fill=—","Direction=H","UseDPDF=Y")</f>
        <v>5.22</v>
      </c>
      <c r="Z55" s="13">
        <f>_xll.BDH("BLUE US Equity","OTHER_CURRENT_LIABS_DETAILED","FQ3 2024","FQ3 2024","Currency=USD","Period=FQ","BEST_FPERIOD_OVERRIDE=FQ","FILING_STATUS=MR","SCALING_FORMAT=MLN","Sort=A","Dates=H","DateFormat=P","Fill=—","Direction=H","UseDPDF=Y")</f>
        <v>10.08</v>
      </c>
      <c r="AA55" s="13">
        <f>_xll.BDH("BLUE US Equity","OTHER_CURRENT_LIABS_DETAILED","FQ4 2024","FQ4 2024","Currency=USD","Period=FQ","BEST_FPERIOD_OVERRIDE=FQ","FILING_STATUS=MR","SCALING_FORMAT=MLN","Sort=A","Dates=H","DateFormat=P","Fill=—","Direction=H","UseDPDF=Y")</f>
        <v>15.66</v>
      </c>
    </row>
    <row r="56" spans="1:27" x14ac:dyDescent="0.25">
      <c r="A56" s="6" t="s">
        <v>114</v>
      </c>
      <c r="B56" s="6" t="s">
        <v>115</v>
      </c>
      <c r="C56" s="19">
        <f>_xll.BDH("BLUE US Equity","BS_CUR_LIAB","FQ4 2018","FQ4 2018","Currency=USD","Period=FQ","BEST_FPERIOD_OVERRIDE=FQ","FILING_STATUS=MR","SCALING_FORMAT=MLN","Sort=A","Dates=H","DateFormat=P","Fill=—","Direction=H","UseDPDF=Y")</f>
        <v>146.43100000000001</v>
      </c>
      <c r="D56" s="19">
        <f>_xll.BDH("BLUE US Equity","BS_CUR_LIAB","FQ1 2019","FQ1 2019","Currency=USD","Period=FQ","BEST_FPERIOD_OVERRIDE=FQ","FILING_STATUS=MR","SCALING_FORMAT=MLN","Sort=A","Dates=H","DateFormat=P","Fill=—","Direction=H","UseDPDF=Y")</f>
        <v>146.691</v>
      </c>
      <c r="E56" s="19">
        <f>_xll.BDH("BLUE US Equity","BS_CUR_LIAB","FQ2 2019","FQ2 2019","Currency=USD","Period=FQ","BEST_FPERIOD_OVERRIDE=FQ","FILING_STATUS=MR","SCALING_FORMAT=MLN","Sort=A","Dates=H","DateFormat=P","Fill=—","Direction=H","UseDPDF=Y")</f>
        <v>162.10900000000001</v>
      </c>
      <c r="F56" s="19">
        <f>_xll.BDH("BLUE US Equity","BS_CUR_LIAB","FQ3 2019","FQ3 2019","Currency=USD","Period=FQ","BEST_FPERIOD_OVERRIDE=FQ","FILING_STATUS=MR","SCALING_FORMAT=MLN","Sort=A","Dates=H","DateFormat=P","Fill=—","Direction=H","UseDPDF=Y")</f>
        <v>196.03100000000001</v>
      </c>
      <c r="G56" s="19">
        <f>_xll.BDH("BLUE US Equity","BS_CUR_LIAB","FQ4 2019","FQ4 2019","Currency=USD","Period=FQ","BEST_FPERIOD_OVERRIDE=FQ","FILING_STATUS=MR","SCALING_FORMAT=MLN","Sort=A","Dates=H","DateFormat=P","Fill=—","Direction=H","UseDPDF=Y")</f>
        <v>223.58</v>
      </c>
      <c r="H56" s="19">
        <f>_xll.BDH("BLUE US Equity","BS_CUR_LIAB","FQ1 2020","FQ1 2020","Currency=USD","Period=FQ","BEST_FPERIOD_OVERRIDE=FQ","FILING_STATUS=MR","SCALING_FORMAT=MLN","Sort=A","Dates=H","DateFormat=P","Fill=—","Direction=H","UseDPDF=Y")</f>
        <v>184.422</v>
      </c>
      <c r="I56" s="19">
        <f>_xll.BDH("BLUE US Equity","BS_CUR_LIAB","FQ2 2020","FQ2 2020","Currency=USD","Period=FQ","BEST_FPERIOD_OVERRIDE=FQ","FILING_STATUS=MR","SCALING_FORMAT=MLN","Sort=A","Dates=H","DateFormat=P","Fill=—","Direction=H","UseDPDF=Y")</f>
        <v>197.18100000000001</v>
      </c>
      <c r="J56" s="19">
        <f>_xll.BDH("BLUE US Equity","BS_CUR_LIAB","FQ3 2020","FQ3 2020","Currency=USD","Period=FQ","BEST_FPERIOD_OVERRIDE=FQ","FILING_STATUS=MR","SCALING_FORMAT=MLN","Sort=A","Dates=H","DateFormat=P","Fill=—","Direction=H","UseDPDF=Y")</f>
        <v>196.90700000000001</v>
      </c>
      <c r="K56" s="19">
        <f>_xll.BDH("BLUE US Equity","BS_CUR_LIAB","FQ4 2020","FQ4 2020","Currency=USD","Period=FQ","BEST_FPERIOD_OVERRIDE=FQ","FILING_STATUS=MR","SCALING_FORMAT=MLN","Sort=A","Dates=H","DateFormat=P","Fill=—","Direction=H","UseDPDF=Y")</f>
        <v>203.58799999999999</v>
      </c>
      <c r="L56" s="19">
        <f>_xll.BDH("BLUE US Equity","BS_CUR_LIAB","FQ1 2021","FQ1 2021","Currency=USD","Period=FQ","BEST_FPERIOD_OVERRIDE=FQ","FILING_STATUS=MR","SCALING_FORMAT=MLN","Sort=A","Dates=H","DateFormat=P","Fill=—","Direction=H","UseDPDF=Y")</f>
        <v>206.315</v>
      </c>
      <c r="M56" s="19">
        <f>_xll.BDH("BLUE US Equity","BS_CUR_LIAB","FQ2 2021","FQ2 2021","Currency=USD","Period=FQ","BEST_FPERIOD_OVERRIDE=FQ","FILING_STATUS=MR","SCALING_FORMAT=MLN","Sort=A","Dates=H","DateFormat=P","Fill=—","Direction=H","UseDPDF=Y")</f>
        <v>247.76499999999999</v>
      </c>
      <c r="N56" s="19">
        <f>_xll.BDH("BLUE US Equity","BS_CUR_LIAB","FQ3 2021","FQ3 2021","Currency=USD","Period=FQ","BEST_FPERIOD_OVERRIDE=FQ","FILING_STATUS=MR","SCALING_FORMAT=MLN","Sort=A","Dates=H","DateFormat=P","Fill=—","Direction=H","UseDPDF=Y")</f>
        <v>266.55900000000003</v>
      </c>
      <c r="O56" s="19">
        <f>_xll.BDH("BLUE US Equity","BS_CUR_LIAB","FQ4 2021","FQ4 2021","Currency=USD","Period=FQ","BEST_FPERIOD_OVERRIDE=FQ","FILING_STATUS=MR","SCALING_FORMAT=MLN","Sort=A","Dates=H","DateFormat=P","Fill=—","Direction=H","UseDPDF=Y")</f>
        <v>152.99299999999999</v>
      </c>
      <c r="P56" s="19">
        <f>_xll.BDH("BLUE US Equity","BS_CUR_LIAB","FQ1 2022","FQ1 2022","Currency=USD","Period=FQ","BEST_FPERIOD_OVERRIDE=FQ","FILING_STATUS=MR","SCALING_FORMAT=MLN","Sort=A","Dates=H","DateFormat=P","Fill=—","Direction=H","UseDPDF=Y")</f>
        <v>142.892</v>
      </c>
      <c r="Q56" s="19">
        <f>_xll.BDH("BLUE US Equity","BS_CUR_LIAB","FQ2 2022","FQ2 2022","Currency=USD","Period=FQ","BEST_FPERIOD_OVERRIDE=FQ","FILING_STATUS=MR","SCALING_FORMAT=MLN","Sort=A","Dates=H","DateFormat=P","Fill=—","Direction=H","UseDPDF=Y")</f>
        <v>148.86099999999999</v>
      </c>
      <c r="R56" s="19">
        <f>_xll.BDH("BLUE US Equity","BS_CUR_LIAB","FQ3 2022","FQ3 2022","Currency=USD","Period=FQ","BEST_FPERIOD_OVERRIDE=FQ","FILING_STATUS=MR","SCALING_FORMAT=MLN","Sort=A","Dates=H","DateFormat=P","Fill=—","Direction=H","UseDPDF=Y")</f>
        <v>126.727</v>
      </c>
      <c r="S56" s="19">
        <f>_xll.BDH("BLUE US Equity","BS_CUR_LIAB","FQ4 2022","FQ4 2022","Currency=USD","Period=FQ","BEST_FPERIOD_OVERRIDE=FQ","FILING_STATUS=MR","SCALING_FORMAT=MLN","Sort=A","Dates=H","DateFormat=P","Fill=—","Direction=H","UseDPDF=Y")</f>
        <v>156.57900000000001</v>
      </c>
      <c r="T56" s="19">
        <f>_xll.BDH("BLUE US Equity","BS_CUR_LIAB","FQ1 2023","FQ1 2023","Currency=USD","Period=FQ","BEST_FPERIOD_OVERRIDE=FQ","FILING_STATUS=MR","SCALING_FORMAT=MLN","Sort=A","Dates=H","DateFormat=P","Fill=—","Direction=H","UseDPDF=Y")</f>
        <v>115.93300000000001</v>
      </c>
      <c r="U56" s="19">
        <f>_xll.BDH("BLUE US Equity","BS_CUR_LIAB","FQ2 2023","FQ2 2023","Currency=USD","Period=FQ","BEST_FPERIOD_OVERRIDE=FQ","FILING_STATUS=MR","SCALING_FORMAT=MLN","Sort=A","Dates=H","DateFormat=P","Fill=—","Direction=H","UseDPDF=Y")</f>
        <v>135.01599999999999</v>
      </c>
      <c r="V56" s="19">
        <f>_xll.BDH("BLUE US Equity","BS_CUR_LIAB","FQ3 2023","FQ3 2023","Currency=USD","Period=FQ","BEST_FPERIOD_OVERRIDE=FQ","FILING_STATUS=MR","SCALING_FORMAT=MLN","Sort=A","Dates=H","DateFormat=P","Fill=—","Direction=H","UseDPDF=Y")</f>
        <v>158.95699999999999</v>
      </c>
      <c r="W56" s="19">
        <f>_xll.BDH("BLUE US Equity","BS_CUR_LIAB","FQ4 2023","FQ4 2023","Currency=USD","Period=FQ","BEST_FPERIOD_OVERRIDE=FQ","FILING_STATUS=MR","SCALING_FORMAT=MLN","Sort=A","Dates=H","DateFormat=P","Fill=—","Direction=H","UseDPDF=Y")</f>
        <v>200.113</v>
      </c>
      <c r="X56" s="19">
        <f>_xll.BDH("BLUE US Equity","BS_CUR_LIAB","FQ1 2024","FQ1 2024","Currency=USD","Period=FQ","BEST_FPERIOD_OVERRIDE=FQ","FILING_STATUS=MR","SCALING_FORMAT=MLN","Sort=A","Dates=H","DateFormat=P","Fill=—","Direction=H","UseDPDF=Y")</f>
        <v>293.57299999999998</v>
      </c>
      <c r="Y56" s="19">
        <f>_xll.BDH("BLUE US Equity","BS_CUR_LIAB","FQ2 2024","FQ2 2024","Currency=USD","Period=FQ","BEST_FPERIOD_OVERRIDE=FQ","FILING_STATUS=MR","SCALING_FORMAT=MLN","Sort=A","Dates=H","DateFormat=P","Fill=—","Direction=H","UseDPDF=Y")</f>
        <v>297.93</v>
      </c>
      <c r="Z56" s="19">
        <f>_xll.BDH("BLUE US Equity","BS_CUR_LIAB","FQ3 2024","FQ3 2024","Currency=USD","Period=FQ","BEST_FPERIOD_OVERRIDE=FQ","FILING_STATUS=MR","SCALING_FORMAT=MLN","Sort=A","Dates=H","DateFormat=P","Fill=—","Direction=H","UseDPDF=Y")</f>
        <v>296.03199999999998</v>
      </c>
      <c r="AA56" s="19">
        <f>_xll.BDH("BLUE US Equity","BS_CUR_LIAB","FQ4 2024","FQ4 2024","Currency=USD","Period=FQ","BEST_FPERIOD_OVERRIDE=FQ","FILING_STATUS=MR","SCALING_FORMAT=MLN","Sort=A","Dates=H","DateFormat=P","Fill=—","Direction=H","UseDPDF=Y")</f>
        <v>321.46199999999999</v>
      </c>
    </row>
    <row r="57" spans="1:27" x14ac:dyDescent="0.25">
      <c r="A57" s="10" t="s">
        <v>681</v>
      </c>
      <c r="B57" s="10" t="s">
        <v>682</v>
      </c>
      <c r="C57" s="13">
        <f>_xll.BDH("BLUE US Equity","BS_LT_BORROW","FQ4 2018","FQ4 2018","Currency=USD","Period=FQ","BEST_FPERIOD_OVERRIDE=FQ","FILING_STATUS=MR","SCALING_FORMAT=MLN","Sort=A","Dates=H","DateFormat=P","Fill=—","Direction=H","UseDPDF=Y")</f>
        <v>153.31899999999999</v>
      </c>
      <c r="D57" s="13">
        <f>_xll.BDH("BLUE US Equity","BS_LT_BORROW","FQ1 2019","FQ1 2019","Currency=USD","Period=FQ","BEST_FPERIOD_OVERRIDE=FQ","FILING_STATUS=MR","SCALING_FORMAT=MLN","Sort=A","Dates=H","DateFormat=P","Fill=—","Direction=H","UseDPDF=Y")</f>
        <v>168.2</v>
      </c>
      <c r="E57" s="13">
        <f>_xll.BDH("BLUE US Equity","BS_LT_BORROW","FQ2 2019","FQ2 2019","Currency=USD","Period=FQ","BEST_FPERIOD_OVERRIDE=FQ","FILING_STATUS=MR","SCALING_FORMAT=MLN","Sort=A","Dates=H","DateFormat=P","Fill=—","Direction=H","UseDPDF=Y")</f>
        <v>175.35</v>
      </c>
      <c r="F57" s="13">
        <f>_xll.BDH("BLUE US Equity","BS_LT_BORROW","FQ3 2019","FQ3 2019","Currency=USD","Period=FQ","BEST_FPERIOD_OVERRIDE=FQ","FILING_STATUS=MR","SCALING_FORMAT=MLN","Sort=A","Dates=H","DateFormat=P","Fill=—","Direction=H","UseDPDF=Y")</f>
        <v>176.02600000000001</v>
      </c>
      <c r="G57" s="13">
        <f>_xll.BDH("BLUE US Equity","BS_LT_BORROW","FQ4 2019","FQ4 2019","Currency=USD","Period=FQ","BEST_FPERIOD_OVERRIDE=FQ","FILING_STATUS=MR","SCALING_FORMAT=MLN","Sort=A","Dates=H","DateFormat=P","Fill=—","Direction=H","UseDPDF=Y")</f>
        <v>170.81200000000001</v>
      </c>
      <c r="H57" s="13">
        <f>_xll.BDH("BLUE US Equity","BS_LT_BORROW","FQ1 2020","FQ1 2020","Currency=USD","Period=FQ","BEST_FPERIOD_OVERRIDE=FQ","FILING_STATUS=MR","SCALING_FORMAT=MLN","Sort=A","Dates=H","DateFormat=P","Fill=—","Direction=H","UseDPDF=Y")</f>
        <v>179.96199999999999</v>
      </c>
      <c r="I57" s="13">
        <f>_xll.BDH("BLUE US Equity","BS_LT_BORROW","FQ2 2020","FQ2 2020","Currency=USD","Period=FQ","BEST_FPERIOD_OVERRIDE=FQ","FILING_STATUS=MR","SCALING_FORMAT=MLN","Sort=A","Dates=H","DateFormat=P","Fill=—","Direction=H","UseDPDF=Y")</f>
        <v>174.56399999999999</v>
      </c>
      <c r="J57" s="13">
        <f>_xll.BDH("BLUE US Equity","BS_LT_BORROW","FQ3 2020","FQ3 2020","Currency=USD","Period=FQ","BEST_FPERIOD_OVERRIDE=FQ","FILING_STATUS=MR","SCALING_FORMAT=MLN","Sort=A","Dates=H","DateFormat=P","Fill=—","Direction=H","UseDPDF=Y")</f>
        <v>173.07499999999999</v>
      </c>
      <c r="K57" s="13">
        <f>_xll.BDH("BLUE US Equity","BS_LT_BORROW","FQ4 2020","FQ4 2020","Currency=USD","Period=FQ","BEST_FPERIOD_OVERRIDE=FQ","FILING_STATUS=MR","SCALING_FORMAT=MLN","Sort=A","Dates=H","DateFormat=P","Fill=—","Direction=H","UseDPDF=Y")</f>
        <v>55.707000000000001</v>
      </c>
      <c r="L57" s="13">
        <f>_xll.BDH("BLUE US Equity","BS_LT_BORROW","FQ1 2021","FQ1 2021","Currency=USD","Period=FQ","BEST_FPERIOD_OVERRIDE=FQ","FILING_STATUS=MR","SCALING_FORMAT=MLN","Sort=A","Dates=H","DateFormat=P","Fill=—","Direction=H","UseDPDF=Y")</f>
        <v>177.702</v>
      </c>
      <c r="M57" s="13">
        <f>_xll.BDH("BLUE US Equity","BS_LT_BORROW","FQ2 2021","FQ2 2021","Currency=USD","Period=FQ","BEST_FPERIOD_OVERRIDE=FQ","FILING_STATUS=MR","SCALING_FORMAT=MLN","Sort=A","Dates=H","DateFormat=P","Fill=—","Direction=H","UseDPDF=Y")</f>
        <v>169.93299999999999</v>
      </c>
      <c r="N57" s="13">
        <f>_xll.BDH("BLUE US Equity","BS_LT_BORROW","FQ3 2021","FQ3 2021","Currency=USD","Period=FQ","BEST_FPERIOD_OVERRIDE=FQ","FILING_STATUS=MR","SCALING_FORMAT=MLN","Sort=A","Dates=H","DateFormat=P","Fill=—","Direction=H","UseDPDF=Y")</f>
        <v>152.126</v>
      </c>
      <c r="O57" s="13">
        <f>_xll.BDH("BLUE US Equity","BS_LT_BORROW","FQ4 2021","FQ4 2021","Currency=USD","Period=FQ","BEST_FPERIOD_OVERRIDE=FQ","FILING_STATUS=MR","SCALING_FORMAT=MLN","Sort=A","Dates=H","DateFormat=P","Fill=—","Direction=H","UseDPDF=Y")</f>
        <v>66.432000000000002</v>
      </c>
      <c r="P57" s="13">
        <f>_xll.BDH("BLUE US Equity","BS_LT_BORROW","FQ1 2022","FQ1 2022","Currency=USD","Period=FQ","BEST_FPERIOD_OVERRIDE=FQ","FILING_STATUS=MR","SCALING_FORMAT=MLN","Sort=A","Dates=H","DateFormat=P","Fill=—","Direction=H","UseDPDF=Y")</f>
        <v>84.828000000000003</v>
      </c>
      <c r="Q57" s="13">
        <f>_xll.BDH("BLUE US Equity","BS_LT_BORROW","FQ2 2022","FQ2 2022","Currency=USD","Period=FQ","BEST_FPERIOD_OVERRIDE=FQ","FILING_STATUS=MR","SCALING_FORMAT=MLN","Sort=A","Dates=H","DateFormat=P","Fill=—","Direction=H","UseDPDF=Y")</f>
        <v>244.52199999999999</v>
      </c>
      <c r="R57" s="13">
        <f>_xll.BDH("BLUE US Equity","BS_LT_BORROW","FQ3 2022","FQ3 2022","Currency=USD","Period=FQ","BEST_FPERIOD_OVERRIDE=FQ","FILING_STATUS=MR","SCALING_FORMAT=MLN","Sort=A","Dates=H","DateFormat=P","Fill=—","Direction=H","UseDPDF=Y")</f>
        <v>234.422</v>
      </c>
      <c r="S57" s="13">
        <f>_xll.BDH("BLUE US Equity","BS_LT_BORROW","FQ4 2022","FQ4 2022","Currency=USD","Period=FQ","BEST_FPERIOD_OVERRIDE=FQ","FILING_STATUS=MR","SCALING_FORMAT=MLN","Sort=A","Dates=H","DateFormat=P","Fill=—","Direction=H","UseDPDF=Y")</f>
        <v>278.81</v>
      </c>
      <c r="T57" s="13">
        <f>_xll.BDH("BLUE US Equity","BS_LT_BORROW","FQ1 2023","FQ1 2023","Currency=USD","Period=FQ","BEST_FPERIOD_OVERRIDE=FQ","FILING_STATUS=MR","SCALING_FORMAT=MLN","Sort=A","Dates=H","DateFormat=P","Fill=—","Direction=H","UseDPDF=Y")</f>
        <v>221.971</v>
      </c>
      <c r="U57" s="13">
        <f>_xll.BDH("BLUE US Equity","BS_LT_BORROW","FQ2 2023","FQ2 2023","Currency=USD","Period=FQ","BEST_FPERIOD_OVERRIDE=FQ","FILING_STATUS=MR","SCALING_FORMAT=MLN","Sort=A","Dates=H","DateFormat=P","Fill=—","Direction=H","UseDPDF=Y")</f>
        <v>239.26599999999999</v>
      </c>
      <c r="V57" s="13">
        <f>_xll.BDH("BLUE US Equity","BS_LT_BORROW","FQ3 2023","FQ3 2023","Currency=USD","Period=FQ","BEST_FPERIOD_OVERRIDE=FQ","FILING_STATUS=MR","SCALING_FORMAT=MLN","Sort=A","Dates=H","DateFormat=P","Fill=—","Direction=H","UseDPDF=Y")</f>
        <v>232.023</v>
      </c>
      <c r="W57" s="13">
        <f>_xll.BDH("BLUE US Equity","BS_LT_BORROW","FQ4 2023","FQ4 2023","Currency=USD","Period=FQ","BEST_FPERIOD_OVERRIDE=FQ","FILING_STATUS=MR","SCALING_FORMAT=MLN","Sort=A","Dates=H","DateFormat=P","Fill=—","Direction=H","UseDPDF=Y")</f>
        <v>224.41900000000001</v>
      </c>
      <c r="X57" s="13">
        <f>_xll.BDH("BLUE US Equity","BS_LT_BORROW","FQ1 2024","FQ1 2024","Currency=USD","Period=FQ","BEST_FPERIOD_OVERRIDE=FQ","FILING_STATUS=MR","SCALING_FORMAT=MLN","Sort=A","Dates=H","DateFormat=P","Fill=—","Direction=H","UseDPDF=Y")</f>
        <v>206.77199999999999</v>
      </c>
      <c r="Y57" s="13">
        <f>_xll.BDH("BLUE US Equity","BS_LT_BORROW","FQ2 2024","FQ2 2024","Currency=USD","Period=FQ","BEST_FPERIOD_OVERRIDE=FQ","FILING_STATUS=MR","SCALING_FORMAT=MLN","Sort=A","Dates=H","DateFormat=P","Fill=—","Direction=H","UseDPDF=Y")</f>
        <v>194.19</v>
      </c>
      <c r="Z57" s="13">
        <f>_xll.BDH("BLUE US Equity","BS_LT_BORROW","FQ3 2024","FQ3 2024","Currency=USD","Period=FQ","BEST_FPERIOD_OVERRIDE=FQ","FILING_STATUS=MR","SCALING_FORMAT=MLN","Sort=A","Dates=H","DateFormat=P","Fill=—","Direction=H","UseDPDF=Y")</f>
        <v>173.73099999999999</v>
      </c>
      <c r="AA57" s="13">
        <f>_xll.BDH("BLUE US Equity","BS_LT_BORROW","FQ4 2024","FQ4 2024","Currency=USD","Period=FQ","BEST_FPERIOD_OVERRIDE=FQ","FILING_STATUS=MR","SCALING_FORMAT=MLN","Sort=A","Dates=H","DateFormat=P","Fill=—","Direction=H","UseDPDF=Y")</f>
        <v>169.357</v>
      </c>
    </row>
    <row r="58" spans="1:27" x14ac:dyDescent="0.25">
      <c r="A58" s="10" t="s">
        <v>683</v>
      </c>
      <c r="B58" s="10" t="s">
        <v>684</v>
      </c>
      <c r="C58" s="13">
        <f>_xll.BDH("BLUE US Equity","LONG_TERM_BORROWINGS_DETAILED","FQ4 2018","FQ4 2018","Currency=USD","Period=FQ","BEST_FPERIOD_OVERRIDE=FQ","FILING_STATUS=MR","SCALING_FORMAT=MLN","Sort=A","Dates=H","DateFormat=P","Fill=—","Direction=H","UseDPDF=Y")</f>
        <v>0</v>
      </c>
      <c r="D58" s="13">
        <f>_xll.BDH("BLUE US Equity","LONG_TERM_BORROWINGS_DETAILED","FQ1 2019","FQ1 2019","Currency=USD","Period=FQ","BEST_FPERIOD_OVERRIDE=FQ","FILING_STATUS=MR","SCALING_FORMAT=MLN","Sort=A","Dates=H","DateFormat=P","Fill=—","Direction=H","UseDPDF=Y")</f>
        <v>0</v>
      </c>
      <c r="E58" s="13">
        <f>_xll.BDH("BLUE US Equity","LONG_TERM_BORROWINGS_DETAILED","FQ2 2019","FQ2 2019","Currency=USD","Period=FQ","BEST_FPERIOD_OVERRIDE=FQ","FILING_STATUS=MR","SCALING_FORMAT=MLN","Sort=A","Dates=H","DateFormat=P","Fill=—","Direction=H","UseDPDF=Y")</f>
        <v>0</v>
      </c>
      <c r="F58" s="13">
        <f>_xll.BDH("BLUE US Equity","LONG_TERM_BORROWINGS_DETAILED","FQ3 2019","FQ3 2019","Currency=USD","Period=FQ","BEST_FPERIOD_OVERRIDE=FQ","FILING_STATUS=MR","SCALING_FORMAT=MLN","Sort=A","Dates=H","DateFormat=P","Fill=—","Direction=H","UseDPDF=Y")</f>
        <v>0</v>
      </c>
      <c r="G58" s="13">
        <f>_xll.BDH("BLUE US Equity","LONG_TERM_BORROWINGS_DETAILED","FQ4 2019","FQ4 2019","Currency=USD","Period=FQ","BEST_FPERIOD_OVERRIDE=FQ","FILING_STATUS=MR","SCALING_FORMAT=MLN","Sort=A","Dates=H","DateFormat=P","Fill=—","Direction=H","UseDPDF=Y")</f>
        <v>0</v>
      </c>
      <c r="H58" s="13">
        <f>_xll.BDH("BLUE US Equity","LONG_TERM_BORROWINGS_DETAILED","FQ1 2020","FQ1 2020","Currency=USD","Period=FQ","BEST_FPERIOD_OVERRIDE=FQ","FILING_STATUS=MR","SCALING_FORMAT=MLN","Sort=A","Dates=H","DateFormat=P","Fill=—","Direction=H","UseDPDF=Y")</f>
        <v>0</v>
      </c>
      <c r="I58" s="13">
        <f>_xll.BDH("BLUE US Equity","LONG_TERM_BORROWINGS_DETAILED","FQ2 2020","FQ2 2020","Currency=USD","Period=FQ","BEST_FPERIOD_OVERRIDE=FQ","FILING_STATUS=MR","SCALING_FORMAT=MLN","Sort=A","Dates=H","DateFormat=P","Fill=—","Direction=H","UseDPDF=Y")</f>
        <v>0</v>
      </c>
      <c r="J58" s="13">
        <f>_xll.BDH("BLUE US Equity","LONG_TERM_BORROWINGS_DETAILED","FQ3 2020","FQ3 2020","Currency=USD","Period=FQ","BEST_FPERIOD_OVERRIDE=FQ","FILING_STATUS=MR","SCALING_FORMAT=MLN","Sort=A","Dates=H","DateFormat=P","Fill=—","Direction=H","UseDPDF=Y")</f>
        <v>0</v>
      </c>
      <c r="K58" s="13">
        <f>_xll.BDH("BLUE US Equity","LONG_TERM_BORROWINGS_DETAILED","FQ4 2020","FQ4 2020","Currency=USD","Period=FQ","BEST_FPERIOD_OVERRIDE=FQ","FILING_STATUS=MR","SCALING_FORMAT=MLN","Sort=A","Dates=H","DateFormat=P","Fill=—","Direction=H","UseDPDF=Y")</f>
        <v>0</v>
      </c>
      <c r="L58" s="13">
        <f>_xll.BDH("BLUE US Equity","LONG_TERM_BORROWINGS_DETAILED","FQ1 2021","FQ1 2021","Currency=USD","Period=FQ","BEST_FPERIOD_OVERRIDE=FQ","FILING_STATUS=MR","SCALING_FORMAT=MLN","Sort=A","Dates=H","DateFormat=P","Fill=—","Direction=H","UseDPDF=Y")</f>
        <v>0</v>
      </c>
      <c r="M58" s="13">
        <f>_xll.BDH("BLUE US Equity","LONG_TERM_BORROWINGS_DETAILED","FQ2 2021","FQ2 2021","Currency=USD","Period=FQ","BEST_FPERIOD_OVERRIDE=FQ","FILING_STATUS=MR","SCALING_FORMAT=MLN","Sort=A","Dates=H","DateFormat=P","Fill=—","Direction=H","UseDPDF=Y")</f>
        <v>0</v>
      </c>
      <c r="N58" s="13">
        <f>_xll.BDH("BLUE US Equity","LONG_TERM_BORROWINGS_DETAILED","FQ3 2021","FQ3 2021","Currency=USD","Period=FQ","BEST_FPERIOD_OVERRIDE=FQ","FILING_STATUS=MR","SCALING_FORMAT=MLN","Sort=A","Dates=H","DateFormat=P","Fill=—","Direction=H","UseDPDF=Y")</f>
        <v>0</v>
      </c>
      <c r="O58" s="13">
        <f>_xll.BDH("BLUE US Equity","LONG_TERM_BORROWINGS_DETAILED","FQ4 2021","FQ4 2021","Currency=USD","Period=FQ","BEST_FPERIOD_OVERRIDE=FQ","FILING_STATUS=MR","SCALING_FORMAT=MLN","Sort=A","Dates=H","DateFormat=P","Fill=—","Direction=H","UseDPDF=Y")</f>
        <v>0</v>
      </c>
      <c r="P58" s="13">
        <f>_xll.BDH("BLUE US Equity","LONG_TERM_BORROWINGS_DETAILED","FQ1 2022","FQ1 2022","Currency=USD","Period=FQ","BEST_FPERIOD_OVERRIDE=FQ","FILING_STATUS=MR","SCALING_FORMAT=MLN","Sort=A","Dates=H","DateFormat=P","Fill=—","Direction=H","UseDPDF=Y")</f>
        <v>0</v>
      </c>
      <c r="Q58" s="13">
        <f>_xll.BDH("BLUE US Equity","LONG_TERM_BORROWINGS_DETAILED","FQ2 2022","FQ2 2022","Currency=USD","Period=FQ","BEST_FPERIOD_OVERRIDE=FQ","FILING_STATUS=MR","SCALING_FORMAT=MLN","Sort=A","Dates=H","DateFormat=P","Fill=—","Direction=H","UseDPDF=Y")</f>
        <v>0</v>
      </c>
      <c r="R58" s="13">
        <f>_xll.BDH("BLUE US Equity","LONG_TERM_BORROWINGS_DETAILED","FQ3 2022","FQ3 2022","Currency=USD","Period=FQ","BEST_FPERIOD_OVERRIDE=FQ","FILING_STATUS=MR","SCALING_FORMAT=MLN","Sort=A","Dates=H","DateFormat=P","Fill=—","Direction=H","UseDPDF=Y")</f>
        <v>0</v>
      </c>
      <c r="S58" s="13">
        <f>_xll.BDH("BLUE US Equity","LONG_TERM_BORROWINGS_DETAILED","FQ4 2022","FQ4 2022","Currency=USD","Period=FQ","BEST_FPERIOD_OVERRIDE=FQ","FILING_STATUS=MR","SCALING_FORMAT=MLN","Sort=A","Dates=H","DateFormat=P","Fill=—","Direction=H","UseDPDF=Y")</f>
        <v>0</v>
      </c>
      <c r="T58" s="13">
        <f>_xll.BDH("BLUE US Equity","LONG_TERM_BORROWINGS_DETAILED","FQ1 2023","FQ1 2023","Currency=USD","Period=FQ","BEST_FPERIOD_OVERRIDE=FQ","FILING_STATUS=MR","SCALING_FORMAT=MLN","Sort=A","Dates=H","DateFormat=P","Fill=—","Direction=H","UseDPDF=Y")</f>
        <v>0</v>
      </c>
      <c r="U58" s="13">
        <f>_xll.BDH("BLUE US Equity","LONG_TERM_BORROWINGS_DETAILED","FQ2 2023","FQ2 2023","Currency=USD","Period=FQ","BEST_FPERIOD_OVERRIDE=FQ","FILING_STATUS=MR","SCALING_FORMAT=MLN","Sort=A","Dates=H","DateFormat=P","Fill=—","Direction=H","UseDPDF=Y")</f>
        <v>0</v>
      </c>
      <c r="V58" s="13">
        <f>_xll.BDH("BLUE US Equity","LONG_TERM_BORROWINGS_DETAILED","FQ3 2023","FQ3 2023","Currency=USD","Period=FQ","BEST_FPERIOD_OVERRIDE=FQ","FILING_STATUS=MR","SCALING_FORMAT=MLN","Sort=A","Dates=H","DateFormat=P","Fill=—","Direction=H","UseDPDF=Y")</f>
        <v>0</v>
      </c>
      <c r="W58" s="13">
        <f>_xll.BDH("BLUE US Equity","LONG_TERM_BORROWINGS_DETAILED","FQ4 2023","FQ4 2023","Currency=USD","Period=FQ","BEST_FPERIOD_OVERRIDE=FQ","FILING_STATUS=MR","SCALING_FORMAT=MLN","Sort=A","Dates=H","DateFormat=P","Fill=—","Direction=H","UseDPDF=Y")</f>
        <v>0</v>
      </c>
      <c r="X58" s="13">
        <f>_xll.BDH("BLUE US Equity","LONG_TERM_BORROWINGS_DETAILED","FQ1 2024","FQ1 2024","Currency=USD","Period=FQ","BEST_FPERIOD_OVERRIDE=FQ","FILING_STATUS=MR","SCALING_FORMAT=MLN","Sort=A","Dates=H","DateFormat=P","Fill=—","Direction=H","UseDPDF=Y")</f>
        <v>0</v>
      </c>
      <c r="Y58" s="13">
        <f>_xll.BDH("BLUE US Equity","LONG_TERM_BORROWINGS_DETAILED","FQ2 2024","FQ2 2024","Currency=USD","Period=FQ","BEST_FPERIOD_OVERRIDE=FQ","FILING_STATUS=MR","SCALING_FORMAT=MLN","Sort=A","Dates=H","DateFormat=P","Fill=—","Direction=H","UseDPDF=Y")</f>
        <v>0</v>
      </c>
      <c r="Z58" s="13">
        <f>_xll.BDH("BLUE US Equity","LONG_TERM_BORROWINGS_DETAILED","FQ3 2024","FQ3 2024","Currency=USD","Period=FQ","BEST_FPERIOD_OVERRIDE=FQ","FILING_STATUS=MR","SCALING_FORMAT=MLN","Sort=A","Dates=H","DateFormat=P","Fill=—","Direction=H","UseDPDF=Y")</f>
        <v>0</v>
      </c>
      <c r="AA58" s="13">
        <f>_xll.BDH("BLUE US Equity","LONG_TERM_BORROWINGS_DETAILED","FQ4 2024","FQ4 2024","Currency=USD","Period=FQ","BEST_FPERIOD_OVERRIDE=FQ","FILING_STATUS=MR","SCALING_FORMAT=MLN","Sort=A","Dates=H","DateFormat=P","Fill=—","Direction=H","UseDPDF=Y")</f>
        <v>0</v>
      </c>
    </row>
    <row r="59" spans="1:27" x14ac:dyDescent="0.25">
      <c r="A59" s="10" t="s">
        <v>685</v>
      </c>
      <c r="B59" s="10" t="s">
        <v>686</v>
      </c>
      <c r="C59" s="13">
        <f>_xll.BDH("BLUE US Equity","LT_CAPITALIZED_LEASE_LIABILITIES","FQ4 2018","FQ4 2018","Currency=USD","Period=FQ","BEST_FPERIOD_OVERRIDE=FQ","FILING_STATUS=MR","SCALING_FORMAT=MLN","Sort=A","Dates=H","DateFormat=P","Fill=—","Direction=H","UseDPDF=Y")</f>
        <v>153.31899999999999</v>
      </c>
      <c r="D59" s="13">
        <f>_xll.BDH("BLUE US Equity","LT_CAPITALIZED_LEASE_LIABILITIES","FQ1 2019","FQ1 2019","Currency=USD","Period=FQ","BEST_FPERIOD_OVERRIDE=FQ","FILING_STATUS=MR","SCALING_FORMAT=MLN","Sort=A","Dates=H","DateFormat=P","Fill=—","Direction=H","UseDPDF=Y")</f>
        <v>168.2</v>
      </c>
      <c r="E59" s="13">
        <f>_xll.BDH("BLUE US Equity","LT_CAPITALIZED_LEASE_LIABILITIES","FQ2 2019","FQ2 2019","Currency=USD","Period=FQ","BEST_FPERIOD_OVERRIDE=FQ","FILING_STATUS=MR","SCALING_FORMAT=MLN","Sort=A","Dates=H","DateFormat=P","Fill=—","Direction=H","UseDPDF=Y")</f>
        <v>175.35</v>
      </c>
      <c r="F59" s="13">
        <f>_xll.BDH("BLUE US Equity","LT_CAPITALIZED_LEASE_LIABILITIES","FQ3 2019","FQ3 2019","Currency=USD","Period=FQ","BEST_FPERIOD_OVERRIDE=FQ","FILING_STATUS=MR","SCALING_FORMAT=MLN","Sort=A","Dates=H","DateFormat=P","Fill=—","Direction=H","UseDPDF=Y")</f>
        <v>176.02600000000001</v>
      </c>
      <c r="G59" s="13">
        <f>_xll.BDH("BLUE US Equity","LT_CAPITALIZED_LEASE_LIABILITIES","FQ4 2019","FQ4 2019","Currency=USD","Period=FQ","BEST_FPERIOD_OVERRIDE=FQ","FILING_STATUS=MR","SCALING_FORMAT=MLN","Sort=A","Dates=H","DateFormat=P","Fill=—","Direction=H","UseDPDF=Y")</f>
        <v>170.81200000000001</v>
      </c>
      <c r="H59" s="13">
        <f>_xll.BDH("BLUE US Equity","LT_CAPITALIZED_LEASE_LIABILITIES","FQ1 2020","FQ1 2020","Currency=USD","Period=FQ","BEST_FPERIOD_OVERRIDE=FQ","FILING_STATUS=MR","SCALING_FORMAT=MLN","Sort=A","Dates=H","DateFormat=P","Fill=—","Direction=H","UseDPDF=Y")</f>
        <v>179.96199999999999</v>
      </c>
      <c r="I59" s="13">
        <f>_xll.BDH("BLUE US Equity","LT_CAPITALIZED_LEASE_LIABILITIES","FQ2 2020","FQ2 2020","Currency=USD","Period=FQ","BEST_FPERIOD_OVERRIDE=FQ","FILING_STATUS=MR","SCALING_FORMAT=MLN","Sort=A","Dates=H","DateFormat=P","Fill=—","Direction=H","UseDPDF=Y")</f>
        <v>174.56399999999999</v>
      </c>
      <c r="J59" s="13">
        <f>_xll.BDH("BLUE US Equity","LT_CAPITALIZED_LEASE_LIABILITIES","FQ3 2020","FQ3 2020","Currency=USD","Period=FQ","BEST_FPERIOD_OVERRIDE=FQ","FILING_STATUS=MR","SCALING_FORMAT=MLN","Sort=A","Dates=H","DateFormat=P","Fill=—","Direction=H","UseDPDF=Y")</f>
        <v>173.07499999999999</v>
      </c>
      <c r="K59" s="13">
        <f>_xll.BDH("BLUE US Equity","LT_CAPITALIZED_LEASE_LIABILITIES","FQ4 2020","FQ4 2020","Currency=USD","Period=FQ","BEST_FPERIOD_OVERRIDE=FQ","FILING_STATUS=MR","SCALING_FORMAT=MLN","Sort=A","Dates=H","DateFormat=P","Fill=—","Direction=H","UseDPDF=Y")</f>
        <v>55.707000000000001</v>
      </c>
      <c r="L59" s="13">
        <f>_xll.BDH("BLUE US Equity","LT_CAPITALIZED_LEASE_LIABILITIES","FQ1 2021","FQ1 2021","Currency=USD","Period=FQ","BEST_FPERIOD_OVERRIDE=FQ","FILING_STATUS=MR","SCALING_FORMAT=MLN","Sort=A","Dates=H","DateFormat=P","Fill=—","Direction=H","UseDPDF=Y")</f>
        <v>177.702</v>
      </c>
      <c r="M59" s="13">
        <f>_xll.BDH("BLUE US Equity","LT_CAPITALIZED_LEASE_LIABILITIES","FQ2 2021","FQ2 2021","Currency=USD","Period=FQ","BEST_FPERIOD_OVERRIDE=FQ","FILING_STATUS=MR","SCALING_FORMAT=MLN","Sort=A","Dates=H","DateFormat=P","Fill=—","Direction=H","UseDPDF=Y")</f>
        <v>169.93299999999999</v>
      </c>
      <c r="N59" s="13">
        <f>_xll.BDH("BLUE US Equity","LT_CAPITALIZED_LEASE_LIABILITIES","FQ3 2021","FQ3 2021","Currency=USD","Period=FQ","BEST_FPERIOD_OVERRIDE=FQ","FILING_STATUS=MR","SCALING_FORMAT=MLN","Sort=A","Dates=H","DateFormat=P","Fill=—","Direction=H","UseDPDF=Y")</f>
        <v>152.126</v>
      </c>
      <c r="O59" s="13">
        <f>_xll.BDH("BLUE US Equity","LT_CAPITALIZED_LEASE_LIABILITIES","FQ4 2021","FQ4 2021","Currency=USD","Period=FQ","BEST_FPERIOD_OVERRIDE=FQ","FILING_STATUS=MR","SCALING_FORMAT=MLN","Sort=A","Dates=H","DateFormat=P","Fill=—","Direction=H","UseDPDF=Y")</f>
        <v>66.432000000000002</v>
      </c>
      <c r="P59" s="13">
        <f>_xll.BDH("BLUE US Equity","LT_CAPITALIZED_LEASE_LIABILITIES","FQ1 2022","FQ1 2022","Currency=USD","Period=FQ","BEST_FPERIOD_OVERRIDE=FQ","FILING_STATUS=MR","SCALING_FORMAT=MLN","Sort=A","Dates=H","DateFormat=P","Fill=—","Direction=H","UseDPDF=Y")</f>
        <v>84.828000000000003</v>
      </c>
      <c r="Q59" s="13">
        <f>_xll.BDH("BLUE US Equity","LT_CAPITALIZED_LEASE_LIABILITIES","FQ2 2022","FQ2 2022","Currency=USD","Period=FQ","BEST_FPERIOD_OVERRIDE=FQ","FILING_STATUS=MR","SCALING_FORMAT=MLN","Sort=A","Dates=H","DateFormat=P","Fill=—","Direction=H","UseDPDF=Y")</f>
        <v>244.52199999999999</v>
      </c>
      <c r="R59" s="13">
        <f>_xll.BDH("BLUE US Equity","LT_CAPITALIZED_LEASE_LIABILITIES","FQ3 2022","FQ3 2022","Currency=USD","Period=FQ","BEST_FPERIOD_OVERRIDE=FQ","FILING_STATUS=MR","SCALING_FORMAT=MLN","Sort=A","Dates=H","DateFormat=P","Fill=—","Direction=H","UseDPDF=Y")</f>
        <v>234.422</v>
      </c>
      <c r="S59" s="13">
        <f>_xll.BDH("BLUE US Equity","LT_CAPITALIZED_LEASE_LIABILITIES","FQ4 2022","FQ4 2022","Currency=USD","Period=FQ","BEST_FPERIOD_OVERRIDE=FQ","FILING_STATUS=MR","SCALING_FORMAT=MLN","Sort=A","Dates=H","DateFormat=P","Fill=—","Direction=H","UseDPDF=Y")</f>
        <v>278.81</v>
      </c>
      <c r="T59" s="13">
        <f>_xll.BDH("BLUE US Equity","LT_CAPITALIZED_LEASE_LIABILITIES","FQ1 2023","FQ1 2023","Currency=USD","Period=FQ","BEST_FPERIOD_OVERRIDE=FQ","FILING_STATUS=MR","SCALING_FORMAT=MLN","Sort=A","Dates=H","DateFormat=P","Fill=—","Direction=H","UseDPDF=Y")</f>
        <v>221.971</v>
      </c>
      <c r="U59" s="13">
        <f>_xll.BDH("BLUE US Equity","LT_CAPITALIZED_LEASE_LIABILITIES","FQ2 2023","FQ2 2023","Currency=USD","Period=FQ","BEST_FPERIOD_OVERRIDE=FQ","FILING_STATUS=MR","SCALING_FORMAT=MLN","Sort=A","Dates=H","DateFormat=P","Fill=—","Direction=H","UseDPDF=Y")</f>
        <v>239.26599999999999</v>
      </c>
      <c r="V59" s="13">
        <f>_xll.BDH("BLUE US Equity","LT_CAPITALIZED_LEASE_LIABILITIES","FQ3 2023","FQ3 2023","Currency=USD","Period=FQ","BEST_FPERIOD_OVERRIDE=FQ","FILING_STATUS=MR","SCALING_FORMAT=MLN","Sort=A","Dates=H","DateFormat=P","Fill=—","Direction=H","UseDPDF=Y")</f>
        <v>232.023</v>
      </c>
      <c r="W59" s="13">
        <f>_xll.BDH("BLUE US Equity","LT_CAPITALIZED_LEASE_LIABILITIES","FQ4 2023","FQ4 2023","Currency=USD","Period=FQ","BEST_FPERIOD_OVERRIDE=FQ","FILING_STATUS=MR","SCALING_FORMAT=MLN","Sort=A","Dates=H","DateFormat=P","Fill=—","Direction=H","UseDPDF=Y")</f>
        <v>224.41900000000001</v>
      </c>
      <c r="X59" s="13">
        <f>_xll.BDH("BLUE US Equity","LT_CAPITALIZED_LEASE_LIABILITIES","FQ1 2024","FQ1 2024","Currency=USD","Period=FQ","BEST_FPERIOD_OVERRIDE=FQ","FILING_STATUS=MR","SCALING_FORMAT=MLN","Sort=A","Dates=H","DateFormat=P","Fill=—","Direction=H","UseDPDF=Y")</f>
        <v>206.77199999999999</v>
      </c>
      <c r="Y59" s="13">
        <f>_xll.BDH("BLUE US Equity","LT_CAPITALIZED_LEASE_LIABILITIES","FQ2 2024","FQ2 2024","Currency=USD","Period=FQ","BEST_FPERIOD_OVERRIDE=FQ","FILING_STATUS=MR","SCALING_FORMAT=MLN","Sort=A","Dates=H","DateFormat=P","Fill=—","Direction=H","UseDPDF=Y")</f>
        <v>194.19</v>
      </c>
      <c r="Z59" s="13">
        <f>_xll.BDH("BLUE US Equity","LT_CAPITALIZED_LEASE_LIABILITIES","FQ3 2024","FQ3 2024","Currency=USD","Period=FQ","BEST_FPERIOD_OVERRIDE=FQ","FILING_STATUS=MR","SCALING_FORMAT=MLN","Sort=A","Dates=H","DateFormat=P","Fill=—","Direction=H","UseDPDF=Y")</f>
        <v>173.73099999999999</v>
      </c>
      <c r="AA59" s="13">
        <f>_xll.BDH("BLUE US Equity","LT_CAPITALIZED_LEASE_LIABILITIES","FQ4 2024","FQ4 2024","Currency=USD","Period=FQ","BEST_FPERIOD_OVERRIDE=FQ","FILING_STATUS=MR","SCALING_FORMAT=MLN","Sort=A","Dates=H","DateFormat=P","Fill=—","Direction=H","UseDPDF=Y")</f>
        <v>169.357</v>
      </c>
    </row>
    <row r="60" spans="1:27" x14ac:dyDescent="0.25">
      <c r="A60" s="11" t="s">
        <v>687</v>
      </c>
      <c r="B60" s="11" t="s">
        <v>688</v>
      </c>
      <c r="C60" s="25">
        <f>_xll.BDH("BLUE US Equity","LT_CAPITAL_LEASE_OBLIGATIONS","FQ4 2018","FQ4 2018","Currency=USD","Period=FQ","BEST_FPERIOD_OVERRIDE=FQ","FILING_STATUS=MR","SCALING_FORMAT=MLN","Sort=A","Dates=H","DateFormat=P","Fill=—","Direction=H","UseDPDF=Y")</f>
        <v>153.31899999999999</v>
      </c>
      <c r="D60" s="25">
        <f>_xll.BDH("BLUE US Equity","LT_CAPITAL_LEASE_OBLIGATIONS","FQ1 2019","FQ1 2019","Currency=USD","Period=FQ","BEST_FPERIOD_OVERRIDE=FQ","FILING_STATUS=MR","SCALING_FORMAT=MLN","Sort=A","Dates=H","DateFormat=P","Fill=—","Direction=H","UseDPDF=Y")</f>
        <v>0</v>
      </c>
      <c r="E60" s="25">
        <f>_xll.BDH("BLUE US Equity","LT_CAPITAL_LEASE_OBLIGATIONS","FQ2 2019","FQ2 2019","Currency=USD","Period=FQ","BEST_FPERIOD_OVERRIDE=FQ","FILING_STATUS=MR","SCALING_FORMAT=MLN","Sort=A","Dates=H","DateFormat=P","Fill=—","Direction=H","UseDPDF=Y")</f>
        <v>0</v>
      </c>
      <c r="F60" s="25">
        <f>_xll.BDH("BLUE US Equity","LT_CAPITAL_LEASE_OBLIGATIONS","FQ3 2019","FQ3 2019","Currency=USD","Period=FQ","BEST_FPERIOD_OVERRIDE=FQ","FILING_STATUS=MR","SCALING_FORMAT=MLN","Sort=A","Dates=H","DateFormat=P","Fill=—","Direction=H","UseDPDF=Y")</f>
        <v>0</v>
      </c>
      <c r="G60" s="25">
        <f>_xll.BDH("BLUE US Equity","LT_CAPITAL_LEASE_OBLIGATIONS","FQ4 2019","FQ4 2019","Currency=USD","Period=FQ","BEST_FPERIOD_OVERRIDE=FQ","FILING_STATUS=MR","SCALING_FORMAT=MLN","Sort=A","Dates=H","DateFormat=P","Fill=—","Direction=H","UseDPDF=Y")</f>
        <v>0</v>
      </c>
      <c r="H60" s="25" t="str">
        <f>_xll.BDH("BLUE US Equity","LT_CAPITAL_LEASE_OBLIGATIONS","FQ1 2020","FQ1 2020","Currency=USD","Period=FQ","BEST_FPERIOD_OVERRIDE=FQ","FILING_STATUS=MR","SCALING_FORMAT=MLN","Sort=A","Dates=H","DateFormat=P","Fill=—","Direction=H","UseDPDF=Y")</f>
        <v>—</v>
      </c>
      <c r="I60" s="25" t="str">
        <f>_xll.BDH("BLUE US Equity","LT_CAPITAL_LEASE_OBLIGATIONS","FQ2 2020","FQ2 2020","Currency=USD","Period=FQ","BEST_FPERIOD_OVERRIDE=FQ","FILING_STATUS=MR","SCALING_FORMAT=MLN","Sort=A","Dates=H","DateFormat=P","Fill=—","Direction=H","UseDPDF=Y")</f>
        <v>—</v>
      </c>
      <c r="J60" s="25" t="str">
        <f>_xll.BDH("BLUE US Equity","LT_CAPITAL_LEASE_OBLIGATIONS","FQ3 2020","FQ3 2020","Currency=USD","Period=FQ","BEST_FPERIOD_OVERRIDE=FQ","FILING_STATUS=MR","SCALING_FORMAT=MLN","Sort=A","Dates=H","DateFormat=P","Fill=—","Direction=H","UseDPDF=Y")</f>
        <v>—</v>
      </c>
      <c r="K60" s="25" t="str">
        <f>_xll.BDH("BLUE US Equity","LT_CAPITAL_LEASE_OBLIGATIONS","FQ4 2020","FQ4 2020","Currency=USD","Period=FQ","BEST_FPERIOD_OVERRIDE=FQ","FILING_STATUS=MR","SCALING_FORMAT=MLN","Sort=A","Dates=H","DateFormat=P","Fill=—","Direction=H","UseDPDF=Y")</f>
        <v>—</v>
      </c>
      <c r="L60" s="25" t="str">
        <f>_xll.BDH("BLUE US Equity","LT_CAPITAL_LEASE_OBLIGATIONS","FQ1 2021","FQ1 2021","Currency=USD","Period=FQ","BEST_FPERIOD_OVERRIDE=FQ","FILING_STATUS=MR","SCALING_FORMAT=MLN","Sort=A","Dates=H","DateFormat=P","Fill=—","Direction=H","UseDPDF=Y")</f>
        <v>—</v>
      </c>
      <c r="M60" s="25" t="str">
        <f>_xll.BDH("BLUE US Equity","LT_CAPITAL_LEASE_OBLIGATIONS","FQ2 2021","FQ2 2021","Currency=USD","Period=FQ","BEST_FPERIOD_OVERRIDE=FQ","FILING_STATUS=MR","SCALING_FORMAT=MLN","Sort=A","Dates=H","DateFormat=P","Fill=—","Direction=H","UseDPDF=Y")</f>
        <v>—</v>
      </c>
      <c r="N60" s="25" t="str">
        <f>_xll.BDH("BLUE US Equity","LT_CAPITAL_LEASE_OBLIGATIONS","FQ3 2021","FQ3 2021","Currency=USD","Period=FQ","BEST_FPERIOD_OVERRIDE=FQ","FILING_STATUS=MR","SCALING_FORMAT=MLN","Sort=A","Dates=H","DateFormat=P","Fill=—","Direction=H","UseDPDF=Y")</f>
        <v>—</v>
      </c>
      <c r="O60" s="25" t="str">
        <f>_xll.BDH("BLUE US Equity","LT_CAPITAL_LEASE_OBLIGATIONS","FQ4 2021","FQ4 2021","Currency=USD","Period=FQ","BEST_FPERIOD_OVERRIDE=FQ","FILING_STATUS=MR","SCALING_FORMAT=MLN","Sort=A","Dates=H","DateFormat=P","Fill=—","Direction=H","UseDPDF=Y")</f>
        <v>—</v>
      </c>
      <c r="P60" s="25" t="str">
        <f>_xll.BDH("BLUE US Equity","LT_CAPITAL_LEASE_OBLIGATIONS","FQ1 2022","FQ1 2022","Currency=USD","Period=FQ","BEST_FPERIOD_OVERRIDE=FQ","FILING_STATUS=MR","SCALING_FORMAT=MLN","Sort=A","Dates=H","DateFormat=P","Fill=—","Direction=H","UseDPDF=Y")</f>
        <v>—</v>
      </c>
      <c r="Q60" s="25" t="str">
        <f>_xll.BDH("BLUE US Equity","LT_CAPITAL_LEASE_OBLIGATIONS","FQ2 2022","FQ2 2022","Currency=USD","Period=FQ","BEST_FPERIOD_OVERRIDE=FQ","FILING_STATUS=MR","SCALING_FORMAT=MLN","Sort=A","Dates=H","DateFormat=P","Fill=—","Direction=H","UseDPDF=Y")</f>
        <v>—</v>
      </c>
      <c r="R60" s="25" t="str">
        <f>_xll.BDH("BLUE US Equity","LT_CAPITAL_LEASE_OBLIGATIONS","FQ3 2022","FQ3 2022","Currency=USD","Period=FQ","BEST_FPERIOD_OVERRIDE=FQ","FILING_STATUS=MR","SCALING_FORMAT=MLN","Sort=A","Dates=H","DateFormat=P","Fill=—","Direction=H","UseDPDF=Y")</f>
        <v>—</v>
      </c>
      <c r="S60" s="25" t="str">
        <f>_xll.BDH("BLUE US Equity","LT_CAPITAL_LEASE_OBLIGATIONS","FQ4 2022","FQ4 2022","Currency=USD","Period=FQ","BEST_FPERIOD_OVERRIDE=FQ","FILING_STATUS=MR","SCALING_FORMAT=MLN","Sort=A","Dates=H","DateFormat=P","Fill=—","Direction=H","UseDPDF=Y")</f>
        <v>—</v>
      </c>
      <c r="T60" s="25" t="str">
        <f>_xll.BDH("BLUE US Equity","LT_CAPITAL_LEASE_OBLIGATIONS","FQ1 2023","FQ1 2023","Currency=USD","Period=FQ","BEST_FPERIOD_OVERRIDE=FQ","FILING_STATUS=MR","SCALING_FORMAT=MLN","Sort=A","Dates=H","DateFormat=P","Fill=—","Direction=H","UseDPDF=Y")</f>
        <v>—</v>
      </c>
      <c r="U60" s="25" t="str">
        <f>_xll.BDH("BLUE US Equity","LT_CAPITAL_LEASE_OBLIGATIONS","FQ2 2023","FQ2 2023","Currency=USD","Period=FQ","BEST_FPERIOD_OVERRIDE=FQ","FILING_STATUS=MR","SCALING_FORMAT=MLN","Sort=A","Dates=H","DateFormat=P","Fill=—","Direction=H","UseDPDF=Y")</f>
        <v>—</v>
      </c>
      <c r="V60" s="25" t="str">
        <f>_xll.BDH("BLUE US Equity","LT_CAPITAL_LEASE_OBLIGATIONS","FQ3 2023","FQ3 2023","Currency=USD","Period=FQ","BEST_FPERIOD_OVERRIDE=FQ","FILING_STATUS=MR","SCALING_FORMAT=MLN","Sort=A","Dates=H","DateFormat=P","Fill=—","Direction=H","UseDPDF=Y")</f>
        <v>—</v>
      </c>
      <c r="W60" s="25" t="str">
        <f>_xll.BDH("BLUE US Equity","LT_CAPITAL_LEASE_OBLIGATIONS","FQ4 2023","FQ4 2023","Currency=USD","Period=FQ","BEST_FPERIOD_OVERRIDE=FQ","FILING_STATUS=MR","SCALING_FORMAT=MLN","Sort=A","Dates=H","DateFormat=P","Fill=—","Direction=H","UseDPDF=Y")</f>
        <v>—</v>
      </c>
      <c r="X60" s="25">
        <f>_xll.BDH("BLUE US Equity","LT_CAPITAL_LEASE_OBLIGATIONS","FQ1 2024","FQ1 2024","Currency=USD","Period=FQ","BEST_FPERIOD_OVERRIDE=FQ","FILING_STATUS=MR","SCALING_FORMAT=MLN","Sort=A","Dates=H","DateFormat=P","Fill=—","Direction=H","UseDPDF=Y")</f>
        <v>26.088999999999999</v>
      </c>
      <c r="Y60" s="25">
        <f>_xll.BDH("BLUE US Equity","LT_CAPITAL_LEASE_OBLIGATIONS","FQ2 2024","FQ2 2024","Currency=USD","Period=FQ","BEST_FPERIOD_OVERRIDE=FQ","FILING_STATUS=MR","SCALING_FORMAT=MLN","Sort=A","Dates=H","DateFormat=P","Fill=—","Direction=H","UseDPDF=Y")</f>
        <v>19.655000000000001</v>
      </c>
      <c r="Z60" s="25">
        <f>_xll.BDH("BLUE US Equity","LT_CAPITAL_LEASE_OBLIGATIONS","FQ3 2024","FQ3 2024","Currency=USD","Period=FQ","BEST_FPERIOD_OVERRIDE=FQ","FILING_STATUS=MR","SCALING_FORMAT=MLN","Sort=A","Dates=H","DateFormat=P","Fill=—","Direction=H","UseDPDF=Y")</f>
        <v>5.6749999999999998</v>
      </c>
      <c r="AA60" s="25">
        <f>_xll.BDH("BLUE US Equity","LT_CAPITAL_LEASE_OBLIGATIONS","FQ4 2024","FQ4 2024","Currency=USD","Period=FQ","BEST_FPERIOD_OVERRIDE=FQ","FILING_STATUS=MR","SCALING_FORMAT=MLN","Sort=A","Dates=H","DateFormat=P","Fill=—","Direction=H","UseDPDF=Y")</f>
        <v>7.7960000000000003</v>
      </c>
    </row>
    <row r="61" spans="1:27" x14ac:dyDescent="0.25">
      <c r="A61" s="11" t="s">
        <v>689</v>
      </c>
      <c r="B61" s="11" t="s">
        <v>690</v>
      </c>
      <c r="C61" s="25" t="str">
        <f>_xll.BDH("BLUE US Equity","BS_LT_OPERATING_LEASE_LIABS","FQ4 2018","FQ4 2018","Currency=USD","Period=FQ","BEST_FPERIOD_OVERRIDE=FQ","FILING_STATUS=MR","SCALING_FORMAT=MLN","Sort=A","Dates=H","DateFormat=P","Fill=—","Direction=H","UseDPDF=Y")</f>
        <v>—</v>
      </c>
      <c r="D61" s="25">
        <f>_xll.BDH("BLUE US Equity","BS_LT_OPERATING_LEASE_LIABS","FQ1 2019","FQ1 2019","Currency=USD","Period=FQ","BEST_FPERIOD_OVERRIDE=FQ","FILING_STATUS=MR","SCALING_FORMAT=MLN","Sort=A","Dates=H","DateFormat=P","Fill=—","Direction=H","UseDPDF=Y")</f>
        <v>168.2</v>
      </c>
      <c r="E61" s="25">
        <f>_xll.BDH("BLUE US Equity","BS_LT_OPERATING_LEASE_LIABS","FQ2 2019","FQ2 2019","Currency=USD","Period=FQ","BEST_FPERIOD_OVERRIDE=FQ","FILING_STATUS=MR","SCALING_FORMAT=MLN","Sort=A","Dates=H","DateFormat=P","Fill=—","Direction=H","UseDPDF=Y")</f>
        <v>175.35</v>
      </c>
      <c r="F61" s="25">
        <f>_xll.BDH("BLUE US Equity","BS_LT_OPERATING_LEASE_LIABS","FQ3 2019","FQ3 2019","Currency=USD","Period=FQ","BEST_FPERIOD_OVERRIDE=FQ","FILING_STATUS=MR","SCALING_FORMAT=MLN","Sort=A","Dates=H","DateFormat=P","Fill=—","Direction=H","UseDPDF=Y")</f>
        <v>176.02600000000001</v>
      </c>
      <c r="G61" s="25">
        <f>_xll.BDH("BLUE US Equity","BS_LT_OPERATING_LEASE_LIABS","FQ4 2019","FQ4 2019","Currency=USD","Period=FQ","BEST_FPERIOD_OVERRIDE=FQ","FILING_STATUS=MR","SCALING_FORMAT=MLN","Sort=A","Dates=H","DateFormat=P","Fill=—","Direction=H","UseDPDF=Y")</f>
        <v>170.81200000000001</v>
      </c>
      <c r="H61" s="25">
        <f>_xll.BDH("BLUE US Equity","BS_LT_OPERATING_LEASE_LIABS","FQ1 2020","FQ1 2020","Currency=USD","Period=FQ","BEST_FPERIOD_OVERRIDE=FQ","FILING_STATUS=MR","SCALING_FORMAT=MLN","Sort=A","Dates=H","DateFormat=P","Fill=—","Direction=H","UseDPDF=Y")</f>
        <v>179.96199999999999</v>
      </c>
      <c r="I61" s="25">
        <f>_xll.BDH("BLUE US Equity","BS_LT_OPERATING_LEASE_LIABS","FQ2 2020","FQ2 2020","Currency=USD","Period=FQ","BEST_FPERIOD_OVERRIDE=FQ","FILING_STATUS=MR","SCALING_FORMAT=MLN","Sort=A","Dates=H","DateFormat=P","Fill=—","Direction=H","UseDPDF=Y")</f>
        <v>174.56399999999999</v>
      </c>
      <c r="J61" s="25">
        <f>_xll.BDH("BLUE US Equity","BS_LT_OPERATING_LEASE_LIABS","FQ3 2020","FQ3 2020","Currency=USD","Period=FQ","BEST_FPERIOD_OVERRIDE=FQ","FILING_STATUS=MR","SCALING_FORMAT=MLN","Sort=A","Dates=H","DateFormat=P","Fill=—","Direction=H","UseDPDF=Y")</f>
        <v>173.07499999999999</v>
      </c>
      <c r="K61" s="25">
        <f>_xll.BDH("BLUE US Equity","BS_LT_OPERATING_LEASE_LIABS","FQ4 2020","FQ4 2020","Currency=USD","Period=FQ","BEST_FPERIOD_OVERRIDE=FQ","FILING_STATUS=MR","SCALING_FORMAT=MLN","Sort=A","Dates=H","DateFormat=P","Fill=—","Direction=H","UseDPDF=Y")</f>
        <v>55.707000000000001</v>
      </c>
      <c r="L61" s="25">
        <f>_xll.BDH("BLUE US Equity","BS_LT_OPERATING_LEASE_LIABS","FQ1 2021","FQ1 2021","Currency=USD","Period=FQ","BEST_FPERIOD_OVERRIDE=FQ","FILING_STATUS=MR","SCALING_FORMAT=MLN","Sort=A","Dates=H","DateFormat=P","Fill=—","Direction=H","UseDPDF=Y")</f>
        <v>177.702</v>
      </c>
      <c r="M61" s="25">
        <f>_xll.BDH("BLUE US Equity","BS_LT_OPERATING_LEASE_LIABS","FQ2 2021","FQ2 2021","Currency=USD","Period=FQ","BEST_FPERIOD_OVERRIDE=FQ","FILING_STATUS=MR","SCALING_FORMAT=MLN","Sort=A","Dates=H","DateFormat=P","Fill=—","Direction=H","UseDPDF=Y")</f>
        <v>169.93299999999999</v>
      </c>
      <c r="N61" s="25">
        <f>_xll.BDH("BLUE US Equity","BS_LT_OPERATING_LEASE_LIABS","FQ3 2021","FQ3 2021","Currency=USD","Period=FQ","BEST_FPERIOD_OVERRIDE=FQ","FILING_STATUS=MR","SCALING_FORMAT=MLN","Sort=A","Dates=H","DateFormat=P","Fill=—","Direction=H","UseDPDF=Y")</f>
        <v>152.126</v>
      </c>
      <c r="O61" s="25">
        <f>_xll.BDH("BLUE US Equity","BS_LT_OPERATING_LEASE_LIABS","FQ4 2021","FQ4 2021","Currency=USD","Period=FQ","BEST_FPERIOD_OVERRIDE=FQ","FILING_STATUS=MR","SCALING_FORMAT=MLN","Sort=A","Dates=H","DateFormat=P","Fill=—","Direction=H","UseDPDF=Y")</f>
        <v>66.432000000000002</v>
      </c>
      <c r="P61" s="25">
        <f>_xll.BDH("BLUE US Equity","BS_LT_OPERATING_LEASE_LIABS","FQ1 2022","FQ1 2022","Currency=USD","Period=FQ","BEST_FPERIOD_OVERRIDE=FQ","FILING_STATUS=MR","SCALING_FORMAT=MLN","Sort=A","Dates=H","DateFormat=P","Fill=—","Direction=H","UseDPDF=Y")</f>
        <v>84.828000000000003</v>
      </c>
      <c r="Q61" s="25">
        <f>_xll.BDH("BLUE US Equity","BS_LT_OPERATING_LEASE_LIABS","FQ2 2022","FQ2 2022","Currency=USD","Period=FQ","BEST_FPERIOD_OVERRIDE=FQ","FILING_STATUS=MR","SCALING_FORMAT=MLN","Sort=A","Dates=H","DateFormat=P","Fill=—","Direction=H","UseDPDF=Y")</f>
        <v>244.52199999999999</v>
      </c>
      <c r="R61" s="25">
        <f>_xll.BDH("BLUE US Equity","BS_LT_OPERATING_LEASE_LIABS","FQ3 2022","FQ3 2022","Currency=USD","Period=FQ","BEST_FPERIOD_OVERRIDE=FQ","FILING_STATUS=MR","SCALING_FORMAT=MLN","Sort=A","Dates=H","DateFormat=P","Fill=—","Direction=H","UseDPDF=Y")</f>
        <v>234.422</v>
      </c>
      <c r="S61" s="25">
        <f>_xll.BDH("BLUE US Equity","BS_LT_OPERATING_LEASE_LIABS","FQ4 2022","FQ4 2022","Currency=USD","Period=FQ","BEST_FPERIOD_OVERRIDE=FQ","FILING_STATUS=MR","SCALING_FORMAT=MLN","Sort=A","Dates=H","DateFormat=P","Fill=—","Direction=H","UseDPDF=Y")</f>
        <v>278.81</v>
      </c>
      <c r="T61" s="25">
        <f>_xll.BDH("BLUE US Equity","BS_LT_OPERATING_LEASE_LIABS","FQ1 2023","FQ1 2023","Currency=USD","Period=FQ","BEST_FPERIOD_OVERRIDE=FQ","FILING_STATUS=MR","SCALING_FORMAT=MLN","Sort=A","Dates=H","DateFormat=P","Fill=—","Direction=H","UseDPDF=Y")</f>
        <v>221.971</v>
      </c>
      <c r="U61" s="25">
        <f>_xll.BDH("BLUE US Equity","BS_LT_OPERATING_LEASE_LIABS","FQ2 2023","FQ2 2023","Currency=USD","Period=FQ","BEST_FPERIOD_OVERRIDE=FQ","FILING_STATUS=MR","SCALING_FORMAT=MLN","Sort=A","Dates=H","DateFormat=P","Fill=—","Direction=H","UseDPDF=Y")</f>
        <v>239.26599999999999</v>
      </c>
      <c r="V61" s="25">
        <f>_xll.BDH("BLUE US Equity","BS_LT_OPERATING_LEASE_LIABS","FQ3 2023","FQ3 2023","Currency=USD","Period=FQ","BEST_FPERIOD_OVERRIDE=FQ","FILING_STATUS=MR","SCALING_FORMAT=MLN","Sort=A","Dates=H","DateFormat=P","Fill=—","Direction=H","UseDPDF=Y")</f>
        <v>232.023</v>
      </c>
      <c r="W61" s="25">
        <f>_xll.BDH("BLUE US Equity","BS_LT_OPERATING_LEASE_LIABS","FQ4 2023","FQ4 2023","Currency=USD","Period=FQ","BEST_FPERIOD_OVERRIDE=FQ","FILING_STATUS=MR","SCALING_FORMAT=MLN","Sort=A","Dates=H","DateFormat=P","Fill=—","Direction=H","UseDPDF=Y")</f>
        <v>224.41900000000001</v>
      </c>
      <c r="X61" s="25">
        <f>_xll.BDH("BLUE US Equity","BS_LT_OPERATING_LEASE_LIABS","FQ1 2024","FQ1 2024","Currency=USD","Period=FQ","BEST_FPERIOD_OVERRIDE=FQ","FILING_STATUS=MR","SCALING_FORMAT=MLN","Sort=A","Dates=H","DateFormat=P","Fill=—","Direction=H","UseDPDF=Y")</f>
        <v>180.68299999999999</v>
      </c>
      <c r="Y61" s="25">
        <f>_xll.BDH("BLUE US Equity","BS_LT_OPERATING_LEASE_LIABS","FQ2 2024","FQ2 2024","Currency=USD","Period=FQ","BEST_FPERIOD_OVERRIDE=FQ","FILING_STATUS=MR","SCALING_FORMAT=MLN","Sort=A","Dates=H","DateFormat=P","Fill=—","Direction=H","UseDPDF=Y")</f>
        <v>174.535</v>
      </c>
      <c r="Z61" s="25">
        <f>_xll.BDH("BLUE US Equity","BS_LT_OPERATING_LEASE_LIABS","FQ3 2024","FQ3 2024","Currency=USD","Period=FQ","BEST_FPERIOD_OVERRIDE=FQ","FILING_STATUS=MR","SCALING_FORMAT=MLN","Sort=A","Dates=H","DateFormat=P","Fill=—","Direction=H","UseDPDF=Y")</f>
        <v>168.05600000000001</v>
      </c>
      <c r="AA61" s="25">
        <f>_xll.BDH("BLUE US Equity","BS_LT_OPERATING_LEASE_LIABS","FQ4 2024","FQ4 2024","Currency=USD","Period=FQ","BEST_FPERIOD_OVERRIDE=FQ","FILING_STATUS=MR","SCALING_FORMAT=MLN","Sort=A","Dates=H","DateFormat=P","Fill=—","Direction=H","UseDPDF=Y")</f>
        <v>161.56100000000001</v>
      </c>
    </row>
    <row r="62" spans="1:27" x14ac:dyDescent="0.25">
      <c r="A62" s="10" t="s">
        <v>691</v>
      </c>
      <c r="B62" s="10" t="s">
        <v>692</v>
      </c>
      <c r="C62" s="13">
        <f>_xll.BDH("BLUE US Equity","OTHER_NONCUR_LIABS_SUB_DETAILED","FQ4 2018","FQ4 2018","Currency=USD","Period=FQ","BEST_FPERIOD_OVERRIDE=FQ","FILING_STATUS=MR","SCALING_FORMAT=MLN","Sort=A","Dates=H","DateFormat=P","Fill=—","Direction=H","UseDPDF=Y")</f>
        <v>58.024000000000001</v>
      </c>
      <c r="D62" s="13">
        <f>_xll.BDH("BLUE US Equity","OTHER_NONCUR_LIABS_SUB_DETAILED","FQ1 2019","FQ1 2019","Currency=USD","Period=FQ","BEST_FPERIOD_OVERRIDE=FQ","FILING_STATUS=MR","SCALING_FORMAT=MLN","Sort=A","Dates=H","DateFormat=P","Fill=—","Direction=H","UseDPDF=Y")</f>
        <v>51.625</v>
      </c>
      <c r="E62" s="13">
        <f>_xll.BDH("BLUE US Equity","OTHER_NONCUR_LIABS_SUB_DETAILED","FQ2 2019","FQ2 2019","Currency=USD","Period=FQ","BEST_FPERIOD_OVERRIDE=FQ","FILING_STATUS=MR","SCALING_FORMAT=MLN","Sort=A","Dates=H","DateFormat=P","Fill=—","Direction=H","UseDPDF=Y")</f>
        <v>49.511000000000003</v>
      </c>
      <c r="F62" s="13">
        <f>_xll.BDH("BLUE US Equity","OTHER_NONCUR_LIABS_SUB_DETAILED","FQ3 2019","FQ3 2019","Currency=USD","Period=FQ","BEST_FPERIOD_OVERRIDE=FQ","FILING_STATUS=MR","SCALING_FORMAT=MLN","Sort=A","Dates=H","DateFormat=P","Fill=—","Direction=H","UseDPDF=Y")</f>
        <v>48.451000000000001</v>
      </c>
      <c r="G62" s="13">
        <f>_xll.BDH("BLUE US Equity","OTHER_NONCUR_LIABS_SUB_DETAILED","FQ4 2019","FQ4 2019","Currency=USD","Period=FQ","BEST_FPERIOD_OVERRIDE=FQ","FILING_STATUS=MR","SCALING_FORMAT=MLN","Sort=A","Dates=H","DateFormat=P","Fill=—","Direction=H","UseDPDF=Y")</f>
        <v>48.039000000000001</v>
      </c>
      <c r="H62" s="13">
        <f>_xll.BDH("BLUE US Equity","OTHER_NONCUR_LIABS_SUB_DETAILED","FQ1 2020","FQ1 2020","Currency=USD","Period=FQ","BEST_FPERIOD_OVERRIDE=FQ","FILING_STATUS=MR","SCALING_FORMAT=MLN","Sort=A","Dates=H","DateFormat=P","Fill=—","Direction=H","UseDPDF=Y")</f>
        <v>44.286999999999999</v>
      </c>
      <c r="I62" s="13">
        <f>_xll.BDH("BLUE US Equity","OTHER_NONCUR_LIABS_SUB_DETAILED","FQ2 2020","FQ2 2020","Currency=USD","Period=FQ","BEST_FPERIOD_OVERRIDE=FQ","FILING_STATUS=MR","SCALING_FORMAT=MLN","Sort=A","Dates=H","DateFormat=P","Fill=—","Direction=H","UseDPDF=Y")</f>
        <v>54.014000000000003</v>
      </c>
      <c r="J62" s="13">
        <f>_xll.BDH("BLUE US Equity","OTHER_NONCUR_LIABS_SUB_DETAILED","FQ3 2020","FQ3 2020","Currency=USD","Period=FQ","BEST_FPERIOD_OVERRIDE=FQ","FILING_STATUS=MR","SCALING_FORMAT=MLN","Sort=A","Dates=H","DateFormat=P","Fill=—","Direction=H","UseDPDF=Y")</f>
        <v>52.481000000000002</v>
      </c>
      <c r="K62" s="13">
        <f>_xll.BDH("BLUE US Equity","OTHER_NONCUR_LIABS_SUB_DETAILED","FQ4 2020","FQ4 2020","Currency=USD","Period=FQ","BEST_FPERIOD_OVERRIDE=FQ","FILING_STATUS=MR","SCALING_FORMAT=MLN","Sort=A","Dates=H","DateFormat=P","Fill=—","Direction=H","UseDPDF=Y")</f>
        <v>166.90100000000001</v>
      </c>
      <c r="L62" s="13">
        <f>_xll.BDH("BLUE US Equity","OTHER_NONCUR_LIABS_SUB_DETAILED","FQ1 2021","FQ1 2021","Currency=USD","Period=FQ","BEST_FPERIOD_OVERRIDE=FQ","FILING_STATUS=MR","SCALING_FORMAT=MLN","Sort=A","Dates=H","DateFormat=P","Fill=—","Direction=H","UseDPDF=Y")</f>
        <v>52.929000000000002</v>
      </c>
      <c r="M62" s="13">
        <f>_xll.BDH("BLUE US Equity","OTHER_NONCUR_LIABS_SUB_DETAILED","FQ2 2021","FQ2 2021","Currency=USD","Period=FQ","BEST_FPERIOD_OVERRIDE=FQ","FILING_STATUS=MR","SCALING_FORMAT=MLN","Sort=A","Dates=H","DateFormat=P","Fill=—","Direction=H","UseDPDF=Y")</f>
        <v>52.2</v>
      </c>
      <c r="N62" s="13">
        <f>_xll.BDH("BLUE US Equity","OTHER_NONCUR_LIABS_SUB_DETAILED","FQ3 2021","FQ3 2021","Currency=USD","Period=FQ","BEST_FPERIOD_OVERRIDE=FQ","FILING_STATUS=MR","SCALING_FORMAT=MLN","Sort=A","Dates=H","DateFormat=P","Fill=—","Direction=H","UseDPDF=Y")</f>
        <v>50.432000000000002</v>
      </c>
      <c r="O62" s="13">
        <f>_xll.BDH("BLUE US Equity","OTHER_NONCUR_LIABS_SUB_DETAILED","FQ4 2021","FQ4 2021","Currency=USD","Period=FQ","BEST_FPERIOD_OVERRIDE=FQ","FILING_STATUS=MR","SCALING_FORMAT=MLN","Sort=A","Dates=H","DateFormat=P","Fill=—","Direction=H","UseDPDF=Y")</f>
        <v>9.2999999999999999E-2</v>
      </c>
      <c r="P62" s="13">
        <f>_xll.BDH("BLUE US Equity","OTHER_NONCUR_LIABS_SUB_DETAILED","FQ1 2022","FQ1 2022","Currency=USD","Period=FQ","BEST_FPERIOD_OVERRIDE=FQ","FILING_STATUS=MR","SCALING_FORMAT=MLN","Sort=A","Dates=H","DateFormat=P","Fill=—","Direction=H","UseDPDF=Y")</f>
        <v>9.1999999999999998E-2</v>
      </c>
      <c r="Q62" s="13">
        <f>_xll.BDH("BLUE US Equity","OTHER_NONCUR_LIABS_SUB_DETAILED","FQ2 2022","FQ2 2022","Currency=USD","Period=FQ","BEST_FPERIOD_OVERRIDE=FQ","FILING_STATUS=MR","SCALING_FORMAT=MLN","Sort=A","Dates=H","DateFormat=P","Fill=—","Direction=H","UseDPDF=Y")</f>
        <v>9.2999999999999999E-2</v>
      </c>
      <c r="R62" s="13">
        <f>_xll.BDH("BLUE US Equity","OTHER_NONCUR_LIABS_SUB_DETAILED","FQ3 2022","FQ3 2022","Currency=USD","Period=FQ","BEST_FPERIOD_OVERRIDE=FQ","FILING_STATUS=MR","SCALING_FORMAT=MLN","Sort=A","Dates=H","DateFormat=P","Fill=—","Direction=H","UseDPDF=Y")</f>
        <v>9.1999999999999998E-2</v>
      </c>
      <c r="S62" s="13">
        <f>_xll.BDH("BLUE US Equity","OTHER_NONCUR_LIABS_SUB_DETAILED","FQ4 2022","FQ4 2022","Currency=USD","Period=FQ","BEST_FPERIOD_OVERRIDE=FQ","FILING_STATUS=MR","SCALING_FORMAT=MLN","Sort=A","Dates=H","DateFormat=P","Fill=—","Direction=H","UseDPDF=Y")</f>
        <v>9.1999999999999998E-2</v>
      </c>
      <c r="T62" s="13">
        <f>_xll.BDH("BLUE US Equity","OTHER_NONCUR_LIABS_SUB_DETAILED","FQ1 2023","FQ1 2023","Currency=USD","Period=FQ","BEST_FPERIOD_OVERRIDE=FQ","FILING_STATUS=MR","SCALING_FORMAT=MLN","Sort=A","Dates=H","DateFormat=P","Fill=—","Direction=H","UseDPDF=Y")</f>
        <v>9.1999999999999998E-2</v>
      </c>
      <c r="U62" s="13">
        <f>_xll.BDH("BLUE US Equity","OTHER_NONCUR_LIABS_SUB_DETAILED","FQ2 2023","FQ2 2023","Currency=USD","Period=FQ","BEST_FPERIOD_OVERRIDE=FQ","FILING_STATUS=MR","SCALING_FORMAT=MLN","Sort=A","Dates=H","DateFormat=P","Fill=—","Direction=H","UseDPDF=Y")</f>
        <v>9.1999999999999998E-2</v>
      </c>
      <c r="V62" s="13">
        <f>_xll.BDH("BLUE US Equity","OTHER_NONCUR_LIABS_SUB_DETAILED","FQ3 2023","FQ3 2023","Currency=USD","Period=FQ","BEST_FPERIOD_OVERRIDE=FQ","FILING_STATUS=MR","SCALING_FORMAT=MLN","Sort=A","Dates=H","DateFormat=P","Fill=—","Direction=H","UseDPDF=Y")</f>
        <v>9.1999999999999998E-2</v>
      </c>
      <c r="W62" s="13">
        <f>_xll.BDH("BLUE US Equity","OTHER_NONCUR_LIABS_SUB_DETAILED","FQ4 2023","FQ4 2023","Currency=USD","Period=FQ","BEST_FPERIOD_OVERRIDE=FQ","FILING_STATUS=MR","SCALING_FORMAT=MLN","Sort=A","Dates=H","DateFormat=P","Fill=—","Direction=H","UseDPDF=Y")</f>
        <v>9.1999999999999998E-2</v>
      </c>
      <c r="X62" s="13">
        <f>_xll.BDH("BLUE US Equity","OTHER_NONCUR_LIABS_SUB_DETAILED","FQ1 2024","FQ1 2024","Currency=USD","Period=FQ","BEST_FPERIOD_OVERRIDE=FQ","FILING_STATUS=MR","SCALING_FORMAT=MLN","Sort=A","Dates=H","DateFormat=P","Fill=—","Direction=H","UseDPDF=Y")</f>
        <v>9.1999999999999998E-2</v>
      </c>
      <c r="Y62" s="13">
        <f>_xll.BDH("BLUE US Equity","OTHER_NONCUR_LIABS_SUB_DETAILED","FQ2 2024","FQ2 2024","Currency=USD","Period=FQ","BEST_FPERIOD_OVERRIDE=FQ","FILING_STATUS=MR","SCALING_FORMAT=MLN","Sort=A","Dates=H","DateFormat=P","Fill=—","Direction=H","UseDPDF=Y")</f>
        <v>9.1999999999999998E-2</v>
      </c>
      <c r="Z62" s="13">
        <f>_xll.BDH("BLUE US Equity","OTHER_NONCUR_LIABS_SUB_DETAILED","FQ3 2024","FQ3 2024","Currency=USD","Period=FQ","BEST_FPERIOD_OVERRIDE=FQ","FILING_STATUS=MR","SCALING_FORMAT=MLN","Sort=A","Dates=H","DateFormat=P","Fill=—","Direction=H","UseDPDF=Y")</f>
        <v>1.079</v>
      </c>
      <c r="AA62" s="13">
        <f>_xll.BDH("BLUE US Equity","OTHER_NONCUR_LIABS_SUB_DETAILED","FQ4 2024","FQ4 2024","Currency=USD","Period=FQ","BEST_FPERIOD_OVERRIDE=FQ","FILING_STATUS=MR","SCALING_FORMAT=MLN","Sort=A","Dates=H","DateFormat=P","Fill=—","Direction=H","UseDPDF=Y")</f>
        <v>0.94699999999999995</v>
      </c>
    </row>
    <row r="63" spans="1:27" x14ac:dyDescent="0.25">
      <c r="A63" s="10" t="s">
        <v>693</v>
      </c>
      <c r="B63" s="10" t="s">
        <v>694</v>
      </c>
      <c r="C63" s="13">
        <f>_xll.BDH("BLUE US Equity","BS_ACCRUED_LIABILITIES","FQ4 2018","FQ4 2018","Currency=USD","Period=FQ","BEST_FPERIOD_OVERRIDE=FQ","FILING_STATUS=MR","SCALING_FORMAT=MLN","Sort=A","Dates=H","DateFormat=P","Fill=—","Direction=H","UseDPDF=Y")</f>
        <v>0</v>
      </c>
      <c r="D63" s="13" t="str">
        <f>_xll.BDH("BLUE US Equity","BS_ACCRUED_LIABILITIES","FQ1 2019","FQ1 2019","Currency=USD","Period=FQ","BEST_FPERIOD_OVERRIDE=FQ","FILING_STATUS=MR","SCALING_FORMAT=MLN","Sort=A","Dates=H","DateFormat=P","Fill=—","Direction=H","UseDPDF=Y")</f>
        <v>—</v>
      </c>
      <c r="E63" s="13" t="str">
        <f>_xll.BDH("BLUE US Equity","BS_ACCRUED_LIABILITIES","FQ2 2019","FQ2 2019","Currency=USD","Period=FQ","BEST_FPERIOD_OVERRIDE=FQ","FILING_STATUS=MR","SCALING_FORMAT=MLN","Sort=A","Dates=H","DateFormat=P","Fill=—","Direction=H","UseDPDF=Y")</f>
        <v>—</v>
      </c>
      <c r="F63" s="13" t="str">
        <f>_xll.BDH("BLUE US Equity","BS_ACCRUED_LIABILITIES","FQ3 2019","FQ3 2019","Currency=USD","Period=FQ","BEST_FPERIOD_OVERRIDE=FQ","FILING_STATUS=MR","SCALING_FORMAT=MLN","Sort=A","Dates=H","DateFormat=P","Fill=—","Direction=H","UseDPDF=Y")</f>
        <v>—</v>
      </c>
      <c r="G63" s="13">
        <f>_xll.BDH("BLUE US Equity","BS_ACCRUED_LIABILITIES","FQ4 2019","FQ4 2019","Currency=USD","Period=FQ","BEST_FPERIOD_OVERRIDE=FQ","FILING_STATUS=MR","SCALING_FORMAT=MLN","Sort=A","Dates=H","DateFormat=P","Fill=—","Direction=H","UseDPDF=Y")</f>
        <v>0</v>
      </c>
      <c r="H63" s="13" t="str">
        <f>_xll.BDH("BLUE US Equity","BS_ACCRUED_LIABILITIES","FQ1 2020","FQ1 2020","Currency=USD","Period=FQ","BEST_FPERIOD_OVERRIDE=FQ","FILING_STATUS=MR","SCALING_FORMAT=MLN","Sort=A","Dates=H","DateFormat=P","Fill=—","Direction=H","UseDPDF=Y")</f>
        <v>—</v>
      </c>
      <c r="I63" s="13" t="str">
        <f>_xll.BDH("BLUE US Equity","BS_ACCRUED_LIABILITIES","FQ2 2020","FQ2 2020","Currency=USD","Period=FQ","BEST_FPERIOD_OVERRIDE=FQ","FILING_STATUS=MR","SCALING_FORMAT=MLN","Sort=A","Dates=H","DateFormat=P","Fill=—","Direction=H","UseDPDF=Y")</f>
        <v>—</v>
      </c>
      <c r="J63" s="13" t="str">
        <f>_xll.BDH("BLUE US Equity","BS_ACCRUED_LIABILITIES","FQ3 2020","FQ3 2020","Currency=USD","Period=FQ","BEST_FPERIOD_OVERRIDE=FQ","FILING_STATUS=MR","SCALING_FORMAT=MLN","Sort=A","Dates=H","DateFormat=P","Fill=—","Direction=H","UseDPDF=Y")</f>
        <v>—</v>
      </c>
      <c r="K63" s="13">
        <f>_xll.BDH("BLUE US Equity","BS_ACCRUED_LIABILITIES","FQ4 2020","FQ4 2020","Currency=USD","Period=FQ","BEST_FPERIOD_OVERRIDE=FQ","FILING_STATUS=MR","SCALING_FORMAT=MLN","Sort=A","Dates=H","DateFormat=P","Fill=—","Direction=H","UseDPDF=Y")</f>
        <v>0</v>
      </c>
      <c r="L63" s="13" t="str">
        <f>_xll.BDH("BLUE US Equity","BS_ACCRUED_LIABILITIES","FQ1 2021","FQ1 2021","Currency=USD","Period=FQ","BEST_FPERIOD_OVERRIDE=FQ","FILING_STATUS=MR","SCALING_FORMAT=MLN","Sort=A","Dates=H","DateFormat=P","Fill=—","Direction=H","UseDPDF=Y")</f>
        <v>—</v>
      </c>
      <c r="M63" s="13" t="str">
        <f>_xll.BDH("BLUE US Equity","BS_ACCRUED_LIABILITIES","FQ2 2021","FQ2 2021","Currency=USD","Period=FQ","BEST_FPERIOD_OVERRIDE=FQ","FILING_STATUS=MR","SCALING_FORMAT=MLN","Sort=A","Dates=H","DateFormat=P","Fill=—","Direction=H","UseDPDF=Y")</f>
        <v>—</v>
      </c>
      <c r="N63" s="13" t="str">
        <f>_xll.BDH("BLUE US Equity","BS_ACCRUED_LIABILITIES","FQ3 2021","FQ3 2021","Currency=USD","Period=FQ","BEST_FPERIOD_OVERRIDE=FQ","FILING_STATUS=MR","SCALING_FORMAT=MLN","Sort=A","Dates=H","DateFormat=P","Fill=—","Direction=H","UseDPDF=Y")</f>
        <v>—</v>
      </c>
      <c r="O63" s="13">
        <f>_xll.BDH("BLUE US Equity","BS_ACCRUED_LIABILITIES","FQ4 2021","FQ4 2021","Currency=USD","Period=FQ","BEST_FPERIOD_OVERRIDE=FQ","FILING_STATUS=MR","SCALING_FORMAT=MLN","Sort=A","Dates=H","DateFormat=P","Fill=—","Direction=H","UseDPDF=Y")</f>
        <v>0</v>
      </c>
      <c r="P63" s="13" t="str">
        <f>_xll.BDH("BLUE US Equity","BS_ACCRUED_LIABILITIES","FQ1 2022","FQ1 2022","Currency=USD","Period=FQ","BEST_FPERIOD_OVERRIDE=FQ","FILING_STATUS=MR","SCALING_FORMAT=MLN","Sort=A","Dates=H","DateFormat=P","Fill=—","Direction=H","UseDPDF=Y")</f>
        <v>—</v>
      </c>
      <c r="Q63" s="13" t="str">
        <f>_xll.BDH("BLUE US Equity","BS_ACCRUED_LIABILITIES","FQ2 2022","FQ2 2022","Currency=USD","Period=FQ","BEST_FPERIOD_OVERRIDE=FQ","FILING_STATUS=MR","SCALING_FORMAT=MLN","Sort=A","Dates=H","DateFormat=P","Fill=—","Direction=H","UseDPDF=Y")</f>
        <v>—</v>
      </c>
      <c r="R63" s="13" t="str">
        <f>_xll.BDH("BLUE US Equity","BS_ACCRUED_LIABILITIES","FQ3 2022","FQ3 2022","Currency=USD","Period=FQ","BEST_FPERIOD_OVERRIDE=FQ","FILING_STATUS=MR","SCALING_FORMAT=MLN","Sort=A","Dates=H","DateFormat=P","Fill=—","Direction=H","UseDPDF=Y")</f>
        <v>—</v>
      </c>
      <c r="S63" s="13">
        <f>_xll.BDH("BLUE US Equity","BS_ACCRUED_LIABILITIES","FQ4 2022","FQ4 2022","Currency=USD","Period=FQ","BEST_FPERIOD_OVERRIDE=FQ","FILING_STATUS=MR","SCALING_FORMAT=MLN","Sort=A","Dates=H","DateFormat=P","Fill=—","Direction=H","UseDPDF=Y")</f>
        <v>0</v>
      </c>
      <c r="T63" s="13" t="str">
        <f>_xll.BDH("BLUE US Equity","BS_ACCRUED_LIABILITIES","FQ1 2023","FQ1 2023","Currency=USD","Period=FQ","BEST_FPERIOD_OVERRIDE=FQ","FILING_STATUS=MR","SCALING_FORMAT=MLN","Sort=A","Dates=H","DateFormat=P","Fill=—","Direction=H","UseDPDF=Y")</f>
        <v>—</v>
      </c>
      <c r="U63" s="13" t="str">
        <f>_xll.BDH("BLUE US Equity","BS_ACCRUED_LIABILITIES","FQ2 2023","FQ2 2023","Currency=USD","Period=FQ","BEST_FPERIOD_OVERRIDE=FQ","FILING_STATUS=MR","SCALING_FORMAT=MLN","Sort=A","Dates=H","DateFormat=P","Fill=—","Direction=H","UseDPDF=Y")</f>
        <v>—</v>
      </c>
      <c r="V63" s="13" t="str">
        <f>_xll.BDH("BLUE US Equity","BS_ACCRUED_LIABILITIES","FQ3 2023","FQ3 2023","Currency=USD","Period=FQ","BEST_FPERIOD_OVERRIDE=FQ","FILING_STATUS=MR","SCALING_FORMAT=MLN","Sort=A","Dates=H","DateFormat=P","Fill=—","Direction=H","UseDPDF=Y")</f>
        <v>—</v>
      </c>
      <c r="W63" s="13">
        <f>_xll.BDH("BLUE US Equity","BS_ACCRUED_LIABILITIES","FQ4 2023","FQ4 2023","Currency=USD","Period=FQ","BEST_FPERIOD_OVERRIDE=FQ","FILING_STATUS=MR","SCALING_FORMAT=MLN","Sort=A","Dates=H","DateFormat=P","Fill=—","Direction=H","UseDPDF=Y")</f>
        <v>0</v>
      </c>
      <c r="X63" s="13" t="str">
        <f>_xll.BDH("BLUE US Equity","BS_ACCRUED_LIABILITIES","FQ1 2024","FQ1 2024","Currency=USD","Period=FQ","BEST_FPERIOD_OVERRIDE=FQ","FILING_STATUS=MR","SCALING_FORMAT=MLN","Sort=A","Dates=H","DateFormat=P","Fill=—","Direction=H","UseDPDF=Y")</f>
        <v>—</v>
      </c>
      <c r="Y63" s="13" t="str">
        <f>_xll.BDH("BLUE US Equity","BS_ACCRUED_LIABILITIES","FQ2 2024","FQ2 2024","Currency=USD","Period=FQ","BEST_FPERIOD_OVERRIDE=FQ","FILING_STATUS=MR","SCALING_FORMAT=MLN","Sort=A","Dates=H","DateFormat=P","Fill=—","Direction=H","UseDPDF=Y")</f>
        <v>—</v>
      </c>
      <c r="Z63" s="13" t="str">
        <f>_xll.BDH("BLUE US Equity","BS_ACCRUED_LIABILITIES","FQ3 2024","FQ3 2024","Currency=USD","Period=FQ","BEST_FPERIOD_OVERRIDE=FQ","FILING_STATUS=MR","SCALING_FORMAT=MLN","Sort=A","Dates=H","DateFormat=P","Fill=—","Direction=H","UseDPDF=Y")</f>
        <v>—</v>
      </c>
      <c r="AA63" s="13">
        <f>_xll.BDH("BLUE US Equity","BS_ACCRUED_LIABILITIES","FQ4 2024","FQ4 2024","Currency=USD","Period=FQ","BEST_FPERIOD_OVERRIDE=FQ","FILING_STATUS=MR","SCALING_FORMAT=MLN","Sort=A","Dates=H","DateFormat=P","Fill=—","Direction=H","UseDPDF=Y")</f>
        <v>0</v>
      </c>
    </row>
    <row r="64" spans="1:27" x14ac:dyDescent="0.25">
      <c r="A64" s="10" t="s">
        <v>695</v>
      </c>
      <c r="B64" s="10" t="s">
        <v>696</v>
      </c>
      <c r="C64" s="13">
        <f>_xll.BDH("BLUE US Equity","PENSION_LIABILITIES","FQ4 2018","FQ4 2018","Currency=USD","Period=FQ","BEST_FPERIOD_OVERRIDE=FQ","FILING_STATUS=MR","SCALING_FORMAT=MLN","Sort=A","Dates=H","DateFormat=P","Fill=—","Direction=H","UseDPDF=Y")</f>
        <v>0</v>
      </c>
      <c r="D64" s="13" t="str">
        <f>_xll.BDH("BLUE US Equity","PENSION_LIABILITIES","FQ1 2019","FQ1 2019","Currency=USD","Period=FQ","BEST_FPERIOD_OVERRIDE=FQ","FILING_STATUS=MR","SCALING_FORMAT=MLN","Sort=A","Dates=H","DateFormat=P","Fill=—","Direction=H","UseDPDF=Y")</f>
        <v>—</v>
      </c>
      <c r="E64" s="13" t="str">
        <f>_xll.BDH("BLUE US Equity","PENSION_LIABILITIES","FQ2 2019","FQ2 2019","Currency=USD","Period=FQ","BEST_FPERIOD_OVERRIDE=FQ","FILING_STATUS=MR","SCALING_FORMAT=MLN","Sort=A","Dates=H","DateFormat=P","Fill=—","Direction=H","UseDPDF=Y")</f>
        <v>—</v>
      </c>
      <c r="F64" s="13" t="str">
        <f>_xll.BDH("BLUE US Equity","PENSION_LIABILITIES","FQ3 2019","FQ3 2019","Currency=USD","Period=FQ","BEST_FPERIOD_OVERRIDE=FQ","FILING_STATUS=MR","SCALING_FORMAT=MLN","Sort=A","Dates=H","DateFormat=P","Fill=—","Direction=H","UseDPDF=Y")</f>
        <v>—</v>
      </c>
      <c r="G64" s="13">
        <f>_xll.BDH("BLUE US Equity","PENSION_LIABILITIES","FQ4 2019","FQ4 2019","Currency=USD","Period=FQ","BEST_FPERIOD_OVERRIDE=FQ","FILING_STATUS=MR","SCALING_FORMAT=MLN","Sort=A","Dates=H","DateFormat=P","Fill=—","Direction=H","UseDPDF=Y")</f>
        <v>0</v>
      </c>
      <c r="H64" s="13" t="str">
        <f>_xll.BDH("BLUE US Equity","PENSION_LIABILITIES","FQ1 2020","FQ1 2020","Currency=USD","Period=FQ","BEST_FPERIOD_OVERRIDE=FQ","FILING_STATUS=MR","SCALING_FORMAT=MLN","Sort=A","Dates=H","DateFormat=P","Fill=—","Direction=H","UseDPDF=Y")</f>
        <v>—</v>
      </c>
      <c r="I64" s="13" t="str">
        <f>_xll.BDH("BLUE US Equity","PENSION_LIABILITIES","FQ2 2020","FQ2 2020","Currency=USD","Period=FQ","BEST_FPERIOD_OVERRIDE=FQ","FILING_STATUS=MR","SCALING_FORMAT=MLN","Sort=A","Dates=H","DateFormat=P","Fill=—","Direction=H","UseDPDF=Y")</f>
        <v>—</v>
      </c>
      <c r="J64" s="13" t="str">
        <f>_xll.BDH("BLUE US Equity","PENSION_LIABILITIES","FQ3 2020","FQ3 2020","Currency=USD","Period=FQ","BEST_FPERIOD_OVERRIDE=FQ","FILING_STATUS=MR","SCALING_FORMAT=MLN","Sort=A","Dates=H","DateFormat=P","Fill=—","Direction=H","UseDPDF=Y")</f>
        <v>—</v>
      </c>
      <c r="K64" s="13">
        <f>_xll.BDH("BLUE US Equity","PENSION_LIABILITIES","FQ4 2020","FQ4 2020","Currency=USD","Period=FQ","BEST_FPERIOD_OVERRIDE=FQ","FILING_STATUS=MR","SCALING_FORMAT=MLN","Sort=A","Dates=H","DateFormat=P","Fill=—","Direction=H","UseDPDF=Y")</f>
        <v>0</v>
      </c>
      <c r="L64" s="13" t="str">
        <f>_xll.BDH("BLUE US Equity","PENSION_LIABILITIES","FQ1 2021","FQ1 2021","Currency=USD","Period=FQ","BEST_FPERIOD_OVERRIDE=FQ","FILING_STATUS=MR","SCALING_FORMAT=MLN","Sort=A","Dates=H","DateFormat=P","Fill=—","Direction=H","UseDPDF=Y")</f>
        <v>—</v>
      </c>
      <c r="M64" s="13" t="str">
        <f>_xll.BDH("BLUE US Equity","PENSION_LIABILITIES","FQ2 2021","FQ2 2021","Currency=USD","Period=FQ","BEST_FPERIOD_OVERRIDE=FQ","FILING_STATUS=MR","SCALING_FORMAT=MLN","Sort=A","Dates=H","DateFormat=P","Fill=—","Direction=H","UseDPDF=Y")</f>
        <v>—</v>
      </c>
      <c r="N64" s="13" t="str">
        <f>_xll.BDH("BLUE US Equity","PENSION_LIABILITIES","FQ3 2021","FQ3 2021","Currency=USD","Period=FQ","BEST_FPERIOD_OVERRIDE=FQ","FILING_STATUS=MR","SCALING_FORMAT=MLN","Sort=A","Dates=H","DateFormat=P","Fill=—","Direction=H","UseDPDF=Y")</f>
        <v>—</v>
      </c>
      <c r="O64" s="13">
        <f>_xll.BDH("BLUE US Equity","PENSION_LIABILITIES","FQ4 2021","FQ4 2021","Currency=USD","Period=FQ","BEST_FPERIOD_OVERRIDE=FQ","FILING_STATUS=MR","SCALING_FORMAT=MLN","Sort=A","Dates=H","DateFormat=P","Fill=—","Direction=H","UseDPDF=Y")</f>
        <v>0</v>
      </c>
      <c r="P64" s="13" t="str">
        <f>_xll.BDH("BLUE US Equity","PENSION_LIABILITIES","FQ1 2022","FQ1 2022","Currency=USD","Period=FQ","BEST_FPERIOD_OVERRIDE=FQ","FILING_STATUS=MR","SCALING_FORMAT=MLN","Sort=A","Dates=H","DateFormat=P","Fill=—","Direction=H","UseDPDF=Y")</f>
        <v>—</v>
      </c>
      <c r="Q64" s="13" t="str">
        <f>_xll.BDH("BLUE US Equity","PENSION_LIABILITIES","FQ2 2022","FQ2 2022","Currency=USD","Period=FQ","BEST_FPERIOD_OVERRIDE=FQ","FILING_STATUS=MR","SCALING_FORMAT=MLN","Sort=A","Dates=H","DateFormat=P","Fill=—","Direction=H","UseDPDF=Y")</f>
        <v>—</v>
      </c>
      <c r="R64" s="13" t="str">
        <f>_xll.BDH("BLUE US Equity","PENSION_LIABILITIES","FQ3 2022","FQ3 2022","Currency=USD","Period=FQ","BEST_FPERIOD_OVERRIDE=FQ","FILING_STATUS=MR","SCALING_FORMAT=MLN","Sort=A","Dates=H","DateFormat=P","Fill=—","Direction=H","UseDPDF=Y")</f>
        <v>—</v>
      </c>
      <c r="S64" s="13">
        <f>_xll.BDH("BLUE US Equity","PENSION_LIABILITIES","FQ4 2022","FQ4 2022","Currency=USD","Period=FQ","BEST_FPERIOD_OVERRIDE=FQ","FILING_STATUS=MR","SCALING_FORMAT=MLN","Sort=A","Dates=H","DateFormat=P","Fill=—","Direction=H","UseDPDF=Y")</f>
        <v>0</v>
      </c>
      <c r="T64" s="13" t="str">
        <f>_xll.BDH("BLUE US Equity","PENSION_LIABILITIES","FQ1 2023","FQ1 2023","Currency=USD","Period=FQ","BEST_FPERIOD_OVERRIDE=FQ","FILING_STATUS=MR","SCALING_FORMAT=MLN","Sort=A","Dates=H","DateFormat=P","Fill=—","Direction=H","UseDPDF=Y")</f>
        <v>—</v>
      </c>
      <c r="U64" s="13" t="str">
        <f>_xll.BDH("BLUE US Equity","PENSION_LIABILITIES","FQ2 2023","FQ2 2023","Currency=USD","Period=FQ","BEST_FPERIOD_OVERRIDE=FQ","FILING_STATUS=MR","SCALING_FORMAT=MLN","Sort=A","Dates=H","DateFormat=P","Fill=—","Direction=H","UseDPDF=Y")</f>
        <v>—</v>
      </c>
      <c r="V64" s="13" t="str">
        <f>_xll.BDH("BLUE US Equity","PENSION_LIABILITIES","FQ3 2023","FQ3 2023","Currency=USD","Period=FQ","BEST_FPERIOD_OVERRIDE=FQ","FILING_STATUS=MR","SCALING_FORMAT=MLN","Sort=A","Dates=H","DateFormat=P","Fill=—","Direction=H","UseDPDF=Y")</f>
        <v>—</v>
      </c>
      <c r="W64" s="13">
        <f>_xll.BDH("BLUE US Equity","PENSION_LIABILITIES","FQ4 2023","FQ4 2023","Currency=USD","Period=FQ","BEST_FPERIOD_OVERRIDE=FQ","FILING_STATUS=MR","SCALING_FORMAT=MLN","Sort=A","Dates=H","DateFormat=P","Fill=—","Direction=H","UseDPDF=Y")</f>
        <v>0</v>
      </c>
      <c r="X64" s="13" t="str">
        <f>_xll.BDH("BLUE US Equity","PENSION_LIABILITIES","FQ1 2024","FQ1 2024","Currency=USD","Period=FQ","BEST_FPERIOD_OVERRIDE=FQ","FILING_STATUS=MR","SCALING_FORMAT=MLN","Sort=A","Dates=H","DateFormat=P","Fill=—","Direction=H","UseDPDF=Y")</f>
        <v>—</v>
      </c>
      <c r="Y64" s="13" t="str">
        <f>_xll.BDH("BLUE US Equity","PENSION_LIABILITIES","FQ2 2024","FQ2 2024","Currency=USD","Period=FQ","BEST_FPERIOD_OVERRIDE=FQ","FILING_STATUS=MR","SCALING_FORMAT=MLN","Sort=A","Dates=H","DateFormat=P","Fill=—","Direction=H","UseDPDF=Y")</f>
        <v>—</v>
      </c>
      <c r="Z64" s="13" t="str">
        <f>_xll.BDH("BLUE US Equity","PENSION_LIABILITIES","FQ3 2024","FQ3 2024","Currency=USD","Period=FQ","BEST_FPERIOD_OVERRIDE=FQ","FILING_STATUS=MR","SCALING_FORMAT=MLN","Sort=A","Dates=H","DateFormat=P","Fill=—","Direction=H","UseDPDF=Y")</f>
        <v>—</v>
      </c>
      <c r="AA64" s="13">
        <f>_xll.BDH("BLUE US Equity","PENSION_LIABILITIES","FQ4 2024","FQ4 2024","Currency=USD","Period=FQ","BEST_FPERIOD_OVERRIDE=FQ","FILING_STATUS=MR","SCALING_FORMAT=MLN","Sort=A","Dates=H","DateFormat=P","Fill=—","Direction=H","UseDPDF=Y")</f>
        <v>0</v>
      </c>
    </row>
    <row r="65" spans="1:27" x14ac:dyDescent="0.25">
      <c r="A65" s="11" t="s">
        <v>697</v>
      </c>
      <c r="B65" s="11" t="s">
        <v>698</v>
      </c>
      <c r="C65" s="25">
        <f>_xll.BDH("BLUE US Equity","BS_PENSIONS_LT_LIABS","FQ4 2018","FQ4 2018","Currency=USD","Period=FQ","BEST_FPERIOD_OVERRIDE=FQ","FILING_STATUS=MR","SCALING_FORMAT=MLN","Sort=A","Dates=H","DateFormat=P","Fill=—","Direction=H","UseDPDF=Y")</f>
        <v>0</v>
      </c>
      <c r="D65" s="25" t="str">
        <f>_xll.BDH("BLUE US Equity","BS_PENSIONS_LT_LIABS","FQ1 2019","FQ1 2019","Currency=USD","Period=FQ","BEST_FPERIOD_OVERRIDE=FQ","FILING_STATUS=MR","SCALING_FORMAT=MLN","Sort=A","Dates=H","DateFormat=P","Fill=—","Direction=H","UseDPDF=Y")</f>
        <v>—</v>
      </c>
      <c r="E65" s="25" t="str">
        <f>_xll.BDH("BLUE US Equity","BS_PENSIONS_LT_LIABS","FQ2 2019","FQ2 2019","Currency=USD","Period=FQ","BEST_FPERIOD_OVERRIDE=FQ","FILING_STATUS=MR","SCALING_FORMAT=MLN","Sort=A","Dates=H","DateFormat=P","Fill=—","Direction=H","UseDPDF=Y")</f>
        <v>—</v>
      </c>
      <c r="F65" s="25" t="str">
        <f>_xll.BDH("BLUE US Equity","BS_PENSIONS_LT_LIABS","FQ3 2019","FQ3 2019","Currency=USD","Period=FQ","BEST_FPERIOD_OVERRIDE=FQ","FILING_STATUS=MR","SCALING_FORMAT=MLN","Sort=A","Dates=H","DateFormat=P","Fill=—","Direction=H","UseDPDF=Y")</f>
        <v>—</v>
      </c>
      <c r="G65" s="25">
        <f>_xll.BDH("BLUE US Equity","BS_PENSIONS_LT_LIABS","FQ4 2019","FQ4 2019","Currency=USD","Period=FQ","BEST_FPERIOD_OVERRIDE=FQ","FILING_STATUS=MR","SCALING_FORMAT=MLN","Sort=A","Dates=H","DateFormat=P","Fill=—","Direction=H","UseDPDF=Y")</f>
        <v>0</v>
      </c>
      <c r="H65" s="25" t="str">
        <f>_xll.BDH("BLUE US Equity","BS_PENSIONS_LT_LIABS","FQ1 2020","FQ1 2020","Currency=USD","Period=FQ","BEST_FPERIOD_OVERRIDE=FQ","FILING_STATUS=MR","SCALING_FORMAT=MLN","Sort=A","Dates=H","DateFormat=P","Fill=—","Direction=H","UseDPDF=Y")</f>
        <v>—</v>
      </c>
      <c r="I65" s="25" t="str">
        <f>_xll.BDH("BLUE US Equity","BS_PENSIONS_LT_LIABS","FQ2 2020","FQ2 2020","Currency=USD","Period=FQ","BEST_FPERIOD_OVERRIDE=FQ","FILING_STATUS=MR","SCALING_FORMAT=MLN","Sort=A","Dates=H","DateFormat=P","Fill=—","Direction=H","UseDPDF=Y")</f>
        <v>—</v>
      </c>
      <c r="J65" s="25" t="str">
        <f>_xll.BDH("BLUE US Equity","BS_PENSIONS_LT_LIABS","FQ3 2020","FQ3 2020","Currency=USD","Period=FQ","BEST_FPERIOD_OVERRIDE=FQ","FILING_STATUS=MR","SCALING_FORMAT=MLN","Sort=A","Dates=H","DateFormat=P","Fill=—","Direction=H","UseDPDF=Y")</f>
        <v>—</v>
      </c>
      <c r="K65" s="25">
        <f>_xll.BDH("BLUE US Equity","BS_PENSIONS_LT_LIABS","FQ4 2020","FQ4 2020","Currency=USD","Period=FQ","BEST_FPERIOD_OVERRIDE=FQ","FILING_STATUS=MR","SCALING_FORMAT=MLN","Sort=A","Dates=H","DateFormat=P","Fill=—","Direction=H","UseDPDF=Y")</f>
        <v>0</v>
      </c>
      <c r="L65" s="25" t="str">
        <f>_xll.BDH("BLUE US Equity","BS_PENSIONS_LT_LIABS","FQ1 2021","FQ1 2021","Currency=USD","Period=FQ","BEST_FPERIOD_OVERRIDE=FQ","FILING_STATUS=MR","SCALING_FORMAT=MLN","Sort=A","Dates=H","DateFormat=P","Fill=—","Direction=H","UseDPDF=Y")</f>
        <v>—</v>
      </c>
      <c r="M65" s="25" t="str">
        <f>_xll.BDH("BLUE US Equity","BS_PENSIONS_LT_LIABS","FQ2 2021","FQ2 2021","Currency=USD","Period=FQ","BEST_FPERIOD_OVERRIDE=FQ","FILING_STATUS=MR","SCALING_FORMAT=MLN","Sort=A","Dates=H","DateFormat=P","Fill=—","Direction=H","UseDPDF=Y")</f>
        <v>—</v>
      </c>
      <c r="N65" s="25" t="str">
        <f>_xll.BDH("BLUE US Equity","BS_PENSIONS_LT_LIABS","FQ3 2021","FQ3 2021","Currency=USD","Period=FQ","BEST_FPERIOD_OVERRIDE=FQ","FILING_STATUS=MR","SCALING_FORMAT=MLN","Sort=A","Dates=H","DateFormat=P","Fill=—","Direction=H","UseDPDF=Y")</f>
        <v>—</v>
      </c>
      <c r="O65" s="25">
        <f>_xll.BDH("BLUE US Equity","BS_PENSIONS_LT_LIABS","FQ4 2021","FQ4 2021","Currency=USD","Period=FQ","BEST_FPERIOD_OVERRIDE=FQ","FILING_STATUS=MR","SCALING_FORMAT=MLN","Sort=A","Dates=H","DateFormat=P","Fill=—","Direction=H","UseDPDF=Y")</f>
        <v>0</v>
      </c>
      <c r="P65" s="25" t="str">
        <f>_xll.BDH("BLUE US Equity","BS_PENSIONS_LT_LIABS","FQ1 2022","FQ1 2022","Currency=USD","Period=FQ","BEST_FPERIOD_OVERRIDE=FQ","FILING_STATUS=MR","SCALING_FORMAT=MLN","Sort=A","Dates=H","DateFormat=P","Fill=—","Direction=H","UseDPDF=Y")</f>
        <v>—</v>
      </c>
      <c r="Q65" s="25" t="str">
        <f>_xll.BDH("BLUE US Equity","BS_PENSIONS_LT_LIABS","FQ2 2022","FQ2 2022","Currency=USD","Period=FQ","BEST_FPERIOD_OVERRIDE=FQ","FILING_STATUS=MR","SCALING_FORMAT=MLN","Sort=A","Dates=H","DateFormat=P","Fill=—","Direction=H","UseDPDF=Y")</f>
        <v>—</v>
      </c>
      <c r="R65" s="25" t="str">
        <f>_xll.BDH("BLUE US Equity","BS_PENSIONS_LT_LIABS","FQ3 2022","FQ3 2022","Currency=USD","Period=FQ","BEST_FPERIOD_OVERRIDE=FQ","FILING_STATUS=MR","SCALING_FORMAT=MLN","Sort=A","Dates=H","DateFormat=P","Fill=—","Direction=H","UseDPDF=Y")</f>
        <v>—</v>
      </c>
      <c r="S65" s="25">
        <f>_xll.BDH("BLUE US Equity","BS_PENSIONS_LT_LIABS","FQ4 2022","FQ4 2022","Currency=USD","Period=FQ","BEST_FPERIOD_OVERRIDE=FQ","FILING_STATUS=MR","SCALING_FORMAT=MLN","Sort=A","Dates=H","DateFormat=P","Fill=—","Direction=H","UseDPDF=Y")</f>
        <v>0</v>
      </c>
      <c r="T65" s="25" t="str">
        <f>_xll.BDH("BLUE US Equity","BS_PENSIONS_LT_LIABS","FQ1 2023","FQ1 2023","Currency=USD","Period=FQ","BEST_FPERIOD_OVERRIDE=FQ","FILING_STATUS=MR","SCALING_FORMAT=MLN","Sort=A","Dates=H","DateFormat=P","Fill=—","Direction=H","UseDPDF=Y")</f>
        <v>—</v>
      </c>
      <c r="U65" s="25" t="str">
        <f>_xll.BDH("BLUE US Equity","BS_PENSIONS_LT_LIABS","FQ2 2023","FQ2 2023","Currency=USD","Period=FQ","BEST_FPERIOD_OVERRIDE=FQ","FILING_STATUS=MR","SCALING_FORMAT=MLN","Sort=A","Dates=H","DateFormat=P","Fill=—","Direction=H","UseDPDF=Y")</f>
        <v>—</v>
      </c>
      <c r="V65" s="25" t="str">
        <f>_xll.BDH("BLUE US Equity","BS_PENSIONS_LT_LIABS","FQ3 2023","FQ3 2023","Currency=USD","Period=FQ","BEST_FPERIOD_OVERRIDE=FQ","FILING_STATUS=MR","SCALING_FORMAT=MLN","Sort=A","Dates=H","DateFormat=P","Fill=—","Direction=H","UseDPDF=Y")</f>
        <v>—</v>
      </c>
      <c r="W65" s="25">
        <f>_xll.BDH("BLUE US Equity","BS_PENSIONS_LT_LIABS","FQ4 2023","FQ4 2023","Currency=USD","Period=FQ","BEST_FPERIOD_OVERRIDE=FQ","FILING_STATUS=MR","SCALING_FORMAT=MLN","Sort=A","Dates=H","DateFormat=P","Fill=—","Direction=H","UseDPDF=Y")</f>
        <v>0</v>
      </c>
      <c r="X65" s="25" t="str">
        <f>_xll.BDH("BLUE US Equity","BS_PENSIONS_LT_LIABS","FQ1 2024","FQ1 2024","Currency=USD","Period=FQ","BEST_FPERIOD_OVERRIDE=FQ","FILING_STATUS=MR","SCALING_FORMAT=MLN","Sort=A","Dates=H","DateFormat=P","Fill=—","Direction=H","UseDPDF=Y")</f>
        <v>—</v>
      </c>
      <c r="Y65" s="25" t="str">
        <f>_xll.BDH("BLUE US Equity","BS_PENSIONS_LT_LIABS","FQ2 2024","FQ2 2024","Currency=USD","Period=FQ","BEST_FPERIOD_OVERRIDE=FQ","FILING_STATUS=MR","SCALING_FORMAT=MLN","Sort=A","Dates=H","DateFormat=P","Fill=—","Direction=H","UseDPDF=Y")</f>
        <v>—</v>
      </c>
      <c r="Z65" s="25" t="str">
        <f>_xll.BDH("BLUE US Equity","BS_PENSIONS_LT_LIABS","FQ3 2024","FQ3 2024","Currency=USD","Period=FQ","BEST_FPERIOD_OVERRIDE=FQ","FILING_STATUS=MR","SCALING_FORMAT=MLN","Sort=A","Dates=H","DateFormat=P","Fill=—","Direction=H","UseDPDF=Y")</f>
        <v>—</v>
      </c>
      <c r="AA65" s="25">
        <f>_xll.BDH("BLUE US Equity","BS_PENSIONS_LT_LIABS","FQ4 2024","FQ4 2024","Currency=USD","Period=FQ","BEST_FPERIOD_OVERRIDE=FQ","FILING_STATUS=MR","SCALING_FORMAT=MLN","Sort=A","Dates=H","DateFormat=P","Fill=—","Direction=H","UseDPDF=Y")</f>
        <v>0</v>
      </c>
    </row>
    <row r="66" spans="1:27" x14ac:dyDescent="0.25">
      <c r="A66" s="11" t="s">
        <v>699</v>
      </c>
      <c r="B66" s="11" t="s">
        <v>700</v>
      </c>
      <c r="C66" s="25">
        <f>_xll.BDH("BLUE US Equity","BS_OPRB_LT_LIABS","FQ4 2018","FQ4 2018","Currency=USD","Period=FQ","BEST_FPERIOD_OVERRIDE=FQ","FILING_STATUS=MR","SCALING_FORMAT=MLN","Sort=A","Dates=H","DateFormat=P","Fill=—","Direction=H","UseDPDF=Y")</f>
        <v>0</v>
      </c>
      <c r="D66" s="25" t="str">
        <f>_xll.BDH("BLUE US Equity","BS_OPRB_LT_LIABS","FQ1 2019","FQ1 2019","Currency=USD","Period=FQ","BEST_FPERIOD_OVERRIDE=FQ","FILING_STATUS=MR","SCALING_FORMAT=MLN","Sort=A","Dates=H","DateFormat=P","Fill=—","Direction=H","UseDPDF=Y")</f>
        <v>—</v>
      </c>
      <c r="E66" s="25" t="str">
        <f>_xll.BDH("BLUE US Equity","BS_OPRB_LT_LIABS","FQ2 2019","FQ2 2019","Currency=USD","Period=FQ","BEST_FPERIOD_OVERRIDE=FQ","FILING_STATUS=MR","SCALING_FORMAT=MLN","Sort=A","Dates=H","DateFormat=P","Fill=—","Direction=H","UseDPDF=Y")</f>
        <v>—</v>
      </c>
      <c r="F66" s="25" t="str">
        <f>_xll.BDH("BLUE US Equity","BS_OPRB_LT_LIABS","FQ3 2019","FQ3 2019","Currency=USD","Period=FQ","BEST_FPERIOD_OVERRIDE=FQ","FILING_STATUS=MR","SCALING_FORMAT=MLN","Sort=A","Dates=H","DateFormat=P","Fill=—","Direction=H","UseDPDF=Y")</f>
        <v>—</v>
      </c>
      <c r="G66" s="25">
        <f>_xll.BDH("BLUE US Equity","BS_OPRB_LT_LIABS","FQ4 2019","FQ4 2019","Currency=USD","Period=FQ","BEST_FPERIOD_OVERRIDE=FQ","FILING_STATUS=MR","SCALING_FORMAT=MLN","Sort=A","Dates=H","DateFormat=P","Fill=—","Direction=H","UseDPDF=Y")</f>
        <v>0</v>
      </c>
      <c r="H66" s="25" t="str">
        <f>_xll.BDH("BLUE US Equity","BS_OPRB_LT_LIABS","FQ1 2020","FQ1 2020","Currency=USD","Period=FQ","BEST_FPERIOD_OVERRIDE=FQ","FILING_STATUS=MR","SCALING_FORMAT=MLN","Sort=A","Dates=H","DateFormat=P","Fill=—","Direction=H","UseDPDF=Y")</f>
        <v>—</v>
      </c>
      <c r="I66" s="25" t="str">
        <f>_xll.BDH("BLUE US Equity","BS_OPRB_LT_LIABS","FQ2 2020","FQ2 2020","Currency=USD","Period=FQ","BEST_FPERIOD_OVERRIDE=FQ","FILING_STATUS=MR","SCALING_FORMAT=MLN","Sort=A","Dates=H","DateFormat=P","Fill=—","Direction=H","UseDPDF=Y")</f>
        <v>—</v>
      </c>
      <c r="J66" s="25" t="str">
        <f>_xll.BDH("BLUE US Equity","BS_OPRB_LT_LIABS","FQ3 2020","FQ3 2020","Currency=USD","Period=FQ","BEST_FPERIOD_OVERRIDE=FQ","FILING_STATUS=MR","SCALING_FORMAT=MLN","Sort=A","Dates=H","DateFormat=P","Fill=—","Direction=H","UseDPDF=Y")</f>
        <v>—</v>
      </c>
      <c r="K66" s="25">
        <f>_xll.BDH("BLUE US Equity","BS_OPRB_LT_LIABS","FQ4 2020","FQ4 2020","Currency=USD","Period=FQ","BEST_FPERIOD_OVERRIDE=FQ","FILING_STATUS=MR","SCALING_FORMAT=MLN","Sort=A","Dates=H","DateFormat=P","Fill=—","Direction=H","UseDPDF=Y")</f>
        <v>0</v>
      </c>
      <c r="L66" s="25" t="str">
        <f>_xll.BDH("BLUE US Equity","BS_OPRB_LT_LIABS","FQ1 2021","FQ1 2021","Currency=USD","Period=FQ","BEST_FPERIOD_OVERRIDE=FQ","FILING_STATUS=MR","SCALING_FORMAT=MLN","Sort=A","Dates=H","DateFormat=P","Fill=—","Direction=H","UseDPDF=Y")</f>
        <v>—</v>
      </c>
      <c r="M66" s="25" t="str">
        <f>_xll.BDH("BLUE US Equity","BS_OPRB_LT_LIABS","FQ2 2021","FQ2 2021","Currency=USD","Period=FQ","BEST_FPERIOD_OVERRIDE=FQ","FILING_STATUS=MR","SCALING_FORMAT=MLN","Sort=A","Dates=H","DateFormat=P","Fill=—","Direction=H","UseDPDF=Y")</f>
        <v>—</v>
      </c>
      <c r="N66" s="25" t="str">
        <f>_xll.BDH("BLUE US Equity","BS_OPRB_LT_LIABS","FQ3 2021","FQ3 2021","Currency=USD","Period=FQ","BEST_FPERIOD_OVERRIDE=FQ","FILING_STATUS=MR","SCALING_FORMAT=MLN","Sort=A","Dates=H","DateFormat=P","Fill=—","Direction=H","UseDPDF=Y")</f>
        <v>—</v>
      </c>
      <c r="O66" s="25">
        <f>_xll.BDH("BLUE US Equity","BS_OPRB_LT_LIABS","FQ4 2021","FQ4 2021","Currency=USD","Period=FQ","BEST_FPERIOD_OVERRIDE=FQ","FILING_STATUS=MR","SCALING_FORMAT=MLN","Sort=A","Dates=H","DateFormat=P","Fill=—","Direction=H","UseDPDF=Y")</f>
        <v>0</v>
      </c>
      <c r="P66" s="25" t="str">
        <f>_xll.BDH("BLUE US Equity","BS_OPRB_LT_LIABS","FQ1 2022","FQ1 2022","Currency=USD","Period=FQ","BEST_FPERIOD_OVERRIDE=FQ","FILING_STATUS=MR","SCALING_FORMAT=MLN","Sort=A","Dates=H","DateFormat=P","Fill=—","Direction=H","UseDPDF=Y")</f>
        <v>—</v>
      </c>
      <c r="Q66" s="25" t="str">
        <f>_xll.BDH("BLUE US Equity","BS_OPRB_LT_LIABS","FQ2 2022","FQ2 2022","Currency=USD","Period=FQ","BEST_FPERIOD_OVERRIDE=FQ","FILING_STATUS=MR","SCALING_FORMAT=MLN","Sort=A","Dates=H","DateFormat=P","Fill=—","Direction=H","UseDPDF=Y")</f>
        <v>—</v>
      </c>
      <c r="R66" s="25" t="str">
        <f>_xll.BDH("BLUE US Equity","BS_OPRB_LT_LIABS","FQ3 2022","FQ3 2022","Currency=USD","Period=FQ","BEST_FPERIOD_OVERRIDE=FQ","FILING_STATUS=MR","SCALING_FORMAT=MLN","Sort=A","Dates=H","DateFormat=P","Fill=—","Direction=H","UseDPDF=Y")</f>
        <v>—</v>
      </c>
      <c r="S66" s="25">
        <f>_xll.BDH("BLUE US Equity","BS_OPRB_LT_LIABS","FQ4 2022","FQ4 2022","Currency=USD","Period=FQ","BEST_FPERIOD_OVERRIDE=FQ","FILING_STATUS=MR","SCALING_FORMAT=MLN","Sort=A","Dates=H","DateFormat=P","Fill=—","Direction=H","UseDPDF=Y")</f>
        <v>0</v>
      </c>
      <c r="T66" s="25" t="str">
        <f>_xll.BDH("BLUE US Equity","BS_OPRB_LT_LIABS","FQ1 2023","FQ1 2023","Currency=USD","Period=FQ","BEST_FPERIOD_OVERRIDE=FQ","FILING_STATUS=MR","SCALING_FORMAT=MLN","Sort=A","Dates=H","DateFormat=P","Fill=—","Direction=H","UseDPDF=Y")</f>
        <v>—</v>
      </c>
      <c r="U66" s="25" t="str">
        <f>_xll.BDH("BLUE US Equity","BS_OPRB_LT_LIABS","FQ2 2023","FQ2 2023","Currency=USD","Period=FQ","BEST_FPERIOD_OVERRIDE=FQ","FILING_STATUS=MR","SCALING_FORMAT=MLN","Sort=A","Dates=H","DateFormat=P","Fill=—","Direction=H","UseDPDF=Y")</f>
        <v>—</v>
      </c>
      <c r="V66" s="25" t="str">
        <f>_xll.BDH("BLUE US Equity","BS_OPRB_LT_LIABS","FQ3 2023","FQ3 2023","Currency=USD","Period=FQ","BEST_FPERIOD_OVERRIDE=FQ","FILING_STATUS=MR","SCALING_FORMAT=MLN","Sort=A","Dates=H","DateFormat=P","Fill=—","Direction=H","UseDPDF=Y")</f>
        <v>—</v>
      </c>
      <c r="W66" s="25">
        <f>_xll.BDH("BLUE US Equity","BS_OPRB_LT_LIABS","FQ4 2023","FQ4 2023","Currency=USD","Period=FQ","BEST_FPERIOD_OVERRIDE=FQ","FILING_STATUS=MR","SCALING_FORMAT=MLN","Sort=A","Dates=H","DateFormat=P","Fill=—","Direction=H","UseDPDF=Y")</f>
        <v>0</v>
      </c>
      <c r="X66" s="25" t="str">
        <f>_xll.BDH("BLUE US Equity","BS_OPRB_LT_LIABS","FQ1 2024","FQ1 2024","Currency=USD","Period=FQ","BEST_FPERIOD_OVERRIDE=FQ","FILING_STATUS=MR","SCALING_FORMAT=MLN","Sort=A","Dates=H","DateFormat=P","Fill=—","Direction=H","UseDPDF=Y")</f>
        <v>—</v>
      </c>
      <c r="Y66" s="25" t="str">
        <f>_xll.BDH("BLUE US Equity","BS_OPRB_LT_LIABS","FQ2 2024","FQ2 2024","Currency=USD","Period=FQ","BEST_FPERIOD_OVERRIDE=FQ","FILING_STATUS=MR","SCALING_FORMAT=MLN","Sort=A","Dates=H","DateFormat=P","Fill=—","Direction=H","UseDPDF=Y")</f>
        <v>—</v>
      </c>
      <c r="Z66" s="25" t="str">
        <f>_xll.BDH("BLUE US Equity","BS_OPRB_LT_LIABS","FQ3 2024","FQ3 2024","Currency=USD","Period=FQ","BEST_FPERIOD_OVERRIDE=FQ","FILING_STATUS=MR","SCALING_FORMAT=MLN","Sort=A","Dates=H","DateFormat=P","Fill=—","Direction=H","UseDPDF=Y")</f>
        <v>—</v>
      </c>
      <c r="AA66" s="25">
        <f>_xll.BDH("BLUE US Equity","BS_OPRB_LT_LIABS","FQ4 2024","FQ4 2024","Currency=USD","Period=FQ","BEST_FPERIOD_OVERRIDE=FQ","FILING_STATUS=MR","SCALING_FORMAT=MLN","Sort=A","Dates=H","DateFormat=P","Fill=—","Direction=H","UseDPDF=Y")</f>
        <v>0</v>
      </c>
    </row>
    <row r="67" spans="1:27" x14ac:dyDescent="0.25">
      <c r="A67" s="10" t="s">
        <v>674</v>
      </c>
      <c r="B67" s="10" t="s">
        <v>701</v>
      </c>
      <c r="C67" s="13">
        <f>_xll.BDH("BLUE US Equity","LT_DEFERRED_REVENUE","FQ4 2018","FQ4 2018","Currency=USD","Period=FQ","BEST_FPERIOD_OVERRIDE=FQ","FILING_STATUS=MR","SCALING_FORMAT=MLN","Sort=A","Dates=H","DateFormat=P","Fill=—","Direction=H","UseDPDF=Y")</f>
        <v>49.686999999999998</v>
      </c>
      <c r="D67" s="13">
        <f>_xll.BDH("BLUE US Equity","LT_DEFERRED_REVENUE","FQ1 2019","FQ1 2019","Currency=USD","Period=FQ","BEST_FPERIOD_OVERRIDE=FQ","FILING_STATUS=MR","SCALING_FORMAT=MLN","Sort=A","Dates=H","DateFormat=P","Fill=—","Direction=H","UseDPDF=Y")</f>
        <v>45.523000000000003</v>
      </c>
      <c r="E67" s="13">
        <f>_xll.BDH("BLUE US Equity","LT_DEFERRED_REVENUE","FQ2 2019","FQ2 2019","Currency=USD","Period=FQ","BEST_FPERIOD_OVERRIDE=FQ","FILING_STATUS=MR","SCALING_FORMAT=MLN","Sort=A","Dates=H","DateFormat=P","Fill=—","Direction=H","UseDPDF=Y")</f>
        <v>42.072000000000003</v>
      </c>
      <c r="F67" s="13">
        <f>_xll.BDH("BLUE US Equity","LT_DEFERRED_REVENUE","FQ3 2019","FQ3 2019","Currency=USD","Period=FQ","BEST_FPERIOD_OVERRIDE=FQ","FILING_STATUS=MR","SCALING_FORMAT=MLN","Sort=A","Dates=H","DateFormat=P","Fill=—","Direction=H","UseDPDF=Y")</f>
        <v>38.183</v>
      </c>
      <c r="G67" s="13">
        <f>_xll.BDH("BLUE US Equity","LT_DEFERRED_REVENUE","FQ4 2019","FQ4 2019","Currency=USD","Period=FQ","BEST_FPERIOD_OVERRIDE=FQ","FILING_STATUS=MR","SCALING_FORMAT=MLN","Sort=A","Dates=H","DateFormat=P","Fill=—","Direction=H","UseDPDF=Y")</f>
        <v>37.625</v>
      </c>
      <c r="H67" s="13">
        <f>_xll.BDH("BLUE US Equity","LT_DEFERRED_REVENUE","FQ1 2020","FQ1 2020","Currency=USD","Period=FQ","BEST_FPERIOD_OVERRIDE=FQ","FILING_STATUS=MR","SCALING_FORMAT=MLN","Sort=A","Dates=H","DateFormat=P","Fill=—","Direction=H","UseDPDF=Y")</f>
        <v>36.634</v>
      </c>
      <c r="I67" s="13">
        <f>_xll.BDH("BLUE US Equity","LT_DEFERRED_REVENUE","FQ2 2020","FQ2 2020","Currency=USD","Period=FQ","BEST_FPERIOD_OVERRIDE=FQ","FILING_STATUS=MR","SCALING_FORMAT=MLN","Sort=A","Dates=H","DateFormat=P","Fill=—","Direction=H","UseDPDF=Y")</f>
        <v>49.679000000000002</v>
      </c>
      <c r="J67" s="13">
        <f>_xll.BDH("BLUE US Equity","LT_DEFERRED_REVENUE","FQ3 2020","FQ3 2020","Currency=USD","Period=FQ","BEST_FPERIOD_OVERRIDE=FQ","FILING_STATUS=MR","SCALING_FORMAT=MLN","Sort=A","Dates=H","DateFormat=P","Fill=—","Direction=H","UseDPDF=Y")</f>
        <v>47.73</v>
      </c>
      <c r="K67" s="13">
        <f>_xll.BDH("BLUE US Equity","LT_DEFERRED_REVENUE","FQ4 2020","FQ4 2020","Currency=USD","Period=FQ","BEST_FPERIOD_OVERRIDE=FQ","FILING_STATUS=MR","SCALING_FORMAT=MLN","Sort=A","Dates=H","DateFormat=P","Fill=—","Direction=H","UseDPDF=Y")</f>
        <v>0</v>
      </c>
      <c r="L67" s="13">
        <f>_xll.BDH("BLUE US Equity","LT_DEFERRED_REVENUE","FQ1 2021","FQ1 2021","Currency=USD","Period=FQ","BEST_FPERIOD_OVERRIDE=FQ","FILING_STATUS=MR","SCALING_FORMAT=MLN","Sort=A","Dates=H","DateFormat=P","Fill=—","Direction=H","UseDPDF=Y")</f>
        <v>45.161000000000001</v>
      </c>
      <c r="M67" s="13">
        <f>_xll.BDH("BLUE US Equity","LT_DEFERRED_REVENUE","FQ2 2021","FQ2 2021","Currency=USD","Period=FQ","BEST_FPERIOD_OVERRIDE=FQ","FILING_STATUS=MR","SCALING_FORMAT=MLN","Sort=A","Dates=H","DateFormat=P","Fill=—","Direction=H","UseDPDF=Y")</f>
        <v>44.308999999999997</v>
      </c>
      <c r="N67" s="13">
        <f>_xll.BDH("BLUE US Equity","LT_DEFERRED_REVENUE","FQ3 2021","FQ3 2021","Currency=USD","Period=FQ","BEST_FPERIOD_OVERRIDE=FQ","FILING_STATUS=MR","SCALING_FORMAT=MLN","Sort=A","Dates=H","DateFormat=P","Fill=—","Direction=H","UseDPDF=Y")</f>
        <v>42.527999999999999</v>
      </c>
      <c r="O67" s="13">
        <f>_xll.BDH("BLUE US Equity","LT_DEFERRED_REVENUE","FQ4 2021","FQ4 2021","Currency=USD","Period=FQ","BEST_FPERIOD_OVERRIDE=FQ","FILING_STATUS=MR","SCALING_FORMAT=MLN","Sort=A","Dates=H","DateFormat=P","Fill=—","Direction=H","UseDPDF=Y")</f>
        <v>0</v>
      </c>
      <c r="P67" s="13" t="str">
        <f>_xll.BDH("BLUE US Equity","LT_DEFERRED_REVENUE","FQ1 2022","FQ1 2022","Currency=USD","Period=FQ","BEST_FPERIOD_OVERRIDE=FQ","FILING_STATUS=MR","SCALING_FORMAT=MLN","Sort=A","Dates=H","DateFormat=P","Fill=—","Direction=H","UseDPDF=Y")</f>
        <v>—</v>
      </c>
      <c r="Q67" s="13" t="str">
        <f>_xll.BDH("BLUE US Equity","LT_DEFERRED_REVENUE","FQ2 2022","FQ2 2022","Currency=USD","Period=FQ","BEST_FPERIOD_OVERRIDE=FQ","FILING_STATUS=MR","SCALING_FORMAT=MLN","Sort=A","Dates=H","DateFormat=P","Fill=—","Direction=H","UseDPDF=Y")</f>
        <v>—</v>
      </c>
      <c r="R67" s="13" t="str">
        <f>_xll.BDH("BLUE US Equity","LT_DEFERRED_REVENUE","FQ3 2022","FQ3 2022","Currency=USD","Period=FQ","BEST_FPERIOD_OVERRIDE=FQ","FILING_STATUS=MR","SCALING_FORMAT=MLN","Sort=A","Dates=H","DateFormat=P","Fill=—","Direction=H","UseDPDF=Y")</f>
        <v>—</v>
      </c>
      <c r="S67" s="13">
        <f>_xll.BDH("BLUE US Equity","LT_DEFERRED_REVENUE","FQ4 2022","FQ4 2022","Currency=USD","Period=FQ","BEST_FPERIOD_OVERRIDE=FQ","FILING_STATUS=MR","SCALING_FORMAT=MLN","Sort=A","Dates=H","DateFormat=P","Fill=—","Direction=H","UseDPDF=Y")</f>
        <v>0</v>
      </c>
      <c r="T67" s="13" t="str">
        <f>_xll.BDH("BLUE US Equity","LT_DEFERRED_REVENUE","FQ1 2023","FQ1 2023","Currency=USD","Period=FQ","BEST_FPERIOD_OVERRIDE=FQ","FILING_STATUS=MR","SCALING_FORMAT=MLN","Sort=A","Dates=H","DateFormat=P","Fill=—","Direction=H","UseDPDF=Y")</f>
        <v>—</v>
      </c>
      <c r="U67" s="13" t="str">
        <f>_xll.BDH("BLUE US Equity","LT_DEFERRED_REVENUE","FQ2 2023","FQ2 2023","Currency=USD","Period=FQ","BEST_FPERIOD_OVERRIDE=FQ","FILING_STATUS=MR","SCALING_FORMAT=MLN","Sort=A","Dates=H","DateFormat=P","Fill=—","Direction=H","UseDPDF=Y")</f>
        <v>—</v>
      </c>
      <c r="V67" s="13" t="str">
        <f>_xll.BDH("BLUE US Equity","LT_DEFERRED_REVENUE","FQ3 2023","FQ3 2023","Currency=USD","Period=FQ","BEST_FPERIOD_OVERRIDE=FQ","FILING_STATUS=MR","SCALING_FORMAT=MLN","Sort=A","Dates=H","DateFormat=P","Fill=—","Direction=H","UseDPDF=Y")</f>
        <v>—</v>
      </c>
      <c r="W67" s="13">
        <f>_xll.BDH("BLUE US Equity","LT_DEFERRED_REVENUE","FQ4 2023","FQ4 2023","Currency=USD","Period=FQ","BEST_FPERIOD_OVERRIDE=FQ","FILING_STATUS=MR","SCALING_FORMAT=MLN","Sort=A","Dates=H","DateFormat=P","Fill=—","Direction=H","UseDPDF=Y")</f>
        <v>0</v>
      </c>
      <c r="X67" s="13" t="str">
        <f>_xll.BDH("BLUE US Equity","LT_DEFERRED_REVENUE","FQ1 2024","FQ1 2024","Currency=USD","Period=FQ","BEST_FPERIOD_OVERRIDE=FQ","FILING_STATUS=MR","SCALING_FORMAT=MLN","Sort=A","Dates=H","DateFormat=P","Fill=—","Direction=H","UseDPDF=Y")</f>
        <v>—</v>
      </c>
      <c r="Y67" s="13" t="str">
        <f>_xll.BDH("BLUE US Equity","LT_DEFERRED_REVENUE","FQ2 2024","FQ2 2024","Currency=USD","Period=FQ","BEST_FPERIOD_OVERRIDE=FQ","FILING_STATUS=MR","SCALING_FORMAT=MLN","Sort=A","Dates=H","DateFormat=P","Fill=—","Direction=H","UseDPDF=Y")</f>
        <v>—</v>
      </c>
      <c r="Z67" s="13" t="str">
        <f>_xll.BDH("BLUE US Equity","LT_DEFERRED_REVENUE","FQ3 2024","FQ3 2024","Currency=USD","Period=FQ","BEST_FPERIOD_OVERRIDE=FQ","FILING_STATUS=MR","SCALING_FORMAT=MLN","Sort=A","Dates=H","DateFormat=P","Fill=—","Direction=H","UseDPDF=Y")</f>
        <v>—</v>
      </c>
      <c r="AA67" s="13">
        <f>_xll.BDH("BLUE US Equity","LT_DEFERRED_REVENUE","FQ4 2024","FQ4 2024","Currency=USD","Period=FQ","BEST_FPERIOD_OVERRIDE=FQ","FILING_STATUS=MR","SCALING_FORMAT=MLN","Sort=A","Dates=H","DateFormat=P","Fill=—","Direction=H","UseDPDF=Y")</f>
        <v>0</v>
      </c>
    </row>
    <row r="68" spans="1:27" x14ac:dyDescent="0.25">
      <c r="A68" s="10" t="s">
        <v>676</v>
      </c>
      <c r="B68" s="10" t="s">
        <v>702</v>
      </c>
      <c r="C68" s="13">
        <f>_xll.BDH("BLUE US Equity","BS_DERIV_HEDGING_LIAB_LT","FQ4 2018","FQ4 2018","Currency=USD","Period=FQ","BEST_FPERIOD_OVERRIDE=FQ","FILING_STATUS=MR","SCALING_FORMAT=MLN","Sort=A","Dates=H","DateFormat=P","Fill=—","Direction=H","UseDPDF=Y")</f>
        <v>0</v>
      </c>
      <c r="D68" s="13" t="str">
        <f>_xll.BDH("BLUE US Equity","BS_DERIV_HEDGING_LIAB_LT","FQ1 2019","FQ1 2019","Currency=USD","Period=FQ","BEST_FPERIOD_OVERRIDE=FQ","FILING_STATUS=MR","SCALING_FORMAT=MLN","Sort=A","Dates=H","DateFormat=P","Fill=—","Direction=H","UseDPDF=Y")</f>
        <v>—</v>
      </c>
      <c r="E68" s="13" t="str">
        <f>_xll.BDH("BLUE US Equity","BS_DERIV_HEDGING_LIAB_LT","FQ2 2019","FQ2 2019","Currency=USD","Period=FQ","BEST_FPERIOD_OVERRIDE=FQ","FILING_STATUS=MR","SCALING_FORMAT=MLN","Sort=A","Dates=H","DateFormat=P","Fill=—","Direction=H","UseDPDF=Y")</f>
        <v>—</v>
      </c>
      <c r="F68" s="13" t="str">
        <f>_xll.BDH("BLUE US Equity","BS_DERIV_HEDGING_LIAB_LT","FQ3 2019","FQ3 2019","Currency=USD","Period=FQ","BEST_FPERIOD_OVERRIDE=FQ","FILING_STATUS=MR","SCALING_FORMAT=MLN","Sort=A","Dates=H","DateFormat=P","Fill=—","Direction=H","UseDPDF=Y")</f>
        <v>—</v>
      </c>
      <c r="G68" s="13">
        <f>_xll.BDH("BLUE US Equity","BS_DERIV_HEDGING_LIAB_LT","FQ4 2019","FQ4 2019","Currency=USD","Period=FQ","BEST_FPERIOD_OVERRIDE=FQ","FILING_STATUS=MR","SCALING_FORMAT=MLN","Sort=A","Dates=H","DateFormat=P","Fill=—","Direction=H","UseDPDF=Y")</f>
        <v>0</v>
      </c>
      <c r="H68" s="13" t="str">
        <f>_xll.BDH("BLUE US Equity","BS_DERIV_HEDGING_LIAB_LT","FQ1 2020","FQ1 2020","Currency=USD","Period=FQ","BEST_FPERIOD_OVERRIDE=FQ","FILING_STATUS=MR","SCALING_FORMAT=MLN","Sort=A","Dates=H","DateFormat=P","Fill=—","Direction=H","UseDPDF=Y")</f>
        <v>—</v>
      </c>
      <c r="I68" s="13" t="str">
        <f>_xll.BDH("BLUE US Equity","BS_DERIV_HEDGING_LIAB_LT","FQ2 2020","FQ2 2020","Currency=USD","Period=FQ","BEST_FPERIOD_OVERRIDE=FQ","FILING_STATUS=MR","SCALING_FORMAT=MLN","Sort=A","Dates=H","DateFormat=P","Fill=—","Direction=H","UseDPDF=Y")</f>
        <v>—</v>
      </c>
      <c r="J68" s="13" t="str">
        <f>_xll.BDH("BLUE US Equity","BS_DERIV_HEDGING_LIAB_LT","FQ3 2020","FQ3 2020","Currency=USD","Period=FQ","BEST_FPERIOD_OVERRIDE=FQ","FILING_STATUS=MR","SCALING_FORMAT=MLN","Sort=A","Dates=H","DateFormat=P","Fill=—","Direction=H","UseDPDF=Y")</f>
        <v>—</v>
      </c>
      <c r="K68" s="13">
        <f>_xll.BDH("BLUE US Equity","BS_DERIV_HEDGING_LIAB_LT","FQ4 2020","FQ4 2020","Currency=USD","Period=FQ","BEST_FPERIOD_OVERRIDE=FQ","FILING_STATUS=MR","SCALING_FORMAT=MLN","Sort=A","Dates=H","DateFormat=P","Fill=—","Direction=H","UseDPDF=Y")</f>
        <v>0</v>
      </c>
      <c r="L68" s="13" t="str">
        <f>_xll.BDH("BLUE US Equity","BS_DERIV_HEDGING_LIAB_LT","FQ1 2021","FQ1 2021","Currency=USD","Period=FQ","BEST_FPERIOD_OVERRIDE=FQ","FILING_STATUS=MR","SCALING_FORMAT=MLN","Sort=A","Dates=H","DateFormat=P","Fill=—","Direction=H","UseDPDF=Y")</f>
        <v>—</v>
      </c>
      <c r="M68" s="13" t="str">
        <f>_xll.BDH("BLUE US Equity","BS_DERIV_HEDGING_LIAB_LT","FQ2 2021","FQ2 2021","Currency=USD","Period=FQ","BEST_FPERIOD_OVERRIDE=FQ","FILING_STATUS=MR","SCALING_FORMAT=MLN","Sort=A","Dates=H","DateFormat=P","Fill=—","Direction=H","UseDPDF=Y")</f>
        <v>—</v>
      </c>
      <c r="N68" s="13" t="str">
        <f>_xll.BDH("BLUE US Equity","BS_DERIV_HEDGING_LIAB_LT","FQ3 2021","FQ3 2021","Currency=USD","Period=FQ","BEST_FPERIOD_OVERRIDE=FQ","FILING_STATUS=MR","SCALING_FORMAT=MLN","Sort=A","Dates=H","DateFormat=P","Fill=—","Direction=H","UseDPDF=Y")</f>
        <v>—</v>
      </c>
      <c r="O68" s="13">
        <f>_xll.BDH("BLUE US Equity","BS_DERIV_HEDGING_LIAB_LT","FQ4 2021","FQ4 2021","Currency=USD","Period=FQ","BEST_FPERIOD_OVERRIDE=FQ","FILING_STATUS=MR","SCALING_FORMAT=MLN","Sort=A","Dates=H","DateFormat=P","Fill=—","Direction=H","UseDPDF=Y")</f>
        <v>0</v>
      </c>
      <c r="P68" s="13" t="str">
        <f>_xll.BDH("BLUE US Equity","BS_DERIV_HEDGING_LIAB_LT","FQ1 2022","FQ1 2022","Currency=USD","Period=FQ","BEST_FPERIOD_OVERRIDE=FQ","FILING_STATUS=MR","SCALING_FORMAT=MLN","Sort=A","Dates=H","DateFormat=P","Fill=—","Direction=H","UseDPDF=Y")</f>
        <v>—</v>
      </c>
      <c r="Q68" s="13" t="str">
        <f>_xll.BDH("BLUE US Equity","BS_DERIV_HEDGING_LIAB_LT","FQ2 2022","FQ2 2022","Currency=USD","Period=FQ","BEST_FPERIOD_OVERRIDE=FQ","FILING_STATUS=MR","SCALING_FORMAT=MLN","Sort=A","Dates=H","DateFormat=P","Fill=—","Direction=H","UseDPDF=Y")</f>
        <v>—</v>
      </c>
      <c r="R68" s="13" t="str">
        <f>_xll.BDH("BLUE US Equity","BS_DERIV_HEDGING_LIAB_LT","FQ3 2022","FQ3 2022","Currency=USD","Period=FQ","BEST_FPERIOD_OVERRIDE=FQ","FILING_STATUS=MR","SCALING_FORMAT=MLN","Sort=A","Dates=H","DateFormat=P","Fill=—","Direction=H","UseDPDF=Y")</f>
        <v>—</v>
      </c>
      <c r="S68" s="13">
        <f>_xll.BDH("BLUE US Equity","BS_DERIV_HEDGING_LIAB_LT","FQ4 2022","FQ4 2022","Currency=USD","Period=FQ","BEST_FPERIOD_OVERRIDE=FQ","FILING_STATUS=MR","SCALING_FORMAT=MLN","Sort=A","Dates=H","DateFormat=P","Fill=—","Direction=H","UseDPDF=Y")</f>
        <v>0</v>
      </c>
      <c r="T68" s="13" t="str">
        <f>_xll.BDH("BLUE US Equity","BS_DERIV_HEDGING_LIAB_LT","FQ1 2023","FQ1 2023","Currency=USD","Period=FQ","BEST_FPERIOD_OVERRIDE=FQ","FILING_STATUS=MR","SCALING_FORMAT=MLN","Sort=A","Dates=H","DateFormat=P","Fill=—","Direction=H","UseDPDF=Y")</f>
        <v>—</v>
      </c>
      <c r="U68" s="13" t="str">
        <f>_xll.BDH("BLUE US Equity","BS_DERIV_HEDGING_LIAB_LT","FQ2 2023","FQ2 2023","Currency=USD","Period=FQ","BEST_FPERIOD_OVERRIDE=FQ","FILING_STATUS=MR","SCALING_FORMAT=MLN","Sort=A","Dates=H","DateFormat=P","Fill=—","Direction=H","UseDPDF=Y")</f>
        <v>—</v>
      </c>
      <c r="V68" s="13" t="str">
        <f>_xll.BDH("BLUE US Equity","BS_DERIV_HEDGING_LIAB_LT","FQ3 2023","FQ3 2023","Currency=USD","Period=FQ","BEST_FPERIOD_OVERRIDE=FQ","FILING_STATUS=MR","SCALING_FORMAT=MLN","Sort=A","Dates=H","DateFormat=P","Fill=—","Direction=H","UseDPDF=Y")</f>
        <v>—</v>
      </c>
      <c r="W68" s="13">
        <f>_xll.BDH("BLUE US Equity","BS_DERIV_HEDGING_LIAB_LT","FQ4 2023","FQ4 2023","Currency=USD","Period=FQ","BEST_FPERIOD_OVERRIDE=FQ","FILING_STATUS=MR","SCALING_FORMAT=MLN","Sort=A","Dates=H","DateFormat=P","Fill=—","Direction=H","UseDPDF=Y")</f>
        <v>0</v>
      </c>
      <c r="X68" s="13" t="str">
        <f>_xll.BDH("BLUE US Equity","BS_DERIV_HEDGING_LIAB_LT","FQ1 2024","FQ1 2024","Currency=USD","Period=FQ","BEST_FPERIOD_OVERRIDE=FQ","FILING_STATUS=MR","SCALING_FORMAT=MLN","Sort=A","Dates=H","DateFormat=P","Fill=—","Direction=H","UseDPDF=Y")</f>
        <v>—</v>
      </c>
      <c r="Y68" s="13" t="str">
        <f>_xll.BDH("BLUE US Equity","BS_DERIV_HEDGING_LIAB_LT","FQ2 2024","FQ2 2024","Currency=USD","Period=FQ","BEST_FPERIOD_OVERRIDE=FQ","FILING_STATUS=MR","SCALING_FORMAT=MLN","Sort=A","Dates=H","DateFormat=P","Fill=—","Direction=H","UseDPDF=Y")</f>
        <v>—</v>
      </c>
      <c r="Z68" s="13" t="str">
        <f>_xll.BDH("BLUE US Equity","BS_DERIV_HEDGING_LIAB_LT","FQ3 2024","FQ3 2024","Currency=USD","Period=FQ","BEST_FPERIOD_OVERRIDE=FQ","FILING_STATUS=MR","SCALING_FORMAT=MLN","Sort=A","Dates=H","DateFormat=P","Fill=—","Direction=H","UseDPDF=Y")</f>
        <v>—</v>
      </c>
      <c r="AA68" s="13">
        <f>_xll.BDH("BLUE US Equity","BS_DERIV_HEDGING_LIAB_LT","FQ4 2024","FQ4 2024","Currency=USD","Period=FQ","BEST_FPERIOD_OVERRIDE=FQ","FILING_STATUS=MR","SCALING_FORMAT=MLN","Sort=A","Dates=H","DateFormat=P","Fill=—","Direction=H","UseDPDF=Y")</f>
        <v>0</v>
      </c>
    </row>
    <row r="69" spans="1:27" x14ac:dyDescent="0.25">
      <c r="A69" s="10" t="s">
        <v>329</v>
      </c>
      <c r="B69" s="10" t="s">
        <v>703</v>
      </c>
      <c r="C69" s="13" t="str">
        <f>_xll.BDH("BLUE US Equity","BS_LIABS_OF_DISCONTINUED_OPS_LT","FQ4 2018","FQ4 2018","Currency=USD","Period=FQ","BEST_FPERIOD_OVERRIDE=FQ","FILING_STATUS=MR","SCALING_FORMAT=MLN","Sort=A","Dates=H","DateFormat=P","Fill=—","Direction=H","UseDPDF=Y")</f>
        <v>—</v>
      </c>
      <c r="D69" s="13" t="str">
        <f>_xll.BDH("BLUE US Equity","BS_LIABS_OF_DISCONTINUED_OPS_LT","FQ1 2019","FQ1 2019","Currency=USD","Period=FQ","BEST_FPERIOD_OVERRIDE=FQ","FILING_STATUS=MR","SCALING_FORMAT=MLN","Sort=A","Dates=H","DateFormat=P","Fill=—","Direction=H","UseDPDF=Y")</f>
        <v>—</v>
      </c>
      <c r="E69" s="13" t="str">
        <f>_xll.BDH("BLUE US Equity","BS_LIABS_OF_DISCONTINUED_OPS_LT","FQ2 2019","FQ2 2019","Currency=USD","Period=FQ","BEST_FPERIOD_OVERRIDE=FQ","FILING_STATUS=MR","SCALING_FORMAT=MLN","Sort=A","Dates=H","DateFormat=P","Fill=—","Direction=H","UseDPDF=Y")</f>
        <v>—</v>
      </c>
      <c r="F69" s="13" t="str">
        <f>_xll.BDH("BLUE US Equity","BS_LIABS_OF_DISCONTINUED_OPS_LT","FQ3 2019","FQ3 2019","Currency=USD","Period=FQ","BEST_FPERIOD_OVERRIDE=FQ","FILING_STATUS=MR","SCALING_FORMAT=MLN","Sort=A","Dates=H","DateFormat=P","Fill=—","Direction=H","UseDPDF=Y")</f>
        <v>—</v>
      </c>
      <c r="G69" s="13" t="str">
        <f>_xll.BDH("BLUE US Equity","BS_LIABS_OF_DISCONTINUED_OPS_LT","FQ4 2019","FQ4 2019","Currency=USD","Period=FQ","BEST_FPERIOD_OVERRIDE=FQ","FILING_STATUS=MR","SCALING_FORMAT=MLN","Sort=A","Dates=H","DateFormat=P","Fill=—","Direction=H","UseDPDF=Y")</f>
        <v>—</v>
      </c>
      <c r="H69" s="13" t="str">
        <f>_xll.BDH("BLUE US Equity","BS_LIABS_OF_DISCONTINUED_OPS_LT","FQ1 2020","FQ1 2020","Currency=USD","Period=FQ","BEST_FPERIOD_OVERRIDE=FQ","FILING_STATUS=MR","SCALING_FORMAT=MLN","Sort=A","Dates=H","DateFormat=P","Fill=—","Direction=H","UseDPDF=Y")</f>
        <v>—</v>
      </c>
      <c r="I69" s="13" t="str">
        <f>_xll.BDH("BLUE US Equity","BS_LIABS_OF_DISCONTINUED_OPS_LT","FQ2 2020","FQ2 2020","Currency=USD","Period=FQ","BEST_FPERIOD_OVERRIDE=FQ","FILING_STATUS=MR","SCALING_FORMAT=MLN","Sort=A","Dates=H","DateFormat=P","Fill=—","Direction=H","UseDPDF=Y")</f>
        <v>—</v>
      </c>
      <c r="J69" s="13" t="str">
        <f>_xll.BDH("BLUE US Equity","BS_LIABS_OF_DISCONTINUED_OPS_LT","FQ3 2020","FQ3 2020","Currency=USD","Period=FQ","BEST_FPERIOD_OVERRIDE=FQ","FILING_STATUS=MR","SCALING_FORMAT=MLN","Sort=A","Dates=H","DateFormat=P","Fill=—","Direction=H","UseDPDF=Y")</f>
        <v>—</v>
      </c>
      <c r="K69" s="13">
        <f>_xll.BDH("BLUE US Equity","BS_LIABS_OF_DISCONTINUED_OPS_LT","FQ4 2020","FQ4 2020","Currency=USD","Period=FQ","BEST_FPERIOD_OVERRIDE=FQ","FILING_STATUS=MR","SCALING_FORMAT=MLN","Sort=A","Dates=H","DateFormat=P","Fill=—","Direction=H","UseDPDF=Y")</f>
        <v>161.142</v>
      </c>
      <c r="L69" s="13" t="str">
        <f>_xll.BDH("BLUE US Equity","BS_LIABS_OF_DISCONTINUED_OPS_LT","FQ1 2021","FQ1 2021","Currency=USD","Period=FQ","BEST_FPERIOD_OVERRIDE=FQ","FILING_STATUS=MR","SCALING_FORMAT=MLN","Sort=A","Dates=H","DateFormat=P","Fill=—","Direction=H","UseDPDF=Y")</f>
        <v>—</v>
      </c>
      <c r="M69" s="13" t="str">
        <f>_xll.BDH("BLUE US Equity","BS_LIABS_OF_DISCONTINUED_OPS_LT","FQ2 2021","FQ2 2021","Currency=USD","Period=FQ","BEST_FPERIOD_OVERRIDE=FQ","FILING_STATUS=MR","SCALING_FORMAT=MLN","Sort=A","Dates=H","DateFormat=P","Fill=—","Direction=H","UseDPDF=Y")</f>
        <v>—</v>
      </c>
      <c r="N69" s="13" t="str">
        <f>_xll.BDH("BLUE US Equity","BS_LIABS_OF_DISCONTINUED_OPS_LT","FQ3 2021","FQ3 2021","Currency=USD","Period=FQ","BEST_FPERIOD_OVERRIDE=FQ","FILING_STATUS=MR","SCALING_FORMAT=MLN","Sort=A","Dates=H","DateFormat=P","Fill=—","Direction=H","UseDPDF=Y")</f>
        <v>—</v>
      </c>
      <c r="O69" s="13">
        <f>_xll.BDH("BLUE US Equity","BS_LIABS_OF_DISCONTINUED_OPS_LT","FQ4 2021","FQ4 2021","Currency=USD","Period=FQ","BEST_FPERIOD_OVERRIDE=FQ","FILING_STATUS=MR","SCALING_FORMAT=MLN","Sort=A","Dates=H","DateFormat=P","Fill=—","Direction=H","UseDPDF=Y")</f>
        <v>0</v>
      </c>
      <c r="P69" s="13" t="str">
        <f>_xll.BDH("BLUE US Equity","BS_LIABS_OF_DISCONTINUED_OPS_LT","FQ1 2022","FQ1 2022","Currency=USD","Period=FQ","BEST_FPERIOD_OVERRIDE=FQ","FILING_STATUS=MR","SCALING_FORMAT=MLN","Sort=A","Dates=H","DateFormat=P","Fill=—","Direction=H","UseDPDF=Y")</f>
        <v>—</v>
      </c>
      <c r="Q69" s="13" t="str">
        <f>_xll.BDH("BLUE US Equity","BS_LIABS_OF_DISCONTINUED_OPS_LT","FQ2 2022","FQ2 2022","Currency=USD","Period=FQ","BEST_FPERIOD_OVERRIDE=FQ","FILING_STATUS=MR","SCALING_FORMAT=MLN","Sort=A","Dates=H","DateFormat=P","Fill=—","Direction=H","UseDPDF=Y")</f>
        <v>—</v>
      </c>
      <c r="R69" s="13" t="str">
        <f>_xll.BDH("BLUE US Equity","BS_LIABS_OF_DISCONTINUED_OPS_LT","FQ3 2022","FQ3 2022","Currency=USD","Period=FQ","BEST_FPERIOD_OVERRIDE=FQ","FILING_STATUS=MR","SCALING_FORMAT=MLN","Sort=A","Dates=H","DateFormat=P","Fill=—","Direction=H","UseDPDF=Y")</f>
        <v>—</v>
      </c>
      <c r="S69" s="13" t="str">
        <f>_xll.BDH("BLUE US Equity","BS_LIABS_OF_DISCONTINUED_OPS_LT","FQ4 2022","FQ4 2022","Currency=USD","Period=FQ","BEST_FPERIOD_OVERRIDE=FQ","FILING_STATUS=MR","SCALING_FORMAT=MLN","Sort=A","Dates=H","DateFormat=P","Fill=—","Direction=H","UseDPDF=Y")</f>
        <v>—</v>
      </c>
      <c r="T69" s="13" t="str">
        <f>_xll.BDH("BLUE US Equity","BS_LIABS_OF_DISCONTINUED_OPS_LT","FQ1 2023","FQ1 2023","Currency=USD","Period=FQ","BEST_FPERIOD_OVERRIDE=FQ","FILING_STATUS=MR","SCALING_FORMAT=MLN","Sort=A","Dates=H","DateFormat=P","Fill=—","Direction=H","UseDPDF=Y")</f>
        <v>—</v>
      </c>
      <c r="U69" s="13" t="str">
        <f>_xll.BDH("BLUE US Equity","BS_LIABS_OF_DISCONTINUED_OPS_LT","FQ2 2023","FQ2 2023","Currency=USD","Period=FQ","BEST_FPERIOD_OVERRIDE=FQ","FILING_STATUS=MR","SCALING_FORMAT=MLN","Sort=A","Dates=H","DateFormat=P","Fill=—","Direction=H","UseDPDF=Y")</f>
        <v>—</v>
      </c>
      <c r="V69" s="13" t="str">
        <f>_xll.BDH("BLUE US Equity","BS_LIABS_OF_DISCONTINUED_OPS_LT","FQ3 2023","FQ3 2023","Currency=USD","Period=FQ","BEST_FPERIOD_OVERRIDE=FQ","FILING_STATUS=MR","SCALING_FORMAT=MLN","Sort=A","Dates=H","DateFormat=P","Fill=—","Direction=H","UseDPDF=Y")</f>
        <v>—</v>
      </c>
      <c r="W69" s="13" t="str">
        <f>_xll.BDH("BLUE US Equity","BS_LIABS_OF_DISCONTINUED_OPS_LT","FQ4 2023","FQ4 2023","Currency=USD","Period=FQ","BEST_FPERIOD_OVERRIDE=FQ","FILING_STATUS=MR","SCALING_FORMAT=MLN","Sort=A","Dates=H","DateFormat=P","Fill=—","Direction=H","UseDPDF=Y")</f>
        <v>—</v>
      </c>
      <c r="X69" s="13" t="str">
        <f>_xll.BDH("BLUE US Equity","BS_LIABS_OF_DISCONTINUED_OPS_LT","FQ1 2024","FQ1 2024","Currency=USD","Period=FQ","BEST_FPERIOD_OVERRIDE=FQ","FILING_STATUS=MR","SCALING_FORMAT=MLN","Sort=A","Dates=H","DateFormat=P","Fill=—","Direction=H","UseDPDF=Y")</f>
        <v>—</v>
      </c>
      <c r="Y69" s="13" t="str">
        <f>_xll.BDH("BLUE US Equity","BS_LIABS_OF_DISCONTINUED_OPS_LT","FQ2 2024","FQ2 2024","Currency=USD","Period=FQ","BEST_FPERIOD_OVERRIDE=FQ","FILING_STATUS=MR","SCALING_FORMAT=MLN","Sort=A","Dates=H","DateFormat=P","Fill=—","Direction=H","UseDPDF=Y")</f>
        <v>—</v>
      </c>
      <c r="Z69" s="13" t="str">
        <f>_xll.BDH("BLUE US Equity","BS_LIABS_OF_DISCONTINUED_OPS_LT","FQ3 2024","FQ3 2024","Currency=USD","Period=FQ","BEST_FPERIOD_OVERRIDE=FQ","FILING_STATUS=MR","SCALING_FORMAT=MLN","Sort=A","Dates=H","DateFormat=P","Fill=—","Direction=H","UseDPDF=Y")</f>
        <v>—</v>
      </c>
      <c r="AA69" s="13" t="str">
        <f>_xll.BDH("BLUE US Equity","BS_LIABS_OF_DISCONTINUED_OPS_LT","FQ4 2024","FQ4 2024","Currency=USD","Period=FQ","BEST_FPERIOD_OVERRIDE=FQ","FILING_STATUS=MR","SCALING_FORMAT=MLN","Sort=A","Dates=H","DateFormat=P","Fill=—","Direction=H","UseDPDF=Y")</f>
        <v>—</v>
      </c>
    </row>
    <row r="70" spans="1:27" x14ac:dyDescent="0.25">
      <c r="A70" s="10" t="s">
        <v>704</v>
      </c>
      <c r="B70" s="10" t="s">
        <v>705</v>
      </c>
      <c r="C70" s="13">
        <f>_xll.BDH("BLUE US Equity","OTHER_NONCURRENT_LIABS_DETAILED","FQ4 2018","FQ4 2018","Currency=USD","Period=FQ","BEST_FPERIOD_OVERRIDE=FQ","FILING_STATUS=MR","SCALING_FORMAT=MLN","Sort=A","Dates=H","DateFormat=P","Fill=—","Direction=H","UseDPDF=Y")</f>
        <v>8.3369999999999997</v>
      </c>
      <c r="D70" s="13">
        <f>_xll.BDH("BLUE US Equity","OTHER_NONCURRENT_LIABS_DETAILED","FQ1 2019","FQ1 2019","Currency=USD","Period=FQ","BEST_FPERIOD_OVERRIDE=FQ","FILING_STATUS=MR","SCALING_FORMAT=MLN","Sort=A","Dates=H","DateFormat=P","Fill=—","Direction=H","UseDPDF=Y")</f>
        <v>6.1020000000000003</v>
      </c>
      <c r="E70" s="13">
        <f>_xll.BDH("BLUE US Equity","OTHER_NONCURRENT_LIABS_DETAILED","FQ2 2019","FQ2 2019","Currency=USD","Period=FQ","BEST_FPERIOD_OVERRIDE=FQ","FILING_STATUS=MR","SCALING_FORMAT=MLN","Sort=A","Dates=H","DateFormat=P","Fill=—","Direction=H","UseDPDF=Y")</f>
        <v>7.4390000000000001</v>
      </c>
      <c r="F70" s="13">
        <f>_xll.BDH("BLUE US Equity","OTHER_NONCURRENT_LIABS_DETAILED","FQ3 2019","FQ3 2019","Currency=USD","Period=FQ","BEST_FPERIOD_OVERRIDE=FQ","FILING_STATUS=MR","SCALING_FORMAT=MLN","Sort=A","Dates=H","DateFormat=P","Fill=—","Direction=H","UseDPDF=Y")</f>
        <v>10.268000000000001</v>
      </c>
      <c r="G70" s="13">
        <f>_xll.BDH("BLUE US Equity","OTHER_NONCURRENT_LIABS_DETAILED","FQ4 2019","FQ4 2019","Currency=USD","Period=FQ","BEST_FPERIOD_OVERRIDE=FQ","FILING_STATUS=MR","SCALING_FORMAT=MLN","Sort=A","Dates=H","DateFormat=P","Fill=—","Direction=H","UseDPDF=Y")</f>
        <v>10.414</v>
      </c>
      <c r="H70" s="13">
        <f>_xll.BDH("BLUE US Equity","OTHER_NONCURRENT_LIABS_DETAILED","FQ1 2020","FQ1 2020","Currency=USD","Period=FQ","BEST_FPERIOD_OVERRIDE=FQ","FILING_STATUS=MR","SCALING_FORMAT=MLN","Sort=A","Dates=H","DateFormat=P","Fill=—","Direction=H","UseDPDF=Y")</f>
        <v>7.6529999999999996</v>
      </c>
      <c r="I70" s="13">
        <f>_xll.BDH("BLUE US Equity","OTHER_NONCURRENT_LIABS_DETAILED","FQ2 2020","FQ2 2020","Currency=USD","Period=FQ","BEST_FPERIOD_OVERRIDE=FQ","FILING_STATUS=MR","SCALING_FORMAT=MLN","Sort=A","Dates=H","DateFormat=P","Fill=—","Direction=H","UseDPDF=Y")</f>
        <v>4.335</v>
      </c>
      <c r="J70" s="13">
        <f>_xll.BDH("BLUE US Equity","OTHER_NONCURRENT_LIABS_DETAILED","FQ3 2020","FQ3 2020","Currency=USD","Period=FQ","BEST_FPERIOD_OVERRIDE=FQ","FILING_STATUS=MR","SCALING_FORMAT=MLN","Sort=A","Dates=H","DateFormat=P","Fill=—","Direction=H","UseDPDF=Y")</f>
        <v>4.7510000000000003</v>
      </c>
      <c r="K70" s="13">
        <f>_xll.BDH("BLUE US Equity","OTHER_NONCURRENT_LIABS_DETAILED","FQ4 2020","FQ4 2020","Currency=USD","Period=FQ","BEST_FPERIOD_OVERRIDE=FQ","FILING_STATUS=MR","SCALING_FORMAT=MLN","Sort=A","Dates=H","DateFormat=P","Fill=—","Direction=H","UseDPDF=Y")</f>
        <v>5.7590000000000003</v>
      </c>
      <c r="L70" s="13">
        <f>_xll.BDH("BLUE US Equity","OTHER_NONCURRENT_LIABS_DETAILED","FQ1 2021","FQ1 2021","Currency=USD","Period=FQ","BEST_FPERIOD_OVERRIDE=FQ","FILING_STATUS=MR","SCALING_FORMAT=MLN","Sort=A","Dates=H","DateFormat=P","Fill=—","Direction=H","UseDPDF=Y")</f>
        <v>7.7679999999999998</v>
      </c>
      <c r="M70" s="13">
        <f>_xll.BDH("BLUE US Equity","OTHER_NONCURRENT_LIABS_DETAILED","FQ2 2021","FQ2 2021","Currency=USD","Period=FQ","BEST_FPERIOD_OVERRIDE=FQ","FILING_STATUS=MR","SCALING_FORMAT=MLN","Sort=A","Dates=H","DateFormat=P","Fill=—","Direction=H","UseDPDF=Y")</f>
        <v>7.891</v>
      </c>
      <c r="N70" s="13">
        <f>_xll.BDH("BLUE US Equity","OTHER_NONCURRENT_LIABS_DETAILED","FQ3 2021","FQ3 2021","Currency=USD","Period=FQ","BEST_FPERIOD_OVERRIDE=FQ","FILING_STATUS=MR","SCALING_FORMAT=MLN","Sort=A","Dates=H","DateFormat=P","Fill=—","Direction=H","UseDPDF=Y")</f>
        <v>7.9039999999999999</v>
      </c>
      <c r="O70" s="13">
        <f>_xll.BDH("BLUE US Equity","OTHER_NONCURRENT_LIABS_DETAILED","FQ4 2021","FQ4 2021","Currency=USD","Period=FQ","BEST_FPERIOD_OVERRIDE=FQ","FILING_STATUS=MR","SCALING_FORMAT=MLN","Sort=A","Dates=H","DateFormat=P","Fill=—","Direction=H","UseDPDF=Y")</f>
        <v>9.2999999999999999E-2</v>
      </c>
      <c r="P70" s="13">
        <f>_xll.BDH("BLUE US Equity","OTHER_NONCURRENT_LIABS_DETAILED","FQ1 2022","FQ1 2022","Currency=USD","Period=FQ","BEST_FPERIOD_OVERRIDE=FQ","FILING_STATUS=MR","SCALING_FORMAT=MLN","Sort=A","Dates=H","DateFormat=P","Fill=—","Direction=H","UseDPDF=Y")</f>
        <v>9.1999999999999998E-2</v>
      </c>
      <c r="Q70" s="13">
        <f>_xll.BDH("BLUE US Equity","OTHER_NONCURRENT_LIABS_DETAILED","FQ2 2022","FQ2 2022","Currency=USD","Period=FQ","BEST_FPERIOD_OVERRIDE=FQ","FILING_STATUS=MR","SCALING_FORMAT=MLN","Sort=A","Dates=H","DateFormat=P","Fill=—","Direction=H","UseDPDF=Y")</f>
        <v>9.2999999999999999E-2</v>
      </c>
      <c r="R70" s="13">
        <f>_xll.BDH("BLUE US Equity","OTHER_NONCURRENT_LIABS_DETAILED","FQ3 2022","FQ3 2022","Currency=USD","Period=FQ","BEST_FPERIOD_OVERRIDE=FQ","FILING_STATUS=MR","SCALING_FORMAT=MLN","Sort=A","Dates=H","DateFormat=P","Fill=—","Direction=H","UseDPDF=Y")</f>
        <v>9.1999999999999998E-2</v>
      </c>
      <c r="S70" s="13">
        <f>_xll.BDH("BLUE US Equity","OTHER_NONCURRENT_LIABS_DETAILED","FQ4 2022","FQ4 2022","Currency=USD","Period=FQ","BEST_FPERIOD_OVERRIDE=FQ","FILING_STATUS=MR","SCALING_FORMAT=MLN","Sort=A","Dates=H","DateFormat=P","Fill=—","Direction=H","UseDPDF=Y")</f>
        <v>9.1999999999999998E-2</v>
      </c>
      <c r="T70" s="13">
        <f>_xll.BDH("BLUE US Equity","OTHER_NONCURRENT_LIABS_DETAILED","FQ1 2023","FQ1 2023","Currency=USD","Period=FQ","BEST_FPERIOD_OVERRIDE=FQ","FILING_STATUS=MR","SCALING_FORMAT=MLN","Sort=A","Dates=H","DateFormat=P","Fill=—","Direction=H","UseDPDF=Y")</f>
        <v>9.1999999999999998E-2</v>
      </c>
      <c r="U70" s="13">
        <f>_xll.BDH("BLUE US Equity","OTHER_NONCURRENT_LIABS_DETAILED","FQ2 2023","FQ2 2023","Currency=USD","Period=FQ","BEST_FPERIOD_OVERRIDE=FQ","FILING_STATUS=MR","SCALING_FORMAT=MLN","Sort=A","Dates=H","DateFormat=P","Fill=—","Direction=H","UseDPDF=Y")</f>
        <v>9.1999999999999998E-2</v>
      </c>
      <c r="V70" s="13">
        <f>_xll.BDH("BLUE US Equity","OTHER_NONCURRENT_LIABS_DETAILED","FQ3 2023","FQ3 2023","Currency=USD","Period=FQ","BEST_FPERIOD_OVERRIDE=FQ","FILING_STATUS=MR","SCALING_FORMAT=MLN","Sort=A","Dates=H","DateFormat=P","Fill=—","Direction=H","UseDPDF=Y")</f>
        <v>9.1999999999999998E-2</v>
      </c>
      <c r="W70" s="13">
        <f>_xll.BDH("BLUE US Equity","OTHER_NONCURRENT_LIABS_DETAILED","FQ4 2023","FQ4 2023","Currency=USD","Period=FQ","BEST_FPERIOD_OVERRIDE=FQ","FILING_STATUS=MR","SCALING_FORMAT=MLN","Sort=A","Dates=H","DateFormat=P","Fill=—","Direction=H","UseDPDF=Y")</f>
        <v>9.1999999999999998E-2</v>
      </c>
      <c r="X70" s="13">
        <f>_xll.BDH("BLUE US Equity","OTHER_NONCURRENT_LIABS_DETAILED","FQ1 2024","FQ1 2024","Currency=USD","Period=FQ","BEST_FPERIOD_OVERRIDE=FQ","FILING_STATUS=MR","SCALING_FORMAT=MLN","Sort=A","Dates=H","DateFormat=P","Fill=—","Direction=H","UseDPDF=Y")</f>
        <v>9.1999999999999998E-2</v>
      </c>
      <c r="Y70" s="13">
        <f>_xll.BDH("BLUE US Equity","OTHER_NONCURRENT_LIABS_DETAILED","FQ2 2024","FQ2 2024","Currency=USD","Period=FQ","BEST_FPERIOD_OVERRIDE=FQ","FILING_STATUS=MR","SCALING_FORMAT=MLN","Sort=A","Dates=H","DateFormat=P","Fill=—","Direction=H","UseDPDF=Y")</f>
        <v>9.1999999999999998E-2</v>
      </c>
      <c r="Z70" s="13">
        <f>_xll.BDH("BLUE US Equity","OTHER_NONCURRENT_LIABS_DETAILED","FQ3 2024","FQ3 2024","Currency=USD","Period=FQ","BEST_FPERIOD_OVERRIDE=FQ","FILING_STATUS=MR","SCALING_FORMAT=MLN","Sort=A","Dates=H","DateFormat=P","Fill=—","Direction=H","UseDPDF=Y")</f>
        <v>1.079</v>
      </c>
      <c r="AA70" s="13">
        <f>_xll.BDH("BLUE US Equity","OTHER_NONCURRENT_LIABS_DETAILED","FQ4 2024","FQ4 2024","Currency=USD","Period=FQ","BEST_FPERIOD_OVERRIDE=FQ","FILING_STATUS=MR","SCALING_FORMAT=MLN","Sort=A","Dates=H","DateFormat=P","Fill=—","Direction=H","UseDPDF=Y")</f>
        <v>0.94699999999999995</v>
      </c>
    </row>
    <row r="71" spans="1:27" x14ac:dyDescent="0.25">
      <c r="A71" s="6" t="s">
        <v>706</v>
      </c>
      <c r="B71" s="6" t="s">
        <v>707</v>
      </c>
      <c r="C71" s="19">
        <f>_xll.BDH("BLUE US Equity","NON_CUR_LIAB","FQ4 2018","FQ4 2018","Currency=USD","Period=FQ","BEST_FPERIOD_OVERRIDE=FQ","FILING_STATUS=MR","SCALING_FORMAT=MLN","Sort=A","Dates=H","DateFormat=P","Fill=—","Direction=H","UseDPDF=Y")</f>
        <v>211.34299999999999</v>
      </c>
      <c r="D71" s="19">
        <f>_xll.BDH("BLUE US Equity","NON_CUR_LIAB","FQ1 2019","FQ1 2019","Currency=USD","Period=FQ","BEST_FPERIOD_OVERRIDE=FQ","FILING_STATUS=MR","SCALING_FORMAT=MLN","Sort=A","Dates=H","DateFormat=P","Fill=—","Direction=H","UseDPDF=Y")</f>
        <v>219.82499999999999</v>
      </c>
      <c r="E71" s="19">
        <f>_xll.BDH("BLUE US Equity","NON_CUR_LIAB","FQ2 2019","FQ2 2019","Currency=USD","Period=FQ","BEST_FPERIOD_OVERRIDE=FQ","FILING_STATUS=MR","SCALING_FORMAT=MLN","Sort=A","Dates=H","DateFormat=P","Fill=—","Direction=H","UseDPDF=Y")</f>
        <v>224.86099999999999</v>
      </c>
      <c r="F71" s="19">
        <f>_xll.BDH("BLUE US Equity","NON_CUR_LIAB","FQ3 2019","FQ3 2019","Currency=USD","Period=FQ","BEST_FPERIOD_OVERRIDE=FQ","FILING_STATUS=MR","SCALING_FORMAT=MLN","Sort=A","Dates=H","DateFormat=P","Fill=—","Direction=H","UseDPDF=Y")</f>
        <v>224.477</v>
      </c>
      <c r="G71" s="19">
        <f>_xll.BDH("BLUE US Equity","NON_CUR_LIAB","FQ4 2019","FQ4 2019","Currency=USD","Period=FQ","BEST_FPERIOD_OVERRIDE=FQ","FILING_STATUS=MR","SCALING_FORMAT=MLN","Sort=A","Dates=H","DateFormat=P","Fill=—","Direction=H","UseDPDF=Y")</f>
        <v>218.851</v>
      </c>
      <c r="H71" s="19">
        <f>_xll.BDH("BLUE US Equity","NON_CUR_LIAB","FQ1 2020","FQ1 2020","Currency=USD","Period=FQ","BEST_FPERIOD_OVERRIDE=FQ","FILING_STATUS=MR","SCALING_FORMAT=MLN","Sort=A","Dates=H","DateFormat=P","Fill=—","Direction=H","UseDPDF=Y")</f>
        <v>224.249</v>
      </c>
      <c r="I71" s="19">
        <f>_xll.BDH("BLUE US Equity","NON_CUR_LIAB","FQ2 2020","FQ2 2020","Currency=USD","Period=FQ","BEST_FPERIOD_OVERRIDE=FQ","FILING_STATUS=MR","SCALING_FORMAT=MLN","Sort=A","Dates=H","DateFormat=P","Fill=—","Direction=H","UseDPDF=Y")</f>
        <v>228.578</v>
      </c>
      <c r="J71" s="19">
        <f>_xll.BDH("BLUE US Equity","NON_CUR_LIAB","FQ3 2020","FQ3 2020","Currency=USD","Period=FQ","BEST_FPERIOD_OVERRIDE=FQ","FILING_STATUS=MR","SCALING_FORMAT=MLN","Sort=A","Dates=H","DateFormat=P","Fill=—","Direction=H","UseDPDF=Y")</f>
        <v>225.55600000000001</v>
      </c>
      <c r="K71" s="19">
        <f>_xll.BDH("BLUE US Equity","NON_CUR_LIAB","FQ4 2020","FQ4 2020","Currency=USD","Period=FQ","BEST_FPERIOD_OVERRIDE=FQ","FILING_STATUS=MR","SCALING_FORMAT=MLN","Sort=A","Dates=H","DateFormat=P","Fill=—","Direction=H","UseDPDF=Y")</f>
        <v>222.608</v>
      </c>
      <c r="L71" s="19">
        <f>_xll.BDH("BLUE US Equity","NON_CUR_LIAB","FQ1 2021","FQ1 2021","Currency=USD","Period=FQ","BEST_FPERIOD_OVERRIDE=FQ","FILING_STATUS=MR","SCALING_FORMAT=MLN","Sort=A","Dates=H","DateFormat=P","Fill=—","Direction=H","UseDPDF=Y")</f>
        <v>230.631</v>
      </c>
      <c r="M71" s="19">
        <f>_xll.BDH("BLUE US Equity","NON_CUR_LIAB","FQ2 2021","FQ2 2021","Currency=USD","Period=FQ","BEST_FPERIOD_OVERRIDE=FQ","FILING_STATUS=MR","SCALING_FORMAT=MLN","Sort=A","Dates=H","DateFormat=P","Fill=—","Direction=H","UseDPDF=Y")</f>
        <v>222.13300000000001</v>
      </c>
      <c r="N71" s="19">
        <f>_xll.BDH("BLUE US Equity","NON_CUR_LIAB","FQ3 2021","FQ3 2021","Currency=USD","Period=FQ","BEST_FPERIOD_OVERRIDE=FQ","FILING_STATUS=MR","SCALING_FORMAT=MLN","Sort=A","Dates=H","DateFormat=P","Fill=—","Direction=H","UseDPDF=Y")</f>
        <v>202.55799999999999</v>
      </c>
      <c r="O71" s="19">
        <f>_xll.BDH("BLUE US Equity","NON_CUR_LIAB","FQ4 2021","FQ4 2021","Currency=USD","Period=FQ","BEST_FPERIOD_OVERRIDE=FQ","FILING_STATUS=MR","SCALING_FORMAT=MLN","Sort=A","Dates=H","DateFormat=P","Fill=—","Direction=H","UseDPDF=Y")</f>
        <v>66.525000000000006</v>
      </c>
      <c r="P71" s="19">
        <f>_xll.BDH("BLUE US Equity","NON_CUR_LIAB","FQ1 2022","FQ1 2022","Currency=USD","Period=FQ","BEST_FPERIOD_OVERRIDE=FQ","FILING_STATUS=MR","SCALING_FORMAT=MLN","Sort=A","Dates=H","DateFormat=P","Fill=—","Direction=H","UseDPDF=Y")</f>
        <v>84.92</v>
      </c>
      <c r="Q71" s="19">
        <f>_xll.BDH("BLUE US Equity","NON_CUR_LIAB","FQ2 2022","FQ2 2022","Currency=USD","Period=FQ","BEST_FPERIOD_OVERRIDE=FQ","FILING_STATUS=MR","SCALING_FORMAT=MLN","Sort=A","Dates=H","DateFormat=P","Fill=—","Direction=H","UseDPDF=Y")</f>
        <v>244.61500000000001</v>
      </c>
      <c r="R71" s="19">
        <f>_xll.BDH("BLUE US Equity","NON_CUR_LIAB","FQ3 2022","FQ3 2022","Currency=USD","Period=FQ","BEST_FPERIOD_OVERRIDE=FQ","FILING_STATUS=MR","SCALING_FORMAT=MLN","Sort=A","Dates=H","DateFormat=P","Fill=—","Direction=H","UseDPDF=Y")</f>
        <v>234.51400000000001</v>
      </c>
      <c r="S71" s="19">
        <f>_xll.BDH("BLUE US Equity","NON_CUR_LIAB","FQ4 2022","FQ4 2022","Currency=USD","Period=FQ","BEST_FPERIOD_OVERRIDE=FQ","FILING_STATUS=MR","SCALING_FORMAT=MLN","Sort=A","Dates=H","DateFormat=P","Fill=—","Direction=H","UseDPDF=Y")</f>
        <v>278.90199999999999</v>
      </c>
      <c r="T71" s="19">
        <f>_xll.BDH("BLUE US Equity","NON_CUR_LIAB","FQ1 2023","FQ1 2023","Currency=USD","Period=FQ","BEST_FPERIOD_OVERRIDE=FQ","FILING_STATUS=MR","SCALING_FORMAT=MLN","Sort=A","Dates=H","DateFormat=P","Fill=—","Direction=H","UseDPDF=Y")</f>
        <v>222.06299999999999</v>
      </c>
      <c r="U71" s="19">
        <f>_xll.BDH("BLUE US Equity","NON_CUR_LIAB","FQ2 2023","FQ2 2023","Currency=USD","Period=FQ","BEST_FPERIOD_OVERRIDE=FQ","FILING_STATUS=MR","SCALING_FORMAT=MLN","Sort=A","Dates=H","DateFormat=P","Fill=—","Direction=H","UseDPDF=Y")</f>
        <v>239.358</v>
      </c>
      <c r="V71" s="19">
        <f>_xll.BDH("BLUE US Equity","NON_CUR_LIAB","FQ3 2023","FQ3 2023","Currency=USD","Period=FQ","BEST_FPERIOD_OVERRIDE=FQ","FILING_STATUS=MR","SCALING_FORMAT=MLN","Sort=A","Dates=H","DateFormat=P","Fill=—","Direction=H","UseDPDF=Y")</f>
        <v>232.11500000000001</v>
      </c>
      <c r="W71" s="19">
        <f>_xll.BDH("BLUE US Equity","NON_CUR_LIAB","FQ4 2023","FQ4 2023","Currency=USD","Period=FQ","BEST_FPERIOD_OVERRIDE=FQ","FILING_STATUS=MR","SCALING_FORMAT=MLN","Sort=A","Dates=H","DateFormat=P","Fill=—","Direction=H","UseDPDF=Y")</f>
        <v>224.511</v>
      </c>
      <c r="X71" s="19">
        <f>_xll.BDH("BLUE US Equity","NON_CUR_LIAB","FQ1 2024","FQ1 2024","Currency=USD","Period=FQ","BEST_FPERIOD_OVERRIDE=FQ","FILING_STATUS=MR","SCALING_FORMAT=MLN","Sort=A","Dates=H","DateFormat=P","Fill=—","Direction=H","UseDPDF=Y")</f>
        <v>206.864</v>
      </c>
      <c r="Y71" s="19">
        <f>_xll.BDH("BLUE US Equity","NON_CUR_LIAB","FQ2 2024","FQ2 2024","Currency=USD","Period=FQ","BEST_FPERIOD_OVERRIDE=FQ","FILING_STATUS=MR","SCALING_FORMAT=MLN","Sort=A","Dates=H","DateFormat=P","Fill=—","Direction=H","UseDPDF=Y")</f>
        <v>194.28200000000001</v>
      </c>
      <c r="Z71" s="19">
        <f>_xll.BDH("BLUE US Equity","NON_CUR_LIAB","FQ3 2024","FQ3 2024","Currency=USD","Period=FQ","BEST_FPERIOD_OVERRIDE=FQ","FILING_STATUS=MR","SCALING_FORMAT=MLN","Sort=A","Dates=H","DateFormat=P","Fill=—","Direction=H","UseDPDF=Y")</f>
        <v>174.81</v>
      </c>
      <c r="AA71" s="19">
        <f>_xll.BDH("BLUE US Equity","NON_CUR_LIAB","FQ4 2024","FQ4 2024","Currency=USD","Period=FQ","BEST_FPERIOD_OVERRIDE=FQ","FILING_STATUS=MR","SCALING_FORMAT=MLN","Sort=A","Dates=H","DateFormat=P","Fill=—","Direction=H","UseDPDF=Y")</f>
        <v>170.304</v>
      </c>
    </row>
    <row r="72" spans="1:27" x14ac:dyDescent="0.25">
      <c r="A72" s="6" t="s">
        <v>116</v>
      </c>
      <c r="B72" s="6" t="s">
        <v>117</v>
      </c>
      <c r="C72" s="19">
        <f>_xll.BDH("BLUE US Equity","BS_TOT_LIAB2","FQ4 2018","FQ4 2018","Currency=USD","Period=FQ","BEST_FPERIOD_OVERRIDE=FQ","FILING_STATUS=MR","SCALING_FORMAT=MLN","Sort=A","Dates=H","DateFormat=P","Fill=—","Direction=H","UseDPDF=Y")</f>
        <v>357.774</v>
      </c>
      <c r="D72" s="19">
        <f>_xll.BDH("BLUE US Equity","BS_TOT_LIAB2","FQ1 2019","FQ1 2019","Currency=USD","Period=FQ","BEST_FPERIOD_OVERRIDE=FQ","FILING_STATUS=MR","SCALING_FORMAT=MLN","Sort=A","Dates=H","DateFormat=P","Fill=—","Direction=H","UseDPDF=Y")</f>
        <v>366.51600000000002</v>
      </c>
      <c r="E72" s="19">
        <f>_xll.BDH("BLUE US Equity","BS_TOT_LIAB2","FQ2 2019","FQ2 2019","Currency=USD","Period=FQ","BEST_FPERIOD_OVERRIDE=FQ","FILING_STATUS=MR","SCALING_FORMAT=MLN","Sort=A","Dates=H","DateFormat=P","Fill=—","Direction=H","UseDPDF=Y")</f>
        <v>386.97</v>
      </c>
      <c r="F72" s="19">
        <f>_xll.BDH("BLUE US Equity","BS_TOT_LIAB2","FQ3 2019","FQ3 2019","Currency=USD","Period=FQ","BEST_FPERIOD_OVERRIDE=FQ","FILING_STATUS=MR","SCALING_FORMAT=MLN","Sort=A","Dates=H","DateFormat=P","Fill=—","Direction=H","UseDPDF=Y")</f>
        <v>420.50799999999998</v>
      </c>
      <c r="G72" s="19">
        <f>_xll.BDH("BLUE US Equity","BS_TOT_LIAB2","FQ4 2019","FQ4 2019","Currency=USD","Period=FQ","BEST_FPERIOD_OVERRIDE=FQ","FILING_STATUS=MR","SCALING_FORMAT=MLN","Sort=A","Dates=H","DateFormat=P","Fill=—","Direction=H","UseDPDF=Y")</f>
        <v>442.43099999999998</v>
      </c>
      <c r="H72" s="19">
        <f>_xll.BDH("BLUE US Equity","BS_TOT_LIAB2","FQ1 2020","FQ1 2020","Currency=USD","Period=FQ","BEST_FPERIOD_OVERRIDE=FQ","FILING_STATUS=MR","SCALING_FORMAT=MLN","Sort=A","Dates=H","DateFormat=P","Fill=—","Direction=H","UseDPDF=Y")</f>
        <v>408.67099999999999</v>
      </c>
      <c r="I72" s="19">
        <f>_xll.BDH("BLUE US Equity","BS_TOT_LIAB2","FQ2 2020","FQ2 2020","Currency=USD","Period=FQ","BEST_FPERIOD_OVERRIDE=FQ","FILING_STATUS=MR","SCALING_FORMAT=MLN","Sort=A","Dates=H","DateFormat=P","Fill=—","Direction=H","UseDPDF=Y")</f>
        <v>425.75900000000001</v>
      </c>
      <c r="J72" s="19">
        <f>_xll.BDH("BLUE US Equity","BS_TOT_LIAB2","FQ3 2020","FQ3 2020","Currency=USD","Period=FQ","BEST_FPERIOD_OVERRIDE=FQ","FILING_STATUS=MR","SCALING_FORMAT=MLN","Sort=A","Dates=H","DateFormat=P","Fill=—","Direction=H","UseDPDF=Y")</f>
        <v>422.46300000000002</v>
      </c>
      <c r="K72" s="19">
        <f>_xll.BDH("BLUE US Equity","BS_TOT_LIAB2","FQ4 2020","FQ4 2020","Currency=USD","Period=FQ","BEST_FPERIOD_OVERRIDE=FQ","FILING_STATUS=MR","SCALING_FORMAT=MLN","Sort=A","Dates=H","DateFormat=P","Fill=—","Direction=H","UseDPDF=Y")</f>
        <v>426.19600000000003</v>
      </c>
      <c r="L72" s="19">
        <f>_xll.BDH("BLUE US Equity","BS_TOT_LIAB2","FQ1 2021","FQ1 2021","Currency=USD","Period=FQ","BEST_FPERIOD_OVERRIDE=FQ","FILING_STATUS=MR","SCALING_FORMAT=MLN","Sort=A","Dates=H","DateFormat=P","Fill=—","Direction=H","UseDPDF=Y")</f>
        <v>436.94600000000003</v>
      </c>
      <c r="M72" s="19">
        <f>_xll.BDH("BLUE US Equity","BS_TOT_LIAB2","FQ2 2021","FQ2 2021","Currency=USD","Period=FQ","BEST_FPERIOD_OVERRIDE=FQ","FILING_STATUS=MR","SCALING_FORMAT=MLN","Sort=A","Dates=H","DateFormat=P","Fill=—","Direction=H","UseDPDF=Y")</f>
        <v>469.89800000000002</v>
      </c>
      <c r="N72" s="19">
        <f>_xll.BDH("BLUE US Equity","BS_TOT_LIAB2","FQ3 2021","FQ3 2021","Currency=USD","Period=FQ","BEST_FPERIOD_OVERRIDE=FQ","FILING_STATUS=MR","SCALING_FORMAT=MLN","Sort=A","Dates=H","DateFormat=P","Fill=—","Direction=H","UseDPDF=Y")</f>
        <v>469.11700000000002</v>
      </c>
      <c r="O72" s="19">
        <f>_xll.BDH("BLUE US Equity","BS_TOT_LIAB2","FQ4 2021","FQ4 2021","Currency=USD","Period=FQ","BEST_FPERIOD_OVERRIDE=FQ","FILING_STATUS=MR","SCALING_FORMAT=MLN","Sort=A","Dates=H","DateFormat=P","Fill=—","Direction=H","UseDPDF=Y")</f>
        <v>219.518</v>
      </c>
      <c r="P72" s="19">
        <f>_xll.BDH("BLUE US Equity","BS_TOT_LIAB2","FQ1 2022","FQ1 2022","Currency=USD","Period=FQ","BEST_FPERIOD_OVERRIDE=FQ","FILING_STATUS=MR","SCALING_FORMAT=MLN","Sort=A","Dates=H","DateFormat=P","Fill=—","Direction=H","UseDPDF=Y")</f>
        <v>227.81200000000001</v>
      </c>
      <c r="Q72" s="19">
        <f>_xll.BDH("BLUE US Equity","BS_TOT_LIAB2","FQ2 2022","FQ2 2022","Currency=USD","Period=FQ","BEST_FPERIOD_OVERRIDE=FQ","FILING_STATUS=MR","SCALING_FORMAT=MLN","Sort=A","Dates=H","DateFormat=P","Fill=—","Direction=H","UseDPDF=Y")</f>
        <v>393.476</v>
      </c>
      <c r="R72" s="19">
        <f>_xll.BDH("BLUE US Equity","BS_TOT_LIAB2","FQ3 2022","FQ3 2022","Currency=USD","Period=FQ","BEST_FPERIOD_OVERRIDE=FQ","FILING_STATUS=MR","SCALING_FORMAT=MLN","Sort=A","Dates=H","DateFormat=P","Fill=—","Direction=H","UseDPDF=Y")</f>
        <v>361.24099999999999</v>
      </c>
      <c r="S72" s="19">
        <f>_xll.BDH("BLUE US Equity","BS_TOT_LIAB2","FQ4 2022","FQ4 2022","Currency=USD","Period=FQ","BEST_FPERIOD_OVERRIDE=FQ","FILING_STATUS=MR","SCALING_FORMAT=MLN","Sort=A","Dates=H","DateFormat=P","Fill=—","Direction=H","UseDPDF=Y")</f>
        <v>435.48099999999999</v>
      </c>
      <c r="T72" s="19">
        <f>_xll.BDH("BLUE US Equity","BS_TOT_LIAB2","FQ1 2023","FQ1 2023","Currency=USD","Period=FQ","BEST_FPERIOD_OVERRIDE=FQ","FILING_STATUS=MR","SCALING_FORMAT=MLN","Sort=A","Dates=H","DateFormat=P","Fill=—","Direction=H","UseDPDF=Y")</f>
        <v>337.99599999999998</v>
      </c>
      <c r="U72" s="19">
        <f>_xll.BDH("BLUE US Equity","BS_TOT_LIAB2","FQ2 2023","FQ2 2023","Currency=USD","Period=FQ","BEST_FPERIOD_OVERRIDE=FQ","FILING_STATUS=MR","SCALING_FORMAT=MLN","Sort=A","Dates=H","DateFormat=P","Fill=—","Direction=H","UseDPDF=Y")</f>
        <v>374.37400000000002</v>
      </c>
      <c r="V72" s="19">
        <f>_xll.BDH("BLUE US Equity","BS_TOT_LIAB2","FQ3 2023","FQ3 2023","Currency=USD","Period=FQ","BEST_FPERIOD_OVERRIDE=FQ","FILING_STATUS=MR","SCALING_FORMAT=MLN","Sort=A","Dates=H","DateFormat=P","Fill=—","Direction=H","UseDPDF=Y")</f>
        <v>391.072</v>
      </c>
      <c r="W72" s="19">
        <f>_xll.BDH("BLUE US Equity","BS_TOT_LIAB2","FQ4 2023","FQ4 2023","Currency=USD","Period=FQ","BEST_FPERIOD_OVERRIDE=FQ","FILING_STATUS=MR","SCALING_FORMAT=MLN","Sort=A","Dates=H","DateFormat=P","Fill=—","Direction=H","UseDPDF=Y")</f>
        <v>424.62400000000002</v>
      </c>
      <c r="X72" s="19">
        <f>_xll.BDH("BLUE US Equity","BS_TOT_LIAB2","FQ1 2024","FQ1 2024","Currency=USD","Period=FQ","BEST_FPERIOD_OVERRIDE=FQ","FILING_STATUS=MR","SCALING_FORMAT=MLN","Sort=A","Dates=H","DateFormat=P","Fill=—","Direction=H","UseDPDF=Y")</f>
        <v>500.43700000000001</v>
      </c>
      <c r="Y72" s="19">
        <f>_xll.BDH("BLUE US Equity","BS_TOT_LIAB2","FQ2 2024","FQ2 2024","Currency=USD","Period=FQ","BEST_FPERIOD_OVERRIDE=FQ","FILING_STATUS=MR","SCALING_FORMAT=MLN","Sort=A","Dates=H","DateFormat=P","Fill=—","Direction=H","UseDPDF=Y")</f>
        <v>492.21199999999999</v>
      </c>
      <c r="Z72" s="19">
        <f>_xll.BDH("BLUE US Equity","BS_TOT_LIAB2","FQ3 2024","FQ3 2024","Currency=USD","Period=FQ","BEST_FPERIOD_OVERRIDE=FQ","FILING_STATUS=MR","SCALING_FORMAT=MLN","Sort=A","Dates=H","DateFormat=P","Fill=—","Direction=H","UseDPDF=Y")</f>
        <v>470.84199999999998</v>
      </c>
      <c r="AA72" s="19">
        <f>_xll.BDH("BLUE US Equity","BS_TOT_LIAB2","FQ4 2024","FQ4 2024","Currency=USD","Period=FQ","BEST_FPERIOD_OVERRIDE=FQ","FILING_STATUS=MR","SCALING_FORMAT=MLN","Sort=A","Dates=H","DateFormat=P","Fill=—","Direction=H","UseDPDF=Y")</f>
        <v>491.76600000000002</v>
      </c>
    </row>
    <row r="73" spans="1:27" x14ac:dyDescent="0.25">
      <c r="A73" s="10" t="s">
        <v>708</v>
      </c>
      <c r="B73" s="10" t="s">
        <v>167</v>
      </c>
      <c r="C73" s="13">
        <f>_xll.BDH("BLUE US Equity","PFD_EQTY_HYBRID_CAPITAL","FQ4 2018","FQ4 2018","Currency=USD","Period=FQ","BEST_FPERIOD_OVERRIDE=FQ","FILING_STATUS=MR","SCALING_FORMAT=MLN","Sort=A","Dates=H","DateFormat=P","Fill=—","Direction=H","UseDPDF=Y")</f>
        <v>0</v>
      </c>
      <c r="D73" s="13">
        <f>_xll.BDH("BLUE US Equity","PFD_EQTY_HYBRID_CAPITAL","FQ1 2019","FQ1 2019","Currency=USD","Period=FQ","BEST_FPERIOD_OVERRIDE=FQ","FILING_STATUS=MR","SCALING_FORMAT=MLN","Sort=A","Dates=H","DateFormat=P","Fill=—","Direction=H","UseDPDF=Y")</f>
        <v>0</v>
      </c>
      <c r="E73" s="13">
        <f>_xll.BDH("BLUE US Equity","PFD_EQTY_HYBRID_CAPITAL","FQ2 2019","FQ2 2019","Currency=USD","Period=FQ","BEST_FPERIOD_OVERRIDE=FQ","FILING_STATUS=MR","SCALING_FORMAT=MLN","Sort=A","Dates=H","DateFormat=P","Fill=—","Direction=H","UseDPDF=Y")</f>
        <v>0</v>
      </c>
      <c r="F73" s="13">
        <f>_xll.BDH("BLUE US Equity","PFD_EQTY_HYBRID_CAPITAL","FQ3 2019","FQ3 2019","Currency=USD","Period=FQ","BEST_FPERIOD_OVERRIDE=FQ","FILING_STATUS=MR","SCALING_FORMAT=MLN","Sort=A","Dates=H","DateFormat=P","Fill=—","Direction=H","UseDPDF=Y")</f>
        <v>0</v>
      </c>
      <c r="G73" s="13">
        <f>_xll.BDH("BLUE US Equity","PFD_EQTY_HYBRID_CAPITAL","FQ4 2019","FQ4 2019","Currency=USD","Period=FQ","BEST_FPERIOD_OVERRIDE=FQ","FILING_STATUS=MR","SCALING_FORMAT=MLN","Sort=A","Dates=H","DateFormat=P","Fill=—","Direction=H","UseDPDF=Y")</f>
        <v>0</v>
      </c>
      <c r="H73" s="13">
        <f>_xll.BDH("BLUE US Equity","PFD_EQTY_HYBRID_CAPITAL","FQ1 2020","FQ1 2020","Currency=USD","Period=FQ","BEST_FPERIOD_OVERRIDE=FQ","FILING_STATUS=MR","SCALING_FORMAT=MLN","Sort=A","Dates=H","DateFormat=P","Fill=—","Direction=H","UseDPDF=Y")</f>
        <v>0</v>
      </c>
      <c r="I73" s="13">
        <f>_xll.BDH("BLUE US Equity","PFD_EQTY_HYBRID_CAPITAL","FQ2 2020","FQ2 2020","Currency=USD","Period=FQ","BEST_FPERIOD_OVERRIDE=FQ","FILING_STATUS=MR","SCALING_FORMAT=MLN","Sort=A","Dates=H","DateFormat=P","Fill=—","Direction=H","UseDPDF=Y")</f>
        <v>0</v>
      </c>
      <c r="J73" s="13">
        <f>_xll.BDH("BLUE US Equity","PFD_EQTY_HYBRID_CAPITAL","FQ3 2020","FQ3 2020","Currency=USD","Period=FQ","BEST_FPERIOD_OVERRIDE=FQ","FILING_STATUS=MR","SCALING_FORMAT=MLN","Sort=A","Dates=H","DateFormat=P","Fill=—","Direction=H","UseDPDF=Y")</f>
        <v>0</v>
      </c>
      <c r="K73" s="13">
        <f>_xll.BDH("BLUE US Equity","PFD_EQTY_HYBRID_CAPITAL","FQ4 2020","FQ4 2020","Currency=USD","Period=FQ","BEST_FPERIOD_OVERRIDE=FQ","FILING_STATUS=MR","SCALING_FORMAT=MLN","Sort=A","Dates=H","DateFormat=P","Fill=—","Direction=H","UseDPDF=Y")</f>
        <v>0</v>
      </c>
      <c r="L73" s="13">
        <f>_xll.BDH("BLUE US Equity","PFD_EQTY_HYBRID_CAPITAL","FQ1 2021","FQ1 2021","Currency=USD","Period=FQ","BEST_FPERIOD_OVERRIDE=FQ","FILING_STATUS=MR","SCALING_FORMAT=MLN","Sort=A","Dates=H","DateFormat=P","Fill=—","Direction=H","UseDPDF=Y")</f>
        <v>0</v>
      </c>
      <c r="M73" s="13">
        <f>_xll.BDH("BLUE US Equity","PFD_EQTY_HYBRID_CAPITAL","FQ2 2021","FQ2 2021","Currency=USD","Period=FQ","BEST_FPERIOD_OVERRIDE=FQ","FILING_STATUS=MR","SCALING_FORMAT=MLN","Sort=A","Dates=H","DateFormat=P","Fill=—","Direction=H","UseDPDF=Y")</f>
        <v>0</v>
      </c>
      <c r="N73" s="13">
        <f>_xll.BDH("BLUE US Equity","PFD_EQTY_HYBRID_CAPITAL","FQ3 2021","FQ3 2021","Currency=USD","Period=FQ","BEST_FPERIOD_OVERRIDE=FQ","FILING_STATUS=MR","SCALING_FORMAT=MLN","Sort=A","Dates=H","DateFormat=P","Fill=—","Direction=H","UseDPDF=Y")</f>
        <v>0</v>
      </c>
      <c r="O73" s="13">
        <f>_xll.BDH("BLUE US Equity","PFD_EQTY_HYBRID_CAPITAL","FQ4 2021","FQ4 2021","Currency=USD","Period=FQ","BEST_FPERIOD_OVERRIDE=FQ","FILING_STATUS=MR","SCALING_FORMAT=MLN","Sort=A","Dates=H","DateFormat=P","Fill=—","Direction=H","UseDPDF=Y")</f>
        <v>0</v>
      </c>
      <c r="P73" s="13">
        <f>_xll.BDH("BLUE US Equity","PFD_EQTY_HYBRID_CAPITAL","FQ1 2022","FQ1 2022","Currency=USD","Period=FQ","BEST_FPERIOD_OVERRIDE=FQ","FILING_STATUS=MR","SCALING_FORMAT=MLN","Sort=A","Dates=H","DateFormat=P","Fill=—","Direction=H","UseDPDF=Y")</f>
        <v>0</v>
      </c>
      <c r="Q73" s="13">
        <f>_xll.BDH("BLUE US Equity","PFD_EQTY_HYBRID_CAPITAL","FQ2 2022","FQ2 2022","Currency=USD","Period=FQ","BEST_FPERIOD_OVERRIDE=FQ","FILING_STATUS=MR","SCALING_FORMAT=MLN","Sort=A","Dates=H","DateFormat=P","Fill=—","Direction=H","UseDPDF=Y")</f>
        <v>0</v>
      </c>
      <c r="R73" s="13">
        <f>_xll.BDH("BLUE US Equity","PFD_EQTY_HYBRID_CAPITAL","FQ3 2022","FQ3 2022","Currency=USD","Period=FQ","BEST_FPERIOD_OVERRIDE=FQ","FILING_STATUS=MR","SCALING_FORMAT=MLN","Sort=A","Dates=H","DateFormat=P","Fill=—","Direction=H","UseDPDF=Y")</f>
        <v>0</v>
      </c>
      <c r="S73" s="13">
        <f>_xll.BDH("BLUE US Equity","PFD_EQTY_HYBRID_CAPITAL","FQ4 2022","FQ4 2022","Currency=USD","Period=FQ","BEST_FPERIOD_OVERRIDE=FQ","FILING_STATUS=MR","SCALING_FORMAT=MLN","Sort=A","Dates=H","DateFormat=P","Fill=—","Direction=H","UseDPDF=Y")</f>
        <v>0</v>
      </c>
      <c r="T73" s="13">
        <f>_xll.BDH("BLUE US Equity","PFD_EQTY_HYBRID_CAPITAL","FQ1 2023","FQ1 2023","Currency=USD","Period=FQ","BEST_FPERIOD_OVERRIDE=FQ","FILING_STATUS=MR","SCALING_FORMAT=MLN","Sort=A","Dates=H","DateFormat=P","Fill=—","Direction=H","UseDPDF=Y")</f>
        <v>0</v>
      </c>
      <c r="U73" s="13">
        <f>_xll.BDH("BLUE US Equity","PFD_EQTY_HYBRID_CAPITAL","FQ2 2023","FQ2 2023","Currency=USD","Period=FQ","BEST_FPERIOD_OVERRIDE=FQ","FILING_STATUS=MR","SCALING_FORMAT=MLN","Sort=A","Dates=H","DateFormat=P","Fill=—","Direction=H","UseDPDF=Y")</f>
        <v>0</v>
      </c>
      <c r="V73" s="13">
        <f>_xll.BDH("BLUE US Equity","PFD_EQTY_HYBRID_CAPITAL","FQ3 2023","FQ3 2023","Currency=USD","Period=FQ","BEST_FPERIOD_OVERRIDE=FQ","FILING_STATUS=MR","SCALING_FORMAT=MLN","Sort=A","Dates=H","DateFormat=P","Fill=—","Direction=H","UseDPDF=Y")</f>
        <v>0</v>
      </c>
      <c r="W73" s="13">
        <f>_xll.BDH("BLUE US Equity","PFD_EQTY_HYBRID_CAPITAL","FQ4 2023","FQ4 2023","Currency=USD","Period=FQ","BEST_FPERIOD_OVERRIDE=FQ","FILING_STATUS=MR","SCALING_FORMAT=MLN","Sort=A","Dates=H","DateFormat=P","Fill=—","Direction=H","UseDPDF=Y")</f>
        <v>0</v>
      </c>
      <c r="X73" s="13">
        <f>_xll.BDH("BLUE US Equity","PFD_EQTY_HYBRID_CAPITAL","FQ1 2024","FQ1 2024","Currency=USD","Period=FQ","BEST_FPERIOD_OVERRIDE=FQ","FILING_STATUS=MR","SCALING_FORMAT=MLN","Sort=A","Dates=H","DateFormat=P","Fill=—","Direction=H","UseDPDF=Y")</f>
        <v>0</v>
      </c>
      <c r="Y73" s="13">
        <f>_xll.BDH("BLUE US Equity","PFD_EQTY_HYBRID_CAPITAL","FQ2 2024","FQ2 2024","Currency=USD","Period=FQ","BEST_FPERIOD_OVERRIDE=FQ","FILING_STATUS=MR","SCALING_FORMAT=MLN","Sort=A","Dates=H","DateFormat=P","Fill=—","Direction=H","UseDPDF=Y")</f>
        <v>0</v>
      </c>
      <c r="Z73" s="13">
        <f>_xll.BDH("BLUE US Equity","PFD_EQTY_HYBRID_CAPITAL","FQ3 2024","FQ3 2024","Currency=USD","Period=FQ","BEST_FPERIOD_OVERRIDE=FQ","FILING_STATUS=MR","SCALING_FORMAT=MLN","Sort=A","Dates=H","DateFormat=P","Fill=—","Direction=H","UseDPDF=Y")</f>
        <v>0</v>
      </c>
      <c r="AA73" s="13">
        <f>_xll.BDH("BLUE US Equity","PFD_EQTY_HYBRID_CAPITAL","FQ4 2024","FQ4 2024","Currency=USD","Period=FQ","BEST_FPERIOD_OVERRIDE=FQ","FILING_STATUS=MR","SCALING_FORMAT=MLN","Sort=A","Dates=H","DateFormat=P","Fill=—","Direction=H","UseDPDF=Y")</f>
        <v>0</v>
      </c>
    </row>
    <row r="74" spans="1:27" x14ac:dyDescent="0.25">
      <c r="A74" s="10" t="s">
        <v>709</v>
      </c>
      <c r="B74" s="10" t="s">
        <v>710</v>
      </c>
      <c r="C74" s="13">
        <f>_xll.BDH("BLUE US Equity","BS_SH_CAP_AND_APIC","FQ4 2018","FQ4 2018","Currency=USD","Period=FQ","BEST_FPERIOD_OVERRIDE=FQ","FILING_STATUS=MR","SCALING_FORMAT=MLN","Sort=A","Dates=H","DateFormat=P","Fill=—","Direction=H","UseDPDF=Y")</f>
        <v>3387.5050000000001</v>
      </c>
      <c r="D74" s="13">
        <f>_xll.BDH("BLUE US Equity","BS_SH_CAP_AND_APIC","FQ1 2019","FQ1 2019","Currency=USD","Period=FQ","BEST_FPERIOD_OVERRIDE=FQ","FILING_STATUS=MR","SCALING_FORMAT=MLN","Sort=A","Dates=H","DateFormat=P","Fill=—","Direction=H","UseDPDF=Y")</f>
        <v>3430.5810000000001</v>
      </c>
      <c r="E74" s="13">
        <f>_xll.BDH("BLUE US Equity","BS_SH_CAP_AND_APIC","FQ2 2019","FQ2 2019","Currency=USD","Period=FQ","BEST_FPERIOD_OVERRIDE=FQ","FILING_STATUS=MR","SCALING_FORMAT=MLN","Sort=A","Dates=H","DateFormat=P","Fill=—","Direction=H","UseDPDF=Y")</f>
        <v>3489.665</v>
      </c>
      <c r="F74" s="13">
        <f>_xll.BDH("BLUE US Equity","BS_SH_CAP_AND_APIC","FQ3 2019","FQ3 2019","Currency=USD","Period=FQ","BEST_FPERIOD_OVERRIDE=FQ","FILING_STATUS=MR","SCALING_FORMAT=MLN","Sort=A","Dates=H","DateFormat=P","Fill=—","Direction=H","UseDPDF=Y")</f>
        <v>3533.0659999999998</v>
      </c>
      <c r="G74" s="13">
        <f>_xll.BDH("BLUE US Equity","BS_SH_CAP_AND_APIC","FQ4 2019","FQ4 2019","Currency=USD","Period=FQ","BEST_FPERIOD_OVERRIDE=FQ","FILING_STATUS=MR","SCALING_FORMAT=MLN","Sort=A","Dates=H","DateFormat=P","Fill=—","Direction=H","UseDPDF=Y")</f>
        <v>3568.7379999999998</v>
      </c>
      <c r="H74" s="13">
        <f>_xll.BDH("BLUE US Equity","BS_SH_CAP_AND_APIC","FQ1 2020","FQ1 2020","Currency=USD","Period=FQ","BEST_FPERIOD_OVERRIDE=FQ","FILING_STATUS=MR","SCALING_FORMAT=MLN","Sort=A","Dates=H","DateFormat=P","Fill=—","Direction=H","UseDPDF=Y")</f>
        <v>3607.6950000000002</v>
      </c>
      <c r="I74" s="13">
        <f>_xll.BDH("BLUE US Equity","BS_SH_CAP_AND_APIC","FQ2 2020","FQ2 2020","Currency=USD","Period=FQ","BEST_FPERIOD_OVERRIDE=FQ","FILING_STATUS=MR","SCALING_FORMAT=MLN","Sort=A","Dates=H","DateFormat=P","Fill=—","Direction=H","UseDPDF=Y")</f>
        <v>4190.3590000000004</v>
      </c>
      <c r="J74" s="13">
        <f>_xll.BDH("BLUE US Equity","BS_SH_CAP_AND_APIC","FQ3 2020","FQ3 2020","Currency=USD","Period=FQ","BEST_FPERIOD_OVERRIDE=FQ","FILING_STATUS=MR","SCALING_FORMAT=MLN","Sort=A","Dates=H","DateFormat=P","Fill=—","Direction=H","UseDPDF=Y")</f>
        <v>4227.9170000000004</v>
      </c>
      <c r="K74" s="13">
        <f>_xll.BDH("BLUE US Equity","BS_SH_CAP_AND_APIC","FQ4 2020","FQ4 2020","Currency=USD","Period=FQ","BEST_FPERIOD_OVERRIDE=FQ","FILING_STATUS=MR","SCALING_FORMAT=MLN","Sort=A","Dates=H","DateFormat=P","Fill=—","Direction=H","UseDPDF=Y")</f>
        <v>4261.1080000000002</v>
      </c>
      <c r="L74" s="13">
        <f>_xll.BDH("BLUE US Equity","BS_SH_CAP_AND_APIC","FQ1 2021","FQ1 2021","Currency=USD","Period=FQ","BEST_FPERIOD_OVERRIDE=FQ","FILING_STATUS=MR","SCALING_FORMAT=MLN","Sort=A","Dates=H","DateFormat=P","Fill=—","Direction=H","UseDPDF=Y")</f>
        <v>4312.1369999999997</v>
      </c>
      <c r="M74" s="13">
        <f>_xll.BDH("BLUE US Equity","BS_SH_CAP_AND_APIC","FQ2 2021","FQ2 2021","Currency=USD","Period=FQ","BEST_FPERIOD_OVERRIDE=FQ","FILING_STATUS=MR","SCALING_FORMAT=MLN","Sort=A","Dates=H","DateFormat=P","Fill=—","Direction=H","UseDPDF=Y")</f>
        <v>4338.3950000000004</v>
      </c>
      <c r="N74" s="13">
        <f>_xll.BDH("BLUE US Equity","BS_SH_CAP_AND_APIC","FQ3 2021","FQ3 2021","Currency=USD","Period=FQ","BEST_FPERIOD_OVERRIDE=FQ","FILING_STATUS=MR","SCALING_FORMAT=MLN","Sort=A","Dates=H","DateFormat=P","Fill=—","Direction=H","UseDPDF=Y")</f>
        <v>4441.3059999999996</v>
      </c>
      <c r="O74" s="13">
        <f>_xll.BDH("BLUE US Equity","BS_SH_CAP_AND_APIC","FQ4 2021","FQ4 2021","Currency=USD","Period=FQ","BEST_FPERIOD_OVERRIDE=FQ","FILING_STATUS=MR","SCALING_FORMAT=MLN","Sort=A","Dates=H","DateFormat=P","Fill=—","Direction=H","UseDPDF=Y")</f>
        <v>4097.1130000000003</v>
      </c>
      <c r="P74" s="13">
        <f>_xll.BDH("BLUE US Equity","BS_SH_CAP_AND_APIC","FQ1 2022","FQ1 2022","Currency=USD","Period=FQ","BEST_FPERIOD_OVERRIDE=FQ","FILING_STATUS=MR","SCALING_FORMAT=MLN","Sort=A","Dates=H","DateFormat=P","Fill=—","Direction=H","UseDPDF=Y")</f>
        <v>4109.7950000000001</v>
      </c>
      <c r="Q74" s="13">
        <f>_xll.BDH("BLUE US Equity","BS_SH_CAP_AND_APIC","FQ2 2022","FQ2 2022","Currency=USD","Period=FQ","BEST_FPERIOD_OVERRIDE=FQ","FILING_STATUS=MR","SCALING_FORMAT=MLN","Sort=A","Dates=H","DateFormat=P","Fill=—","Direction=H","UseDPDF=Y")</f>
        <v>4126.7470000000003</v>
      </c>
      <c r="R74" s="13">
        <f>_xll.BDH("BLUE US Equity","BS_SH_CAP_AND_APIC","FQ3 2022","FQ3 2022","Currency=USD","Period=FQ","BEST_FPERIOD_OVERRIDE=FQ","FILING_STATUS=MR","SCALING_FORMAT=MLN","Sort=A","Dates=H","DateFormat=P","Fill=—","Direction=H","UseDPDF=Y")</f>
        <v>4182.2219999999998</v>
      </c>
      <c r="S74" s="13">
        <f>_xll.BDH("BLUE US Equity","BS_SH_CAP_AND_APIC","FQ4 2022","FQ4 2022","Currency=USD","Period=FQ","BEST_FPERIOD_OVERRIDE=FQ","FILING_STATUS=MR","SCALING_FORMAT=MLN","Sort=A","Dates=H","DateFormat=P","Fill=—","Direction=H","UseDPDF=Y")</f>
        <v>4186.8180000000002</v>
      </c>
      <c r="T74" s="13">
        <f>_xll.BDH("BLUE US Equity","BS_SH_CAP_AND_APIC","FQ1 2023","FQ1 2023","Currency=USD","Period=FQ","BEST_FPERIOD_OVERRIDE=FQ","FILING_STATUS=MR","SCALING_FORMAT=MLN","Sort=A","Dates=H","DateFormat=P","Fill=—","Direction=H","UseDPDF=Y")</f>
        <v>4323.0889999999999</v>
      </c>
      <c r="U74" s="13">
        <f>_xll.BDH("BLUE US Equity","BS_SH_CAP_AND_APIC","FQ2 2023","FQ2 2023","Currency=USD","Period=FQ","BEST_FPERIOD_OVERRIDE=FQ","FILING_STATUS=MR","SCALING_FORMAT=MLN","Sort=A","Dates=H","DateFormat=P","Fill=—","Direction=H","UseDPDF=Y")</f>
        <v>4329.5540000000001</v>
      </c>
      <c r="V74" s="13">
        <f>_xll.BDH("BLUE US Equity","BS_SH_CAP_AND_APIC","FQ3 2023","FQ3 2023","Currency=USD","Period=FQ","BEST_FPERIOD_OVERRIDE=FQ","FILING_STATUS=MR","SCALING_FORMAT=MLN","Sort=A","Dates=H","DateFormat=P","Fill=—","Direction=H","UseDPDF=Y")</f>
        <v>4334.665</v>
      </c>
      <c r="W74" s="13">
        <f>_xll.BDH("BLUE US Equity","BS_SH_CAP_AND_APIC","FQ4 2023","FQ4 2023","Currency=USD","Period=FQ","BEST_FPERIOD_OVERRIDE=FQ","FILING_STATUS=MR","SCALING_FORMAT=MLN","Sort=A","Dates=H","DateFormat=P","Fill=—","Direction=H","UseDPDF=Y")</f>
        <v>4456.6610000000001</v>
      </c>
      <c r="X74" s="13">
        <f>_xll.BDH("BLUE US Equity","BS_SH_CAP_AND_APIC","FQ1 2024","FQ1 2024","Currency=USD","Period=FQ","BEST_FPERIOD_OVERRIDE=FQ","FILING_STATUS=MR","SCALING_FORMAT=MLN","Sort=A","Dates=H","DateFormat=P","Fill=—","Direction=H","UseDPDF=Y")</f>
        <v>4463.2860000000001</v>
      </c>
      <c r="Y74" s="13">
        <f>_xll.BDH("BLUE US Equity","BS_SH_CAP_AND_APIC","FQ2 2024","FQ2 2024","Currency=USD","Period=FQ","BEST_FPERIOD_OVERRIDE=FQ","FILING_STATUS=MR","SCALING_FORMAT=MLN","Sort=A","Dates=H","DateFormat=P","Fill=—","Direction=H","UseDPDF=Y")</f>
        <v>4466.6279999999997</v>
      </c>
      <c r="Z74" s="13">
        <f>_xll.BDH("BLUE US Equity","BS_SH_CAP_AND_APIC","FQ3 2024","FQ3 2024","Currency=USD","Period=FQ","BEST_FPERIOD_OVERRIDE=FQ","FILING_STATUS=MR","SCALING_FORMAT=MLN","Sort=A","Dates=H","DateFormat=P","Fill=—","Direction=H","UseDPDF=Y")</f>
        <v>4468.058</v>
      </c>
      <c r="AA74" s="13">
        <f>_xll.BDH("BLUE US Equity","BS_SH_CAP_AND_APIC","FQ4 2024","FQ4 2024","Currency=USD","Period=FQ","BEST_FPERIOD_OVERRIDE=FQ","FILING_STATUS=MR","SCALING_FORMAT=MLN","Sort=A","Dates=H","DateFormat=P","Fill=—","Direction=H","UseDPDF=Y")</f>
        <v>4471.6419999999998</v>
      </c>
    </row>
    <row r="75" spans="1:27" x14ac:dyDescent="0.25">
      <c r="A75" s="10" t="s">
        <v>711</v>
      </c>
      <c r="B75" s="10" t="s">
        <v>712</v>
      </c>
      <c r="C75" s="13">
        <f>_xll.BDH("BLUE US Equity","BS_COMMON_STOCK","FQ4 2018","FQ4 2018","Currency=USD","Period=FQ","BEST_FPERIOD_OVERRIDE=FQ","FILING_STATUS=MR","SCALING_FORMAT=MLN","Sort=A","Dates=H","DateFormat=P","Fill=—","Direction=H","UseDPDF=Y")</f>
        <v>0.54700000000000004</v>
      </c>
      <c r="D75" s="13">
        <f>_xll.BDH("BLUE US Equity","BS_COMMON_STOCK","FQ1 2019","FQ1 2019","Currency=USD","Period=FQ","BEST_FPERIOD_OVERRIDE=FQ","FILING_STATUS=MR","SCALING_FORMAT=MLN","Sort=A","Dates=H","DateFormat=P","Fill=—","Direction=H","UseDPDF=Y")</f>
        <v>0.55100000000000005</v>
      </c>
      <c r="E75" s="13">
        <f>_xll.BDH("BLUE US Equity","BS_COMMON_STOCK","FQ2 2019","FQ2 2019","Currency=USD","Period=FQ","BEST_FPERIOD_OVERRIDE=FQ","FILING_STATUS=MR","SCALING_FORMAT=MLN","Sort=A","Dates=H","DateFormat=P","Fill=—","Direction=H","UseDPDF=Y")</f>
        <v>0.55300000000000005</v>
      </c>
      <c r="F75" s="13">
        <f>_xll.BDH("BLUE US Equity","BS_COMMON_STOCK","FQ3 2019","FQ3 2019","Currency=USD","Period=FQ","BEST_FPERIOD_OVERRIDE=FQ","FILING_STATUS=MR","SCALING_FORMAT=MLN","Sort=A","Dates=H","DateFormat=P","Fill=—","Direction=H","UseDPDF=Y")</f>
        <v>0.55300000000000005</v>
      </c>
      <c r="G75" s="13">
        <f>_xll.BDH("BLUE US Equity","BS_COMMON_STOCK","FQ4 2019","FQ4 2019","Currency=USD","Period=FQ","BEST_FPERIOD_OVERRIDE=FQ","FILING_STATUS=MR","SCALING_FORMAT=MLN","Sort=A","Dates=H","DateFormat=P","Fill=—","Direction=H","UseDPDF=Y")</f>
        <v>0.55400000000000005</v>
      </c>
      <c r="H75" s="13">
        <f>_xll.BDH("BLUE US Equity","BS_COMMON_STOCK","FQ1 2020","FQ1 2020","Currency=USD","Period=FQ","BEST_FPERIOD_OVERRIDE=FQ","FILING_STATUS=MR","SCALING_FORMAT=MLN","Sort=A","Dates=H","DateFormat=P","Fill=—","Direction=H","UseDPDF=Y")</f>
        <v>0.55600000000000005</v>
      </c>
      <c r="I75" s="13">
        <f>_xll.BDH("BLUE US Equity","BS_COMMON_STOCK","FQ2 2020","FQ2 2020","Currency=USD","Period=FQ","BEST_FPERIOD_OVERRIDE=FQ","FILING_STATUS=MR","SCALING_FORMAT=MLN","Sort=A","Dates=H","DateFormat=P","Fill=—","Direction=H","UseDPDF=Y")</f>
        <v>0.66200000000000003</v>
      </c>
      <c r="J75" s="13">
        <f>_xll.BDH("BLUE US Equity","BS_COMMON_STOCK","FQ3 2020","FQ3 2020","Currency=USD","Period=FQ","BEST_FPERIOD_OVERRIDE=FQ","FILING_STATUS=MR","SCALING_FORMAT=MLN","Sort=A","Dates=H","DateFormat=P","Fill=—","Direction=H","UseDPDF=Y")</f>
        <v>0.66300000000000003</v>
      </c>
      <c r="K75" s="13">
        <f>_xll.BDH("BLUE US Equity","BS_COMMON_STOCK","FQ4 2020","FQ4 2020","Currency=USD","Period=FQ","BEST_FPERIOD_OVERRIDE=FQ","FILING_STATUS=MR","SCALING_FORMAT=MLN","Sort=A","Dates=H","DateFormat=P","Fill=—","Direction=H","UseDPDF=Y")</f>
        <v>0.66500000000000004</v>
      </c>
      <c r="L75" s="13">
        <f>_xll.BDH("BLUE US Equity","BS_COMMON_STOCK","FQ1 2021","FQ1 2021","Currency=USD","Period=FQ","BEST_FPERIOD_OVERRIDE=FQ","FILING_STATUS=MR","SCALING_FORMAT=MLN","Sort=A","Dates=H","DateFormat=P","Fill=—","Direction=H","UseDPDF=Y")</f>
        <v>0.67500000000000004</v>
      </c>
      <c r="M75" s="13">
        <f>_xll.BDH("BLUE US Equity","BS_COMMON_STOCK","FQ2 2021","FQ2 2021","Currency=USD","Period=FQ","BEST_FPERIOD_OVERRIDE=FQ","FILING_STATUS=MR","SCALING_FORMAT=MLN","Sort=A","Dates=H","DateFormat=P","Fill=—","Direction=H","UseDPDF=Y")</f>
        <v>0.67600000000000005</v>
      </c>
      <c r="N75" s="13">
        <f>_xll.BDH("BLUE US Equity","BS_COMMON_STOCK","FQ3 2021","FQ3 2021","Currency=USD","Period=FQ","BEST_FPERIOD_OVERRIDE=FQ","FILING_STATUS=MR","SCALING_FORMAT=MLN","Sort=A","Dates=H","DateFormat=P","Fill=—","Direction=H","UseDPDF=Y")</f>
        <v>0.70099999999999996</v>
      </c>
      <c r="O75" s="13">
        <f>_xll.BDH("BLUE US Equity","BS_COMMON_STOCK","FQ4 2021","FQ4 2021","Currency=USD","Period=FQ","BEST_FPERIOD_OVERRIDE=FQ","FILING_STATUS=MR","SCALING_FORMAT=MLN","Sort=A","Dates=H","DateFormat=P","Fill=—","Direction=H","UseDPDF=Y")</f>
        <v>0.71099999999999997</v>
      </c>
      <c r="P75" s="13">
        <f>_xll.BDH("BLUE US Equity","BS_COMMON_STOCK","FQ1 2022","FQ1 2022","Currency=USD","Period=FQ","BEST_FPERIOD_OVERRIDE=FQ","FILING_STATUS=MR","SCALING_FORMAT=MLN","Sort=A","Dates=H","DateFormat=P","Fill=—","Direction=H","UseDPDF=Y")</f>
        <v>0.71399999999999997</v>
      </c>
      <c r="Q75" s="13">
        <f>_xll.BDH("BLUE US Equity","BS_COMMON_STOCK","FQ2 2022","FQ2 2022","Currency=USD","Period=FQ","BEST_FPERIOD_OVERRIDE=FQ","FILING_STATUS=MR","SCALING_FORMAT=MLN","Sort=A","Dates=H","DateFormat=P","Fill=—","Direction=H","UseDPDF=Y")</f>
        <v>0.73499999999999999</v>
      </c>
      <c r="R75" s="13">
        <f>_xll.BDH("BLUE US Equity","BS_COMMON_STOCK","FQ3 2022","FQ3 2022","Currency=USD","Period=FQ","BEST_FPERIOD_OVERRIDE=FQ","FILING_STATUS=MR","SCALING_FORMAT=MLN","Sort=A","Dates=H","DateFormat=P","Fill=—","Direction=H","UseDPDF=Y")</f>
        <v>0.82899999999999996</v>
      </c>
      <c r="S75" s="13">
        <f>_xll.BDH("BLUE US Equity","BS_COMMON_STOCK","FQ4 2022","FQ4 2022","Currency=USD","Period=FQ","BEST_FPERIOD_OVERRIDE=FQ","FILING_STATUS=MR","SCALING_FORMAT=MLN","Sort=A","Dates=H","DateFormat=P","Fill=—","Direction=H","UseDPDF=Y")</f>
        <v>0.83</v>
      </c>
      <c r="T75" s="13">
        <f>_xll.BDH("BLUE US Equity","BS_COMMON_STOCK","FQ1 2023","FQ1 2023","Currency=USD","Period=FQ","BEST_FPERIOD_OVERRIDE=FQ","FILING_STATUS=MR","SCALING_FORMAT=MLN","Sort=A","Dates=H","DateFormat=P","Fill=—","Direction=H","UseDPDF=Y")</f>
        <v>1.0640000000000001</v>
      </c>
      <c r="U75" s="13">
        <f>_xll.BDH("BLUE US Equity","BS_COMMON_STOCK","FQ2 2023","FQ2 2023","Currency=USD","Period=FQ","BEST_FPERIOD_OVERRIDE=FQ","FILING_STATUS=MR","SCALING_FORMAT=MLN","Sort=A","Dates=H","DateFormat=P","Fill=—","Direction=H","UseDPDF=Y")</f>
        <v>1.0649999999999999</v>
      </c>
      <c r="V75" s="13">
        <f>_xll.BDH("BLUE US Equity","BS_COMMON_STOCK","FQ3 2023","FQ3 2023","Currency=USD","Period=FQ","BEST_FPERIOD_OVERRIDE=FQ","FILING_STATUS=MR","SCALING_FORMAT=MLN","Sort=A","Dates=H","DateFormat=P","Fill=—","Direction=H","UseDPDF=Y")</f>
        <v>1.071</v>
      </c>
      <c r="W75" s="13">
        <f>_xll.BDH("BLUE US Equity","BS_COMMON_STOCK","FQ4 2023","FQ4 2023","Currency=USD","Period=FQ","BEST_FPERIOD_OVERRIDE=FQ","FILING_STATUS=MR","SCALING_FORMAT=MLN","Sort=A","Dates=H","DateFormat=P","Fill=—","Direction=H","UseDPDF=Y")</f>
        <v>1.905</v>
      </c>
      <c r="X75" s="13">
        <f>_xll.BDH("BLUE US Equity","BS_COMMON_STOCK","FQ1 2024","FQ1 2024","Currency=USD","Period=FQ","BEST_FPERIOD_OVERRIDE=FQ","FILING_STATUS=MR","SCALING_FORMAT=MLN","Sort=A","Dates=H","DateFormat=P","Fill=—","Direction=H","UseDPDF=Y")</f>
        <v>1.913</v>
      </c>
      <c r="Y75" s="13">
        <f>_xll.BDH("BLUE US Equity","BS_COMMON_STOCK","FQ2 2024","FQ2 2024","Currency=USD","Period=FQ","BEST_FPERIOD_OVERRIDE=FQ","FILING_STATUS=MR","SCALING_FORMAT=MLN","Sort=A","Dates=H","DateFormat=P","Fill=—","Direction=H","UseDPDF=Y")</f>
        <v>1.9159999999999999</v>
      </c>
      <c r="Z75" s="13">
        <f>_xll.BDH("BLUE US Equity","BS_COMMON_STOCK","FQ3 2024","FQ3 2024","Currency=USD","Period=FQ","BEST_FPERIOD_OVERRIDE=FQ","FILING_STATUS=MR","SCALING_FORMAT=MLN","Sort=A","Dates=H","DateFormat=P","Fill=—","Direction=H","UseDPDF=Y")</f>
        <v>1.917</v>
      </c>
      <c r="AA75" s="13">
        <f>_xll.BDH("BLUE US Equity","BS_COMMON_STOCK","FQ4 2024","FQ4 2024","Currency=USD","Period=FQ","BEST_FPERIOD_OVERRIDE=FQ","FILING_STATUS=MR","SCALING_FORMAT=MLN","Sort=A","Dates=H","DateFormat=P","Fill=—","Direction=H","UseDPDF=Y")</f>
        <v>1.923</v>
      </c>
    </row>
    <row r="76" spans="1:27" x14ac:dyDescent="0.25">
      <c r="A76" s="10" t="s">
        <v>713</v>
      </c>
      <c r="B76" s="10" t="s">
        <v>714</v>
      </c>
      <c r="C76" s="13">
        <f>_xll.BDH("BLUE US Equity","BS_ADD_PAID_IN_CAP","FQ4 2018","FQ4 2018","Currency=USD","Period=FQ","BEST_FPERIOD_OVERRIDE=FQ","FILING_STATUS=MR","SCALING_FORMAT=MLN","Sort=A","Dates=H","DateFormat=P","Fill=—","Direction=H","UseDPDF=Y")</f>
        <v>3386.9580000000001</v>
      </c>
      <c r="D76" s="13">
        <f>_xll.BDH("BLUE US Equity","BS_ADD_PAID_IN_CAP","FQ1 2019","FQ1 2019","Currency=USD","Period=FQ","BEST_FPERIOD_OVERRIDE=FQ","FILING_STATUS=MR","SCALING_FORMAT=MLN","Sort=A","Dates=H","DateFormat=P","Fill=—","Direction=H","UseDPDF=Y")</f>
        <v>3430.03</v>
      </c>
      <c r="E76" s="13">
        <f>_xll.BDH("BLUE US Equity","BS_ADD_PAID_IN_CAP","FQ2 2019","FQ2 2019","Currency=USD","Period=FQ","BEST_FPERIOD_OVERRIDE=FQ","FILING_STATUS=MR","SCALING_FORMAT=MLN","Sort=A","Dates=H","DateFormat=P","Fill=—","Direction=H","UseDPDF=Y")</f>
        <v>3489.1120000000001</v>
      </c>
      <c r="F76" s="13">
        <f>_xll.BDH("BLUE US Equity","BS_ADD_PAID_IN_CAP","FQ3 2019","FQ3 2019","Currency=USD","Period=FQ","BEST_FPERIOD_OVERRIDE=FQ","FILING_STATUS=MR","SCALING_FORMAT=MLN","Sort=A","Dates=H","DateFormat=P","Fill=—","Direction=H","UseDPDF=Y")</f>
        <v>3532.5129999999999</v>
      </c>
      <c r="G76" s="13">
        <f>_xll.BDH("BLUE US Equity","BS_ADD_PAID_IN_CAP","FQ4 2019","FQ4 2019","Currency=USD","Period=FQ","BEST_FPERIOD_OVERRIDE=FQ","FILING_STATUS=MR","SCALING_FORMAT=MLN","Sort=A","Dates=H","DateFormat=P","Fill=—","Direction=H","UseDPDF=Y")</f>
        <v>3568.1840000000002</v>
      </c>
      <c r="H76" s="13">
        <f>_xll.BDH("BLUE US Equity","BS_ADD_PAID_IN_CAP","FQ1 2020","FQ1 2020","Currency=USD","Period=FQ","BEST_FPERIOD_OVERRIDE=FQ","FILING_STATUS=MR","SCALING_FORMAT=MLN","Sort=A","Dates=H","DateFormat=P","Fill=—","Direction=H","UseDPDF=Y")</f>
        <v>3607.1390000000001</v>
      </c>
      <c r="I76" s="13">
        <f>_xll.BDH("BLUE US Equity","BS_ADD_PAID_IN_CAP","FQ2 2020","FQ2 2020","Currency=USD","Period=FQ","BEST_FPERIOD_OVERRIDE=FQ","FILING_STATUS=MR","SCALING_FORMAT=MLN","Sort=A","Dates=H","DateFormat=P","Fill=—","Direction=H","UseDPDF=Y")</f>
        <v>4189.6970000000001</v>
      </c>
      <c r="J76" s="13">
        <f>_xll.BDH("BLUE US Equity","BS_ADD_PAID_IN_CAP","FQ3 2020","FQ3 2020","Currency=USD","Period=FQ","BEST_FPERIOD_OVERRIDE=FQ","FILING_STATUS=MR","SCALING_FORMAT=MLN","Sort=A","Dates=H","DateFormat=P","Fill=—","Direction=H","UseDPDF=Y")</f>
        <v>4227.2539999999999</v>
      </c>
      <c r="K76" s="13">
        <f>_xll.BDH("BLUE US Equity","BS_ADD_PAID_IN_CAP","FQ4 2020","FQ4 2020","Currency=USD","Period=FQ","BEST_FPERIOD_OVERRIDE=FQ","FILING_STATUS=MR","SCALING_FORMAT=MLN","Sort=A","Dates=H","DateFormat=P","Fill=—","Direction=H","UseDPDF=Y")</f>
        <v>4260.4430000000002</v>
      </c>
      <c r="L76" s="13">
        <f>_xll.BDH("BLUE US Equity","BS_ADD_PAID_IN_CAP","FQ1 2021","FQ1 2021","Currency=USD","Period=FQ","BEST_FPERIOD_OVERRIDE=FQ","FILING_STATUS=MR","SCALING_FORMAT=MLN","Sort=A","Dates=H","DateFormat=P","Fill=—","Direction=H","UseDPDF=Y")</f>
        <v>4311.4620000000004</v>
      </c>
      <c r="M76" s="13">
        <f>_xll.BDH("BLUE US Equity","BS_ADD_PAID_IN_CAP","FQ2 2021","FQ2 2021","Currency=USD","Period=FQ","BEST_FPERIOD_OVERRIDE=FQ","FILING_STATUS=MR","SCALING_FORMAT=MLN","Sort=A","Dates=H","DateFormat=P","Fill=—","Direction=H","UseDPDF=Y")</f>
        <v>4337.7190000000001</v>
      </c>
      <c r="N76" s="13">
        <f>_xll.BDH("BLUE US Equity","BS_ADD_PAID_IN_CAP","FQ3 2021","FQ3 2021","Currency=USD","Period=FQ","BEST_FPERIOD_OVERRIDE=FQ","FILING_STATUS=MR","SCALING_FORMAT=MLN","Sort=A","Dates=H","DateFormat=P","Fill=—","Direction=H","UseDPDF=Y")</f>
        <v>4440.6049999999996</v>
      </c>
      <c r="O76" s="13">
        <f>_xll.BDH("BLUE US Equity","BS_ADD_PAID_IN_CAP","FQ4 2021","FQ4 2021","Currency=USD","Period=FQ","BEST_FPERIOD_OVERRIDE=FQ","FILING_STATUS=MR","SCALING_FORMAT=MLN","Sort=A","Dates=H","DateFormat=P","Fill=—","Direction=H","UseDPDF=Y")</f>
        <v>4096.402</v>
      </c>
      <c r="P76" s="13">
        <f>_xll.BDH("BLUE US Equity","BS_ADD_PAID_IN_CAP","FQ1 2022","FQ1 2022","Currency=USD","Period=FQ","BEST_FPERIOD_OVERRIDE=FQ","FILING_STATUS=MR","SCALING_FORMAT=MLN","Sort=A","Dates=H","DateFormat=P","Fill=—","Direction=H","UseDPDF=Y")</f>
        <v>4109.0810000000001</v>
      </c>
      <c r="Q76" s="13">
        <f>_xll.BDH("BLUE US Equity","BS_ADD_PAID_IN_CAP","FQ2 2022","FQ2 2022","Currency=USD","Period=FQ","BEST_FPERIOD_OVERRIDE=FQ","FILING_STATUS=MR","SCALING_FORMAT=MLN","Sort=A","Dates=H","DateFormat=P","Fill=—","Direction=H","UseDPDF=Y")</f>
        <v>4126.0119999999997</v>
      </c>
      <c r="R76" s="13">
        <f>_xll.BDH("BLUE US Equity","BS_ADD_PAID_IN_CAP","FQ3 2022","FQ3 2022","Currency=USD","Period=FQ","BEST_FPERIOD_OVERRIDE=FQ","FILING_STATUS=MR","SCALING_FORMAT=MLN","Sort=A","Dates=H","DateFormat=P","Fill=—","Direction=H","UseDPDF=Y")</f>
        <v>4181.393</v>
      </c>
      <c r="S76" s="13">
        <f>_xll.BDH("BLUE US Equity","BS_ADD_PAID_IN_CAP","FQ4 2022","FQ4 2022","Currency=USD","Period=FQ","BEST_FPERIOD_OVERRIDE=FQ","FILING_STATUS=MR","SCALING_FORMAT=MLN","Sort=A","Dates=H","DateFormat=P","Fill=—","Direction=H","UseDPDF=Y")</f>
        <v>4185.9880000000003</v>
      </c>
      <c r="T76" s="13">
        <f>_xll.BDH("BLUE US Equity","BS_ADD_PAID_IN_CAP","FQ1 2023","FQ1 2023","Currency=USD","Period=FQ","BEST_FPERIOD_OVERRIDE=FQ","FILING_STATUS=MR","SCALING_FORMAT=MLN","Sort=A","Dates=H","DateFormat=P","Fill=—","Direction=H","UseDPDF=Y")</f>
        <v>4322.0249999999996</v>
      </c>
      <c r="U76" s="13">
        <f>_xll.BDH("BLUE US Equity","BS_ADD_PAID_IN_CAP","FQ2 2023","FQ2 2023","Currency=USD","Period=FQ","BEST_FPERIOD_OVERRIDE=FQ","FILING_STATUS=MR","SCALING_FORMAT=MLN","Sort=A","Dates=H","DateFormat=P","Fill=—","Direction=H","UseDPDF=Y")</f>
        <v>4328.4889999999996</v>
      </c>
      <c r="V76" s="13">
        <f>_xll.BDH("BLUE US Equity","BS_ADD_PAID_IN_CAP","FQ3 2023","FQ3 2023","Currency=USD","Period=FQ","BEST_FPERIOD_OVERRIDE=FQ","FILING_STATUS=MR","SCALING_FORMAT=MLN","Sort=A","Dates=H","DateFormat=P","Fill=—","Direction=H","UseDPDF=Y")</f>
        <v>4333.5940000000001</v>
      </c>
      <c r="W76" s="13">
        <f>_xll.BDH("BLUE US Equity","BS_ADD_PAID_IN_CAP","FQ4 2023","FQ4 2023","Currency=USD","Period=FQ","BEST_FPERIOD_OVERRIDE=FQ","FILING_STATUS=MR","SCALING_FORMAT=MLN","Sort=A","Dates=H","DateFormat=P","Fill=—","Direction=H","UseDPDF=Y")</f>
        <v>4454.7560000000003</v>
      </c>
      <c r="X76" s="13">
        <f>_xll.BDH("BLUE US Equity","BS_ADD_PAID_IN_CAP","FQ1 2024","FQ1 2024","Currency=USD","Period=FQ","BEST_FPERIOD_OVERRIDE=FQ","FILING_STATUS=MR","SCALING_FORMAT=MLN","Sort=A","Dates=H","DateFormat=P","Fill=—","Direction=H","UseDPDF=Y")</f>
        <v>4461.3729999999996</v>
      </c>
      <c r="Y76" s="13">
        <f>_xll.BDH("BLUE US Equity","BS_ADD_PAID_IN_CAP","FQ2 2024","FQ2 2024","Currency=USD","Period=FQ","BEST_FPERIOD_OVERRIDE=FQ","FILING_STATUS=MR","SCALING_FORMAT=MLN","Sort=A","Dates=H","DateFormat=P","Fill=—","Direction=H","UseDPDF=Y")</f>
        <v>4464.7120000000004</v>
      </c>
      <c r="Z76" s="13">
        <f>_xll.BDH("BLUE US Equity","BS_ADD_PAID_IN_CAP","FQ3 2024","FQ3 2024","Currency=USD","Period=FQ","BEST_FPERIOD_OVERRIDE=FQ","FILING_STATUS=MR","SCALING_FORMAT=MLN","Sort=A","Dates=H","DateFormat=P","Fill=—","Direction=H","UseDPDF=Y")</f>
        <v>4466.1409999999996</v>
      </c>
      <c r="AA76" s="13">
        <f>_xll.BDH("BLUE US Equity","BS_ADD_PAID_IN_CAP","FQ4 2024","FQ4 2024","Currency=USD","Period=FQ","BEST_FPERIOD_OVERRIDE=FQ","FILING_STATUS=MR","SCALING_FORMAT=MLN","Sort=A","Dates=H","DateFormat=P","Fill=—","Direction=H","UseDPDF=Y")</f>
        <v>4469.7190000000001</v>
      </c>
    </row>
    <row r="77" spans="1:27" x14ac:dyDescent="0.25">
      <c r="A77" s="10" t="s">
        <v>715</v>
      </c>
      <c r="B77" s="10" t="s">
        <v>716</v>
      </c>
      <c r="C77" s="13">
        <f>_xll.BDH("BLUE US Equity","BS_AMT_OF_TSY_STOCK","FQ4 2018","FQ4 2018","Currency=USD","Period=FQ","BEST_FPERIOD_OVERRIDE=FQ","FILING_STATUS=MR","SCALING_FORMAT=MLN","Sort=A","Dates=H","DateFormat=P","Fill=—","Direction=H","UseDPDF=Y")</f>
        <v>0</v>
      </c>
      <c r="D77" s="13">
        <f>_xll.BDH("BLUE US Equity","BS_AMT_OF_TSY_STOCK","FQ1 2019","FQ1 2019","Currency=USD","Period=FQ","BEST_FPERIOD_OVERRIDE=FQ","FILING_STATUS=MR","SCALING_FORMAT=MLN","Sort=A","Dates=H","DateFormat=P","Fill=—","Direction=H","UseDPDF=Y")</f>
        <v>0</v>
      </c>
      <c r="E77" s="13">
        <f>_xll.BDH("BLUE US Equity","BS_AMT_OF_TSY_STOCK","FQ2 2019","FQ2 2019","Currency=USD","Period=FQ","BEST_FPERIOD_OVERRIDE=FQ","FILING_STATUS=MR","SCALING_FORMAT=MLN","Sort=A","Dates=H","DateFormat=P","Fill=—","Direction=H","UseDPDF=Y")</f>
        <v>0</v>
      </c>
      <c r="F77" s="13">
        <f>_xll.BDH("BLUE US Equity","BS_AMT_OF_TSY_STOCK","FQ3 2019","FQ3 2019","Currency=USD","Period=FQ","BEST_FPERIOD_OVERRIDE=FQ","FILING_STATUS=MR","SCALING_FORMAT=MLN","Sort=A","Dates=H","DateFormat=P","Fill=—","Direction=H","UseDPDF=Y")</f>
        <v>0</v>
      </c>
      <c r="G77" s="13">
        <f>_xll.BDH("BLUE US Equity","BS_AMT_OF_TSY_STOCK","FQ4 2019","FQ4 2019","Currency=USD","Period=FQ","BEST_FPERIOD_OVERRIDE=FQ","FILING_STATUS=MR","SCALING_FORMAT=MLN","Sort=A","Dates=H","DateFormat=P","Fill=—","Direction=H","UseDPDF=Y")</f>
        <v>0</v>
      </c>
      <c r="H77" s="13">
        <f>_xll.BDH("BLUE US Equity","BS_AMT_OF_TSY_STOCK","FQ1 2020","FQ1 2020","Currency=USD","Period=FQ","BEST_FPERIOD_OVERRIDE=FQ","FILING_STATUS=MR","SCALING_FORMAT=MLN","Sort=A","Dates=H","DateFormat=P","Fill=—","Direction=H","UseDPDF=Y")</f>
        <v>0</v>
      </c>
      <c r="I77" s="13">
        <f>_xll.BDH("BLUE US Equity","BS_AMT_OF_TSY_STOCK","FQ2 2020","FQ2 2020","Currency=USD","Period=FQ","BEST_FPERIOD_OVERRIDE=FQ","FILING_STATUS=MR","SCALING_FORMAT=MLN","Sort=A","Dates=H","DateFormat=P","Fill=—","Direction=H","UseDPDF=Y")</f>
        <v>0</v>
      </c>
      <c r="J77" s="13">
        <f>_xll.BDH("BLUE US Equity","BS_AMT_OF_TSY_STOCK","FQ3 2020","FQ3 2020","Currency=USD","Period=FQ","BEST_FPERIOD_OVERRIDE=FQ","FILING_STATUS=MR","SCALING_FORMAT=MLN","Sort=A","Dates=H","DateFormat=P","Fill=—","Direction=H","UseDPDF=Y")</f>
        <v>0</v>
      </c>
      <c r="K77" s="13">
        <f>_xll.BDH("BLUE US Equity","BS_AMT_OF_TSY_STOCK","FQ4 2020","FQ4 2020","Currency=USD","Period=FQ","BEST_FPERIOD_OVERRIDE=FQ","FILING_STATUS=MR","SCALING_FORMAT=MLN","Sort=A","Dates=H","DateFormat=P","Fill=—","Direction=H","UseDPDF=Y")</f>
        <v>0</v>
      </c>
      <c r="L77" s="13">
        <f>_xll.BDH("BLUE US Equity","BS_AMT_OF_TSY_STOCK","FQ1 2021","FQ1 2021","Currency=USD","Period=FQ","BEST_FPERIOD_OVERRIDE=FQ","FILING_STATUS=MR","SCALING_FORMAT=MLN","Sort=A","Dates=H","DateFormat=P","Fill=—","Direction=H","UseDPDF=Y")</f>
        <v>0</v>
      </c>
      <c r="M77" s="13">
        <f>_xll.BDH("BLUE US Equity","BS_AMT_OF_TSY_STOCK","FQ2 2021","FQ2 2021","Currency=USD","Period=FQ","BEST_FPERIOD_OVERRIDE=FQ","FILING_STATUS=MR","SCALING_FORMAT=MLN","Sort=A","Dates=H","DateFormat=P","Fill=—","Direction=H","UseDPDF=Y")</f>
        <v>0</v>
      </c>
      <c r="N77" s="13">
        <f>_xll.BDH("BLUE US Equity","BS_AMT_OF_TSY_STOCK","FQ3 2021","FQ3 2021","Currency=USD","Period=FQ","BEST_FPERIOD_OVERRIDE=FQ","FILING_STATUS=MR","SCALING_FORMAT=MLN","Sort=A","Dates=H","DateFormat=P","Fill=—","Direction=H","UseDPDF=Y")</f>
        <v>0</v>
      </c>
      <c r="O77" s="13">
        <f>_xll.BDH("BLUE US Equity","BS_AMT_OF_TSY_STOCK","FQ4 2021","FQ4 2021","Currency=USD","Period=FQ","BEST_FPERIOD_OVERRIDE=FQ","FILING_STATUS=MR","SCALING_FORMAT=MLN","Sort=A","Dates=H","DateFormat=P","Fill=—","Direction=H","UseDPDF=Y")</f>
        <v>0</v>
      </c>
      <c r="P77" s="13">
        <f>_xll.BDH("BLUE US Equity","BS_AMT_OF_TSY_STOCK","FQ1 2022","FQ1 2022","Currency=USD","Period=FQ","BEST_FPERIOD_OVERRIDE=FQ","FILING_STATUS=MR","SCALING_FORMAT=MLN","Sort=A","Dates=H","DateFormat=P","Fill=—","Direction=H","UseDPDF=Y")</f>
        <v>0</v>
      </c>
      <c r="Q77" s="13">
        <f>_xll.BDH("BLUE US Equity","BS_AMT_OF_TSY_STOCK","FQ2 2022","FQ2 2022","Currency=USD","Period=FQ","BEST_FPERIOD_OVERRIDE=FQ","FILING_STATUS=MR","SCALING_FORMAT=MLN","Sort=A","Dates=H","DateFormat=P","Fill=—","Direction=H","UseDPDF=Y")</f>
        <v>0</v>
      </c>
      <c r="R77" s="13">
        <f>_xll.BDH("BLUE US Equity","BS_AMT_OF_TSY_STOCK","FQ3 2022","FQ3 2022","Currency=USD","Period=FQ","BEST_FPERIOD_OVERRIDE=FQ","FILING_STATUS=MR","SCALING_FORMAT=MLN","Sort=A","Dates=H","DateFormat=P","Fill=—","Direction=H","UseDPDF=Y")</f>
        <v>0</v>
      </c>
      <c r="S77" s="13">
        <f>_xll.BDH("BLUE US Equity","BS_AMT_OF_TSY_STOCK","FQ4 2022","FQ4 2022","Currency=USD","Period=FQ","BEST_FPERIOD_OVERRIDE=FQ","FILING_STATUS=MR","SCALING_FORMAT=MLN","Sort=A","Dates=H","DateFormat=P","Fill=—","Direction=H","UseDPDF=Y")</f>
        <v>0</v>
      </c>
      <c r="T77" s="13">
        <f>_xll.BDH("BLUE US Equity","BS_AMT_OF_TSY_STOCK","FQ1 2023","FQ1 2023","Currency=USD","Period=FQ","BEST_FPERIOD_OVERRIDE=FQ","FILING_STATUS=MR","SCALING_FORMAT=MLN","Sort=A","Dates=H","DateFormat=P","Fill=—","Direction=H","UseDPDF=Y")</f>
        <v>0</v>
      </c>
      <c r="U77" s="13">
        <f>_xll.BDH("BLUE US Equity","BS_AMT_OF_TSY_STOCK","FQ2 2023","FQ2 2023","Currency=USD","Period=FQ","BEST_FPERIOD_OVERRIDE=FQ","FILING_STATUS=MR","SCALING_FORMAT=MLN","Sort=A","Dates=H","DateFormat=P","Fill=—","Direction=H","UseDPDF=Y")</f>
        <v>0</v>
      </c>
      <c r="V77" s="13">
        <f>_xll.BDH("BLUE US Equity","BS_AMT_OF_TSY_STOCK","FQ3 2023","FQ3 2023","Currency=USD","Period=FQ","BEST_FPERIOD_OVERRIDE=FQ","FILING_STATUS=MR","SCALING_FORMAT=MLN","Sort=A","Dates=H","DateFormat=P","Fill=—","Direction=H","UseDPDF=Y")</f>
        <v>0</v>
      </c>
      <c r="W77" s="13">
        <f>_xll.BDH("BLUE US Equity","BS_AMT_OF_TSY_STOCK","FQ4 2023","FQ4 2023","Currency=USD","Period=FQ","BEST_FPERIOD_OVERRIDE=FQ","FILING_STATUS=MR","SCALING_FORMAT=MLN","Sort=A","Dates=H","DateFormat=P","Fill=—","Direction=H","UseDPDF=Y")</f>
        <v>0</v>
      </c>
      <c r="X77" s="13">
        <f>_xll.BDH("BLUE US Equity","BS_AMT_OF_TSY_STOCK","FQ1 2024","FQ1 2024","Currency=USD","Period=FQ","BEST_FPERIOD_OVERRIDE=FQ","FILING_STATUS=MR","SCALING_FORMAT=MLN","Sort=A","Dates=H","DateFormat=P","Fill=—","Direction=H","UseDPDF=Y")</f>
        <v>0</v>
      </c>
      <c r="Y77" s="13">
        <f>_xll.BDH("BLUE US Equity","BS_AMT_OF_TSY_STOCK","FQ2 2024","FQ2 2024","Currency=USD","Period=FQ","BEST_FPERIOD_OVERRIDE=FQ","FILING_STATUS=MR","SCALING_FORMAT=MLN","Sort=A","Dates=H","DateFormat=P","Fill=—","Direction=H","UseDPDF=Y")</f>
        <v>0</v>
      </c>
      <c r="Z77" s="13">
        <f>_xll.BDH("BLUE US Equity","BS_AMT_OF_TSY_STOCK","FQ3 2024","FQ3 2024","Currency=USD","Period=FQ","BEST_FPERIOD_OVERRIDE=FQ","FILING_STATUS=MR","SCALING_FORMAT=MLN","Sort=A","Dates=H","DateFormat=P","Fill=—","Direction=H","UseDPDF=Y")</f>
        <v>0</v>
      </c>
      <c r="AA77" s="13">
        <f>_xll.BDH("BLUE US Equity","BS_AMT_OF_TSY_STOCK","FQ4 2024","FQ4 2024","Currency=USD","Period=FQ","BEST_FPERIOD_OVERRIDE=FQ","FILING_STATUS=MR","SCALING_FORMAT=MLN","Sort=A","Dates=H","DateFormat=P","Fill=—","Direction=H","UseDPDF=Y")</f>
        <v>0</v>
      </c>
    </row>
    <row r="78" spans="1:27" x14ac:dyDescent="0.25">
      <c r="A78" s="10" t="s">
        <v>717</v>
      </c>
      <c r="B78" s="10" t="s">
        <v>718</v>
      </c>
      <c r="C78" s="13">
        <f>_xll.BDH("BLUE US Equity","BS_PURE_RETAINED_EARNINGS","FQ4 2018","FQ4 2018","Currency=USD","Period=FQ","BEST_FPERIOD_OVERRIDE=FQ","FILING_STATUS=MR","SCALING_FORMAT=MLN","Sort=A","Dates=H","DateFormat=P","Fill=—","Direction=H","UseDPDF=Y")</f>
        <v>-1498.808</v>
      </c>
      <c r="D78" s="13">
        <f>_xll.BDH("BLUE US Equity","BS_PURE_RETAINED_EARNINGS","FQ1 2019","FQ1 2019","Currency=USD","Period=FQ","BEST_FPERIOD_OVERRIDE=FQ","FILING_STATUS=MR","SCALING_FORMAT=MLN","Sort=A","Dates=H","DateFormat=P","Fill=—","Direction=H","UseDPDF=Y")</f>
        <v>-1656.69</v>
      </c>
      <c r="E78" s="13">
        <f>_xll.BDH("BLUE US Equity","BS_PURE_RETAINED_EARNINGS","FQ2 2019","FQ2 2019","Currency=USD","Period=FQ","BEST_FPERIOD_OVERRIDE=FQ","FILING_STATUS=MR","SCALING_FORMAT=MLN","Sort=A","Dates=H","DateFormat=P","Fill=—","Direction=H","UseDPDF=Y")</f>
        <v>-1852.472</v>
      </c>
      <c r="F78" s="13">
        <f>_xll.BDH("BLUE US Equity","BS_PURE_RETAINED_EARNINGS","FQ3 2019","FQ3 2019","Currency=USD","Period=FQ","BEST_FPERIOD_OVERRIDE=FQ","FILING_STATUS=MR","SCALING_FORMAT=MLN","Sort=A","Dates=H","DateFormat=P","Fill=—","Direction=H","UseDPDF=Y")</f>
        <v>-2058.5050000000001</v>
      </c>
      <c r="G78" s="13">
        <f>_xll.BDH("BLUE US Equity","BS_PURE_RETAINED_EARNINGS","FQ4 2019","FQ4 2019","Currency=USD","Period=FQ","BEST_FPERIOD_OVERRIDE=FQ","FILING_STATUS=MR","SCALING_FORMAT=MLN","Sort=A","Dates=H","DateFormat=P","Fill=—","Direction=H","UseDPDF=Y")</f>
        <v>-2281.8519999999999</v>
      </c>
      <c r="H78" s="13">
        <f>_xll.BDH("BLUE US Equity","BS_PURE_RETAINED_EARNINGS","FQ1 2020","FQ1 2020","Currency=USD","Period=FQ","BEST_FPERIOD_OVERRIDE=FQ","FILING_STATUS=MR","SCALING_FORMAT=MLN","Sort=A","Dates=H","DateFormat=P","Fill=—","Direction=H","UseDPDF=Y")</f>
        <v>-2484.4630000000002</v>
      </c>
      <c r="I78" s="13">
        <f>_xll.BDH("BLUE US Equity","BS_PURE_RETAINED_EARNINGS","FQ2 2020","FQ2 2020","Currency=USD","Period=FQ","BEST_FPERIOD_OVERRIDE=FQ","FILING_STATUS=MR","SCALING_FORMAT=MLN","Sort=A","Dates=H","DateFormat=P","Fill=—","Direction=H","UseDPDF=Y")</f>
        <v>-2505.9279999999999</v>
      </c>
      <c r="J78" s="13">
        <f>_xll.BDH("BLUE US Equity","BS_PURE_RETAINED_EARNINGS","FQ3 2020","FQ3 2020","Currency=USD","Period=FQ","BEST_FPERIOD_OVERRIDE=FQ","FILING_STATUS=MR","SCALING_FORMAT=MLN","Sort=A","Dates=H","DateFormat=P","Fill=—","Direction=H","UseDPDF=Y")</f>
        <v>-2700.6729999999998</v>
      </c>
      <c r="K78" s="13">
        <f>_xll.BDH("BLUE US Equity","BS_PURE_RETAINED_EARNINGS","FQ4 2020","FQ4 2020","Currency=USD","Period=FQ","BEST_FPERIOD_OVERRIDE=FQ","FILING_STATUS=MR","SCALING_FORMAT=MLN","Sort=A","Dates=H","DateFormat=P","Fill=—","Direction=H","UseDPDF=Y")</f>
        <v>-2900.547</v>
      </c>
      <c r="L78" s="13">
        <f>_xll.BDH("BLUE US Equity","BS_PURE_RETAINED_EARNINGS","FQ1 2021","FQ1 2021","Currency=USD","Period=FQ","BEST_FPERIOD_OVERRIDE=FQ","FILING_STATUS=MR","SCALING_FORMAT=MLN","Sort=A","Dates=H","DateFormat=P","Fill=—","Direction=H","UseDPDF=Y")</f>
        <v>-3106.355</v>
      </c>
      <c r="M78" s="13">
        <f>_xll.BDH("BLUE US Equity","BS_PURE_RETAINED_EARNINGS","FQ2 2021","FQ2 2021","Currency=USD","Period=FQ","BEST_FPERIOD_OVERRIDE=FQ","FILING_STATUS=MR","SCALING_FORMAT=MLN","Sort=A","Dates=H","DateFormat=P","Fill=—","Direction=H","UseDPDF=Y")</f>
        <v>-3348.0569999999998</v>
      </c>
      <c r="N78" s="13">
        <f>_xll.BDH("BLUE US Equity","BS_PURE_RETAINED_EARNINGS","FQ3 2021","FQ3 2021","Currency=USD","Period=FQ","BEST_FPERIOD_OVERRIDE=FQ","FILING_STATUS=MR","SCALING_FORMAT=MLN","Sort=A","Dates=H","DateFormat=P","Fill=—","Direction=H","UseDPDF=Y")</f>
        <v>-3564.873</v>
      </c>
      <c r="O78" s="13">
        <f>_xll.BDH("BLUE US Equity","BS_PURE_RETAINED_EARNINGS","FQ4 2021","FQ4 2021","Currency=USD","Period=FQ","BEST_FPERIOD_OVERRIDE=FQ","FILING_STATUS=MR","SCALING_FORMAT=MLN","Sort=A","Dates=H","DateFormat=P","Fill=—","Direction=H","UseDPDF=Y")</f>
        <v>-3719.9250000000002</v>
      </c>
      <c r="P78" s="13">
        <f>_xll.BDH("BLUE US Equity","BS_PURE_RETAINED_EARNINGS","FQ1 2022","FQ1 2022","Currency=USD","Period=FQ","BEST_FPERIOD_OVERRIDE=FQ","FILING_STATUS=MR","SCALING_FORMAT=MLN","Sort=A","Dates=H","DateFormat=P","Fill=—","Direction=H","UseDPDF=Y")</f>
        <v>-3842.0770000000002</v>
      </c>
      <c r="Q78" s="13">
        <f>_xll.BDH("BLUE US Equity","BS_PURE_RETAINED_EARNINGS","FQ2 2022","FQ2 2022","Currency=USD","Period=FQ","BEST_FPERIOD_OVERRIDE=FQ","FILING_STATUS=MR","SCALING_FORMAT=MLN","Sort=A","Dates=H","DateFormat=P","Fill=—","Direction=H","UseDPDF=Y")</f>
        <v>-3942.2150000000001</v>
      </c>
      <c r="R78" s="13">
        <f>_xll.BDH("BLUE US Equity","BS_PURE_RETAINED_EARNINGS","FQ3 2022","FQ3 2022","Currency=USD","Period=FQ","BEST_FPERIOD_OVERRIDE=FQ","FILING_STATUS=MR","SCALING_FORMAT=MLN","Sort=A","Dates=H","DateFormat=P","Fill=—","Direction=H","UseDPDF=Y")</f>
        <v>-4018.7350000000001</v>
      </c>
      <c r="S78" s="13">
        <f>_xll.BDH("BLUE US Equity","BS_PURE_RETAINED_EARNINGS","FQ4 2022","FQ4 2022","Currency=USD","Period=FQ","BEST_FPERIOD_OVERRIDE=FQ","FILING_STATUS=MR","SCALING_FORMAT=MLN","Sort=A","Dates=H","DateFormat=P","Fill=—","Direction=H","UseDPDF=Y")</f>
        <v>-4048.415</v>
      </c>
      <c r="T78" s="13">
        <f>_xll.BDH("BLUE US Equity","BS_PURE_RETAINED_EARNINGS","FQ1 2023","FQ1 2023","Currency=USD","Period=FQ","BEST_FPERIOD_OVERRIDE=FQ","FILING_STATUS=MR","SCALING_FORMAT=MLN","Sort=A","Dates=H","DateFormat=P","Fill=—","Direction=H","UseDPDF=Y")</f>
        <v>-3965.2629999999999</v>
      </c>
      <c r="U78" s="13">
        <f>_xll.BDH("BLUE US Equity","BS_PURE_RETAINED_EARNINGS","FQ2 2023","FQ2 2023","Currency=USD","Period=FQ","BEST_FPERIOD_OVERRIDE=FQ","FILING_STATUS=MR","SCALING_FORMAT=MLN","Sort=A","Dates=H","DateFormat=P","Fill=—","Direction=H","UseDPDF=Y")</f>
        <v>-4038.1709999999998</v>
      </c>
      <c r="V78" s="13">
        <f>_xll.BDH("BLUE US Equity","BS_PURE_RETAINED_EARNINGS","FQ3 2023","FQ3 2023","Currency=USD","Period=FQ","BEST_FPERIOD_OVERRIDE=FQ","FILING_STATUS=MR","SCALING_FORMAT=MLN","Sort=A","Dates=H","DateFormat=P","Fill=—","Direction=H","UseDPDF=Y")</f>
        <v>-4109.902</v>
      </c>
      <c r="W78" s="13">
        <f>_xll.BDH("BLUE US Equity","BS_PURE_RETAINED_EARNINGS","FQ4 2023","FQ4 2023","Currency=USD","Period=FQ","BEST_FPERIOD_OVERRIDE=FQ","FILING_STATUS=MR","SCALING_FORMAT=MLN","Sort=A","Dates=H","DateFormat=P","Fill=—","Direction=H","UseDPDF=Y")</f>
        <v>-4260.3280000000004</v>
      </c>
      <c r="X78" s="13">
        <f>_xll.BDH("BLUE US Equity","BS_PURE_RETAINED_EARNINGS","FQ1 2024","FQ1 2024","Currency=USD","Period=FQ","BEST_FPERIOD_OVERRIDE=FQ","FILING_STATUS=MR","SCALING_FORMAT=MLN","Sort=A","Dates=H","DateFormat=P","Fill=—","Direction=H","UseDPDF=Y")</f>
        <v>-4330.1319999999996</v>
      </c>
      <c r="Y78" s="13">
        <f>_xll.BDH("BLUE US Equity","BS_PURE_RETAINED_EARNINGS","FQ2 2024","FQ2 2024","Currency=USD","Period=FQ","BEST_FPERIOD_OVERRIDE=FQ","FILING_STATUS=MR","SCALING_FORMAT=MLN","Sort=A","Dates=H","DateFormat=P","Fill=—","Direction=H","UseDPDF=Y")</f>
        <v>-4411.5249999999996</v>
      </c>
      <c r="Z78" s="13">
        <f>_xll.BDH("BLUE US Equity","BS_PURE_RETAINED_EARNINGS","FQ3 2024","FQ3 2024","Currency=USD","Period=FQ","BEST_FPERIOD_OVERRIDE=FQ","FILING_STATUS=MR","SCALING_FORMAT=MLN","Sort=A","Dates=H","DateFormat=P","Fill=—","Direction=H","UseDPDF=Y")</f>
        <v>-4472.3329999999996</v>
      </c>
      <c r="AA78" s="13">
        <f>_xll.BDH("BLUE US Equity","BS_PURE_RETAINED_EARNINGS","FQ4 2024","FQ4 2024","Currency=USD","Period=FQ","BEST_FPERIOD_OVERRIDE=FQ","FILING_STATUS=MR","SCALING_FORMAT=MLN","Sort=A","Dates=H","DateFormat=P","Fill=—","Direction=H","UseDPDF=Y")</f>
        <v>-4501.0429999999997</v>
      </c>
    </row>
    <row r="79" spans="1:27" x14ac:dyDescent="0.25">
      <c r="A79" s="10" t="s">
        <v>719</v>
      </c>
      <c r="B79" s="10" t="s">
        <v>720</v>
      </c>
      <c r="C79" s="13">
        <f>_xll.BDH("BLUE US Equity","OTHER_EQUITY_RATIO","FQ4 2018","FQ4 2018","Currency=USD","Period=FQ","BEST_FPERIOD_OVERRIDE=FQ","FILING_STATUS=MR","SCALING_FORMAT=MLN","Sort=A","Dates=H","DateFormat=P","Fill=—","Direction=H","UseDPDF=Y")</f>
        <v>-3.6269999999999998</v>
      </c>
      <c r="D79" s="13">
        <f>_xll.BDH("BLUE US Equity","OTHER_EQUITY_RATIO","FQ1 2019","FQ1 2019","Currency=USD","Period=FQ","BEST_FPERIOD_OVERRIDE=FQ","FILING_STATUS=MR","SCALING_FORMAT=MLN","Sort=A","Dates=H","DateFormat=P","Fill=—","Direction=H","UseDPDF=Y")</f>
        <v>-1.792</v>
      </c>
      <c r="E79" s="13">
        <f>_xll.BDH("BLUE US Equity","OTHER_EQUITY_RATIO","FQ2 2019","FQ2 2019","Currency=USD","Period=FQ","BEST_FPERIOD_OVERRIDE=FQ","FILING_STATUS=MR","SCALING_FORMAT=MLN","Sort=A","Dates=H","DateFormat=P","Fill=—","Direction=H","UseDPDF=Y")</f>
        <v>-0.81899999999999995</v>
      </c>
      <c r="F79" s="13">
        <f>_xll.BDH("BLUE US Equity","OTHER_EQUITY_RATIO","FQ3 2019","FQ3 2019","Currency=USD","Period=FQ","BEST_FPERIOD_OVERRIDE=FQ","FILING_STATUS=MR","SCALING_FORMAT=MLN","Sort=A","Dates=H","DateFormat=P","Fill=—","Direction=H","UseDPDF=Y")</f>
        <v>-2.851</v>
      </c>
      <c r="G79" s="13">
        <f>_xll.BDH("BLUE US Equity","OTHER_EQUITY_RATIO","FQ4 2019","FQ4 2019","Currency=USD","Period=FQ","BEST_FPERIOD_OVERRIDE=FQ","FILING_STATUS=MR","SCALING_FORMAT=MLN","Sort=A","Dates=H","DateFormat=P","Fill=—","Direction=H","UseDPDF=Y")</f>
        <v>-1.893</v>
      </c>
      <c r="H79" s="13">
        <f>_xll.BDH("BLUE US Equity","OTHER_EQUITY_RATIO","FQ1 2020","FQ1 2020","Currency=USD","Period=FQ","BEST_FPERIOD_OVERRIDE=FQ","FILING_STATUS=MR","SCALING_FORMAT=MLN","Sort=A","Dates=H","DateFormat=P","Fill=—","Direction=H","UseDPDF=Y")</f>
        <v>-2.7989999999999999</v>
      </c>
      <c r="I79" s="13">
        <f>_xll.BDH("BLUE US Equity","OTHER_EQUITY_RATIO","FQ2 2020","FQ2 2020","Currency=USD","Period=FQ","BEST_FPERIOD_OVERRIDE=FQ","FILING_STATUS=MR","SCALING_FORMAT=MLN","Sort=A","Dates=H","DateFormat=P","Fill=—","Direction=H","UseDPDF=Y")</f>
        <v>-2.4</v>
      </c>
      <c r="J79" s="13">
        <f>_xll.BDH("BLUE US Equity","OTHER_EQUITY_RATIO","FQ3 2020","FQ3 2020","Currency=USD","Period=FQ","BEST_FPERIOD_OVERRIDE=FQ","FILING_STATUS=MR","SCALING_FORMAT=MLN","Sort=A","Dates=H","DateFormat=P","Fill=—","Direction=H","UseDPDF=Y")</f>
        <v>-4.2229999999999999</v>
      </c>
      <c r="K79" s="13">
        <f>_xll.BDH("BLUE US Equity","OTHER_EQUITY_RATIO","FQ4 2020","FQ4 2020","Currency=USD","Period=FQ","BEST_FPERIOD_OVERRIDE=FQ","FILING_STATUS=MR","SCALING_FORMAT=MLN","Sort=A","Dates=H","DateFormat=P","Fill=—","Direction=H","UseDPDF=Y")</f>
        <v>-5.5049999999999999</v>
      </c>
      <c r="L79" s="13">
        <f>_xll.BDH("BLUE US Equity","OTHER_EQUITY_RATIO","FQ1 2021","FQ1 2021","Currency=USD","Period=FQ","BEST_FPERIOD_OVERRIDE=FQ","FILING_STATUS=MR","SCALING_FORMAT=MLN","Sort=A","Dates=H","DateFormat=P","Fill=—","Direction=H","UseDPDF=Y")</f>
        <v>-5.4489999999999998</v>
      </c>
      <c r="M79" s="13">
        <f>_xll.BDH("BLUE US Equity","OTHER_EQUITY_RATIO","FQ2 2021","FQ2 2021","Currency=USD","Period=FQ","BEST_FPERIOD_OVERRIDE=FQ","FILING_STATUS=MR","SCALING_FORMAT=MLN","Sort=A","Dates=H","DateFormat=P","Fill=—","Direction=H","UseDPDF=Y")</f>
        <v>-5.7770000000000001</v>
      </c>
      <c r="N79" s="13">
        <f>_xll.BDH("BLUE US Equity","OTHER_EQUITY_RATIO","FQ3 2021","FQ3 2021","Currency=USD","Period=FQ","BEST_FPERIOD_OVERRIDE=FQ","FILING_STATUS=MR","SCALING_FORMAT=MLN","Sort=A","Dates=H","DateFormat=P","Fill=—","Direction=H","UseDPDF=Y")</f>
        <v>-5.9059999999999997</v>
      </c>
      <c r="O79" s="13">
        <f>_xll.BDH("BLUE US Equity","OTHER_EQUITY_RATIO","FQ4 2021","FQ4 2021","Currency=USD","Period=FQ","BEST_FPERIOD_OVERRIDE=FQ","FILING_STATUS=MR","SCALING_FORMAT=MLN","Sort=A","Dates=H","DateFormat=P","Fill=—","Direction=H","UseDPDF=Y")</f>
        <v>-2.911</v>
      </c>
      <c r="P79" s="13">
        <f>_xll.BDH("BLUE US Equity","OTHER_EQUITY_RATIO","FQ1 2022","FQ1 2022","Currency=USD","Period=FQ","BEST_FPERIOD_OVERRIDE=FQ","FILING_STATUS=MR","SCALING_FORMAT=MLN","Sort=A","Dates=H","DateFormat=P","Fill=—","Direction=H","UseDPDF=Y")</f>
        <v>-4.4589999999999996</v>
      </c>
      <c r="Q79" s="13">
        <f>_xll.BDH("BLUE US Equity","OTHER_EQUITY_RATIO","FQ2 2022","FQ2 2022","Currency=USD","Period=FQ","BEST_FPERIOD_OVERRIDE=FQ","FILING_STATUS=MR","SCALING_FORMAT=MLN","Sort=A","Dates=H","DateFormat=P","Fill=—","Direction=H","UseDPDF=Y")</f>
        <v>-4.4160000000000004</v>
      </c>
      <c r="R79" s="13">
        <f>_xll.BDH("BLUE US Equity","OTHER_EQUITY_RATIO","FQ3 2022","FQ3 2022","Currency=USD","Period=FQ","BEST_FPERIOD_OVERRIDE=FQ","FILING_STATUS=MR","SCALING_FORMAT=MLN","Sort=A","Dates=H","DateFormat=P","Fill=—","Direction=H","UseDPDF=Y")</f>
        <v>-4.63</v>
      </c>
      <c r="S79" s="13">
        <f>_xll.BDH("BLUE US Equity","OTHER_EQUITY_RATIO","FQ4 2022","FQ4 2022","Currency=USD","Period=FQ","BEST_FPERIOD_OVERRIDE=FQ","FILING_STATUS=MR","SCALING_FORMAT=MLN","Sort=A","Dates=H","DateFormat=P","Fill=—","Direction=H","UseDPDF=Y")</f>
        <v>-4.07</v>
      </c>
      <c r="T79" s="13">
        <f>_xll.BDH("BLUE US Equity","OTHER_EQUITY_RATIO","FQ1 2023","FQ1 2023","Currency=USD","Period=FQ","BEST_FPERIOD_OVERRIDE=FQ","FILING_STATUS=MR","SCALING_FORMAT=MLN","Sort=A","Dates=H","DateFormat=P","Fill=—","Direction=H","UseDPDF=Y")</f>
        <v>-3.0859999999999999</v>
      </c>
      <c r="U79" s="13">
        <f>_xll.BDH("BLUE US Equity","OTHER_EQUITY_RATIO","FQ2 2023","FQ2 2023","Currency=USD","Period=FQ","BEST_FPERIOD_OVERRIDE=FQ","FILING_STATUS=MR","SCALING_FORMAT=MLN","Sort=A","Dates=H","DateFormat=P","Fill=—","Direction=H","UseDPDF=Y")</f>
        <v>-2.3639999999999999</v>
      </c>
      <c r="V79" s="13">
        <f>_xll.BDH("BLUE US Equity","OTHER_EQUITY_RATIO","FQ3 2023","FQ3 2023","Currency=USD","Period=FQ","BEST_FPERIOD_OVERRIDE=FQ","FILING_STATUS=MR","SCALING_FORMAT=MLN","Sort=A","Dates=H","DateFormat=P","Fill=—","Direction=H","UseDPDF=Y")</f>
        <v>-2.2269999999999999</v>
      </c>
      <c r="W79" s="13">
        <f>_xll.BDH("BLUE US Equity","OTHER_EQUITY_RATIO","FQ4 2023","FQ4 2023","Currency=USD","Period=FQ","BEST_FPERIOD_OVERRIDE=FQ","FILING_STATUS=MR","SCALING_FORMAT=MLN","Sort=A","Dates=H","DateFormat=P","Fill=—","Direction=H","UseDPDF=Y")</f>
        <v>-1.796</v>
      </c>
      <c r="X79" s="13">
        <f>_xll.BDH("BLUE US Equity","OTHER_EQUITY_RATIO","FQ1 2024","FQ1 2024","Currency=USD","Period=FQ","BEST_FPERIOD_OVERRIDE=FQ","FILING_STATUS=MR","SCALING_FORMAT=MLN","Sort=A","Dates=H","DateFormat=P","Fill=—","Direction=H","UseDPDF=Y")</f>
        <v>-2.1080000000000001</v>
      </c>
      <c r="Y79" s="13">
        <f>_xll.BDH("BLUE US Equity","OTHER_EQUITY_RATIO","FQ2 2024","FQ2 2024","Currency=USD","Period=FQ","BEST_FPERIOD_OVERRIDE=FQ","FILING_STATUS=MR","SCALING_FORMAT=MLN","Sort=A","Dates=H","DateFormat=P","Fill=—","Direction=H","UseDPDF=Y")</f>
        <v>-2.1219999999999999</v>
      </c>
      <c r="Z79" s="13">
        <f>_xll.BDH("BLUE US Equity","OTHER_EQUITY_RATIO","FQ3 2024","FQ3 2024","Currency=USD","Period=FQ","BEST_FPERIOD_OVERRIDE=FQ","FILING_STATUS=MR","SCALING_FORMAT=MLN","Sort=A","Dates=H","DateFormat=P","Fill=—","Direction=H","UseDPDF=Y")</f>
        <v>-1.5109999999999999</v>
      </c>
      <c r="AA79" s="13">
        <f>_xll.BDH("BLUE US Equity","OTHER_EQUITY_RATIO","FQ4 2024","FQ4 2024","Currency=USD","Period=FQ","BEST_FPERIOD_OVERRIDE=FQ","FILING_STATUS=MR","SCALING_FORMAT=MLN","Sort=A","Dates=H","DateFormat=P","Fill=—","Direction=H","UseDPDF=Y")</f>
        <v>-2.133</v>
      </c>
    </row>
    <row r="80" spans="1:27" x14ac:dyDescent="0.25">
      <c r="A80" s="6" t="s">
        <v>721</v>
      </c>
      <c r="B80" s="6" t="s">
        <v>722</v>
      </c>
      <c r="C80" s="19">
        <f>_xll.BDH("BLUE US Equity","EQTY_BEF_MINORITY_INT_DETAILED","FQ4 2018","FQ4 2018","Currency=USD","Period=FQ","BEST_FPERIOD_OVERRIDE=FQ","FILING_STATUS=MR","SCALING_FORMAT=MLN","Sort=A","Dates=H","DateFormat=P","Fill=—","Direction=H","UseDPDF=Y")</f>
        <v>1885.07</v>
      </c>
      <c r="D80" s="19">
        <f>_xll.BDH("BLUE US Equity","EQTY_BEF_MINORITY_INT_DETAILED","FQ1 2019","FQ1 2019","Currency=USD","Period=FQ","BEST_FPERIOD_OVERRIDE=FQ","FILING_STATUS=MR","SCALING_FORMAT=MLN","Sort=A","Dates=H","DateFormat=P","Fill=—","Direction=H","UseDPDF=Y")</f>
        <v>1772.0989999999999</v>
      </c>
      <c r="E80" s="19">
        <f>_xll.BDH("BLUE US Equity","EQTY_BEF_MINORITY_INT_DETAILED","FQ2 2019","FQ2 2019","Currency=USD","Period=FQ","BEST_FPERIOD_OVERRIDE=FQ","FILING_STATUS=MR","SCALING_FORMAT=MLN","Sort=A","Dates=H","DateFormat=P","Fill=—","Direction=H","UseDPDF=Y")</f>
        <v>1636.374</v>
      </c>
      <c r="F80" s="19">
        <f>_xll.BDH("BLUE US Equity","EQTY_BEF_MINORITY_INT_DETAILED","FQ3 2019","FQ3 2019","Currency=USD","Period=FQ","BEST_FPERIOD_OVERRIDE=FQ","FILING_STATUS=MR","SCALING_FORMAT=MLN","Sort=A","Dates=H","DateFormat=P","Fill=—","Direction=H","UseDPDF=Y")</f>
        <v>1471.71</v>
      </c>
      <c r="G80" s="19">
        <f>_xll.BDH("BLUE US Equity","EQTY_BEF_MINORITY_INT_DETAILED","FQ4 2019","FQ4 2019","Currency=USD","Period=FQ","BEST_FPERIOD_OVERRIDE=FQ","FILING_STATUS=MR","SCALING_FORMAT=MLN","Sort=A","Dates=H","DateFormat=P","Fill=—","Direction=H","UseDPDF=Y")</f>
        <v>1284.9929999999999</v>
      </c>
      <c r="H80" s="19">
        <f>_xll.BDH("BLUE US Equity","EQTY_BEF_MINORITY_INT_DETAILED","FQ1 2020","FQ1 2020","Currency=USD","Period=FQ","BEST_FPERIOD_OVERRIDE=FQ","FILING_STATUS=MR","SCALING_FORMAT=MLN","Sort=A","Dates=H","DateFormat=P","Fill=—","Direction=H","UseDPDF=Y")</f>
        <v>1120.433</v>
      </c>
      <c r="I80" s="19">
        <f>_xll.BDH("BLUE US Equity","EQTY_BEF_MINORITY_INT_DETAILED","FQ2 2020","FQ2 2020","Currency=USD","Period=FQ","BEST_FPERIOD_OVERRIDE=FQ","FILING_STATUS=MR","SCALING_FORMAT=MLN","Sort=A","Dates=H","DateFormat=P","Fill=—","Direction=H","UseDPDF=Y")</f>
        <v>1682.0309999999999</v>
      </c>
      <c r="J80" s="19">
        <f>_xll.BDH("BLUE US Equity","EQTY_BEF_MINORITY_INT_DETAILED","FQ3 2020","FQ3 2020","Currency=USD","Period=FQ","BEST_FPERIOD_OVERRIDE=FQ","FILING_STATUS=MR","SCALING_FORMAT=MLN","Sort=A","Dates=H","DateFormat=P","Fill=—","Direction=H","UseDPDF=Y")</f>
        <v>1523.021</v>
      </c>
      <c r="K80" s="19">
        <f>_xll.BDH("BLUE US Equity","EQTY_BEF_MINORITY_INT_DETAILED","FQ4 2020","FQ4 2020","Currency=USD","Period=FQ","BEST_FPERIOD_OVERRIDE=FQ","FILING_STATUS=MR","SCALING_FORMAT=MLN","Sort=A","Dates=H","DateFormat=P","Fill=—","Direction=H","UseDPDF=Y")</f>
        <v>1355.056</v>
      </c>
      <c r="L80" s="19">
        <f>_xll.BDH("BLUE US Equity","EQTY_BEF_MINORITY_INT_DETAILED","FQ1 2021","FQ1 2021","Currency=USD","Period=FQ","BEST_FPERIOD_OVERRIDE=FQ","FILING_STATUS=MR","SCALING_FORMAT=MLN","Sort=A","Dates=H","DateFormat=P","Fill=—","Direction=H","UseDPDF=Y")</f>
        <v>1200.3330000000001</v>
      </c>
      <c r="M80" s="19">
        <f>_xll.BDH("BLUE US Equity","EQTY_BEF_MINORITY_INT_DETAILED","FQ2 2021","FQ2 2021","Currency=USD","Period=FQ","BEST_FPERIOD_OVERRIDE=FQ","FILING_STATUS=MR","SCALING_FORMAT=MLN","Sort=A","Dates=H","DateFormat=P","Fill=—","Direction=H","UseDPDF=Y")</f>
        <v>984.56100000000004</v>
      </c>
      <c r="N80" s="19">
        <f>_xll.BDH("BLUE US Equity","EQTY_BEF_MINORITY_INT_DETAILED","FQ3 2021","FQ3 2021","Currency=USD","Period=FQ","BEST_FPERIOD_OVERRIDE=FQ","FILING_STATUS=MR","SCALING_FORMAT=MLN","Sort=A","Dates=H","DateFormat=P","Fill=—","Direction=H","UseDPDF=Y")</f>
        <v>870.52700000000004</v>
      </c>
      <c r="O80" s="19">
        <f>_xll.BDH("BLUE US Equity","EQTY_BEF_MINORITY_INT_DETAILED","FQ4 2021","FQ4 2021","Currency=USD","Period=FQ","BEST_FPERIOD_OVERRIDE=FQ","FILING_STATUS=MR","SCALING_FORMAT=MLN","Sort=A","Dates=H","DateFormat=P","Fill=—","Direction=H","UseDPDF=Y")</f>
        <v>374.27699999999999</v>
      </c>
      <c r="P80" s="19">
        <f>_xll.BDH("BLUE US Equity","EQTY_BEF_MINORITY_INT_DETAILED","FQ1 2022","FQ1 2022","Currency=USD","Period=FQ","BEST_FPERIOD_OVERRIDE=FQ","FILING_STATUS=MR","SCALING_FORMAT=MLN","Sort=A","Dates=H","DateFormat=P","Fill=—","Direction=H","UseDPDF=Y")</f>
        <v>263.25900000000001</v>
      </c>
      <c r="Q80" s="19">
        <f>_xll.BDH("BLUE US Equity","EQTY_BEF_MINORITY_INT_DETAILED","FQ2 2022","FQ2 2022","Currency=USD","Period=FQ","BEST_FPERIOD_OVERRIDE=FQ","FILING_STATUS=MR","SCALING_FORMAT=MLN","Sort=A","Dates=H","DateFormat=P","Fill=—","Direction=H","UseDPDF=Y")</f>
        <v>180.11600000000001</v>
      </c>
      <c r="R80" s="19">
        <f>_xll.BDH("BLUE US Equity","EQTY_BEF_MINORITY_INT_DETAILED","FQ3 2022","FQ3 2022","Currency=USD","Period=FQ","BEST_FPERIOD_OVERRIDE=FQ","FILING_STATUS=MR","SCALING_FORMAT=MLN","Sort=A","Dates=H","DateFormat=P","Fill=—","Direction=H","UseDPDF=Y")</f>
        <v>158.857</v>
      </c>
      <c r="S80" s="19">
        <f>_xll.BDH("BLUE US Equity","EQTY_BEF_MINORITY_INT_DETAILED","FQ4 2022","FQ4 2022","Currency=USD","Period=FQ","BEST_FPERIOD_OVERRIDE=FQ","FILING_STATUS=MR","SCALING_FORMAT=MLN","Sort=A","Dates=H","DateFormat=P","Fill=—","Direction=H","UseDPDF=Y")</f>
        <v>134.333</v>
      </c>
      <c r="T80" s="19">
        <f>_xll.BDH("BLUE US Equity","EQTY_BEF_MINORITY_INT_DETAILED","FQ1 2023","FQ1 2023","Currency=USD","Period=FQ","BEST_FPERIOD_OVERRIDE=FQ","FILING_STATUS=MR","SCALING_FORMAT=MLN","Sort=A","Dates=H","DateFormat=P","Fill=—","Direction=H","UseDPDF=Y")</f>
        <v>354.74</v>
      </c>
      <c r="U80" s="19">
        <f>_xll.BDH("BLUE US Equity","EQTY_BEF_MINORITY_INT_DETAILED","FQ2 2023","FQ2 2023","Currency=USD","Period=FQ","BEST_FPERIOD_OVERRIDE=FQ","FILING_STATUS=MR","SCALING_FORMAT=MLN","Sort=A","Dates=H","DateFormat=P","Fill=—","Direction=H","UseDPDF=Y")</f>
        <v>289.01900000000001</v>
      </c>
      <c r="V80" s="19">
        <f>_xll.BDH("BLUE US Equity","EQTY_BEF_MINORITY_INT_DETAILED","FQ3 2023","FQ3 2023","Currency=USD","Period=FQ","BEST_FPERIOD_OVERRIDE=FQ","FILING_STATUS=MR","SCALING_FORMAT=MLN","Sort=A","Dates=H","DateFormat=P","Fill=—","Direction=H","UseDPDF=Y")</f>
        <v>222.536</v>
      </c>
      <c r="W80" s="19">
        <f>_xll.BDH("BLUE US Equity","EQTY_BEF_MINORITY_INT_DETAILED","FQ4 2023","FQ4 2023","Currency=USD","Period=FQ","BEST_FPERIOD_OVERRIDE=FQ","FILING_STATUS=MR","SCALING_FORMAT=MLN","Sort=A","Dates=H","DateFormat=P","Fill=—","Direction=H","UseDPDF=Y")</f>
        <v>194.53700000000001</v>
      </c>
      <c r="X80" s="19">
        <f>_xll.BDH("BLUE US Equity","EQTY_BEF_MINORITY_INT_DETAILED","FQ1 2024","FQ1 2024","Currency=USD","Period=FQ","BEST_FPERIOD_OVERRIDE=FQ","FILING_STATUS=MR","SCALING_FORMAT=MLN","Sort=A","Dates=H","DateFormat=P","Fill=—","Direction=H","UseDPDF=Y")</f>
        <v>131.04599999999999</v>
      </c>
      <c r="Y80" s="19">
        <f>_xll.BDH("BLUE US Equity","EQTY_BEF_MINORITY_INT_DETAILED","FQ2 2024","FQ2 2024","Currency=USD","Period=FQ","BEST_FPERIOD_OVERRIDE=FQ","FILING_STATUS=MR","SCALING_FORMAT=MLN","Sort=A","Dates=H","DateFormat=P","Fill=—","Direction=H","UseDPDF=Y")</f>
        <v>52.981000000000002</v>
      </c>
      <c r="Z80" s="19">
        <f>_xll.BDH("BLUE US Equity","EQTY_BEF_MINORITY_INT_DETAILED","FQ3 2024","FQ3 2024","Currency=USD","Period=FQ","BEST_FPERIOD_OVERRIDE=FQ","FILING_STATUS=MR","SCALING_FORMAT=MLN","Sort=A","Dates=H","DateFormat=P","Fill=—","Direction=H","UseDPDF=Y")</f>
        <v>-5.7859999999999996</v>
      </c>
      <c r="AA80" s="19">
        <f>_xll.BDH("BLUE US Equity","EQTY_BEF_MINORITY_INT_DETAILED","FQ4 2024","FQ4 2024","Currency=USD","Period=FQ","BEST_FPERIOD_OVERRIDE=FQ","FILING_STATUS=MR","SCALING_FORMAT=MLN","Sort=A","Dates=H","DateFormat=P","Fill=—","Direction=H","UseDPDF=Y")</f>
        <v>-31.533999999999999</v>
      </c>
    </row>
    <row r="81" spans="1:27" x14ac:dyDescent="0.25">
      <c r="A81" s="10" t="s">
        <v>723</v>
      </c>
      <c r="B81" s="10" t="s">
        <v>169</v>
      </c>
      <c r="C81" s="13">
        <f>_xll.BDH("BLUE US Equity","MINORITY_NONCONTROLLING_INTEREST","FQ4 2018","FQ4 2018","Currency=USD","Period=FQ","BEST_FPERIOD_OVERRIDE=FQ","FILING_STATUS=MR","SCALING_FORMAT=MLN","Sort=A","Dates=H","DateFormat=P","Fill=—","Direction=H","UseDPDF=Y")</f>
        <v>0</v>
      </c>
      <c r="D81" s="13">
        <f>_xll.BDH("BLUE US Equity","MINORITY_NONCONTROLLING_INTEREST","FQ1 2019","FQ1 2019","Currency=USD","Period=FQ","BEST_FPERIOD_OVERRIDE=FQ","FILING_STATUS=MR","SCALING_FORMAT=MLN","Sort=A","Dates=H","DateFormat=P","Fill=—","Direction=H","UseDPDF=Y")</f>
        <v>0</v>
      </c>
      <c r="E81" s="13">
        <f>_xll.BDH("BLUE US Equity","MINORITY_NONCONTROLLING_INTEREST","FQ2 2019","FQ2 2019","Currency=USD","Period=FQ","BEST_FPERIOD_OVERRIDE=FQ","FILING_STATUS=MR","SCALING_FORMAT=MLN","Sort=A","Dates=H","DateFormat=P","Fill=—","Direction=H","UseDPDF=Y")</f>
        <v>0</v>
      </c>
      <c r="F81" s="13">
        <f>_xll.BDH("BLUE US Equity","MINORITY_NONCONTROLLING_INTEREST","FQ3 2019","FQ3 2019","Currency=USD","Period=FQ","BEST_FPERIOD_OVERRIDE=FQ","FILING_STATUS=MR","SCALING_FORMAT=MLN","Sort=A","Dates=H","DateFormat=P","Fill=—","Direction=H","UseDPDF=Y")</f>
        <v>0</v>
      </c>
      <c r="G81" s="13">
        <f>_xll.BDH("BLUE US Equity","MINORITY_NONCONTROLLING_INTEREST","FQ4 2019","FQ4 2019","Currency=USD","Period=FQ","BEST_FPERIOD_OVERRIDE=FQ","FILING_STATUS=MR","SCALING_FORMAT=MLN","Sort=A","Dates=H","DateFormat=P","Fill=—","Direction=H","UseDPDF=Y")</f>
        <v>0</v>
      </c>
      <c r="H81" s="13">
        <f>_xll.BDH("BLUE US Equity","MINORITY_NONCONTROLLING_INTEREST","FQ1 2020","FQ1 2020","Currency=USD","Period=FQ","BEST_FPERIOD_OVERRIDE=FQ","FILING_STATUS=MR","SCALING_FORMAT=MLN","Sort=A","Dates=H","DateFormat=P","Fill=—","Direction=H","UseDPDF=Y")</f>
        <v>0</v>
      </c>
      <c r="I81" s="13">
        <f>_xll.BDH("BLUE US Equity","MINORITY_NONCONTROLLING_INTEREST","FQ2 2020","FQ2 2020","Currency=USD","Period=FQ","BEST_FPERIOD_OVERRIDE=FQ","FILING_STATUS=MR","SCALING_FORMAT=MLN","Sort=A","Dates=H","DateFormat=P","Fill=—","Direction=H","UseDPDF=Y")</f>
        <v>0</v>
      </c>
      <c r="J81" s="13">
        <f>_xll.BDH("BLUE US Equity","MINORITY_NONCONTROLLING_INTEREST","FQ3 2020","FQ3 2020","Currency=USD","Period=FQ","BEST_FPERIOD_OVERRIDE=FQ","FILING_STATUS=MR","SCALING_FORMAT=MLN","Sort=A","Dates=H","DateFormat=P","Fill=—","Direction=H","UseDPDF=Y")</f>
        <v>0</v>
      </c>
      <c r="K81" s="13">
        <f>_xll.BDH("BLUE US Equity","MINORITY_NONCONTROLLING_INTEREST","FQ4 2020","FQ4 2020","Currency=USD","Period=FQ","BEST_FPERIOD_OVERRIDE=FQ","FILING_STATUS=MR","SCALING_FORMAT=MLN","Sort=A","Dates=H","DateFormat=P","Fill=—","Direction=H","UseDPDF=Y")</f>
        <v>0</v>
      </c>
      <c r="L81" s="13">
        <f>_xll.BDH("BLUE US Equity","MINORITY_NONCONTROLLING_INTEREST","FQ1 2021","FQ1 2021","Currency=USD","Period=FQ","BEST_FPERIOD_OVERRIDE=FQ","FILING_STATUS=MR","SCALING_FORMAT=MLN","Sort=A","Dates=H","DateFormat=P","Fill=—","Direction=H","UseDPDF=Y")</f>
        <v>0</v>
      </c>
      <c r="M81" s="13">
        <f>_xll.BDH("BLUE US Equity","MINORITY_NONCONTROLLING_INTEREST","FQ2 2021","FQ2 2021","Currency=USD","Period=FQ","BEST_FPERIOD_OVERRIDE=FQ","FILING_STATUS=MR","SCALING_FORMAT=MLN","Sort=A","Dates=H","DateFormat=P","Fill=—","Direction=H","UseDPDF=Y")</f>
        <v>0</v>
      </c>
      <c r="N81" s="13">
        <f>_xll.BDH("BLUE US Equity","MINORITY_NONCONTROLLING_INTEREST","FQ3 2021","FQ3 2021","Currency=USD","Period=FQ","BEST_FPERIOD_OVERRIDE=FQ","FILING_STATUS=MR","SCALING_FORMAT=MLN","Sort=A","Dates=H","DateFormat=P","Fill=—","Direction=H","UseDPDF=Y")</f>
        <v>0</v>
      </c>
      <c r="O81" s="13">
        <f>_xll.BDH("BLUE US Equity","MINORITY_NONCONTROLLING_INTEREST","FQ4 2021","FQ4 2021","Currency=USD","Period=FQ","BEST_FPERIOD_OVERRIDE=FQ","FILING_STATUS=MR","SCALING_FORMAT=MLN","Sort=A","Dates=H","DateFormat=P","Fill=—","Direction=H","UseDPDF=Y")</f>
        <v>0</v>
      </c>
      <c r="P81" s="13">
        <f>_xll.BDH("BLUE US Equity","MINORITY_NONCONTROLLING_INTEREST","FQ1 2022","FQ1 2022","Currency=USD","Period=FQ","BEST_FPERIOD_OVERRIDE=FQ","FILING_STATUS=MR","SCALING_FORMAT=MLN","Sort=A","Dates=H","DateFormat=P","Fill=—","Direction=H","UseDPDF=Y")</f>
        <v>0</v>
      </c>
      <c r="Q81" s="13">
        <f>_xll.BDH("BLUE US Equity","MINORITY_NONCONTROLLING_INTEREST","FQ2 2022","FQ2 2022","Currency=USD","Period=FQ","BEST_FPERIOD_OVERRIDE=FQ","FILING_STATUS=MR","SCALING_FORMAT=MLN","Sort=A","Dates=H","DateFormat=P","Fill=—","Direction=H","UseDPDF=Y")</f>
        <v>0</v>
      </c>
      <c r="R81" s="13">
        <f>_xll.BDH("BLUE US Equity","MINORITY_NONCONTROLLING_INTEREST","FQ3 2022","FQ3 2022","Currency=USD","Period=FQ","BEST_FPERIOD_OVERRIDE=FQ","FILING_STATUS=MR","SCALING_FORMAT=MLN","Sort=A","Dates=H","DateFormat=P","Fill=—","Direction=H","UseDPDF=Y")</f>
        <v>0</v>
      </c>
      <c r="S81" s="13">
        <f>_xll.BDH("BLUE US Equity","MINORITY_NONCONTROLLING_INTEREST","FQ4 2022","FQ4 2022","Currency=USD","Period=FQ","BEST_FPERIOD_OVERRIDE=FQ","FILING_STATUS=MR","SCALING_FORMAT=MLN","Sort=A","Dates=H","DateFormat=P","Fill=—","Direction=H","UseDPDF=Y")</f>
        <v>0</v>
      </c>
      <c r="T81" s="13">
        <f>_xll.BDH("BLUE US Equity","MINORITY_NONCONTROLLING_INTEREST","FQ1 2023","FQ1 2023","Currency=USD","Period=FQ","BEST_FPERIOD_OVERRIDE=FQ","FILING_STATUS=MR","SCALING_FORMAT=MLN","Sort=A","Dates=H","DateFormat=P","Fill=—","Direction=H","UseDPDF=Y")</f>
        <v>0</v>
      </c>
      <c r="U81" s="13">
        <f>_xll.BDH("BLUE US Equity","MINORITY_NONCONTROLLING_INTEREST","FQ2 2023","FQ2 2023","Currency=USD","Period=FQ","BEST_FPERIOD_OVERRIDE=FQ","FILING_STATUS=MR","SCALING_FORMAT=MLN","Sort=A","Dates=H","DateFormat=P","Fill=—","Direction=H","UseDPDF=Y")</f>
        <v>0</v>
      </c>
      <c r="V81" s="13">
        <f>_xll.BDH("BLUE US Equity","MINORITY_NONCONTROLLING_INTEREST","FQ3 2023","FQ3 2023","Currency=USD","Period=FQ","BEST_FPERIOD_OVERRIDE=FQ","FILING_STATUS=MR","SCALING_FORMAT=MLN","Sort=A","Dates=H","DateFormat=P","Fill=—","Direction=H","UseDPDF=Y")</f>
        <v>0</v>
      </c>
      <c r="W81" s="13">
        <f>_xll.BDH("BLUE US Equity","MINORITY_NONCONTROLLING_INTEREST","FQ4 2023","FQ4 2023","Currency=USD","Period=FQ","BEST_FPERIOD_OVERRIDE=FQ","FILING_STATUS=MR","SCALING_FORMAT=MLN","Sort=A","Dates=H","DateFormat=P","Fill=—","Direction=H","UseDPDF=Y")</f>
        <v>0</v>
      </c>
      <c r="X81" s="13">
        <f>_xll.BDH("BLUE US Equity","MINORITY_NONCONTROLLING_INTEREST","FQ1 2024","FQ1 2024","Currency=USD","Period=FQ","BEST_FPERIOD_OVERRIDE=FQ","FILING_STATUS=MR","SCALING_FORMAT=MLN","Sort=A","Dates=H","DateFormat=P","Fill=—","Direction=H","UseDPDF=Y")</f>
        <v>0</v>
      </c>
      <c r="Y81" s="13">
        <f>_xll.BDH("BLUE US Equity","MINORITY_NONCONTROLLING_INTEREST","FQ2 2024","FQ2 2024","Currency=USD","Period=FQ","BEST_FPERIOD_OVERRIDE=FQ","FILING_STATUS=MR","SCALING_FORMAT=MLN","Sort=A","Dates=H","DateFormat=P","Fill=—","Direction=H","UseDPDF=Y")</f>
        <v>0</v>
      </c>
      <c r="Z81" s="13">
        <f>_xll.BDH("BLUE US Equity","MINORITY_NONCONTROLLING_INTEREST","FQ3 2024","FQ3 2024","Currency=USD","Period=FQ","BEST_FPERIOD_OVERRIDE=FQ","FILING_STATUS=MR","SCALING_FORMAT=MLN","Sort=A","Dates=H","DateFormat=P","Fill=—","Direction=H","UseDPDF=Y")</f>
        <v>0</v>
      </c>
      <c r="AA81" s="13">
        <f>_xll.BDH("BLUE US Equity","MINORITY_NONCONTROLLING_INTEREST","FQ4 2024","FQ4 2024","Currency=USD","Period=FQ","BEST_FPERIOD_OVERRIDE=FQ","FILING_STATUS=MR","SCALING_FORMAT=MLN","Sort=A","Dates=H","DateFormat=P","Fill=—","Direction=H","UseDPDF=Y")</f>
        <v>0</v>
      </c>
    </row>
    <row r="82" spans="1:27" x14ac:dyDescent="0.25">
      <c r="A82" s="6" t="s">
        <v>118</v>
      </c>
      <c r="B82" s="6" t="s">
        <v>119</v>
      </c>
      <c r="C82" s="19">
        <f>_xll.BDH("BLUE US Equity","TOTAL_EQUITY","FQ4 2018","FQ4 2018","Currency=USD","Period=FQ","BEST_FPERIOD_OVERRIDE=FQ","FILING_STATUS=MR","SCALING_FORMAT=MLN","Sort=A","Dates=H","DateFormat=P","Fill=—","Direction=H","UseDPDF=Y")</f>
        <v>1885.07</v>
      </c>
      <c r="D82" s="19">
        <f>_xll.BDH("BLUE US Equity","TOTAL_EQUITY","FQ1 2019","FQ1 2019","Currency=USD","Period=FQ","BEST_FPERIOD_OVERRIDE=FQ","FILING_STATUS=MR","SCALING_FORMAT=MLN","Sort=A","Dates=H","DateFormat=P","Fill=—","Direction=H","UseDPDF=Y")</f>
        <v>1772.0989999999999</v>
      </c>
      <c r="E82" s="19">
        <f>_xll.BDH("BLUE US Equity","TOTAL_EQUITY","FQ2 2019","FQ2 2019","Currency=USD","Period=FQ","BEST_FPERIOD_OVERRIDE=FQ","FILING_STATUS=MR","SCALING_FORMAT=MLN","Sort=A","Dates=H","DateFormat=P","Fill=—","Direction=H","UseDPDF=Y")</f>
        <v>1636.374</v>
      </c>
      <c r="F82" s="19">
        <f>_xll.BDH("BLUE US Equity","TOTAL_EQUITY","FQ3 2019","FQ3 2019","Currency=USD","Period=FQ","BEST_FPERIOD_OVERRIDE=FQ","FILING_STATUS=MR","SCALING_FORMAT=MLN","Sort=A","Dates=H","DateFormat=P","Fill=—","Direction=H","UseDPDF=Y")</f>
        <v>1471.71</v>
      </c>
      <c r="G82" s="19">
        <f>_xll.BDH("BLUE US Equity","TOTAL_EQUITY","FQ4 2019","FQ4 2019","Currency=USD","Period=FQ","BEST_FPERIOD_OVERRIDE=FQ","FILING_STATUS=MR","SCALING_FORMAT=MLN","Sort=A","Dates=H","DateFormat=P","Fill=—","Direction=H","UseDPDF=Y")</f>
        <v>1284.9929999999999</v>
      </c>
      <c r="H82" s="19">
        <f>_xll.BDH("BLUE US Equity","TOTAL_EQUITY","FQ1 2020","FQ1 2020","Currency=USD","Period=FQ","BEST_FPERIOD_OVERRIDE=FQ","FILING_STATUS=MR","SCALING_FORMAT=MLN","Sort=A","Dates=H","DateFormat=P","Fill=—","Direction=H","UseDPDF=Y")</f>
        <v>1120.433</v>
      </c>
      <c r="I82" s="19">
        <f>_xll.BDH("BLUE US Equity","TOTAL_EQUITY","FQ2 2020","FQ2 2020","Currency=USD","Period=FQ","BEST_FPERIOD_OVERRIDE=FQ","FILING_STATUS=MR","SCALING_FORMAT=MLN","Sort=A","Dates=H","DateFormat=P","Fill=—","Direction=H","UseDPDF=Y")</f>
        <v>1682.0309999999999</v>
      </c>
      <c r="J82" s="19">
        <f>_xll.BDH("BLUE US Equity","TOTAL_EQUITY","FQ3 2020","FQ3 2020","Currency=USD","Period=FQ","BEST_FPERIOD_OVERRIDE=FQ","FILING_STATUS=MR","SCALING_FORMAT=MLN","Sort=A","Dates=H","DateFormat=P","Fill=—","Direction=H","UseDPDF=Y")</f>
        <v>1523.021</v>
      </c>
      <c r="K82" s="19">
        <f>_xll.BDH("BLUE US Equity","TOTAL_EQUITY","FQ4 2020","FQ4 2020","Currency=USD","Period=FQ","BEST_FPERIOD_OVERRIDE=FQ","FILING_STATUS=MR","SCALING_FORMAT=MLN","Sort=A","Dates=H","DateFormat=P","Fill=—","Direction=H","UseDPDF=Y")</f>
        <v>1355.056</v>
      </c>
      <c r="L82" s="19">
        <f>_xll.BDH("BLUE US Equity","TOTAL_EQUITY","FQ1 2021","FQ1 2021","Currency=USD","Period=FQ","BEST_FPERIOD_OVERRIDE=FQ","FILING_STATUS=MR","SCALING_FORMAT=MLN","Sort=A","Dates=H","DateFormat=P","Fill=—","Direction=H","UseDPDF=Y")</f>
        <v>1200.3330000000001</v>
      </c>
      <c r="M82" s="19">
        <f>_xll.BDH("BLUE US Equity","TOTAL_EQUITY","FQ2 2021","FQ2 2021","Currency=USD","Period=FQ","BEST_FPERIOD_OVERRIDE=FQ","FILING_STATUS=MR","SCALING_FORMAT=MLN","Sort=A","Dates=H","DateFormat=P","Fill=—","Direction=H","UseDPDF=Y")</f>
        <v>984.56100000000004</v>
      </c>
      <c r="N82" s="19">
        <f>_xll.BDH("BLUE US Equity","TOTAL_EQUITY","FQ3 2021","FQ3 2021","Currency=USD","Period=FQ","BEST_FPERIOD_OVERRIDE=FQ","FILING_STATUS=MR","SCALING_FORMAT=MLN","Sort=A","Dates=H","DateFormat=P","Fill=—","Direction=H","UseDPDF=Y")</f>
        <v>870.52700000000004</v>
      </c>
      <c r="O82" s="19">
        <f>_xll.BDH("BLUE US Equity","TOTAL_EQUITY","FQ4 2021","FQ4 2021","Currency=USD","Period=FQ","BEST_FPERIOD_OVERRIDE=FQ","FILING_STATUS=MR","SCALING_FORMAT=MLN","Sort=A","Dates=H","DateFormat=P","Fill=—","Direction=H","UseDPDF=Y")</f>
        <v>374.27699999999999</v>
      </c>
      <c r="P82" s="19">
        <f>_xll.BDH("BLUE US Equity","TOTAL_EQUITY","FQ1 2022","FQ1 2022","Currency=USD","Period=FQ","BEST_FPERIOD_OVERRIDE=FQ","FILING_STATUS=MR","SCALING_FORMAT=MLN","Sort=A","Dates=H","DateFormat=P","Fill=—","Direction=H","UseDPDF=Y")</f>
        <v>263.25900000000001</v>
      </c>
      <c r="Q82" s="19">
        <f>_xll.BDH("BLUE US Equity","TOTAL_EQUITY","FQ2 2022","FQ2 2022","Currency=USD","Period=FQ","BEST_FPERIOD_OVERRIDE=FQ","FILING_STATUS=MR","SCALING_FORMAT=MLN","Sort=A","Dates=H","DateFormat=P","Fill=—","Direction=H","UseDPDF=Y")</f>
        <v>180.11600000000001</v>
      </c>
      <c r="R82" s="19">
        <f>_xll.BDH("BLUE US Equity","TOTAL_EQUITY","FQ3 2022","FQ3 2022","Currency=USD","Period=FQ","BEST_FPERIOD_OVERRIDE=FQ","FILING_STATUS=MR","SCALING_FORMAT=MLN","Sort=A","Dates=H","DateFormat=P","Fill=—","Direction=H","UseDPDF=Y")</f>
        <v>158.857</v>
      </c>
      <c r="S82" s="19">
        <f>_xll.BDH("BLUE US Equity","TOTAL_EQUITY","FQ4 2022","FQ4 2022","Currency=USD","Period=FQ","BEST_FPERIOD_OVERRIDE=FQ","FILING_STATUS=MR","SCALING_FORMAT=MLN","Sort=A","Dates=H","DateFormat=P","Fill=—","Direction=H","UseDPDF=Y")</f>
        <v>134.333</v>
      </c>
      <c r="T82" s="19">
        <f>_xll.BDH("BLUE US Equity","TOTAL_EQUITY","FQ1 2023","FQ1 2023","Currency=USD","Period=FQ","BEST_FPERIOD_OVERRIDE=FQ","FILING_STATUS=MR","SCALING_FORMAT=MLN","Sort=A","Dates=H","DateFormat=P","Fill=—","Direction=H","UseDPDF=Y")</f>
        <v>354.74</v>
      </c>
      <c r="U82" s="19">
        <f>_xll.BDH("BLUE US Equity","TOTAL_EQUITY","FQ2 2023","FQ2 2023","Currency=USD","Period=FQ","BEST_FPERIOD_OVERRIDE=FQ","FILING_STATUS=MR","SCALING_FORMAT=MLN","Sort=A","Dates=H","DateFormat=P","Fill=—","Direction=H","UseDPDF=Y")</f>
        <v>289.01900000000001</v>
      </c>
      <c r="V82" s="19">
        <f>_xll.BDH("BLUE US Equity","TOTAL_EQUITY","FQ3 2023","FQ3 2023","Currency=USD","Period=FQ","BEST_FPERIOD_OVERRIDE=FQ","FILING_STATUS=MR","SCALING_FORMAT=MLN","Sort=A","Dates=H","DateFormat=P","Fill=—","Direction=H","UseDPDF=Y")</f>
        <v>222.536</v>
      </c>
      <c r="W82" s="19">
        <f>_xll.BDH("BLUE US Equity","TOTAL_EQUITY","FQ4 2023","FQ4 2023","Currency=USD","Period=FQ","BEST_FPERIOD_OVERRIDE=FQ","FILING_STATUS=MR","SCALING_FORMAT=MLN","Sort=A","Dates=H","DateFormat=P","Fill=—","Direction=H","UseDPDF=Y")</f>
        <v>194.53700000000001</v>
      </c>
      <c r="X82" s="19">
        <f>_xll.BDH("BLUE US Equity","TOTAL_EQUITY","FQ1 2024","FQ1 2024","Currency=USD","Period=FQ","BEST_FPERIOD_OVERRIDE=FQ","FILING_STATUS=MR","SCALING_FORMAT=MLN","Sort=A","Dates=H","DateFormat=P","Fill=—","Direction=H","UseDPDF=Y")</f>
        <v>131.04599999999999</v>
      </c>
      <c r="Y82" s="19">
        <f>_xll.BDH("BLUE US Equity","TOTAL_EQUITY","FQ2 2024","FQ2 2024","Currency=USD","Period=FQ","BEST_FPERIOD_OVERRIDE=FQ","FILING_STATUS=MR","SCALING_FORMAT=MLN","Sort=A","Dates=H","DateFormat=P","Fill=—","Direction=H","UseDPDF=Y")</f>
        <v>52.981000000000002</v>
      </c>
      <c r="Z82" s="19">
        <f>_xll.BDH("BLUE US Equity","TOTAL_EQUITY","FQ3 2024","FQ3 2024","Currency=USD","Period=FQ","BEST_FPERIOD_OVERRIDE=FQ","FILING_STATUS=MR","SCALING_FORMAT=MLN","Sort=A","Dates=H","DateFormat=P","Fill=—","Direction=H","UseDPDF=Y")</f>
        <v>-5.7859999999999996</v>
      </c>
      <c r="AA82" s="19">
        <f>_xll.BDH("BLUE US Equity","TOTAL_EQUITY","FQ4 2024","FQ4 2024","Currency=USD","Period=FQ","BEST_FPERIOD_OVERRIDE=FQ","FILING_STATUS=MR","SCALING_FORMAT=MLN","Sort=A","Dates=H","DateFormat=P","Fill=—","Direction=H","UseDPDF=Y")</f>
        <v>-31.533999999999999</v>
      </c>
    </row>
    <row r="83" spans="1:27" x14ac:dyDescent="0.25">
      <c r="A83" s="6" t="s">
        <v>724</v>
      </c>
      <c r="B83" s="6" t="s">
        <v>725</v>
      </c>
      <c r="C83" s="19">
        <f>_xll.BDH("BLUE US Equity","TOT_LIAB_AND_EQY","FQ4 2018","FQ4 2018","Currency=USD","Period=FQ","BEST_FPERIOD_OVERRIDE=FQ","FILING_STATUS=MR","SCALING_FORMAT=MLN","Sort=A","Dates=H","DateFormat=P","Fill=—","Direction=H","UseDPDF=Y")</f>
        <v>2242.8440000000001</v>
      </c>
      <c r="D83" s="19">
        <f>_xll.BDH("BLUE US Equity","TOT_LIAB_AND_EQY","FQ1 2019","FQ1 2019","Currency=USD","Period=FQ","BEST_FPERIOD_OVERRIDE=FQ","FILING_STATUS=MR","SCALING_FORMAT=MLN","Sort=A","Dates=H","DateFormat=P","Fill=—","Direction=H","UseDPDF=Y")</f>
        <v>2138.6149999999998</v>
      </c>
      <c r="E83" s="19">
        <f>_xll.BDH("BLUE US Equity","TOT_LIAB_AND_EQY","FQ2 2019","FQ2 2019","Currency=USD","Period=FQ","BEST_FPERIOD_OVERRIDE=FQ","FILING_STATUS=MR","SCALING_FORMAT=MLN","Sort=A","Dates=H","DateFormat=P","Fill=—","Direction=H","UseDPDF=Y")</f>
        <v>2023.3440000000001</v>
      </c>
      <c r="F83" s="19">
        <f>_xll.BDH("BLUE US Equity","TOT_LIAB_AND_EQY","FQ3 2019","FQ3 2019","Currency=USD","Period=FQ","BEST_FPERIOD_OVERRIDE=FQ","FILING_STATUS=MR","SCALING_FORMAT=MLN","Sort=A","Dates=H","DateFormat=P","Fill=—","Direction=H","UseDPDF=Y")</f>
        <v>1892.2180000000001</v>
      </c>
      <c r="G83" s="19">
        <f>_xll.BDH("BLUE US Equity","TOT_LIAB_AND_EQY","FQ4 2019","FQ4 2019","Currency=USD","Period=FQ","BEST_FPERIOD_OVERRIDE=FQ","FILING_STATUS=MR","SCALING_FORMAT=MLN","Sort=A","Dates=H","DateFormat=P","Fill=—","Direction=H","UseDPDF=Y")</f>
        <v>1727.424</v>
      </c>
      <c r="H83" s="19">
        <f>_xll.BDH("BLUE US Equity","TOT_LIAB_AND_EQY","FQ1 2020","FQ1 2020","Currency=USD","Period=FQ","BEST_FPERIOD_OVERRIDE=FQ","FILING_STATUS=MR","SCALING_FORMAT=MLN","Sort=A","Dates=H","DateFormat=P","Fill=—","Direction=H","UseDPDF=Y")</f>
        <v>1529.104</v>
      </c>
      <c r="I83" s="19">
        <f>_xll.BDH("BLUE US Equity","TOT_LIAB_AND_EQY","FQ2 2020","FQ2 2020","Currency=USD","Period=FQ","BEST_FPERIOD_OVERRIDE=FQ","FILING_STATUS=MR","SCALING_FORMAT=MLN","Sort=A","Dates=H","DateFormat=P","Fill=—","Direction=H","UseDPDF=Y")</f>
        <v>2107.79</v>
      </c>
      <c r="J83" s="19">
        <f>_xll.BDH("BLUE US Equity","TOT_LIAB_AND_EQY","FQ3 2020","FQ3 2020","Currency=USD","Period=FQ","BEST_FPERIOD_OVERRIDE=FQ","FILING_STATUS=MR","SCALING_FORMAT=MLN","Sort=A","Dates=H","DateFormat=P","Fill=—","Direction=H","UseDPDF=Y")</f>
        <v>1945.4839999999999</v>
      </c>
      <c r="K83" s="19">
        <f>_xll.BDH("BLUE US Equity","TOT_LIAB_AND_EQY","FQ4 2020","FQ4 2020","Currency=USD","Period=FQ","BEST_FPERIOD_OVERRIDE=FQ","FILING_STATUS=MR","SCALING_FORMAT=MLN","Sort=A","Dates=H","DateFormat=P","Fill=—","Direction=H","UseDPDF=Y")</f>
        <v>1781.252</v>
      </c>
      <c r="L83" s="19">
        <f>_xll.BDH("BLUE US Equity","TOT_LIAB_AND_EQY","FQ1 2021","FQ1 2021","Currency=USD","Period=FQ","BEST_FPERIOD_OVERRIDE=FQ","FILING_STATUS=MR","SCALING_FORMAT=MLN","Sort=A","Dates=H","DateFormat=P","Fill=—","Direction=H","UseDPDF=Y")</f>
        <v>1637.279</v>
      </c>
      <c r="M83" s="19">
        <f>_xll.BDH("BLUE US Equity","TOT_LIAB_AND_EQY","FQ2 2021","FQ2 2021","Currency=USD","Period=FQ","BEST_FPERIOD_OVERRIDE=FQ","FILING_STATUS=MR","SCALING_FORMAT=MLN","Sort=A","Dates=H","DateFormat=P","Fill=—","Direction=H","UseDPDF=Y")</f>
        <v>1454.4590000000001</v>
      </c>
      <c r="N83" s="19">
        <f>_xll.BDH("BLUE US Equity","TOT_LIAB_AND_EQY","FQ3 2021","FQ3 2021","Currency=USD","Period=FQ","BEST_FPERIOD_OVERRIDE=FQ","FILING_STATUS=MR","SCALING_FORMAT=MLN","Sort=A","Dates=H","DateFormat=P","Fill=—","Direction=H","UseDPDF=Y")</f>
        <v>1339.644</v>
      </c>
      <c r="O83" s="19">
        <f>_xll.BDH("BLUE US Equity","TOT_LIAB_AND_EQY","FQ4 2021","FQ4 2021","Currency=USD","Period=FQ","BEST_FPERIOD_OVERRIDE=FQ","FILING_STATUS=MR","SCALING_FORMAT=MLN","Sort=A","Dates=H","DateFormat=P","Fill=—","Direction=H","UseDPDF=Y")</f>
        <v>593.79499999999996</v>
      </c>
      <c r="P83" s="19">
        <f>_xll.BDH("BLUE US Equity","TOT_LIAB_AND_EQY","FQ1 2022","FQ1 2022","Currency=USD","Period=FQ","BEST_FPERIOD_OVERRIDE=FQ","FILING_STATUS=MR","SCALING_FORMAT=MLN","Sort=A","Dates=H","DateFormat=P","Fill=—","Direction=H","UseDPDF=Y")</f>
        <v>491.07100000000003</v>
      </c>
      <c r="Q83" s="19">
        <f>_xll.BDH("BLUE US Equity","TOT_LIAB_AND_EQY","FQ2 2022","FQ2 2022","Currency=USD","Period=FQ","BEST_FPERIOD_OVERRIDE=FQ","FILING_STATUS=MR","SCALING_FORMAT=MLN","Sort=A","Dates=H","DateFormat=P","Fill=—","Direction=H","UseDPDF=Y")</f>
        <v>573.59199999999998</v>
      </c>
      <c r="R83" s="19">
        <f>_xll.BDH("BLUE US Equity","TOT_LIAB_AND_EQY","FQ3 2022","FQ3 2022","Currency=USD","Period=FQ","BEST_FPERIOD_OVERRIDE=FQ","FILING_STATUS=MR","SCALING_FORMAT=MLN","Sort=A","Dates=H","DateFormat=P","Fill=—","Direction=H","UseDPDF=Y")</f>
        <v>520.09799999999996</v>
      </c>
      <c r="S83" s="19">
        <f>_xll.BDH("BLUE US Equity","TOT_LIAB_AND_EQY","FQ4 2022","FQ4 2022","Currency=USD","Period=FQ","BEST_FPERIOD_OVERRIDE=FQ","FILING_STATUS=MR","SCALING_FORMAT=MLN","Sort=A","Dates=H","DateFormat=P","Fill=—","Direction=H","UseDPDF=Y")</f>
        <v>569.81399999999996</v>
      </c>
      <c r="T83" s="19">
        <f>_xll.BDH("BLUE US Equity","TOT_LIAB_AND_EQY","FQ1 2023","FQ1 2023","Currency=USD","Period=FQ","BEST_FPERIOD_OVERRIDE=FQ","FILING_STATUS=MR","SCALING_FORMAT=MLN","Sort=A","Dates=H","DateFormat=P","Fill=—","Direction=H","UseDPDF=Y")</f>
        <v>692.73599999999999</v>
      </c>
      <c r="U83" s="19">
        <f>_xll.BDH("BLUE US Equity","TOT_LIAB_AND_EQY","FQ2 2023","FQ2 2023","Currency=USD","Period=FQ","BEST_FPERIOD_OVERRIDE=FQ","FILING_STATUS=MR","SCALING_FORMAT=MLN","Sort=A","Dates=H","DateFormat=P","Fill=—","Direction=H","UseDPDF=Y")</f>
        <v>663.39300000000003</v>
      </c>
      <c r="V83" s="19">
        <f>_xll.BDH("BLUE US Equity","TOT_LIAB_AND_EQY","FQ3 2023","FQ3 2023","Currency=USD","Period=FQ","BEST_FPERIOD_OVERRIDE=FQ","FILING_STATUS=MR","SCALING_FORMAT=MLN","Sort=A","Dates=H","DateFormat=P","Fill=—","Direction=H","UseDPDF=Y")</f>
        <v>613.60799999999995</v>
      </c>
      <c r="W83" s="19">
        <f>_xll.BDH("BLUE US Equity","TOT_LIAB_AND_EQY","FQ4 2023","FQ4 2023","Currency=USD","Period=FQ","BEST_FPERIOD_OVERRIDE=FQ","FILING_STATUS=MR","SCALING_FORMAT=MLN","Sort=A","Dates=H","DateFormat=P","Fill=—","Direction=H","UseDPDF=Y")</f>
        <v>619.16099999999994</v>
      </c>
      <c r="X83" s="19">
        <f>_xll.BDH("BLUE US Equity","TOT_LIAB_AND_EQY","FQ1 2024","FQ1 2024","Currency=USD","Period=FQ","BEST_FPERIOD_OVERRIDE=FQ","FILING_STATUS=MR","SCALING_FORMAT=MLN","Sort=A","Dates=H","DateFormat=P","Fill=—","Direction=H","UseDPDF=Y")</f>
        <v>631.48299999999995</v>
      </c>
      <c r="Y83" s="19">
        <f>_xll.BDH("BLUE US Equity","TOT_LIAB_AND_EQY","FQ2 2024","FQ2 2024","Currency=USD","Period=FQ","BEST_FPERIOD_OVERRIDE=FQ","FILING_STATUS=MR","SCALING_FORMAT=MLN","Sort=A","Dates=H","DateFormat=P","Fill=—","Direction=H","UseDPDF=Y")</f>
        <v>545.19299999999998</v>
      </c>
      <c r="Z83" s="19">
        <f>_xll.BDH("BLUE US Equity","TOT_LIAB_AND_EQY","FQ3 2024","FQ3 2024","Currency=USD","Period=FQ","BEST_FPERIOD_OVERRIDE=FQ","FILING_STATUS=MR","SCALING_FORMAT=MLN","Sort=A","Dates=H","DateFormat=P","Fill=—","Direction=H","UseDPDF=Y")</f>
        <v>465.05599999999998</v>
      </c>
      <c r="AA83" s="19">
        <f>_xll.BDH("BLUE US Equity","TOT_LIAB_AND_EQY","FQ4 2024","FQ4 2024","Currency=USD","Period=FQ","BEST_FPERIOD_OVERRIDE=FQ","FILING_STATUS=MR","SCALING_FORMAT=MLN","Sort=A","Dates=H","DateFormat=P","Fill=—","Direction=H","UseDPDF=Y")</f>
        <v>460.23200000000003</v>
      </c>
    </row>
    <row r="84" spans="1:27" x14ac:dyDescent="0.25">
      <c r="A84" s="6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25">
      <c r="A85" s="6" t="s">
        <v>4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25">
      <c r="A86" s="10" t="s">
        <v>352</v>
      </c>
      <c r="B86" s="10" t="s">
        <v>353</v>
      </c>
      <c r="C86" s="12" t="s">
        <v>354</v>
      </c>
      <c r="D86" s="12" t="s">
        <v>354</v>
      </c>
      <c r="E86" s="12" t="s">
        <v>354</v>
      </c>
      <c r="F86" s="12" t="s">
        <v>354</v>
      </c>
      <c r="G86" s="12" t="s">
        <v>354</v>
      </c>
      <c r="H86" s="12" t="s">
        <v>354</v>
      </c>
      <c r="I86" s="12" t="s">
        <v>354</v>
      </c>
      <c r="J86" s="12" t="s">
        <v>354</v>
      </c>
      <c r="K86" s="12" t="s">
        <v>354</v>
      </c>
      <c r="L86" s="12" t="s">
        <v>354</v>
      </c>
      <c r="M86" s="12" t="s">
        <v>354</v>
      </c>
      <c r="N86" s="12" t="s">
        <v>354</v>
      </c>
      <c r="O86" s="12" t="s">
        <v>354</v>
      </c>
      <c r="P86" s="12" t="s">
        <v>354</v>
      </c>
      <c r="Q86" s="12" t="s">
        <v>354</v>
      </c>
      <c r="R86" s="12" t="s">
        <v>354</v>
      </c>
      <c r="S86" s="12" t="s">
        <v>354</v>
      </c>
      <c r="T86" s="12" t="s">
        <v>354</v>
      </c>
      <c r="U86" s="12" t="s">
        <v>354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x14ac:dyDescent="0.25">
      <c r="A87" s="10" t="s">
        <v>726</v>
      </c>
      <c r="B87" s="10" t="s">
        <v>121</v>
      </c>
      <c r="C87" s="13">
        <f>_xll.BDH("BLUE US Equity","BS_SH_OUT","FQ4 2018","FQ4 2018","Currency=USD","Period=FQ","BEST_FPERIOD_OVERRIDE=FQ","FILING_STATUS=MR","Sort=A","Dates=H","DateFormat=P","Fill=—","Direction=H","UseDPDF=Y")</f>
        <v>2.7368999999999999</v>
      </c>
      <c r="D87" s="13">
        <f>_xll.BDH("BLUE US Equity","BS_SH_OUT","FQ1 2019","FQ1 2019","Currency=USD","Period=FQ","BEST_FPERIOD_OVERRIDE=FQ","FILING_STATUS=MR","Sort=A","Dates=H","DateFormat=P","Fill=—","Direction=H","UseDPDF=Y")</f>
        <v>2.7534999999999998</v>
      </c>
      <c r="E87" s="13">
        <f>_xll.BDH("BLUE US Equity","BS_SH_OUT","FQ2 2019","FQ2 2019","Currency=USD","Period=FQ","BEST_FPERIOD_OVERRIDE=FQ","FILING_STATUS=MR","Sort=A","Dates=H","DateFormat=P","Fill=—","Direction=H","UseDPDF=Y")</f>
        <v>2.7614000000000001</v>
      </c>
      <c r="F87" s="13">
        <f>_xll.BDH("BLUE US Equity","BS_SH_OUT","FQ3 2019","FQ3 2019","Currency=USD","Period=FQ","BEST_FPERIOD_OVERRIDE=FQ","FILING_STATUS=MR","Sort=A","Dates=H","DateFormat=P","Fill=—","Direction=H","UseDPDF=Y")</f>
        <v>2.766</v>
      </c>
      <c r="G87" s="13">
        <f>_xll.BDH("BLUE US Equity","BS_SH_OUT","FQ4 2019","FQ4 2019","Currency=USD","Period=FQ","BEST_FPERIOD_OVERRIDE=FQ","FILING_STATUS=MR","Sort=A","Dates=H","DateFormat=P","Fill=—","Direction=H","UseDPDF=Y")</f>
        <v>2.7684000000000002</v>
      </c>
      <c r="H87" s="13">
        <f>_xll.BDH("BLUE US Equity","BS_SH_OUT","FQ1 2020","FQ1 2020","Currency=USD","Period=FQ","BEST_FPERIOD_OVERRIDE=FQ","FILING_STATUS=MR","Sort=A","Dates=H","DateFormat=P","Fill=—","Direction=H","UseDPDF=Y")</f>
        <v>2.7810000000000001</v>
      </c>
      <c r="I87" s="13">
        <f>_xll.BDH("BLUE US Equity","BS_SH_OUT","FQ2 2020","FQ2 2020","Currency=USD","Period=FQ","BEST_FPERIOD_OVERRIDE=FQ","FILING_STATUS=MR","Sort=A","Dates=H","DateFormat=P","Fill=—","Direction=H","UseDPDF=Y")</f>
        <v>3.3098000000000001</v>
      </c>
      <c r="J87" s="13">
        <f>_xll.BDH("BLUE US Equity","BS_SH_OUT","FQ3 2020","FQ3 2020","Currency=USD","Period=FQ","BEST_FPERIOD_OVERRIDE=FQ","FILING_STATUS=MR","Sort=A","Dates=H","DateFormat=P","Fill=—","Direction=H","UseDPDF=Y")</f>
        <v>3.3170000000000002</v>
      </c>
      <c r="K87" s="13">
        <f>_xll.BDH("BLUE US Equity","BS_SH_OUT","FQ4 2020","FQ4 2020","Currency=USD","Period=FQ","BEST_FPERIOD_OVERRIDE=FQ","FILING_STATUS=MR","Sort=A","Dates=H","DateFormat=P","Fill=—","Direction=H","UseDPDF=Y")</f>
        <v>3.3216000000000001</v>
      </c>
      <c r="L87" s="13">
        <f>_xll.BDH("BLUE US Equity","BS_SH_OUT","FQ1 2021","FQ1 2021","Currency=USD","Period=FQ","BEST_FPERIOD_OVERRIDE=FQ","FILING_STATUS=MR","Sort=A","Dates=H","DateFormat=P","Fill=—","Direction=H","UseDPDF=Y")</f>
        <v>3.3711000000000002</v>
      </c>
      <c r="M87" s="13">
        <f>_xll.BDH("BLUE US Equity","BS_SH_OUT","FQ2 2021","FQ2 2021","Currency=USD","Period=FQ","BEST_FPERIOD_OVERRIDE=FQ","FILING_STATUS=MR","Sort=A","Dates=H","DateFormat=P","Fill=—","Direction=H","UseDPDF=Y")</f>
        <v>3.3776000000000002</v>
      </c>
      <c r="N87" s="13">
        <f>_xll.BDH("BLUE US Equity","BS_SH_OUT","FQ3 2021","FQ3 2021","Currency=USD","Period=FQ","BEST_FPERIOD_OVERRIDE=FQ","FILING_STATUS=MR","Sort=A","Dates=H","DateFormat=P","Fill=—","Direction=H","UseDPDF=Y")</f>
        <v>3.5049000000000001</v>
      </c>
      <c r="O87" s="13">
        <f>_xll.BDH("BLUE US Equity","BS_SH_OUT","FQ4 2021","FQ4 2021","Currency=USD","Period=FQ","BEST_FPERIOD_OVERRIDE=FQ","FILING_STATUS=MR","Sort=A","Dates=H","DateFormat=P","Fill=—","Direction=H","UseDPDF=Y")</f>
        <v>3.5558000000000001</v>
      </c>
      <c r="P87" s="13">
        <f>_xll.BDH("BLUE US Equity","BS_SH_OUT","FQ1 2022","FQ1 2022","Currency=USD","Period=FQ","BEST_FPERIOD_OVERRIDE=FQ","FILING_STATUS=MR","Sort=A","Dates=H","DateFormat=P","Fill=—","Direction=H","UseDPDF=Y")</f>
        <v>3.5718999999999999</v>
      </c>
      <c r="Q87" s="13">
        <f>_xll.BDH("BLUE US Equity","BS_SH_OUT","FQ2 2022","FQ2 2022","Currency=USD","Period=FQ","BEST_FPERIOD_OVERRIDE=FQ","FILING_STATUS=MR","Sort=A","Dates=H","DateFormat=P","Fill=—","Direction=H","UseDPDF=Y")</f>
        <v>3.6776</v>
      </c>
      <c r="R87" s="13">
        <f>_xll.BDH("BLUE US Equity","BS_SH_OUT","FQ3 2022","FQ3 2022","Currency=USD","Period=FQ","BEST_FPERIOD_OVERRIDE=FQ","FILING_STATUS=MR","Sort=A","Dates=H","DateFormat=P","Fill=—","Direction=H","UseDPDF=Y")</f>
        <v>4.1440000000000001</v>
      </c>
      <c r="S87" s="13">
        <f>_xll.BDH("BLUE US Equity","BS_SH_OUT","FQ4 2022","FQ4 2022","Currency=USD","Period=FQ","BEST_FPERIOD_OVERRIDE=FQ","FILING_STATUS=MR","Sort=A","Dates=H","DateFormat=P","Fill=—","Direction=H","UseDPDF=Y")</f>
        <v>4.1462000000000003</v>
      </c>
      <c r="T87" s="13">
        <f>_xll.BDH("BLUE US Equity","BS_SH_OUT","FQ1 2023","FQ1 2023","Currency=USD","Period=FQ","BEST_FPERIOD_OVERRIDE=FQ","FILING_STATUS=MR","Sort=A","Dates=H","DateFormat=P","Fill=—","Direction=H","UseDPDF=Y")</f>
        <v>5.3185000000000002</v>
      </c>
      <c r="U87" s="13">
        <f>_xll.BDH("BLUE US Equity","BS_SH_OUT","FQ2 2023","FQ2 2023","Currency=USD","Period=FQ","BEST_FPERIOD_OVERRIDE=FQ","FILING_STATUS=MR","Sort=A","Dates=H","DateFormat=P","Fill=—","Direction=H","UseDPDF=Y")</f>
        <v>5.3227000000000002</v>
      </c>
      <c r="V87" s="13">
        <f>_xll.BDH("BLUE US Equity","BS_SH_OUT","FQ3 2023","FQ3 2023","Currency=USD","Period=FQ","BEST_FPERIOD_OVERRIDE=FQ","FILING_STATUS=MR","Sort=A","Dates=H","DateFormat=P","Fill=—","Direction=H","UseDPDF=Y")</f>
        <v>5.3510999999999997</v>
      </c>
      <c r="W87" s="13">
        <f>_xll.BDH("BLUE US Equity","BS_SH_OUT","FQ4 2023","FQ4 2023","Currency=USD","Period=FQ","BEST_FPERIOD_OVERRIDE=FQ","FILING_STATUS=MR","Sort=A","Dates=H","DateFormat=P","Fill=—","Direction=H","UseDPDF=Y")</f>
        <v>9.6386000000000003</v>
      </c>
      <c r="X87" s="13">
        <f>_xll.BDH("BLUE US Equity","BS_SH_OUT","FQ1 2024","FQ1 2024","Currency=USD","Period=FQ","BEST_FPERIOD_OVERRIDE=FQ","FILING_STATUS=MR","Sort=A","Dates=H","DateFormat=P","Fill=—","Direction=H","UseDPDF=Y")</f>
        <v>9.6791999999999998</v>
      </c>
      <c r="Y87" s="13">
        <f>_xll.BDH("BLUE US Equity","BS_SH_OUT","FQ2 2024","FQ2 2024","Currency=USD","Period=FQ","BEST_FPERIOD_OVERRIDE=FQ","FILING_STATUS=MR","Sort=A","Dates=H","DateFormat=P","Fill=—","Direction=H","UseDPDF=Y")</f>
        <v>9.6928000000000001</v>
      </c>
      <c r="Z87" s="13">
        <f>_xll.BDH("BLUE US Equity","BS_SH_OUT","FQ3 2024","FQ3 2024","Currency=USD","Period=FQ","BEST_FPERIOD_OVERRIDE=FQ","FILING_STATUS=MR","Sort=A","Dates=H","DateFormat=P","Fill=—","Direction=H","UseDPDF=Y")</f>
        <v>9.6959</v>
      </c>
      <c r="AA87" s="13">
        <f>_xll.BDH("BLUE US Equity","BS_SH_OUT","FQ4 2024","FQ4 2024","Currency=USD","Period=FQ","BEST_FPERIOD_OVERRIDE=FQ","FILING_STATUS=MR","Sort=A","Dates=H","DateFormat=P","Fill=—","Direction=H","UseDPDF=Y")</f>
        <v>9.7279999999999998</v>
      </c>
    </row>
    <row r="88" spans="1:27" x14ac:dyDescent="0.25">
      <c r="A88" s="10" t="s">
        <v>727</v>
      </c>
      <c r="B88" s="10" t="s">
        <v>728</v>
      </c>
      <c r="C88" s="13">
        <f>_xll.BDH("BLUE US Equity","BS_NUM_OF_TSY_SH","FQ4 2018","FQ4 2018","Currency=USD","Period=FQ","BEST_FPERIOD_OVERRIDE=FQ","FILING_STATUS=MR","Sort=A","Dates=H","DateFormat=P","Fill=—","Direction=H","UseDPDF=Y")</f>
        <v>0</v>
      </c>
      <c r="D88" s="13">
        <f>_xll.BDH("BLUE US Equity","BS_NUM_OF_TSY_SH","FQ1 2019","FQ1 2019","Currency=USD","Period=FQ","BEST_FPERIOD_OVERRIDE=FQ","FILING_STATUS=MR","Sort=A","Dates=H","DateFormat=P","Fill=—","Direction=H","UseDPDF=Y")</f>
        <v>0</v>
      </c>
      <c r="E88" s="13">
        <f>_xll.BDH("BLUE US Equity","BS_NUM_OF_TSY_SH","FQ2 2019","FQ2 2019","Currency=USD","Period=FQ","BEST_FPERIOD_OVERRIDE=FQ","FILING_STATUS=MR","Sort=A","Dates=H","DateFormat=P","Fill=—","Direction=H","UseDPDF=Y")</f>
        <v>0</v>
      </c>
      <c r="F88" s="13">
        <f>_xll.BDH("BLUE US Equity","BS_NUM_OF_TSY_SH","FQ3 2019","FQ3 2019","Currency=USD","Period=FQ","BEST_FPERIOD_OVERRIDE=FQ","FILING_STATUS=MR","Sort=A","Dates=H","DateFormat=P","Fill=—","Direction=H","UseDPDF=Y")</f>
        <v>0</v>
      </c>
      <c r="G88" s="13">
        <f>_xll.BDH("BLUE US Equity","BS_NUM_OF_TSY_SH","FQ4 2019","FQ4 2019","Currency=USD","Period=FQ","BEST_FPERIOD_OVERRIDE=FQ","FILING_STATUS=MR","Sort=A","Dates=H","DateFormat=P","Fill=—","Direction=H","UseDPDF=Y")</f>
        <v>0</v>
      </c>
      <c r="H88" s="13">
        <f>_xll.BDH("BLUE US Equity","BS_NUM_OF_TSY_SH","FQ1 2020","FQ1 2020","Currency=USD","Period=FQ","BEST_FPERIOD_OVERRIDE=FQ","FILING_STATUS=MR","Sort=A","Dates=H","DateFormat=P","Fill=—","Direction=H","UseDPDF=Y")</f>
        <v>0</v>
      </c>
      <c r="I88" s="13">
        <f>_xll.BDH("BLUE US Equity","BS_NUM_OF_TSY_SH","FQ2 2020","FQ2 2020","Currency=USD","Period=FQ","BEST_FPERIOD_OVERRIDE=FQ","FILING_STATUS=MR","Sort=A","Dates=H","DateFormat=P","Fill=—","Direction=H","UseDPDF=Y")</f>
        <v>0</v>
      </c>
      <c r="J88" s="13">
        <f>_xll.BDH("BLUE US Equity","BS_NUM_OF_TSY_SH","FQ3 2020","FQ3 2020","Currency=USD","Period=FQ","BEST_FPERIOD_OVERRIDE=FQ","FILING_STATUS=MR","Sort=A","Dates=H","DateFormat=P","Fill=—","Direction=H","UseDPDF=Y")</f>
        <v>0</v>
      </c>
      <c r="K88" s="13">
        <f>_xll.BDH("BLUE US Equity","BS_NUM_OF_TSY_SH","FQ4 2020","FQ4 2020","Currency=USD","Period=FQ","BEST_FPERIOD_OVERRIDE=FQ","FILING_STATUS=MR","Sort=A","Dates=H","DateFormat=P","Fill=—","Direction=H","UseDPDF=Y")</f>
        <v>0</v>
      </c>
      <c r="L88" s="13">
        <f>_xll.BDH("BLUE US Equity","BS_NUM_OF_TSY_SH","FQ1 2021","FQ1 2021","Currency=USD","Period=FQ","BEST_FPERIOD_OVERRIDE=FQ","FILING_STATUS=MR","Sort=A","Dates=H","DateFormat=P","Fill=—","Direction=H","UseDPDF=Y")</f>
        <v>0</v>
      </c>
      <c r="M88" s="13">
        <f>_xll.BDH("BLUE US Equity","BS_NUM_OF_TSY_SH","FQ2 2021","FQ2 2021","Currency=USD","Period=FQ","BEST_FPERIOD_OVERRIDE=FQ","FILING_STATUS=MR","Sort=A","Dates=H","DateFormat=P","Fill=—","Direction=H","UseDPDF=Y")</f>
        <v>0</v>
      </c>
      <c r="N88" s="13">
        <f>_xll.BDH("BLUE US Equity","BS_NUM_OF_TSY_SH","FQ3 2021","FQ3 2021","Currency=USD","Period=FQ","BEST_FPERIOD_OVERRIDE=FQ","FILING_STATUS=MR","Sort=A","Dates=H","DateFormat=P","Fill=—","Direction=H","UseDPDF=Y")</f>
        <v>0</v>
      </c>
      <c r="O88" s="13">
        <f>_xll.BDH("BLUE US Equity","BS_NUM_OF_TSY_SH","FQ4 2021","FQ4 2021","Currency=USD","Period=FQ","BEST_FPERIOD_OVERRIDE=FQ","FILING_STATUS=MR","Sort=A","Dates=H","DateFormat=P","Fill=—","Direction=H","UseDPDF=Y")</f>
        <v>0</v>
      </c>
      <c r="P88" s="13">
        <f>_xll.BDH("BLUE US Equity","BS_NUM_OF_TSY_SH","FQ1 2022","FQ1 2022","Currency=USD","Period=FQ","BEST_FPERIOD_OVERRIDE=FQ","FILING_STATUS=MR","Sort=A","Dates=H","DateFormat=P","Fill=—","Direction=H","UseDPDF=Y")</f>
        <v>0</v>
      </c>
      <c r="Q88" s="13">
        <f>_xll.BDH("BLUE US Equity","BS_NUM_OF_TSY_SH","FQ2 2022","FQ2 2022","Currency=USD","Period=FQ","BEST_FPERIOD_OVERRIDE=FQ","FILING_STATUS=MR","Sort=A","Dates=H","DateFormat=P","Fill=—","Direction=H","UseDPDF=Y")</f>
        <v>0</v>
      </c>
      <c r="R88" s="13">
        <f>_xll.BDH("BLUE US Equity","BS_NUM_OF_TSY_SH","FQ3 2022","FQ3 2022","Currency=USD","Period=FQ","BEST_FPERIOD_OVERRIDE=FQ","FILING_STATUS=MR","Sort=A","Dates=H","DateFormat=P","Fill=—","Direction=H","UseDPDF=Y")</f>
        <v>0</v>
      </c>
      <c r="S88" s="13">
        <f>_xll.BDH("BLUE US Equity","BS_NUM_OF_TSY_SH","FQ4 2022","FQ4 2022","Currency=USD","Period=FQ","BEST_FPERIOD_OVERRIDE=FQ","FILING_STATUS=MR","Sort=A","Dates=H","DateFormat=P","Fill=—","Direction=H","UseDPDF=Y")</f>
        <v>0</v>
      </c>
      <c r="T88" s="13">
        <f>_xll.BDH("BLUE US Equity","BS_NUM_OF_TSY_SH","FQ1 2023","FQ1 2023","Currency=USD","Period=FQ","BEST_FPERIOD_OVERRIDE=FQ","FILING_STATUS=MR","Sort=A","Dates=H","DateFormat=P","Fill=—","Direction=H","UseDPDF=Y")</f>
        <v>0</v>
      </c>
      <c r="U88" s="13">
        <f>_xll.BDH("BLUE US Equity","BS_NUM_OF_TSY_SH","FQ2 2023","FQ2 2023","Currency=USD","Period=FQ","BEST_FPERIOD_OVERRIDE=FQ","FILING_STATUS=MR","Sort=A","Dates=H","DateFormat=P","Fill=—","Direction=H","UseDPDF=Y")</f>
        <v>0</v>
      </c>
      <c r="V88" s="13">
        <f>_xll.BDH("BLUE US Equity","BS_NUM_OF_TSY_SH","FQ3 2023","FQ3 2023","Currency=USD","Period=FQ","BEST_FPERIOD_OVERRIDE=FQ","FILING_STATUS=MR","Sort=A","Dates=H","DateFormat=P","Fill=—","Direction=H","UseDPDF=Y")</f>
        <v>0</v>
      </c>
      <c r="W88" s="13">
        <f>_xll.BDH("BLUE US Equity","BS_NUM_OF_TSY_SH","FQ4 2023","FQ4 2023","Currency=USD","Period=FQ","BEST_FPERIOD_OVERRIDE=FQ","FILING_STATUS=MR","Sort=A","Dates=H","DateFormat=P","Fill=—","Direction=H","UseDPDF=Y")</f>
        <v>0</v>
      </c>
      <c r="X88" s="13">
        <f>_xll.BDH("BLUE US Equity","BS_NUM_OF_TSY_SH","FQ1 2024","FQ1 2024","Currency=USD","Period=FQ","BEST_FPERIOD_OVERRIDE=FQ","FILING_STATUS=MR","Sort=A","Dates=H","DateFormat=P","Fill=—","Direction=H","UseDPDF=Y")</f>
        <v>0</v>
      </c>
      <c r="Y88" s="13">
        <f>_xll.BDH("BLUE US Equity","BS_NUM_OF_TSY_SH","FQ2 2024","FQ2 2024","Currency=USD","Period=FQ","BEST_FPERIOD_OVERRIDE=FQ","FILING_STATUS=MR","Sort=A","Dates=H","DateFormat=P","Fill=—","Direction=H","UseDPDF=Y")</f>
        <v>0</v>
      </c>
      <c r="Z88" s="13">
        <f>_xll.BDH("BLUE US Equity","BS_NUM_OF_TSY_SH","FQ3 2024","FQ3 2024","Currency=USD","Period=FQ","BEST_FPERIOD_OVERRIDE=FQ","FILING_STATUS=MR","Sort=A","Dates=H","DateFormat=P","Fill=—","Direction=H","UseDPDF=Y")</f>
        <v>0</v>
      </c>
      <c r="AA88" s="13">
        <f>_xll.BDH("BLUE US Equity","BS_NUM_OF_TSY_SH","FQ4 2024","FQ4 2024","Currency=USD","Period=FQ","BEST_FPERIOD_OVERRIDE=FQ","FILING_STATUS=MR","Sort=A","Dates=H","DateFormat=P","Fill=—","Direction=H","UseDPDF=Y")</f>
        <v>0</v>
      </c>
    </row>
    <row r="89" spans="1:27" x14ac:dyDescent="0.25">
      <c r="A89" s="10" t="s">
        <v>729</v>
      </c>
      <c r="B89" s="10" t="s">
        <v>730</v>
      </c>
      <c r="C89" s="13">
        <f>_xll.BDH("BLUE US Equity","BS_PENSION_RSRV","FQ4 2018","FQ4 2018","Currency=USD","Period=FQ","BEST_FPERIOD_OVERRIDE=FQ","FILING_STATUS=MR","SCALING_FORMAT=MLN","Sort=A","Dates=H","DateFormat=P","Fill=—","Direction=H","UseDPDF=Y")</f>
        <v>0</v>
      </c>
      <c r="D89" s="13">
        <f>_xll.BDH("BLUE US Equity","BS_PENSION_RSRV","FQ1 2019","FQ1 2019","Currency=USD","Period=FQ","BEST_FPERIOD_OVERRIDE=FQ","FILING_STATUS=MR","SCALING_FORMAT=MLN","Sort=A","Dates=H","DateFormat=P","Fill=—","Direction=H","UseDPDF=Y")</f>
        <v>0</v>
      </c>
      <c r="E89" s="13">
        <f>_xll.BDH("BLUE US Equity","BS_PENSION_RSRV","FQ2 2019","FQ2 2019","Currency=USD","Period=FQ","BEST_FPERIOD_OVERRIDE=FQ","FILING_STATUS=MR","SCALING_FORMAT=MLN","Sort=A","Dates=H","DateFormat=P","Fill=—","Direction=H","UseDPDF=Y")</f>
        <v>0</v>
      </c>
      <c r="F89" s="13">
        <f>_xll.BDH("BLUE US Equity","BS_PENSION_RSRV","FQ3 2019","FQ3 2019","Currency=USD","Period=FQ","BEST_FPERIOD_OVERRIDE=FQ","FILING_STATUS=MR","SCALING_FORMAT=MLN","Sort=A","Dates=H","DateFormat=P","Fill=—","Direction=H","UseDPDF=Y")</f>
        <v>0</v>
      </c>
      <c r="G89" s="13">
        <f>_xll.BDH("BLUE US Equity","BS_PENSION_RSRV","FQ4 2019","FQ4 2019","Currency=USD","Period=FQ","BEST_FPERIOD_OVERRIDE=FQ","FILING_STATUS=MR","SCALING_FORMAT=MLN","Sort=A","Dates=H","DateFormat=P","Fill=—","Direction=H","UseDPDF=Y")</f>
        <v>0</v>
      </c>
      <c r="H89" s="13">
        <f>_xll.BDH("BLUE US Equity","BS_PENSION_RSRV","FQ1 2020","FQ1 2020","Currency=USD","Period=FQ","BEST_FPERIOD_OVERRIDE=FQ","FILING_STATUS=MR","SCALING_FORMAT=MLN","Sort=A","Dates=H","DateFormat=P","Fill=—","Direction=H","UseDPDF=Y")</f>
        <v>0</v>
      </c>
      <c r="I89" s="13">
        <f>_xll.BDH("BLUE US Equity","BS_PENSION_RSRV","FQ2 2020","FQ2 2020","Currency=USD","Period=FQ","BEST_FPERIOD_OVERRIDE=FQ","FILING_STATUS=MR","SCALING_FORMAT=MLN","Sort=A","Dates=H","DateFormat=P","Fill=—","Direction=H","UseDPDF=Y")</f>
        <v>0</v>
      </c>
      <c r="J89" s="13">
        <f>_xll.BDH("BLUE US Equity","BS_PENSION_RSRV","FQ3 2020","FQ3 2020","Currency=USD","Period=FQ","BEST_FPERIOD_OVERRIDE=FQ","FILING_STATUS=MR","SCALING_FORMAT=MLN","Sort=A","Dates=H","DateFormat=P","Fill=—","Direction=H","UseDPDF=Y")</f>
        <v>0</v>
      </c>
      <c r="K89" s="13">
        <f>_xll.BDH("BLUE US Equity","BS_PENSION_RSRV","FQ4 2020","FQ4 2020","Currency=USD","Period=FQ","BEST_FPERIOD_OVERRIDE=FQ","FILING_STATUS=MR","SCALING_FORMAT=MLN","Sort=A","Dates=H","DateFormat=P","Fill=—","Direction=H","UseDPDF=Y")</f>
        <v>0</v>
      </c>
      <c r="L89" s="13">
        <f>_xll.BDH("BLUE US Equity","BS_PENSION_RSRV","FQ1 2021","FQ1 2021","Currency=USD","Period=FQ","BEST_FPERIOD_OVERRIDE=FQ","FILING_STATUS=MR","SCALING_FORMAT=MLN","Sort=A","Dates=H","DateFormat=P","Fill=—","Direction=H","UseDPDF=Y")</f>
        <v>0</v>
      </c>
      <c r="M89" s="13">
        <f>_xll.BDH("BLUE US Equity","BS_PENSION_RSRV","FQ2 2021","FQ2 2021","Currency=USD","Period=FQ","BEST_FPERIOD_OVERRIDE=FQ","FILING_STATUS=MR","SCALING_FORMAT=MLN","Sort=A","Dates=H","DateFormat=P","Fill=—","Direction=H","UseDPDF=Y")</f>
        <v>0</v>
      </c>
      <c r="N89" s="13">
        <f>_xll.BDH("BLUE US Equity","BS_PENSION_RSRV","FQ3 2021","FQ3 2021","Currency=USD","Period=FQ","BEST_FPERIOD_OVERRIDE=FQ","FILING_STATUS=MR","SCALING_FORMAT=MLN","Sort=A","Dates=H","DateFormat=P","Fill=—","Direction=H","UseDPDF=Y")</f>
        <v>0</v>
      </c>
      <c r="O89" s="13">
        <f>_xll.BDH("BLUE US Equity","BS_PENSION_RSRV","FQ4 2021","FQ4 2021","Currency=USD","Period=FQ","BEST_FPERIOD_OVERRIDE=FQ","FILING_STATUS=MR","SCALING_FORMAT=MLN","Sort=A","Dates=H","DateFormat=P","Fill=—","Direction=H","UseDPDF=Y")</f>
        <v>0</v>
      </c>
      <c r="P89" s="13">
        <f>_xll.BDH("BLUE US Equity","BS_PENSION_RSRV","FQ1 2022","FQ1 2022","Currency=USD","Period=FQ","BEST_FPERIOD_OVERRIDE=FQ","FILING_STATUS=MR","SCALING_FORMAT=MLN","Sort=A","Dates=H","DateFormat=P","Fill=—","Direction=H","UseDPDF=Y")</f>
        <v>0</v>
      </c>
      <c r="Q89" s="13">
        <f>_xll.BDH("BLUE US Equity","BS_PENSION_RSRV","FQ2 2022","FQ2 2022","Currency=USD","Period=FQ","BEST_FPERIOD_OVERRIDE=FQ","FILING_STATUS=MR","SCALING_FORMAT=MLN","Sort=A","Dates=H","DateFormat=P","Fill=—","Direction=H","UseDPDF=Y")</f>
        <v>0</v>
      </c>
      <c r="R89" s="13">
        <f>_xll.BDH("BLUE US Equity","BS_PENSION_RSRV","FQ3 2022","FQ3 2022","Currency=USD","Period=FQ","BEST_FPERIOD_OVERRIDE=FQ","FILING_STATUS=MR","SCALING_FORMAT=MLN","Sort=A","Dates=H","DateFormat=P","Fill=—","Direction=H","UseDPDF=Y")</f>
        <v>0</v>
      </c>
      <c r="S89" s="13">
        <f>_xll.BDH("BLUE US Equity","BS_PENSION_RSRV","FQ4 2022","FQ4 2022","Currency=USD","Period=FQ","BEST_FPERIOD_OVERRIDE=FQ","FILING_STATUS=MR","SCALING_FORMAT=MLN","Sort=A","Dates=H","DateFormat=P","Fill=—","Direction=H","UseDPDF=Y")</f>
        <v>0</v>
      </c>
      <c r="T89" s="13">
        <f>_xll.BDH("BLUE US Equity","BS_PENSION_RSRV","FQ1 2023","FQ1 2023","Currency=USD","Period=FQ","BEST_FPERIOD_OVERRIDE=FQ","FILING_STATUS=MR","SCALING_FORMAT=MLN","Sort=A","Dates=H","DateFormat=P","Fill=—","Direction=H","UseDPDF=Y")</f>
        <v>0</v>
      </c>
      <c r="U89" s="13">
        <f>_xll.BDH("BLUE US Equity","BS_PENSION_RSRV","FQ2 2023","FQ2 2023","Currency=USD","Period=FQ","BEST_FPERIOD_OVERRIDE=FQ","FILING_STATUS=MR","SCALING_FORMAT=MLN","Sort=A","Dates=H","DateFormat=P","Fill=—","Direction=H","UseDPDF=Y")</f>
        <v>0</v>
      </c>
      <c r="V89" s="13">
        <f>_xll.BDH("BLUE US Equity","BS_PENSION_RSRV","FQ3 2023","FQ3 2023","Currency=USD","Period=FQ","BEST_FPERIOD_OVERRIDE=FQ","FILING_STATUS=MR","SCALING_FORMAT=MLN","Sort=A","Dates=H","DateFormat=P","Fill=—","Direction=H","UseDPDF=Y")</f>
        <v>0</v>
      </c>
      <c r="W89" s="13">
        <f>_xll.BDH("BLUE US Equity","BS_PENSION_RSRV","FQ4 2023","FQ4 2023","Currency=USD","Period=FQ","BEST_FPERIOD_OVERRIDE=FQ","FILING_STATUS=MR","SCALING_FORMAT=MLN","Sort=A","Dates=H","DateFormat=P","Fill=—","Direction=H","UseDPDF=Y")</f>
        <v>0</v>
      </c>
      <c r="X89" s="13">
        <f>_xll.BDH("BLUE US Equity","BS_PENSION_RSRV","FQ1 2024","FQ1 2024","Currency=USD","Period=FQ","BEST_FPERIOD_OVERRIDE=FQ","FILING_STATUS=MR","SCALING_FORMAT=MLN","Sort=A","Dates=H","DateFormat=P","Fill=—","Direction=H","UseDPDF=Y")</f>
        <v>0</v>
      </c>
      <c r="Y89" s="13">
        <f>_xll.BDH("BLUE US Equity","BS_PENSION_RSRV","FQ2 2024","FQ2 2024","Currency=USD","Period=FQ","BEST_FPERIOD_OVERRIDE=FQ","FILING_STATUS=MR","SCALING_FORMAT=MLN","Sort=A","Dates=H","DateFormat=P","Fill=—","Direction=H","UseDPDF=Y")</f>
        <v>0</v>
      </c>
      <c r="Z89" s="13">
        <f>_xll.BDH("BLUE US Equity","BS_PENSION_RSRV","FQ3 2024","FQ3 2024","Currency=USD","Period=FQ","BEST_FPERIOD_OVERRIDE=FQ","FILING_STATUS=MR","SCALING_FORMAT=MLN","Sort=A","Dates=H","DateFormat=P","Fill=—","Direction=H","UseDPDF=Y")</f>
        <v>0</v>
      </c>
      <c r="AA89" s="13">
        <f>_xll.BDH("BLUE US Equity","BS_PENSION_RSRV","FQ4 2024","FQ4 2024","Currency=USD","Period=FQ","BEST_FPERIOD_OVERRIDE=FQ","FILING_STATUS=MR","SCALING_FORMAT=MLN","Sort=A","Dates=H","DateFormat=P","Fill=—","Direction=H","UseDPDF=Y")</f>
        <v>0</v>
      </c>
    </row>
    <row r="90" spans="1:27" x14ac:dyDescent="0.25">
      <c r="A90" s="10" t="s">
        <v>731</v>
      </c>
      <c r="B90" s="10" t="s">
        <v>732</v>
      </c>
      <c r="C90" s="13">
        <f>_xll.BDH("BLUE US Equity","BS_FUTURE_MIN_OPER_LEASE_OBLIG","FQ4 2018","FQ4 2018","Currency=USD","Period=FQ","BEST_FPERIOD_OVERRIDE=FQ","FILING_STATUS=MR","SCALING_FORMAT=MLN","Sort=A","Dates=H","DateFormat=P","Fill=—","Direction=H","UseDPDF=Y")</f>
        <v>277.84199999999998</v>
      </c>
      <c r="D90" s="13">
        <f>_xll.BDH("BLUE US Equity","BS_FUTURE_MIN_OPER_LEASE_OBLIG","FQ1 2019","FQ1 2019","Currency=USD","Period=FQ","BEST_FPERIOD_OVERRIDE=FQ","FILING_STATUS=MR","SCALING_FORMAT=MLN","Sort=A","Dates=H","DateFormat=P","Fill=—","Direction=H","UseDPDF=Y")</f>
        <v>239.67500000000001</v>
      </c>
      <c r="E90" s="13">
        <f>_xll.BDH("BLUE US Equity","BS_FUTURE_MIN_OPER_LEASE_OBLIG","FQ2 2019","FQ2 2019","Currency=USD","Period=FQ","BEST_FPERIOD_OVERRIDE=FQ","FILING_STATUS=MR","SCALING_FORMAT=MLN","Sort=A","Dates=H","DateFormat=P","Fill=—","Direction=H","UseDPDF=Y")</f>
        <v>252.999</v>
      </c>
      <c r="F90" s="13">
        <f>_xll.BDH("BLUE US Equity","BS_FUTURE_MIN_OPER_LEASE_OBLIG","FQ3 2019","FQ3 2019","Currency=USD","Period=FQ","BEST_FPERIOD_OVERRIDE=FQ","FILING_STATUS=MR","SCALING_FORMAT=MLN","Sort=A","Dates=H","DateFormat=P","Fill=—","Direction=H","UseDPDF=Y")</f>
        <v>259.95600000000002</v>
      </c>
      <c r="G90" s="13">
        <f>_xll.BDH("BLUE US Equity","BS_FUTURE_MIN_OPER_LEASE_OBLIG","FQ4 2019","FQ4 2019","Currency=USD","Period=FQ","BEST_FPERIOD_OVERRIDE=FQ","FILING_STATUS=MR","SCALING_FORMAT=MLN","Sort=A","Dates=H","DateFormat=P","Fill=—","Direction=H","UseDPDF=Y")</f>
        <v>251.553</v>
      </c>
      <c r="H90" s="13" t="str">
        <f>_xll.BDH("BLUE US Equity","BS_FUTURE_MIN_OPER_LEASE_OBLIG","FQ1 2020","FQ1 2020","Currency=USD","Period=FQ","BEST_FPERIOD_OVERRIDE=FQ","FILING_STATUS=MR","SCALING_FORMAT=MLN","Sort=A","Dates=H","DateFormat=P","Fill=—","Direction=H","UseDPDF=Y")</f>
        <v>—</v>
      </c>
      <c r="I90" s="13" t="str">
        <f>_xll.BDH("BLUE US Equity","BS_FUTURE_MIN_OPER_LEASE_OBLIG","FQ2 2020","FQ2 2020","Currency=USD","Period=FQ","BEST_FPERIOD_OVERRIDE=FQ","FILING_STATUS=MR","SCALING_FORMAT=MLN","Sort=A","Dates=H","DateFormat=P","Fill=—","Direction=H","UseDPDF=Y")</f>
        <v>—</v>
      </c>
      <c r="J90" s="13" t="str">
        <f>_xll.BDH("BLUE US Equity","BS_FUTURE_MIN_OPER_LEASE_OBLIG","FQ3 2020","FQ3 2020","Currency=USD","Period=FQ","BEST_FPERIOD_OVERRIDE=FQ","FILING_STATUS=MR","SCALING_FORMAT=MLN","Sort=A","Dates=H","DateFormat=P","Fill=—","Direction=H","UseDPDF=Y")</f>
        <v>—</v>
      </c>
      <c r="K90" s="13">
        <f>_xll.BDH("BLUE US Equity","BS_FUTURE_MIN_OPER_LEASE_OBLIG","FQ4 2020","FQ4 2020","Currency=USD","Period=FQ","BEST_FPERIOD_OVERRIDE=FQ","FILING_STATUS=MR","SCALING_FORMAT=MLN","Sort=A","Dates=H","DateFormat=P","Fill=—","Direction=H","UseDPDF=Y")</f>
        <v>236.291</v>
      </c>
      <c r="L90" s="13" t="str">
        <f>_xll.BDH("BLUE US Equity","BS_FUTURE_MIN_OPER_LEASE_OBLIG","FQ1 2021","FQ1 2021","Currency=USD","Period=FQ","BEST_FPERIOD_OVERRIDE=FQ","FILING_STATUS=MR","SCALING_FORMAT=MLN","Sort=A","Dates=H","DateFormat=P","Fill=—","Direction=H","UseDPDF=Y")</f>
        <v>—</v>
      </c>
      <c r="M90" s="13" t="str">
        <f>_xll.BDH("BLUE US Equity","BS_FUTURE_MIN_OPER_LEASE_OBLIG","FQ2 2021","FQ2 2021","Currency=USD","Period=FQ","BEST_FPERIOD_OVERRIDE=FQ","FILING_STATUS=MR","SCALING_FORMAT=MLN","Sort=A","Dates=H","DateFormat=P","Fill=—","Direction=H","UseDPDF=Y")</f>
        <v>—</v>
      </c>
      <c r="N90" s="13" t="str">
        <f>_xll.BDH("BLUE US Equity","BS_FUTURE_MIN_OPER_LEASE_OBLIG","FQ3 2021","FQ3 2021","Currency=USD","Period=FQ","BEST_FPERIOD_OVERRIDE=FQ","FILING_STATUS=MR","SCALING_FORMAT=MLN","Sort=A","Dates=H","DateFormat=P","Fill=—","Direction=H","UseDPDF=Y")</f>
        <v>—</v>
      </c>
      <c r="O90" s="13">
        <f>_xll.BDH("BLUE US Equity","BS_FUTURE_MIN_OPER_LEASE_OBLIG","FQ4 2021","FQ4 2021","Currency=USD","Period=FQ","BEST_FPERIOD_OVERRIDE=FQ","FILING_STATUS=MR","SCALING_FORMAT=MLN","Sort=A","Dates=H","DateFormat=P","Fill=—","Direction=H","UseDPDF=Y")</f>
        <v>102.099</v>
      </c>
      <c r="P90" s="13" t="str">
        <f>_xll.BDH("BLUE US Equity","BS_FUTURE_MIN_OPER_LEASE_OBLIG","FQ1 2022","FQ1 2022","Currency=USD","Period=FQ","BEST_FPERIOD_OVERRIDE=FQ","FILING_STATUS=MR","SCALING_FORMAT=MLN","Sort=A","Dates=H","DateFormat=P","Fill=—","Direction=H","UseDPDF=Y")</f>
        <v>—</v>
      </c>
      <c r="Q90" s="13" t="str">
        <f>_xll.BDH("BLUE US Equity","BS_FUTURE_MIN_OPER_LEASE_OBLIG","FQ2 2022","FQ2 2022","Currency=USD","Period=FQ","BEST_FPERIOD_OVERRIDE=FQ","FILING_STATUS=MR","SCALING_FORMAT=MLN","Sort=A","Dates=H","DateFormat=P","Fill=—","Direction=H","UseDPDF=Y")</f>
        <v>—</v>
      </c>
      <c r="R90" s="13" t="str">
        <f>_xll.BDH("BLUE US Equity","BS_FUTURE_MIN_OPER_LEASE_OBLIG","FQ3 2022","FQ3 2022","Currency=USD","Period=FQ","BEST_FPERIOD_OVERRIDE=FQ","FILING_STATUS=MR","SCALING_FORMAT=MLN","Sort=A","Dates=H","DateFormat=P","Fill=—","Direction=H","UseDPDF=Y")</f>
        <v>—</v>
      </c>
      <c r="S90" s="13" t="str">
        <f>_xll.BDH("BLUE US Equity","BS_FUTURE_MIN_OPER_LEASE_OBLIG","FQ4 2022","FQ4 2022","Currency=USD","Period=FQ","BEST_FPERIOD_OVERRIDE=FQ","FILING_STATUS=MR","SCALING_FORMAT=MLN","Sort=A","Dates=H","DateFormat=P","Fill=—","Direction=H","UseDPDF=Y")</f>
        <v>—</v>
      </c>
      <c r="T90" s="13" t="str">
        <f>_xll.BDH("BLUE US Equity","BS_FUTURE_MIN_OPER_LEASE_OBLIG","FQ1 2023","FQ1 2023","Currency=USD","Period=FQ","BEST_FPERIOD_OVERRIDE=FQ","FILING_STATUS=MR","SCALING_FORMAT=MLN","Sort=A","Dates=H","DateFormat=P","Fill=—","Direction=H","UseDPDF=Y")</f>
        <v>—</v>
      </c>
      <c r="U90" s="13" t="str">
        <f>_xll.BDH("BLUE US Equity","BS_FUTURE_MIN_OPER_LEASE_OBLIG","FQ2 2023","FQ2 2023","Currency=USD","Period=FQ","BEST_FPERIOD_OVERRIDE=FQ","FILING_STATUS=MR","SCALING_FORMAT=MLN","Sort=A","Dates=H","DateFormat=P","Fill=—","Direction=H","UseDPDF=Y")</f>
        <v>—</v>
      </c>
      <c r="V90" s="13" t="str">
        <f>_xll.BDH("BLUE US Equity","BS_FUTURE_MIN_OPER_LEASE_OBLIG","FQ3 2023","FQ3 2023","Currency=USD","Period=FQ","BEST_FPERIOD_OVERRIDE=FQ","FILING_STATUS=MR","SCALING_FORMAT=MLN","Sort=A","Dates=H","DateFormat=P","Fill=—","Direction=H","UseDPDF=Y")</f>
        <v>—</v>
      </c>
      <c r="W90" s="13">
        <f>_xll.BDH("BLUE US Equity","BS_FUTURE_MIN_OPER_LEASE_OBLIG","FQ4 2023","FQ4 2023","Currency=USD","Period=FQ","BEST_FPERIOD_OVERRIDE=FQ","FILING_STATUS=MR","SCALING_FORMAT=MLN","Sort=A","Dates=H","DateFormat=P","Fill=—","Direction=H","UseDPDF=Y")</f>
        <v>264.24400000000003</v>
      </c>
      <c r="X90" s="13">
        <f>_xll.BDH("BLUE US Equity","BS_FUTURE_MIN_OPER_LEASE_OBLIG","FQ1 2024","FQ1 2024","Currency=USD","Period=FQ","BEST_FPERIOD_OVERRIDE=FQ","FILING_STATUS=MR","SCALING_FORMAT=MLN","Sort=A","Dates=H","DateFormat=P","Fill=—","Direction=H","UseDPDF=Y")</f>
        <v>257.81799999999998</v>
      </c>
      <c r="Y90" s="13">
        <f>_xll.BDH("BLUE US Equity","BS_FUTURE_MIN_OPER_LEASE_OBLIG","FQ2 2024","FQ2 2024","Currency=USD","Period=FQ","BEST_FPERIOD_OVERRIDE=FQ","FILING_STATUS=MR","SCALING_FORMAT=MLN","Sort=A","Dates=H","DateFormat=P","Fill=—","Direction=H","UseDPDF=Y")</f>
        <v>248.876</v>
      </c>
      <c r="Z90" s="13">
        <f>_xll.BDH("BLUE US Equity","BS_FUTURE_MIN_OPER_LEASE_OBLIG","FQ3 2024","FQ3 2024","Currency=USD","Period=FQ","BEST_FPERIOD_OVERRIDE=FQ","FILING_STATUS=MR","SCALING_FORMAT=MLN","Sort=A","Dates=H","DateFormat=P","Fill=—","Direction=H","UseDPDF=Y")</f>
        <v>238.477</v>
      </c>
      <c r="AA90" s="13">
        <f>_xll.BDH("BLUE US Equity","BS_FUTURE_MIN_OPER_LEASE_OBLIG","FQ4 2024","FQ4 2024","Currency=USD","Period=FQ","BEST_FPERIOD_OVERRIDE=FQ","FILING_STATUS=MR","SCALING_FORMAT=MLN","Sort=A","Dates=H","DateFormat=P","Fill=—","Direction=H","UseDPDF=Y")</f>
        <v>229.327</v>
      </c>
    </row>
    <row r="91" spans="1:27" x14ac:dyDescent="0.25">
      <c r="A91" s="10" t="s">
        <v>733</v>
      </c>
      <c r="B91" s="10" t="s">
        <v>734</v>
      </c>
      <c r="C91" s="13" t="str">
        <f>_xll.BDH("BLUE US Equity","BS_TOTAL_CAPITAL_LEASES","FQ4 2018","FQ4 2018","Currency=USD","Period=FQ","BEST_FPERIOD_OVERRIDE=FQ","FILING_STATUS=MR","SCALING_FORMAT=MLN","Sort=A","Dates=H","DateFormat=P","Fill=—","Direction=H","UseDPDF=Y")</f>
        <v>—</v>
      </c>
      <c r="D91" s="13" t="str">
        <f>_xll.BDH("BLUE US Equity","BS_TOTAL_CAPITAL_LEASES","FQ1 2019","FQ1 2019","Currency=USD","Period=FQ","BEST_FPERIOD_OVERRIDE=FQ","FILING_STATUS=MR","SCALING_FORMAT=MLN","Sort=A","Dates=H","DateFormat=P","Fill=—","Direction=H","UseDPDF=Y")</f>
        <v>—</v>
      </c>
      <c r="E91" s="13" t="str">
        <f>_xll.BDH("BLUE US Equity","BS_TOTAL_CAPITAL_LEASES","FQ2 2019","FQ2 2019","Currency=USD","Period=FQ","BEST_FPERIOD_OVERRIDE=FQ","FILING_STATUS=MR","SCALING_FORMAT=MLN","Sort=A","Dates=H","DateFormat=P","Fill=—","Direction=H","UseDPDF=Y")</f>
        <v>—</v>
      </c>
      <c r="F91" s="13" t="str">
        <f>_xll.BDH("BLUE US Equity","BS_TOTAL_CAPITAL_LEASES","FQ3 2019","FQ3 2019","Currency=USD","Period=FQ","BEST_FPERIOD_OVERRIDE=FQ","FILING_STATUS=MR","SCALING_FORMAT=MLN","Sort=A","Dates=H","DateFormat=P","Fill=—","Direction=H","UseDPDF=Y")</f>
        <v>—</v>
      </c>
      <c r="G91" s="13" t="str">
        <f>_xll.BDH("BLUE US Equity","BS_TOTAL_CAPITAL_LEASES","FQ4 2019","FQ4 2019","Currency=USD","Period=FQ","BEST_FPERIOD_OVERRIDE=FQ","FILING_STATUS=MR","SCALING_FORMAT=MLN","Sort=A","Dates=H","DateFormat=P","Fill=—","Direction=H","UseDPDF=Y")</f>
        <v>—</v>
      </c>
      <c r="H91" s="13" t="str">
        <f>_xll.BDH("BLUE US Equity","BS_TOTAL_CAPITAL_LEASES","FQ1 2020","FQ1 2020","Currency=USD","Period=FQ","BEST_FPERIOD_OVERRIDE=FQ","FILING_STATUS=MR","SCALING_FORMAT=MLN","Sort=A","Dates=H","DateFormat=P","Fill=—","Direction=H","UseDPDF=Y")</f>
        <v>—</v>
      </c>
      <c r="I91" s="13" t="str">
        <f>_xll.BDH("BLUE US Equity","BS_TOTAL_CAPITAL_LEASES","FQ2 2020","FQ2 2020","Currency=USD","Period=FQ","BEST_FPERIOD_OVERRIDE=FQ","FILING_STATUS=MR","SCALING_FORMAT=MLN","Sort=A","Dates=H","DateFormat=P","Fill=—","Direction=H","UseDPDF=Y")</f>
        <v>—</v>
      </c>
      <c r="J91" s="13" t="str">
        <f>_xll.BDH("BLUE US Equity","BS_TOTAL_CAPITAL_LEASES","FQ3 2020","FQ3 2020","Currency=USD","Period=FQ","BEST_FPERIOD_OVERRIDE=FQ","FILING_STATUS=MR","SCALING_FORMAT=MLN","Sort=A","Dates=H","DateFormat=P","Fill=—","Direction=H","UseDPDF=Y")</f>
        <v>—</v>
      </c>
      <c r="K91" s="13" t="str">
        <f>_xll.BDH("BLUE US Equity","BS_TOTAL_CAPITAL_LEASES","FQ4 2020","FQ4 2020","Currency=USD","Period=FQ","BEST_FPERIOD_OVERRIDE=FQ","FILING_STATUS=MR","SCALING_FORMAT=MLN","Sort=A","Dates=H","DateFormat=P","Fill=—","Direction=H","UseDPDF=Y")</f>
        <v>—</v>
      </c>
      <c r="L91" s="13" t="str">
        <f>_xll.BDH("BLUE US Equity","BS_TOTAL_CAPITAL_LEASES","FQ1 2021","FQ1 2021","Currency=USD","Period=FQ","BEST_FPERIOD_OVERRIDE=FQ","FILING_STATUS=MR","SCALING_FORMAT=MLN","Sort=A","Dates=H","DateFormat=P","Fill=—","Direction=H","UseDPDF=Y")</f>
        <v>—</v>
      </c>
      <c r="M91" s="13" t="str">
        <f>_xll.BDH("BLUE US Equity","BS_TOTAL_CAPITAL_LEASES","FQ2 2021","FQ2 2021","Currency=USD","Period=FQ","BEST_FPERIOD_OVERRIDE=FQ","FILING_STATUS=MR","SCALING_FORMAT=MLN","Sort=A","Dates=H","DateFormat=P","Fill=—","Direction=H","UseDPDF=Y")</f>
        <v>—</v>
      </c>
      <c r="N91" s="13" t="str">
        <f>_xll.BDH("BLUE US Equity","BS_TOTAL_CAPITAL_LEASES","FQ3 2021","FQ3 2021","Currency=USD","Period=FQ","BEST_FPERIOD_OVERRIDE=FQ","FILING_STATUS=MR","SCALING_FORMAT=MLN","Sort=A","Dates=H","DateFormat=P","Fill=—","Direction=H","UseDPDF=Y")</f>
        <v>—</v>
      </c>
      <c r="O91" s="13" t="str">
        <f>_xll.BDH("BLUE US Equity","BS_TOTAL_CAPITAL_LEASES","FQ4 2021","FQ4 2021","Currency=USD","Period=FQ","BEST_FPERIOD_OVERRIDE=FQ","FILING_STATUS=MR","SCALING_FORMAT=MLN","Sort=A","Dates=H","DateFormat=P","Fill=—","Direction=H","UseDPDF=Y")</f>
        <v>—</v>
      </c>
      <c r="P91" s="13" t="str">
        <f>_xll.BDH("BLUE US Equity","BS_TOTAL_CAPITAL_LEASES","FQ1 2022","FQ1 2022","Currency=USD","Period=FQ","BEST_FPERIOD_OVERRIDE=FQ","FILING_STATUS=MR","SCALING_FORMAT=MLN","Sort=A","Dates=H","DateFormat=P","Fill=—","Direction=H","UseDPDF=Y")</f>
        <v>—</v>
      </c>
      <c r="Q91" s="13" t="str">
        <f>_xll.BDH("BLUE US Equity","BS_TOTAL_CAPITAL_LEASES","FQ2 2022","FQ2 2022","Currency=USD","Period=FQ","BEST_FPERIOD_OVERRIDE=FQ","FILING_STATUS=MR","SCALING_FORMAT=MLN","Sort=A","Dates=H","DateFormat=P","Fill=—","Direction=H","UseDPDF=Y")</f>
        <v>—</v>
      </c>
      <c r="R91" s="13" t="str">
        <f>_xll.BDH("BLUE US Equity","BS_TOTAL_CAPITAL_LEASES","FQ3 2022","FQ3 2022","Currency=USD","Period=FQ","BEST_FPERIOD_OVERRIDE=FQ","FILING_STATUS=MR","SCALING_FORMAT=MLN","Sort=A","Dates=H","DateFormat=P","Fill=—","Direction=H","UseDPDF=Y")</f>
        <v>—</v>
      </c>
      <c r="S91" s="13" t="str">
        <f>_xll.BDH("BLUE US Equity","BS_TOTAL_CAPITAL_LEASES","FQ4 2022","FQ4 2022","Currency=USD","Period=FQ","BEST_FPERIOD_OVERRIDE=FQ","FILING_STATUS=MR","SCALING_FORMAT=MLN","Sort=A","Dates=H","DateFormat=P","Fill=—","Direction=H","UseDPDF=Y")</f>
        <v>—</v>
      </c>
      <c r="T91" s="13" t="str">
        <f>_xll.BDH("BLUE US Equity","BS_TOTAL_CAPITAL_LEASES","FQ1 2023","FQ1 2023","Currency=USD","Period=FQ","BEST_FPERIOD_OVERRIDE=FQ","FILING_STATUS=MR","SCALING_FORMAT=MLN","Sort=A","Dates=H","DateFormat=P","Fill=—","Direction=H","UseDPDF=Y")</f>
        <v>—</v>
      </c>
      <c r="U91" s="13" t="str">
        <f>_xll.BDH("BLUE US Equity","BS_TOTAL_CAPITAL_LEASES","FQ2 2023","FQ2 2023","Currency=USD","Period=FQ","BEST_FPERIOD_OVERRIDE=FQ","FILING_STATUS=MR","SCALING_FORMAT=MLN","Sort=A","Dates=H","DateFormat=P","Fill=—","Direction=H","UseDPDF=Y")</f>
        <v>—</v>
      </c>
      <c r="V91" s="13" t="str">
        <f>_xll.BDH("BLUE US Equity","BS_TOTAL_CAPITAL_LEASES","FQ3 2023","FQ3 2023","Currency=USD","Period=FQ","BEST_FPERIOD_OVERRIDE=FQ","FILING_STATUS=MR","SCALING_FORMAT=MLN","Sort=A","Dates=H","DateFormat=P","Fill=—","Direction=H","UseDPDF=Y")</f>
        <v>—</v>
      </c>
      <c r="W91" s="13" t="str">
        <f>_xll.BDH("BLUE US Equity","BS_TOTAL_CAPITAL_LEASES","FQ4 2023","FQ4 2023","Currency=USD","Period=FQ","BEST_FPERIOD_OVERRIDE=FQ","FILING_STATUS=MR","SCALING_FORMAT=MLN","Sort=A","Dates=H","DateFormat=P","Fill=—","Direction=H","UseDPDF=Y")</f>
        <v>—</v>
      </c>
      <c r="X91" s="13">
        <f>_xll.BDH("BLUE US Equity","BS_TOTAL_CAPITAL_LEASES","FQ1 2024","FQ1 2024","Currency=USD","Period=FQ","BEST_FPERIOD_OVERRIDE=FQ","FILING_STATUS=MR","SCALING_FORMAT=MLN","Sort=A","Dates=H","DateFormat=P","Fill=—","Direction=H","UseDPDF=Y")</f>
        <v>140.30099999999999</v>
      </c>
      <c r="Y91" s="13">
        <f>_xll.BDH("BLUE US Equity","BS_TOTAL_CAPITAL_LEASES","FQ2 2024","FQ2 2024","Currency=USD","Period=FQ","BEST_FPERIOD_OVERRIDE=FQ","FILING_STATUS=MR","SCALING_FORMAT=MLN","Sort=A","Dates=H","DateFormat=P","Fill=—","Direction=H","UseDPDF=Y")</f>
        <v>120.99</v>
      </c>
      <c r="Z91" s="13">
        <f>_xll.BDH("BLUE US Equity","BS_TOTAL_CAPITAL_LEASES","FQ3 2024","FQ3 2024","Currency=USD","Period=FQ","BEST_FPERIOD_OVERRIDE=FQ","FILING_STATUS=MR","SCALING_FORMAT=MLN","Sort=A","Dates=H","DateFormat=P","Fill=—","Direction=H","UseDPDF=Y")</f>
        <v>101.85599999999999</v>
      </c>
      <c r="AA91" s="13">
        <f>_xll.BDH("BLUE US Equity","BS_TOTAL_CAPITAL_LEASES","FQ4 2024","FQ4 2024","Currency=USD","Period=FQ","BEST_FPERIOD_OVERRIDE=FQ","FILING_STATUS=MR","SCALING_FORMAT=MLN","Sort=A","Dates=H","DateFormat=P","Fill=—","Direction=H","UseDPDF=Y")</f>
        <v>96.673000000000002</v>
      </c>
    </row>
    <row r="92" spans="1:27" x14ac:dyDescent="0.25">
      <c r="A92" s="10" t="s">
        <v>735</v>
      </c>
      <c r="B92" s="10" t="s">
        <v>736</v>
      </c>
      <c r="C92" s="13">
        <f>_xll.BDH("BLUE US Equity","BS_OPTIONS_GRANTED","FQ4 2018","FQ4 2018","Currency=USD","Period=FQ","BEST_FPERIOD_OVERRIDE=FQ","FILING_STATUS=MR","Sort=A","Dates=H","DateFormat=P","Fill=—","Direction=H","UseDPDF=Y")</f>
        <v>9.2999999999999992E-3</v>
      </c>
      <c r="D92" s="13">
        <f>_xll.BDH("BLUE US Equity","BS_OPTIONS_GRANTED","FQ1 2019","FQ1 2019","Currency=USD","Period=FQ","BEST_FPERIOD_OVERRIDE=FQ","FILING_STATUS=MR","Sort=A","Dates=H","DateFormat=P","Fill=—","Direction=H","UseDPDF=Y")</f>
        <v>5.4300000000000001E-2</v>
      </c>
      <c r="E92" s="13">
        <f>_xll.BDH("BLUE US Equity","BS_OPTIONS_GRANTED","FQ2 2019","FQ2 2019","Currency=USD","Period=FQ","BEST_FPERIOD_OVERRIDE=FQ","FILING_STATUS=MR","Sort=A","Dates=H","DateFormat=P","Fill=—","Direction=H","UseDPDF=Y")</f>
        <v>6.3299999999999995E-2</v>
      </c>
      <c r="F92" s="13">
        <f>_xll.BDH("BLUE US Equity","BS_OPTIONS_GRANTED","FQ3 2019","FQ3 2019","Currency=USD","Period=FQ","BEST_FPERIOD_OVERRIDE=FQ","FILING_STATUS=MR","Sort=A","Dates=H","DateFormat=P","Fill=—","Direction=H","UseDPDF=Y")</f>
        <v>9.1000000000000004E-3</v>
      </c>
      <c r="G92" s="13">
        <f>_xll.BDH("BLUE US Equity","BS_OPTIONS_GRANTED","FQ4 2019","FQ4 2019","Currency=USD","Period=FQ","BEST_FPERIOD_OVERRIDE=FQ","FILING_STATUS=MR","Sort=A","Dates=H","DateFormat=P","Fill=—","Direction=H","UseDPDF=Y")</f>
        <v>7.4000000000000003E-3</v>
      </c>
      <c r="H92" s="13">
        <f>_xll.BDH("BLUE US Equity","BS_OPTIONS_GRANTED","FQ1 2020","FQ1 2020","Currency=USD","Period=FQ","BEST_FPERIOD_OVERRIDE=FQ","FILING_STATUS=MR","Sort=A","Dates=H","DateFormat=P","Fill=—","Direction=H","UseDPDF=Y")</f>
        <v>5.74E-2</v>
      </c>
      <c r="I92" s="13">
        <f>_xll.BDH("BLUE US Equity","BS_OPTIONS_GRANTED","FQ2 2020","FQ2 2020","Currency=USD","Period=FQ","BEST_FPERIOD_OVERRIDE=FQ","FILING_STATUS=MR","Sort=A","Dates=H","DateFormat=P","Fill=—","Direction=H","UseDPDF=Y")</f>
        <v>6.5299999999999997E-2</v>
      </c>
      <c r="J92" s="13">
        <f>_xll.BDH("BLUE US Equity","BS_OPTIONS_GRANTED","FQ3 2020","FQ3 2020","Currency=USD","Period=FQ","BEST_FPERIOD_OVERRIDE=FQ","FILING_STATUS=MR","Sort=A","Dates=H","DateFormat=P","Fill=—","Direction=H","UseDPDF=Y")</f>
        <v>5.7999999999999996E-3</v>
      </c>
      <c r="K92" s="13">
        <f>_xll.BDH("BLUE US Equity","BS_OPTIONS_GRANTED","FQ4 2020","FQ4 2020","Currency=USD","Period=FQ","BEST_FPERIOD_OVERRIDE=FQ","FILING_STATUS=MR","Sort=A","Dates=H","DateFormat=P","Fill=—","Direction=H","UseDPDF=Y")</f>
        <v>8.2000000000000007E-3</v>
      </c>
      <c r="L92" s="13">
        <f>_xll.BDH("BLUE US Equity","BS_OPTIONS_GRANTED","FQ1 2021","FQ1 2021","Currency=USD","Period=FQ","BEST_FPERIOD_OVERRIDE=FQ","FILING_STATUS=MR","Sort=A","Dates=H","DateFormat=P","Fill=—","Direction=H","UseDPDF=Y")</f>
        <v>3.3599999999999998E-2</v>
      </c>
      <c r="M92" s="13">
        <f>_xll.BDH("BLUE US Equity","BS_OPTIONS_GRANTED","FQ2 2021","FQ2 2021","Currency=USD","Period=FQ","BEST_FPERIOD_OVERRIDE=FQ","FILING_STATUS=MR","Sort=A","Dates=H","DateFormat=P","Fill=—","Direction=H","UseDPDF=Y")</f>
        <v>7.0000000000000001E-3</v>
      </c>
      <c r="N92" s="13">
        <f>_xll.BDH("BLUE US Equity","BS_OPTIONS_GRANTED","FQ3 2021","FQ3 2021","Currency=USD","Period=FQ","BEST_FPERIOD_OVERRIDE=FQ","FILING_STATUS=MR","Sort=A","Dates=H","DateFormat=P","Fill=—","Direction=H","UseDPDF=Y")</f>
        <v>1.89E-2</v>
      </c>
      <c r="O92" s="13">
        <f>_xll.BDH("BLUE US Equity","BS_OPTIONS_GRANTED","FQ4 2021","FQ4 2021","Currency=USD","Period=FQ","BEST_FPERIOD_OVERRIDE=FQ","FILING_STATUS=MR","Sort=A","Dates=H","DateFormat=P","Fill=—","Direction=H","UseDPDF=Y")</f>
        <v>2.5000000000000001E-3</v>
      </c>
      <c r="P92" s="13">
        <f>_xll.BDH("BLUE US Equity","BS_OPTIONS_GRANTED","FQ1 2022","FQ1 2022","Currency=USD","Period=FQ","BEST_FPERIOD_OVERRIDE=FQ","FILING_STATUS=MR","Sort=A","Dates=H","DateFormat=P","Fill=—","Direction=H","UseDPDF=Y")</f>
        <v>4.4499999999999998E-2</v>
      </c>
      <c r="Q92" s="13">
        <f>_xll.BDH("BLUE US Equity","BS_OPTIONS_GRANTED","FQ2 2022","FQ2 2022","Currency=USD","Period=FQ","BEST_FPERIOD_OVERRIDE=FQ","FILING_STATUS=MR","Sort=A","Dates=H","DateFormat=P","Fill=—","Direction=H","UseDPDF=Y")</f>
        <v>3.8999999999999998E-3</v>
      </c>
      <c r="R92" s="13">
        <f>_xll.BDH("BLUE US Equity","BS_OPTIONS_GRANTED","FQ3 2022","FQ3 2022","Currency=USD","Period=FQ","BEST_FPERIOD_OVERRIDE=FQ","FILING_STATUS=MR","Sort=A","Dates=H","DateFormat=P","Fill=—","Direction=H","UseDPDF=Y")</f>
        <v>3.3999999999999998E-3</v>
      </c>
      <c r="S92" s="13">
        <f>_xll.BDH("BLUE US Equity","BS_OPTIONS_GRANTED","FQ4 2022","FQ4 2022","Currency=USD","Period=FQ","BEST_FPERIOD_OVERRIDE=FQ","FILING_STATUS=MR","Sort=A","Dates=H","DateFormat=P","Fill=—","Direction=H","UseDPDF=Y")</f>
        <v>8.0000000000000002E-3</v>
      </c>
      <c r="T92" s="13">
        <f>_xll.BDH("BLUE US Equity","BS_OPTIONS_GRANTED","FQ1 2023","FQ1 2023","Currency=USD","Period=FQ","BEST_FPERIOD_OVERRIDE=FQ","FILING_STATUS=MR","Sort=A","Dates=H","DateFormat=P","Fill=—","Direction=H","UseDPDF=Y")</f>
        <v>8.2100000000000006E-2</v>
      </c>
      <c r="U92" s="13">
        <f>_xll.BDH("BLUE US Equity","BS_OPTIONS_GRANTED","FQ2 2023","FQ2 2023","Currency=USD","Period=FQ","BEST_FPERIOD_OVERRIDE=FQ","FILING_STATUS=MR","Sort=A","Dates=H","DateFormat=P","Fill=—","Direction=H","UseDPDF=Y")</f>
        <v>1.66E-2</v>
      </c>
      <c r="V92" s="13">
        <f>_xll.BDH("BLUE US Equity","BS_OPTIONS_GRANTED","FQ3 2023","FQ3 2023","Currency=USD","Period=FQ","BEST_FPERIOD_OVERRIDE=FQ","FILING_STATUS=MR","Sort=A","Dates=H","DateFormat=P","Fill=—","Direction=H","UseDPDF=Y")</f>
        <v>2.0999999999999999E-3</v>
      </c>
      <c r="W92" s="13">
        <f>_xll.BDH("BLUE US Equity","BS_OPTIONS_GRANTED","FQ4 2023","FQ4 2023","Currency=USD","Period=FQ","BEST_FPERIOD_OVERRIDE=FQ","FILING_STATUS=MR","Sort=A","Dates=H","DateFormat=P","Fill=—","Direction=H","UseDPDF=Y")</f>
        <v>3.0999999999999999E-3</v>
      </c>
      <c r="X92" s="13">
        <f>_xll.BDH("BLUE US Equity","BS_OPTIONS_GRANTED","FQ1 2024","FQ1 2024","Currency=USD","Period=FQ","BEST_FPERIOD_OVERRIDE=FQ","FILING_STATUS=MR","Sort=A","Dates=H","DateFormat=P","Fill=—","Direction=H","UseDPDF=Y")</f>
        <v>0.12859999999999999</v>
      </c>
      <c r="Y92" s="13">
        <f>_xll.BDH("BLUE US Equity","BS_OPTIONS_GRANTED","FQ2 2024","FQ2 2024","Currency=USD","Period=FQ","BEST_FPERIOD_OVERRIDE=FQ","FILING_STATUS=MR","Sort=A","Dates=H","DateFormat=P","Fill=—","Direction=H","UseDPDF=Y")</f>
        <v>5.0000000000000001E-3</v>
      </c>
      <c r="Z92" s="13">
        <f>_xll.BDH("BLUE US Equity","BS_OPTIONS_GRANTED","FQ3 2024","FQ3 2024","Currency=USD","Period=FQ","BEST_FPERIOD_OVERRIDE=FQ","FILING_STATUS=MR","Sort=A","Dates=H","DateFormat=P","Fill=—","Direction=H","UseDPDF=Y")</f>
        <v>1.6899999999999998E-2</v>
      </c>
      <c r="AA92" s="13">
        <f>_xll.BDH("BLUE US Equity","BS_OPTIONS_GRANTED","FQ4 2024","FQ4 2024","Currency=USD","Period=FQ","BEST_FPERIOD_OVERRIDE=FQ","FILING_STATUS=MR","Sort=A","Dates=H","DateFormat=P","Fill=—","Direction=H","UseDPDF=Y")</f>
        <v>2.1000000000000001E-2</v>
      </c>
    </row>
    <row r="93" spans="1:27" x14ac:dyDescent="0.25">
      <c r="A93" s="10" t="s">
        <v>737</v>
      </c>
      <c r="B93" s="10" t="s">
        <v>738</v>
      </c>
      <c r="C93" s="13">
        <f>_xll.BDH("BLUE US Equity","BS_OPTIONS_OUTSTANDING","FQ4 2018","FQ4 2018","Currency=USD","Period=FQ","BEST_FPERIOD_OVERRIDE=FQ","FILING_STATUS=MR","Sort=A","Dates=H","DateFormat=P","Fill=—","Direction=H","UseDPDF=Y")</f>
        <v>0.23219999999999999</v>
      </c>
      <c r="D93" s="13">
        <f>_xll.BDH("BLUE US Equity","BS_OPTIONS_OUTSTANDING","FQ1 2019","FQ1 2019","Currency=USD","Period=FQ","BEST_FPERIOD_OVERRIDE=FQ","FILING_STATUS=MR","Sort=A","Dates=H","DateFormat=P","Fill=—","Direction=H","UseDPDF=Y")</f>
        <v>0.26919999999999999</v>
      </c>
      <c r="E93" s="13">
        <f>_xll.BDH("BLUE US Equity","BS_OPTIONS_OUTSTANDING","FQ2 2019","FQ2 2019","Currency=USD","Period=FQ","BEST_FPERIOD_OVERRIDE=FQ","FILING_STATUS=MR","Sort=A","Dates=H","DateFormat=P","Fill=—","Direction=H","UseDPDF=Y")</f>
        <v>0.2697</v>
      </c>
      <c r="F93" s="13">
        <f>_xll.BDH("BLUE US Equity","BS_OPTIONS_OUTSTANDING","FQ3 2019","FQ3 2019","Currency=USD","Period=FQ","BEST_FPERIOD_OVERRIDE=FQ","FILING_STATUS=MR","Sort=A","Dates=H","DateFormat=P","Fill=—","Direction=H","UseDPDF=Y")</f>
        <v>0.27350000000000002</v>
      </c>
      <c r="G93" s="13">
        <f>_xll.BDH("BLUE US Equity","BS_OPTIONS_OUTSTANDING","FQ4 2019","FQ4 2019","Currency=USD","Period=FQ","BEST_FPERIOD_OVERRIDE=FQ","FILING_STATUS=MR","Sort=A","Dates=H","DateFormat=P","Fill=—","Direction=H","UseDPDF=Y")</f>
        <v>0.2742</v>
      </c>
      <c r="H93" s="13">
        <f>_xll.BDH("BLUE US Equity","BS_OPTIONS_OUTSTANDING","FQ1 2020","FQ1 2020","Currency=USD","Period=FQ","BEST_FPERIOD_OVERRIDE=FQ","FILING_STATUS=MR","Sort=A","Dates=H","DateFormat=P","Fill=—","Direction=H","UseDPDF=Y")</f>
        <v>0.32390000000000002</v>
      </c>
      <c r="I93" s="13">
        <f>_xll.BDH("BLUE US Equity","BS_OPTIONS_OUTSTANDING","FQ2 2020","FQ2 2020","Currency=USD","Period=FQ","BEST_FPERIOD_OVERRIDE=FQ","FILING_STATUS=MR","Sort=A","Dates=H","DateFormat=P","Fill=—","Direction=H","UseDPDF=Y")</f>
        <v>0.32329999999999998</v>
      </c>
      <c r="J93" s="13">
        <f>_xll.BDH("BLUE US Equity","BS_OPTIONS_OUTSTANDING","FQ3 2020","FQ3 2020","Currency=USD","Period=FQ","BEST_FPERIOD_OVERRIDE=FQ","FILING_STATUS=MR","Sort=A","Dates=H","DateFormat=P","Fill=—","Direction=H","UseDPDF=Y")</f>
        <v>0.31819999999999998</v>
      </c>
      <c r="K93" s="13">
        <f>_xll.BDH("BLUE US Equity","BS_OPTIONS_OUTSTANDING","FQ4 2020","FQ4 2020","Currency=USD","Period=FQ","BEST_FPERIOD_OVERRIDE=FQ","FILING_STATUS=MR","Sort=A","Dates=H","DateFormat=P","Fill=—","Direction=H","UseDPDF=Y")</f>
        <v>0.31309999999999999</v>
      </c>
      <c r="L93" s="13">
        <f>_xll.BDH("BLUE US Equity","BS_OPTIONS_OUTSTANDING","FQ1 2021","FQ1 2021","Currency=USD","Period=FQ","BEST_FPERIOD_OVERRIDE=FQ","FILING_STATUS=MR","Sort=A","Dates=H","DateFormat=P","Fill=—","Direction=H","UseDPDF=Y")</f>
        <v>0.32290000000000002</v>
      </c>
      <c r="M93" s="13">
        <f>_xll.BDH("BLUE US Equity","BS_OPTIONS_OUTSTANDING","FQ2 2021","FQ2 2021","Currency=USD","Period=FQ","BEST_FPERIOD_OVERRIDE=FQ","FILING_STATUS=MR","Sort=A","Dates=H","DateFormat=P","Fill=—","Direction=H","UseDPDF=Y")</f>
        <v>0.30499999999999999</v>
      </c>
      <c r="N93" s="13">
        <f>_xll.BDH("BLUE US Equity","BS_OPTIONS_OUTSTANDING","FQ3 2021","FQ3 2021","Currency=USD","Period=FQ","BEST_FPERIOD_OVERRIDE=FQ","FILING_STATUS=MR","Sort=A","Dates=H","DateFormat=P","Fill=—","Direction=H","UseDPDF=Y")</f>
        <v>0.28370000000000001</v>
      </c>
      <c r="O93" s="13">
        <f>_xll.BDH("BLUE US Equity","BS_OPTIONS_OUTSTANDING","FQ4 2021","FQ4 2021","Currency=USD","Period=FQ","BEST_FPERIOD_OVERRIDE=FQ","FILING_STATUS=MR","Sort=A","Dates=H","DateFormat=P","Fill=—","Direction=H","UseDPDF=Y")</f>
        <v>0.17929999999999999</v>
      </c>
      <c r="P93" s="13">
        <f>_xll.BDH("BLUE US Equity","BS_OPTIONS_OUTSTANDING","FQ1 2022","FQ1 2022","Currency=USD","Period=FQ","BEST_FPERIOD_OVERRIDE=FQ","FILING_STATUS=MR","Sort=A","Dates=H","DateFormat=P","Fill=—","Direction=H","UseDPDF=Y")</f>
        <v>0.187</v>
      </c>
      <c r="Q93" s="13">
        <f>_xll.BDH("BLUE US Equity","BS_OPTIONS_OUTSTANDING","FQ2 2022","FQ2 2022","Currency=USD","Period=FQ","BEST_FPERIOD_OVERRIDE=FQ","FILING_STATUS=MR","Sort=A","Dates=H","DateFormat=P","Fill=—","Direction=H","UseDPDF=Y")</f>
        <v>0.1535</v>
      </c>
      <c r="R93" s="13">
        <f>_xll.BDH("BLUE US Equity","BS_OPTIONS_OUTSTANDING","FQ3 2022","FQ3 2022","Currency=USD","Period=FQ","BEST_FPERIOD_OVERRIDE=FQ","FILING_STATUS=MR","Sort=A","Dates=H","DateFormat=P","Fill=—","Direction=H","UseDPDF=Y")</f>
        <v>0.1363</v>
      </c>
      <c r="S93" s="13">
        <f>_xll.BDH("BLUE US Equity","BS_OPTIONS_OUTSTANDING","FQ4 2022","FQ4 2022","Currency=USD","Period=FQ","BEST_FPERIOD_OVERRIDE=FQ","FILING_STATUS=MR","Sort=A","Dates=H","DateFormat=P","Fill=—","Direction=H","UseDPDF=Y")</f>
        <v>0.13339999999999999</v>
      </c>
      <c r="T93" s="13">
        <f>_xll.BDH("BLUE US Equity","BS_OPTIONS_OUTSTANDING","FQ1 2023","FQ1 2023","Currency=USD","Period=FQ","BEST_FPERIOD_OVERRIDE=FQ","FILING_STATUS=MR","Sort=A","Dates=H","DateFormat=P","Fill=—","Direction=H","UseDPDF=Y")</f>
        <v>0.2117</v>
      </c>
      <c r="U93" s="13">
        <f>_xll.BDH("BLUE US Equity","BS_OPTIONS_OUTSTANDING","FQ2 2023","FQ2 2023","Currency=USD","Period=FQ","BEST_FPERIOD_OVERRIDE=FQ","FILING_STATUS=MR","Sort=A","Dates=H","DateFormat=P","Fill=—","Direction=H","UseDPDF=Y")</f>
        <v>0.2215</v>
      </c>
      <c r="V93" s="13">
        <f>_xll.BDH("BLUE US Equity","BS_OPTIONS_OUTSTANDING","FQ3 2023","FQ3 2023","Currency=USD","Period=FQ","BEST_FPERIOD_OVERRIDE=FQ","FILING_STATUS=MR","Sort=A","Dates=H","DateFormat=P","Fill=—","Direction=H","UseDPDF=Y")</f>
        <v>0.2114</v>
      </c>
      <c r="W93" s="13">
        <f>_xll.BDH("BLUE US Equity","BS_OPTIONS_OUTSTANDING","FQ4 2023","FQ4 2023","Currency=USD","Period=FQ","BEST_FPERIOD_OVERRIDE=FQ","FILING_STATUS=MR","Sort=A","Dates=H","DateFormat=P","Fill=—","Direction=H","UseDPDF=Y")</f>
        <v>0.2114</v>
      </c>
      <c r="X93" s="13">
        <f>_xll.BDH("BLUE US Equity","BS_OPTIONS_OUTSTANDING","FQ1 2024","FQ1 2024","Currency=USD","Period=FQ","BEST_FPERIOD_OVERRIDE=FQ","FILING_STATUS=MR","Sort=A","Dates=H","DateFormat=P","Fill=—","Direction=H","UseDPDF=Y")</f>
        <v>0.32850000000000001</v>
      </c>
      <c r="Y93" s="13">
        <f>_xll.BDH("BLUE US Equity","BS_OPTIONS_OUTSTANDING","FQ2 2024","FQ2 2024","Currency=USD","Period=FQ","BEST_FPERIOD_OVERRIDE=FQ","FILING_STATUS=MR","Sort=A","Dates=H","DateFormat=P","Fill=—","Direction=H","UseDPDF=Y")</f>
        <v>0.315</v>
      </c>
      <c r="Z93" s="13">
        <f>_xll.BDH("BLUE US Equity","BS_OPTIONS_OUTSTANDING","FQ3 2024","FQ3 2024","Currency=USD","Period=FQ","BEST_FPERIOD_OVERRIDE=FQ","FILING_STATUS=MR","Sort=A","Dates=H","DateFormat=P","Fill=—","Direction=H","UseDPDF=Y")</f>
        <v>0.31659999999999999</v>
      </c>
      <c r="AA93" s="13">
        <f>_xll.BDH("BLUE US Equity","BS_OPTIONS_OUTSTANDING","FQ4 2024","FQ4 2024","Currency=USD","Period=FQ","BEST_FPERIOD_OVERRIDE=FQ","FILING_STATUS=MR","Sort=A","Dates=H","DateFormat=P","Fill=—","Direction=H","UseDPDF=Y")</f>
        <v>0.33</v>
      </c>
    </row>
    <row r="94" spans="1:27" x14ac:dyDescent="0.25">
      <c r="A94" s="10" t="s">
        <v>739</v>
      </c>
      <c r="B94" s="10" t="s">
        <v>740</v>
      </c>
      <c r="C94" s="13">
        <f>_xll.BDH("BLUE US Equity","NET_DEBT","FQ4 2018","FQ4 2018","Currency=USD","Period=FQ","BEST_FPERIOD_OVERRIDE=FQ","FILING_STATUS=MR","SCALING_FORMAT=MLN","Sort=A","Dates=H","DateFormat=P","Fill=—","Direction=H","UseDPDF=Y")</f>
        <v>-1738.1079999999999</v>
      </c>
      <c r="D94" s="13">
        <f>_xll.BDH("BLUE US Equity","NET_DEBT","FQ1 2019","FQ1 2019","Currency=USD","Period=FQ","BEST_FPERIOD_OVERRIDE=FQ","FILING_STATUS=MR","SCALING_FORMAT=MLN","Sort=A","Dates=H","DateFormat=P","Fill=—","Direction=H","UseDPDF=Y")</f>
        <v>-1545</v>
      </c>
      <c r="E94" s="13">
        <f>_xll.BDH("BLUE US Equity","NET_DEBT","FQ2 2019","FQ2 2019","Currency=USD","Period=FQ","BEST_FPERIOD_OVERRIDE=FQ","FILING_STATUS=MR","SCALING_FORMAT=MLN","Sort=A","Dates=H","DateFormat=P","Fill=—","Direction=H","UseDPDF=Y")</f>
        <v>-1347.58</v>
      </c>
      <c r="F94" s="13">
        <f>_xll.BDH("BLUE US Equity","NET_DEBT","FQ3 2019","FQ3 2019","Currency=USD","Period=FQ","BEST_FPERIOD_OVERRIDE=FQ","FILING_STATUS=MR","SCALING_FORMAT=MLN","Sort=A","Dates=H","DateFormat=P","Fill=—","Direction=H","UseDPDF=Y")</f>
        <v>-1209.93</v>
      </c>
      <c r="G94" s="13">
        <f>_xll.BDH("BLUE US Equity","NET_DEBT","FQ4 2019","FQ4 2019","Currency=USD","Period=FQ","BEST_FPERIOD_OVERRIDE=FQ","FILING_STATUS=MR","SCALING_FORMAT=MLN","Sort=A","Dates=H","DateFormat=P","Fill=—","Direction=H","UseDPDF=Y")</f>
        <v>-1046.979</v>
      </c>
      <c r="H94" s="13">
        <f>_xll.BDH("BLUE US Equity","NET_DEBT","FQ1 2020","FQ1 2020","Currency=USD","Period=FQ","BEST_FPERIOD_OVERRIDE=FQ","FILING_STATUS=MR","SCALING_FORMAT=MLN","Sort=A","Dates=H","DateFormat=P","Fill=—","Direction=H","UseDPDF=Y")</f>
        <v>-818.01499999999999</v>
      </c>
      <c r="I94" s="13">
        <f>_xll.BDH("BLUE US Equity","NET_DEBT","FQ2 2020","FQ2 2020","Currency=USD","Period=FQ","BEST_FPERIOD_OVERRIDE=FQ","FILING_STATUS=MR","SCALING_FORMAT=MLN","Sort=A","Dates=H","DateFormat=P","Fill=—","Direction=H","UseDPDF=Y")</f>
        <v>-1403.2739999999999</v>
      </c>
      <c r="J94" s="13">
        <f>_xll.BDH("BLUE US Equity","NET_DEBT","FQ3 2020","FQ3 2020","Currency=USD","Period=FQ","BEST_FPERIOD_OVERRIDE=FQ","FILING_STATUS=MR","SCALING_FORMAT=MLN","Sort=A","Dates=H","DateFormat=P","Fill=—","Direction=H","UseDPDF=Y")</f>
        <v>-1242.577</v>
      </c>
      <c r="K94" s="13">
        <f>_xll.BDH("BLUE US Equity","NET_DEBT","FQ4 2020","FQ4 2020","Currency=USD","Period=FQ","BEST_FPERIOD_OVERRIDE=FQ","FILING_STATUS=MR","SCALING_FORMAT=MLN","Sort=A","Dates=H","DateFormat=P","Fill=—","Direction=H","UseDPDF=Y")</f>
        <v>-676.255</v>
      </c>
      <c r="L94" s="13">
        <f>_xll.BDH("BLUE US Equity","NET_DEBT","FQ1 2021","FQ1 2021","Currency=USD","Period=FQ","BEST_FPERIOD_OVERRIDE=FQ","FILING_STATUS=MR","SCALING_FORMAT=MLN","Sort=A","Dates=H","DateFormat=P","Fill=—","Direction=H","UseDPDF=Y")</f>
        <v>-887.78599999999994</v>
      </c>
      <c r="M94" s="13">
        <f>_xll.BDH("BLUE US Equity","NET_DEBT","FQ2 2021","FQ2 2021","Currency=USD","Period=FQ","BEST_FPERIOD_OVERRIDE=FQ","FILING_STATUS=MR","SCALING_FORMAT=MLN","Sort=A","Dates=H","DateFormat=P","Fill=—","Direction=H","UseDPDF=Y")</f>
        <v>-743.02599999999995</v>
      </c>
      <c r="N94" s="13">
        <f>_xll.BDH("BLUE US Equity","NET_DEBT","FQ3 2021","FQ3 2021","Currency=USD","Period=FQ","BEST_FPERIOD_OVERRIDE=FQ","FILING_STATUS=MR","SCALING_FORMAT=MLN","Sort=A","Dates=H","DateFormat=P","Fill=—","Direction=H","UseDPDF=Y")</f>
        <v>-789.16300000000001</v>
      </c>
      <c r="O94" s="13">
        <f>_xll.BDH("BLUE US Equity","NET_DEBT","FQ4 2021","FQ4 2021","Currency=USD","Period=FQ","BEST_FPERIOD_OVERRIDE=FQ","FILING_STATUS=MR","SCALING_FORMAT=MLN","Sort=A","Dates=H","DateFormat=P","Fill=—","Direction=H","UseDPDF=Y")</f>
        <v>-307.03300000000002</v>
      </c>
      <c r="P94" s="13">
        <f>_xll.BDH("BLUE US Equity","NET_DEBT","FQ1 2022","FQ1 2022","Currency=USD","Period=FQ","BEST_FPERIOD_OVERRIDE=FQ","FILING_STATUS=MR","SCALING_FORMAT=MLN","Sort=A","Dates=H","DateFormat=P","Fill=—","Direction=H","UseDPDF=Y")</f>
        <v>-156.29900000000001</v>
      </c>
      <c r="Q94" s="13">
        <f>_xll.BDH("BLUE US Equity","NET_DEBT","FQ2 2022","FQ2 2022","Currency=USD","Period=FQ","BEST_FPERIOD_OVERRIDE=FQ","FILING_STATUS=MR","SCALING_FORMAT=MLN","Sort=A","Dates=H","DateFormat=P","Fill=—","Direction=H","UseDPDF=Y")</f>
        <v>119.818</v>
      </c>
      <c r="R94" s="13">
        <f>_xll.BDH("BLUE US Equity","NET_DEBT","FQ3 2022","FQ3 2022","Currency=USD","Period=FQ","BEST_FPERIOD_OVERRIDE=FQ","FILING_STATUS=MR","SCALING_FORMAT=MLN","Sort=A","Dates=H","DateFormat=P","Fill=—","Direction=H","UseDPDF=Y")</f>
        <v>137.173</v>
      </c>
      <c r="S94" s="13">
        <f>_xll.BDH("BLUE US Equity","NET_DEBT","FQ4 2022","FQ4 2022","Currency=USD","Period=FQ","BEST_FPERIOD_OVERRIDE=FQ","FILING_STATUS=MR","SCALING_FORMAT=MLN","Sort=A","Dates=H","DateFormat=P","Fill=—","Direction=H","UseDPDF=Y")</f>
        <v>185.31700000000001</v>
      </c>
      <c r="T94" s="13">
        <f>_xll.BDH("BLUE US Equity","NET_DEBT","FQ1 2023","FQ1 2023","Currency=USD","Period=FQ","BEST_FPERIOD_OVERRIDE=FQ","FILING_STATUS=MR","SCALING_FORMAT=MLN","Sort=A","Dates=H","DateFormat=P","Fill=—","Direction=H","UseDPDF=Y")</f>
        <v>-44.881999999999998</v>
      </c>
      <c r="U94" s="13">
        <f>_xll.BDH("BLUE US Equity","NET_DEBT","FQ2 2023","FQ2 2023","Currency=USD","Period=FQ","BEST_FPERIOD_OVERRIDE=FQ","FILING_STATUS=MR","SCALING_FORMAT=MLN","Sort=A","Dates=H","DateFormat=P","Fill=—","Direction=H","UseDPDF=Y")</f>
        <v>61.554000000000002</v>
      </c>
      <c r="V94" s="13">
        <f>_xll.BDH("BLUE US Equity","NET_DEBT","FQ3 2023","FQ3 2023","Currency=USD","Period=FQ","BEST_FPERIOD_OVERRIDE=FQ","FILING_STATUS=MR","SCALING_FORMAT=MLN","Sort=A","Dates=H","DateFormat=P","Fill=—","Direction=H","UseDPDF=Y")</f>
        <v>129.41399999999999</v>
      </c>
      <c r="W94" s="13">
        <f>_xll.BDH("BLUE US Equity","NET_DEBT","FQ4 2023","FQ4 2023","Currency=USD","Period=FQ","BEST_FPERIOD_OVERRIDE=FQ","FILING_STATUS=MR","SCALING_FORMAT=MLN","Sort=A","Dates=H","DateFormat=P","Fill=—","Direction=H","UseDPDF=Y")</f>
        <v>108.571</v>
      </c>
      <c r="X94" s="13">
        <f>_xll.BDH("BLUE US Equity","NET_DEBT","FQ1 2024","FQ1 2024","Currency=USD","Period=FQ","BEST_FPERIOD_OVERRIDE=FQ","FILING_STATUS=MR","SCALING_FORMAT=MLN","Sort=A","Dates=H","DateFormat=P","Fill=—","Direction=H","UseDPDF=Y")</f>
        <v>202.29499999999999</v>
      </c>
      <c r="Y94" s="13">
        <f>_xll.BDH("BLUE US Equity","NET_DEBT","FQ2 2024","FQ2 2024","Currency=USD","Period=FQ","BEST_FPERIOD_OVERRIDE=FQ","FILING_STATUS=MR","SCALING_FORMAT=MLN","Sort=A","Dates=H","DateFormat=P","Fill=—","Direction=H","UseDPDF=Y")</f>
        <v>246.35300000000001</v>
      </c>
      <c r="Z94" s="13">
        <f>_xll.BDH("BLUE US Equity","NET_DEBT","FQ3 2024","FQ3 2024","Currency=USD","Period=FQ","BEST_FPERIOD_OVERRIDE=FQ","FILING_STATUS=MR","SCALING_FORMAT=MLN","Sort=A","Dates=H","DateFormat=P","Fill=—","Direction=H","UseDPDF=Y")</f>
        <v>294.37200000000001</v>
      </c>
      <c r="AA94" s="13">
        <f>_xll.BDH("BLUE US Equity","NET_DEBT","FQ4 2024","FQ4 2024","Currency=USD","Period=FQ","BEST_FPERIOD_OVERRIDE=FQ","FILING_STATUS=MR","SCALING_FORMAT=MLN","Sort=A","Dates=H","DateFormat=P","Fill=—","Direction=H","UseDPDF=Y")</f>
        <v>292.56299999999999</v>
      </c>
    </row>
    <row r="95" spans="1:27" x14ac:dyDescent="0.25">
      <c r="A95" s="10" t="s">
        <v>741</v>
      </c>
      <c r="B95" s="10" t="s">
        <v>742</v>
      </c>
      <c r="C95" s="14">
        <f>_xll.BDH("BLUE US Equity","NET_DEBT_TO_SHRHLDR_EQTY","FQ4 2018","FQ4 2018","Currency=USD","Period=FQ","BEST_FPERIOD_OVERRIDE=FQ","FILING_STATUS=MR","Sort=A","Dates=H","DateFormat=P","Fill=—","Direction=H","UseDPDF=Y")</f>
        <v>-92.203900000000004</v>
      </c>
      <c r="D95" s="14">
        <f>_xll.BDH("BLUE US Equity","NET_DEBT_TO_SHRHLDR_EQTY","FQ1 2019","FQ1 2019","Currency=USD","Period=FQ","BEST_FPERIOD_OVERRIDE=FQ","FILING_STATUS=MR","Sort=A","Dates=H","DateFormat=P","Fill=—","Direction=H","UseDPDF=Y")</f>
        <v>-87.184700000000007</v>
      </c>
      <c r="E95" s="14">
        <f>_xll.BDH("BLUE US Equity","NET_DEBT_TO_SHRHLDR_EQTY","FQ2 2019","FQ2 2019","Currency=USD","Period=FQ","BEST_FPERIOD_OVERRIDE=FQ","FILING_STATUS=MR","Sort=A","Dates=H","DateFormat=P","Fill=—","Direction=H","UseDPDF=Y")</f>
        <v>-82.351600000000005</v>
      </c>
      <c r="F95" s="14">
        <f>_xll.BDH("BLUE US Equity","NET_DEBT_TO_SHRHLDR_EQTY","FQ3 2019","FQ3 2019","Currency=USD","Period=FQ","BEST_FPERIOD_OVERRIDE=FQ","FILING_STATUS=MR","Sort=A","Dates=H","DateFormat=P","Fill=—","Direction=H","UseDPDF=Y")</f>
        <v>-82.212500000000006</v>
      </c>
      <c r="G95" s="14">
        <f>_xll.BDH("BLUE US Equity","NET_DEBT_TO_SHRHLDR_EQTY","FQ4 2019","FQ4 2019","Currency=USD","Period=FQ","BEST_FPERIOD_OVERRIDE=FQ","FILING_STATUS=MR","Sort=A","Dates=H","DateFormat=P","Fill=—","Direction=H","UseDPDF=Y")</f>
        <v>-81.477400000000003</v>
      </c>
      <c r="H95" s="14">
        <f>_xll.BDH("BLUE US Equity","NET_DEBT_TO_SHRHLDR_EQTY","FQ1 2020","FQ1 2020","Currency=USD","Period=FQ","BEST_FPERIOD_OVERRIDE=FQ","FILING_STATUS=MR","Sort=A","Dates=H","DateFormat=P","Fill=—","Direction=H","UseDPDF=Y")</f>
        <v>-73.008799999999994</v>
      </c>
      <c r="I95" s="14">
        <f>_xll.BDH("BLUE US Equity","NET_DEBT_TO_SHRHLDR_EQTY","FQ2 2020","FQ2 2020","Currency=USD","Period=FQ","BEST_FPERIOD_OVERRIDE=FQ","FILING_STATUS=MR","Sort=A","Dates=H","DateFormat=P","Fill=—","Direction=H","UseDPDF=Y")</f>
        <v>-83.427400000000006</v>
      </c>
      <c r="J95" s="14">
        <f>_xll.BDH("BLUE US Equity","NET_DEBT_TO_SHRHLDR_EQTY","FQ3 2020","FQ3 2020","Currency=USD","Period=FQ","BEST_FPERIOD_OVERRIDE=FQ","FILING_STATUS=MR","Sort=A","Dates=H","DateFormat=P","Fill=—","Direction=H","UseDPDF=Y")</f>
        <v>-81.586299999999994</v>
      </c>
      <c r="K95" s="14">
        <f>_xll.BDH("BLUE US Equity","NET_DEBT_TO_SHRHLDR_EQTY","FQ4 2020","FQ4 2020","Currency=USD","Period=FQ","BEST_FPERIOD_OVERRIDE=FQ","FILING_STATUS=MR","Sort=A","Dates=H","DateFormat=P","Fill=—","Direction=H","UseDPDF=Y")</f>
        <v>-49.906100000000002</v>
      </c>
      <c r="L95" s="14">
        <f>_xll.BDH("BLUE US Equity","NET_DEBT_TO_SHRHLDR_EQTY","FQ1 2021","FQ1 2021","Currency=USD","Period=FQ","BEST_FPERIOD_OVERRIDE=FQ","FILING_STATUS=MR","Sort=A","Dates=H","DateFormat=P","Fill=—","Direction=H","UseDPDF=Y")</f>
        <v>-73.961600000000004</v>
      </c>
      <c r="M95" s="14">
        <f>_xll.BDH("BLUE US Equity","NET_DEBT_TO_SHRHLDR_EQTY","FQ2 2021","FQ2 2021","Currency=USD","Period=FQ","BEST_FPERIOD_OVERRIDE=FQ","FILING_STATUS=MR","Sort=A","Dates=H","DateFormat=P","Fill=—","Direction=H","UseDPDF=Y")</f>
        <v>-75.467699999999994</v>
      </c>
      <c r="N95" s="14">
        <f>_xll.BDH("BLUE US Equity","NET_DEBT_TO_SHRHLDR_EQTY","FQ3 2021","FQ3 2021","Currency=USD","Period=FQ","BEST_FPERIOD_OVERRIDE=FQ","FILING_STATUS=MR","Sort=A","Dates=H","DateFormat=P","Fill=—","Direction=H","UseDPDF=Y")</f>
        <v>-90.653499999999994</v>
      </c>
      <c r="O95" s="14">
        <f>_xll.BDH("BLUE US Equity","NET_DEBT_TO_SHRHLDR_EQTY","FQ4 2021","FQ4 2021","Currency=USD","Period=FQ","BEST_FPERIOD_OVERRIDE=FQ","FILING_STATUS=MR","Sort=A","Dates=H","DateFormat=P","Fill=—","Direction=H","UseDPDF=Y")</f>
        <v>-82.033600000000007</v>
      </c>
      <c r="P95" s="14">
        <f>_xll.BDH("BLUE US Equity","NET_DEBT_TO_SHRHLDR_EQTY","FQ1 2022","FQ1 2022","Currency=USD","Period=FQ","BEST_FPERIOD_OVERRIDE=FQ","FILING_STATUS=MR","Sort=A","Dates=H","DateFormat=P","Fill=—","Direction=H","UseDPDF=Y")</f>
        <v>-59.370800000000003</v>
      </c>
      <c r="Q95" s="14">
        <f>_xll.BDH("BLUE US Equity","NET_DEBT_TO_SHRHLDR_EQTY","FQ2 2022","FQ2 2022","Currency=USD","Period=FQ","BEST_FPERIOD_OVERRIDE=FQ","FILING_STATUS=MR","Sort=A","Dates=H","DateFormat=P","Fill=—","Direction=H","UseDPDF=Y")</f>
        <v>66.5227</v>
      </c>
      <c r="R95" s="14">
        <f>_xll.BDH("BLUE US Equity","NET_DEBT_TO_SHRHLDR_EQTY","FQ3 2022","FQ3 2022","Currency=USD","Period=FQ","BEST_FPERIOD_OVERRIDE=FQ","FILING_STATUS=MR","Sort=A","Dates=H","DateFormat=P","Fill=—","Direction=H","UseDPDF=Y")</f>
        <v>86.35</v>
      </c>
      <c r="S95" s="14">
        <f>_xll.BDH("BLUE US Equity","NET_DEBT_TO_SHRHLDR_EQTY","FQ4 2022","FQ4 2022","Currency=USD","Period=FQ","BEST_FPERIOD_OVERRIDE=FQ","FILING_STATUS=MR","Sort=A","Dates=H","DateFormat=P","Fill=—","Direction=H","UseDPDF=Y")</f>
        <v>137.95339999999999</v>
      </c>
      <c r="T95" s="14">
        <f>_xll.BDH("BLUE US Equity","NET_DEBT_TO_SHRHLDR_EQTY","FQ1 2023","FQ1 2023","Currency=USD","Period=FQ","BEST_FPERIOD_OVERRIDE=FQ","FILING_STATUS=MR","Sort=A","Dates=H","DateFormat=P","Fill=—","Direction=H","UseDPDF=Y")</f>
        <v>-12.652100000000001</v>
      </c>
      <c r="U95" s="14">
        <f>_xll.BDH("BLUE US Equity","NET_DEBT_TO_SHRHLDR_EQTY","FQ2 2023","FQ2 2023","Currency=USD","Period=FQ","BEST_FPERIOD_OVERRIDE=FQ","FILING_STATUS=MR","Sort=A","Dates=H","DateFormat=P","Fill=—","Direction=H","UseDPDF=Y")</f>
        <v>21.297599999999999</v>
      </c>
      <c r="V95" s="14">
        <f>_xll.BDH("BLUE US Equity","NET_DEBT_TO_SHRHLDR_EQTY","FQ3 2023","FQ3 2023","Currency=USD","Period=FQ","BEST_FPERIOD_OVERRIDE=FQ","FILING_STATUS=MR","Sort=A","Dates=H","DateFormat=P","Fill=—","Direction=H","UseDPDF=Y")</f>
        <v>58.154200000000003</v>
      </c>
      <c r="W95" s="14">
        <f>_xll.BDH("BLUE US Equity","NET_DEBT_TO_SHRHLDR_EQTY","FQ4 2023","FQ4 2023","Currency=USD","Period=FQ","BEST_FPERIOD_OVERRIDE=FQ","FILING_STATUS=MR","Sort=A","Dates=H","DateFormat=P","Fill=—","Direction=H","UseDPDF=Y")</f>
        <v>55.809899999999999</v>
      </c>
      <c r="X95" s="14">
        <f>_xll.BDH("BLUE US Equity","NET_DEBT_TO_SHRHLDR_EQTY","FQ1 2024","FQ1 2024","Currency=USD","Period=FQ","BEST_FPERIOD_OVERRIDE=FQ","FILING_STATUS=MR","Sort=A","Dates=H","DateFormat=P","Fill=—","Direction=H","UseDPDF=Y")</f>
        <v>154.36949999999999</v>
      </c>
      <c r="Y95" s="14">
        <f>_xll.BDH("BLUE US Equity","NET_DEBT_TO_SHRHLDR_EQTY","FQ2 2024","FQ2 2024","Currency=USD","Period=FQ","BEST_FPERIOD_OVERRIDE=FQ","FILING_STATUS=MR","Sort=A","Dates=H","DateFormat=P","Fill=—","Direction=H","UseDPDF=Y")</f>
        <v>464.9837</v>
      </c>
      <c r="Z95" s="14" t="str">
        <f>_xll.BDH("BLUE US Equity","NET_DEBT_TO_SHRHLDR_EQTY","FQ3 2024","FQ3 2024","Currency=USD","Period=FQ","BEST_FPERIOD_OVERRIDE=FQ","FILING_STATUS=MR","Sort=A","Dates=H","DateFormat=P","Fill=—","Direction=H","UseDPDF=Y")</f>
        <v>—</v>
      </c>
      <c r="AA95" s="14" t="str">
        <f>_xll.BDH("BLUE US Equity","NET_DEBT_TO_SHRHLDR_EQTY","FQ4 2024","FQ4 2024","Currency=USD","Period=FQ","BEST_FPERIOD_OVERRIDE=FQ","FILING_STATUS=MR","Sort=A","Dates=H","DateFormat=P","Fill=—","Direction=H","UseDPDF=Y")</f>
        <v>—</v>
      </c>
    </row>
    <row r="96" spans="1:27" x14ac:dyDescent="0.25">
      <c r="A96" s="10" t="s">
        <v>743</v>
      </c>
      <c r="B96" s="10" t="s">
        <v>744</v>
      </c>
      <c r="C96" s="14">
        <f>_xll.BDH("BLUE US Equity","TCE_RATIO","FQ4 2018","FQ4 2018","Currency=USD","Period=FQ","BEST_FPERIOD_OVERRIDE=FQ","FILING_STATUS=MR","Sort=A","Dates=H","DateFormat=P","Fill=—","Direction=H","UseDPDF=Y")</f>
        <v>83.858900000000006</v>
      </c>
      <c r="D96" s="14">
        <f>_xll.BDH("BLUE US Equity","TCE_RATIO","FQ1 2019","FQ1 2019","Currency=USD","Period=FQ","BEST_FPERIOD_OVERRIDE=FQ","FILING_STATUS=MR","Sort=A","Dates=H","DateFormat=P","Fill=—","Direction=H","UseDPDF=Y")</f>
        <v>82.656400000000005</v>
      </c>
      <c r="E96" s="14">
        <f>_xll.BDH("BLUE US Equity","TCE_RATIO","FQ2 2019","FQ2 2019","Currency=USD","Period=FQ","BEST_FPERIOD_OVERRIDE=FQ","FILING_STATUS=MR","Sort=A","Dates=H","DateFormat=P","Fill=—","Direction=H","UseDPDF=Y")</f>
        <v>80.590699999999998</v>
      </c>
      <c r="F96" s="14">
        <f>_xll.BDH("BLUE US Equity","TCE_RATIO","FQ3 2019","FQ3 2019","Currency=USD","Period=FQ","BEST_FPERIOD_OVERRIDE=FQ","FILING_STATUS=MR","Sort=A","Dates=H","DateFormat=P","Fill=—","Direction=H","UseDPDF=Y")</f>
        <v>77.436800000000005</v>
      </c>
      <c r="G96" s="14">
        <f>_xll.BDH("BLUE US Equity","TCE_RATIO","FQ4 2019","FQ4 2019","Currency=USD","Period=FQ","BEST_FPERIOD_OVERRIDE=FQ","FILING_STATUS=MR","Sort=A","Dates=H","DateFormat=P","Fill=—","Direction=H","UseDPDF=Y")</f>
        <v>73.974199999999996</v>
      </c>
      <c r="H96" s="14">
        <f>_xll.BDH("BLUE US Equity","TCE_RATIO","FQ1 2020","FQ1 2020","Currency=USD","Period=FQ","BEST_FPERIOD_OVERRIDE=FQ","FILING_STATUS=MR","Sort=A","Dates=H","DateFormat=P","Fill=—","Direction=H","UseDPDF=Y")</f>
        <v>72.804599999999994</v>
      </c>
      <c r="I96" s="14">
        <f>_xll.BDH("BLUE US Equity","TCE_RATIO","FQ2 2020","FQ2 2020","Currency=USD","Period=FQ","BEST_FPERIOD_OVERRIDE=FQ","FILING_STATUS=MR","Sort=A","Dates=H","DateFormat=P","Fill=—","Direction=H","UseDPDF=Y")</f>
        <v>79.555199999999999</v>
      </c>
      <c r="J96" s="14">
        <f>_xll.BDH("BLUE US Equity","TCE_RATIO","FQ3 2020","FQ3 2020","Currency=USD","Period=FQ","BEST_FPERIOD_OVERRIDE=FQ","FILING_STATUS=MR","Sort=A","Dates=H","DateFormat=P","Fill=—","Direction=H","UseDPDF=Y")</f>
        <v>78.010999999999996</v>
      </c>
      <c r="K96" s="14">
        <f>_xll.BDH("BLUE US Equity","TCE_RATIO","FQ4 2020","FQ4 2020","Currency=USD","Period=FQ","BEST_FPERIOD_OVERRIDE=FQ","FILING_STATUS=MR","Sort=A","Dates=H","DateFormat=P","Fill=—","Direction=H","UseDPDF=Y")</f>
        <v>75.937600000000003</v>
      </c>
      <c r="L96" s="14">
        <f>_xll.BDH("BLUE US Equity","TCE_RATIO","FQ1 2021","FQ1 2021","Currency=USD","Period=FQ","BEST_FPERIOD_OVERRIDE=FQ","FILING_STATUS=MR","Sort=A","Dates=H","DateFormat=P","Fill=—","Direction=H","UseDPDF=Y")</f>
        <v>72.905600000000007</v>
      </c>
      <c r="M96" s="14">
        <f>_xll.BDH("BLUE US Equity","TCE_RATIO","FQ2 2021","FQ2 2021","Currency=USD","Period=FQ","BEST_FPERIOD_OVERRIDE=FQ","FILING_STATUS=MR","Sort=A","Dates=H","DateFormat=P","Fill=—","Direction=H","UseDPDF=Y")</f>
        <v>67.026300000000006</v>
      </c>
      <c r="N96" s="14">
        <f>_xll.BDH("BLUE US Equity","TCE_RATIO","FQ3 2021","FQ3 2021","Currency=USD","Period=FQ","BEST_FPERIOD_OVERRIDE=FQ","FILING_STATUS=MR","Sort=A","Dates=H","DateFormat=P","Fill=—","Direction=H","UseDPDF=Y")</f>
        <v>64.368499999999997</v>
      </c>
      <c r="O96" s="14">
        <f>_xll.BDH("BLUE US Equity","TCE_RATIO","FQ4 2021","FQ4 2021","Currency=USD","Period=FQ","BEST_FPERIOD_OVERRIDE=FQ","FILING_STATUS=MR","Sort=A","Dates=H","DateFormat=P","Fill=—","Direction=H","UseDPDF=Y")</f>
        <v>62.676499999999997</v>
      </c>
      <c r="P96" s="14">
        <f>_xll.BDH("BLUE US Equity","TCE_RATIO","FQ1 2022","FQ1 2022","Currency=USD","Period=FQ","BEST_FPERIOD_OVERRIDE=FQ","FILING_STATUS=MR","Sort=A","Dates=H","DateFormat=P","Fill=—","Direction=H","UseDPDF=Y")</f>
        <v>53.069600000000001</v>
      </c>
      <c r="Q96" s="14">
        <f>_xll.BDH("BLUE US Equity","TCE_RATIO","FQ2 2022","FQ2 2022","Currency=USD","Period=FQ","BEST_FPERIOD_OVERRIDE=FQ","FILING_STATUS=MR","Sort=A","Dates=H","DateFormat=P","Fill=—","Direction=H","UseDPDF=Y")</f>
        <v>30.7195</v>
      </c>
      <c r="R96" s="14">
        <f>_xll.BDH("BLUE US Equity","TCE_RATIO","FQ3 2022","FQ3 2022","Currency=USD","Period=FQ","BEST_FPERIOD_OVERRIDE=FQ","FILING_STATUS=MR","Sort=A","Dates=H","DateFormat=P","Fill=—","Direction=H","UseDPDF=Y")</f>
        <v>29.781400000000001</v>
      </c>
      <c r="S96" s="14">
        <f>_xll.BDH("BLUE US Equity","TCE_RATIO","FQ4 2022","FQ4 2022","Currency=USD","Period=FQ","BEST_FPERIOD_OVERRIDE=FQ","FILING_STATUS=MR","Sort=A","Dates=H","DateFormat=P","Fill=—","Direction=H","UseDPDF=Y")</f>
        <v>22.138200000000001</v>
      </c>
      <c r="T96" s="14">
        <f>_xll.BDH("BLUE US Equity","TCE_RATIO","FQ1 2023","FQ1 2023","Currency=USD","Period=FQ","BEST_FPERIOD_OVERRIDE=FQ","FILING_STATUS=MR","Sort=A","Dates=H","DateFormat=P","Fill=—","Direction=H","UseDPDF=Y")</f>
        <v>50.4024</v>
      </c>
      <c r="U96" s="14">
        <f>_xll.BDH("BLUE US Equity","TCE_RATIO","FQ2 2023","FQ2 2023","Currency=USD","Period=FQ","BEST_FPERIOD_OVERRIDE=FQ","FILING_STATUS=MR","Sort=A","Dates=H","DateFormat=P","Fill=—","Direction=H","UseDPDF=Y")</f>
        <v>42.603299999999997</v>
      </c>
      <c r="V96" s="14">
        <f>_xll.BDH("BLUE US Equity","TCE_RATIO","FQ3 2023","FQ3 2023","Currency=USD","Period=FQ","BEST_FPERIOD_OVERRIDE=FQ","FILING_STATUS=MR","Sort=A","Dates=H","DateFormat=P","Fill=—","Direction=H","UseDPDF=Y")</f>
        <v>35.101900000000001</v>
      </c>
      <c r="W96" s="14">
        <f>_xll.BDH("BLUE US Equity","TCE_RATIO","FQ4 2023","FQ4 2023","Currency=USD","Period=FQ","BEST_FPERIOD_OVERRIDE=FQ","FILING_STATUS=MR","Sort=A","Dates=H","DateFormat=P","Fill=—","Direction=H","UseDPDF=Y")</f>
        <v>29.590399999999999</v>
      </c>
      <c r="X96" s="14">
        <f>_xll.BDH("BLUE US Equity","TCE_RATIO","FQ1 2024","FQ1 2024","Currency=USD","Period=FQ","BEST_FPERIOD_OVERRIDE=FQ","FILING_STATUS=MR","Sort=A","Dates=H","DateFormat=P","Fill=—","Direction=H","UseDPDF=Y")</f>
        <v>18.706499999999998</v>
      </c>
      <c r="Y96" s="14">
        <f>_xll.BDH("BLUE US Equity","TCE_RATIO","FQ2 2024","FQ2 2024","Currency=USD","Period=FQ","BEST_FPERIOD_OVERRIDE=FQ","FILING_STATUS=MR","Sort=A","Dates=H","DateFormat=P","Fill=—","Direction=H","UseDPDF=Y")</f>
        <v>7.0483000000000002</v>
      </c>
      <c r="Z96" s="14">
        <f>_xll.BDH("BLUE US Equity","TCE_RATIO","FQ3 2024","FQ3 2024","Currency=USD","Period=FQ","BEST_FPERIOD_OVERRIDE=FQ","FILING_STATUS=MR","Sort=A","Dates=H","DateFormat=P","Fill=—","Direction=H","UseDPDF=Y")</f>
        <v>-4.7176999999999998</v>
      </c>
      <c r="AA96" s="14">
        <f>_xll.BDH("BLUE US Equity","TCE_RATIO","FQ4 2024","FQ4 2024","Currency=USD","Period=FQ","BEST_FPERIOD_OVERRIDE=FQ","FILING_STATUS=MR","Sort=A","Dates=H","DateFormat=P","Fill=—","Direction=H","UseDPDF=Y")</f>
        <v>-10.499499999999999</v>
      </c>
    </row>
    <row r="97" spans="1:27" x14ac:dyDescent="0.25">
      <c r="A97" s="10" t="s">
        <v>745</v>
      </c>
      <c r="B97" s="10" t="s">
        <v>746</v>
      </c>
      <c r="C97" s="14">
        <f>_xll.BDH("BLUE US Equity","CUR_RATIO","FQ4 2018","FQ4 2018","Currency=USD","Period=FQ","BEST_FPERIOD_OVERRIDE=FQ","FILING_STATUS=MR","Sort=A","Dates=H","DateFormat=P","Fill=—","Direction=H","UseDPDF=Y")</f>
        <v>9.6905999999999999</v>
      </c>
      <c r="D97" s="14">
        <f>_xll.BDH("BLUE US Equity","CUR_RATIO","FQ1 2019","FQ1 2019","Currency=USD","Period=FQ","BEST_FPERIOD_OVERRIDE=FQ","FILING_STATUS=MR","Sort=A","Dates=H","DateFormat=P","Fill=—","Direction=H","UseDPDF=Y")</f>
        <v>9.3055000000000003</v>
      </c>
      <c r="E97" s="14">
        <f>_xll.BDH("BLUE US Equity","CUR_RATIO","FQ2 2019","FQ2 2019","Currency=USD","Period=FQ","BEST_FPERIOD_OVERRIDE=FQ","FILING_STATUS=MR","Sort=A","Dates=H","DateFormat=P","Fill=—","Direction=H","UseDPDF=Y")</f>
        <v>8.0241000000000007</v>
      </c>
      <c r="F97" s="14">
        <f>_xll.BDH("BLUE US Equity","CUR_RATIO","FQ3 2019","FQ3 2019","Currency=USD","Period=FQ","BEST_FPERIOD_OVERRIDE=FQ","FILING_STATUS=MR","Sort=A","Dates=H","DateFormat=P","Fill=—","Direction=H","UseDPDF=Y")</f>
        <v>6.2237</v>
      </c>
      <c r="G97" s="14">
        <f>_xll.BDH("BLUE US Equity","CUR_RATIO","FQ4 2019","FQ4 2019","Currency=USD","Period=FQ","BEST_FPERIOD_OVERRIDE=FQ","FILING_STATUS=MR","Sort=A","Dates=H","DateFormat=P","Fill=—","Direction=H","UseDPDF=Y")</f>
        <v>5.1532999999999998</v>
      </c>
      <c r="H97" s="14">
        <f>_xll.BDH("BLUE US Equity","CUR_RATIO","FQ1 2020","FQ1 2020","Currency=USD","Period=FQ","BEST_FPERIOD_OVERRIDE=FQ","FILING_STATUS=MR","Sort=A","Dates=H","DateFormat=P","Fill=—","Direction=H","UseDPDF=Y")</f>
        <v>5.2458999999999998</v>
      </c>
      <c r="I97" s="14">
        <f>_xll.BDH("BLUE US Equity","CUR_RATIO","FQ2 2020","FQ2 2020","Currency=USD","Period=FQ","BEST_FPERIOD_OVERRIDE=FQ","FILING_STATUS=MR","Sort=A","Dates=H","DateFormat=P","Fill=—","Direction=H","UseDPDF=Y")</f>
        <v>8.1826000000000008</v>
      </c>
      <c r="J97" s="14">
        <f>_xll.BDH("BLUE US Equity","CUR_RATIO","FQ3 2020","FQ3 2020","Currency=USD","Period=FQ","BEST_FPERIOD_OVERRIDE=FQ","FILING_STATUS=MR","Sort=A","Dates=H","DateFormat=P","Fill=—","Direction=H","UseDPDF=Y")</f>
        <v>6.5674999999999999</v>
      </c>
      <c r="K97" s="14">
        <f>_xll.BDH("BLUE US Equity","CUR_RATIO","FQ4 2020","FQ4 2020","Currency=USD","Period=FQ","BEST_FPERIOD_OVERRIDE=FQ","FILING_STATUS=MR","Sort=A","Dates=H","DateFormat=P","Fill=—","Direction=H","UseDPDF=Y")</f>
        <v>5.9706000000000001</v>
      </c>
      <c r="L97" s="14">
        <f>_xll.BDH("BLUE US Equity","CUR_RATIO","FQ1 2021","FQ1 2021","Currency=USD","Period=FQ","BEST_FPERIOD_OVERRIDE=FQ","FILING_STATUS=MR","Sort=A","Dates=H","DateFormat=P","Fill=—","Direction=H","UseDPDF=Y")</f>
        <v>5.3197000000000001</v>
      </c>
      <c r="M97" s="14">
        <f>_xll.BDH("BLUE US Equity","CUR_RATIO","FQ2 2021","FQ2 2021","Currency=USD","Period=FQ","BEST_FPERIOD_OVERRIDE=FQ","FILING_STATUS=MR","Sort=A","Dates=H","DateFormat=P","Fill=—","Direction=H","UseDPDF=Y")</f>
        <v>3.6467000000000001</v>
      </c>
      <c r="N97" s="14">
        <f>_xll.BDH("BLUE US Equity","CUR_RATIO","FQ3 2021","FQ3 2021","Currency=USD","Period=FQ","BEST_FPERIOD_OVERRIDE=FQ","FILING_STATUS=MR","Sort=A","Dates=H","DateFormat=P","Fill=—","Direction=H","UseDPDF=Y")</f>
        <v>3.1225000000000001</v>
      </c>
      <c r="O97" s="14">
        <f>_xll.BDH("BLUE US Equity","CUR_RATIO","FQ4 2021","FQ4 2021","Currency=USD","Period=FQ","BEST_FPERIOD_OVERRIDE=FQ","FILING_STATUS=MR","Sort=A","Dates=H","DateFormat=P","Fill=—","Direction=H","UseDPDF=Y")</f>
        <v>2.1996000000000002</v>
      </c>
      <c r="P97" s="14">
        <f>_xll.BDH("BLUE US Equity","CUR_RATIO","FQ1 2022","FQ1 2022","Currency=USD","Period=FQ","BEST_FPERIOD_OVERRIDE=FQ","FILING_STATUS=MR","Sort=A","Dates=H","DateFormat=P","Fill=—","Direction=H","UseDPDF=Y")</f>
        <v>1.784</v>
      </c>
      <c r="Q97" s="14">
        <f>_xll.BDH("BLUE US Equity","CUR_RATIO","FQ2 2022","FQ2 2022","Currency=USD","Period=FQ","BEST_FPERIOD_OVERRIDE=FQ","FILING_STATUS=MR","Sort=A","Dates=H","DateFormat=P","Fill=—","Direction=H","UseDPDF=Y")</f>
        <v>1.1249</v>
      </c>
      <c r="R97" s="14">
        <f>_xll.BDH("BLUE US Equity","CUR_RATIO","FQ3 2022","FQ3 2022","Currency=USD","Period=FQ","BEST_FPERIOD_OVERRIDE=FQ","FILING_STATUS=MR","Sort=A","Dates=H","DateFormat=P","Fill=—","Direction=H","UseDPDF=Y")</f>
        <v>1.266</v>
      </c>
      <c r="S97" s="14">
        <f>_xll.BDH("BLUE US Equity","CUR_RATIO","FQ4 2022","FQ4 2022","Currency=USD","Period=FQ","BEST_FPERIOD_OVERRIDE=FQ","FILING_STATUS=MR","Sort=A","Dates=H","DateFormat=P","Fill=—","Direction=H","UseDPDF=Y")</f>
        <v>1.3001</v>
      </c>
      <c r="T97" s="14">
        <f>_xll.BDH("BLUE US Equity","CUR_RATIO","FQ1 2023","FQ1 2023","Currency=USD","Period=FQ","BEST_FPERIOD_OVERRIDE=FQ","FILING_STATUS=MR","Sort=A","Dates=H","DateFormat=P","Fill=—","Direction=H","UseDPDF=Y")</f>
        <v>3.0282</v>
      </c>
      <c r="U97" s="14">
        <f>_xll.BDH("BLUE US Equity","CUR_RATIO","FQ2 2023","FQ2 2023","Currency=USD","Period=FQ","BEST_FPERIOD_OVERRIDE=FQ","FILING_STATUS=MR","Sort=A","Dates=H","DateFormat=P","Fill=—","Direction=H","UseDPDF=Y")</f>
        <v>2.1328999999999998</v>
      </c>
      <c r="V97" s="14">
        <f>_xll.BDH("BLUE US Equity","CUR_RATIO","FQ3 2023","FQ3 2023","Currency=USD","Period=FQ","BEST_FPERIOD_OVERRIDE=FQ","FILING_STATUS=MR","Sort=A","Dates=H","DateFormat=P","Fill=—","Direction=H","UseDPDF=Y")</f>
        <v>1.5544</v>
      </c>
      <c r="W97" s="14">
        <f>_xll.BDH("BLUE US Equity","CUR_RATIO","FQ4 2023","FQ4 2023","Currency=USD","Period=FQ","BEST_FPERIOD_OVERRIDE=FQ","FILING_STATUS=MR","Sort=A","Dates=H","DateFormat=P","Fill=—","Direction=H","UseDPDF=Y")</f>
        <v>1.4076</v>
      </c>
      <c r="X97" s="14">
        <f>_xll.BDH("BLUE US Equity","CUR_RATIO","FQ1 2024","FQ1 2024","Currency=USD","Period=FQ","BEST_FPERIOD_OVERRIDE=FQ","FILING_STATUS=MR","Sort=A","Dates=H","DateFormat=P","Fill=—","Direction=H","UseDPDF=Y")</f>
        <v>0.92520000000000002</v>
      </c>
      <c r="Y97" s="14">
        <f>_xll.BDH("BLUE US Equity","CUR_RATIO","FQ2 2024","FQ2 2024","Currency=USD","Period=FQ","BEST_FPERIOD_OVERRIDE=FQ","FILING_STATUS=MR","Sort=A","Dates=H","DateFormat=P","Fill=—","Direction=H","UseDPDF=Y")</f>
        <v>0.68310000000000004</v>
      </c>
      <c r="Z97" s="14">
        <f>_xll.BDH("BLUE US Equity","CUR_RATIO","FQ3 2024","FQ3 2024","Currency=USD","Period=FQ","BEST_FPERIOD_OVERRIDE=FQ","FILING_STATUS=MR","Sort=A","Dates=H","DateFormat=P","Fill=—","Direction=H","UseDPDF=Y")</f>
        <v>0.50939999999999996</v>
      </c>
      <c r="AA97" s="14">
        <f>_xll.BDH("BLUE US Equity","CUR_RATIO","FQ4 2024","FQ4 2024","Currency=USD","Period=FQ","BEST_FPERIOD_OVERRIDE=FQ","FILING_STATUS=MR","Sort=A","Dates=H","DateFormat=P","Fill=—","Direction=H","UseDPDF=Y")</f>
        <v>0.48110000000000003</v>
      </c>
    </row>
    <row r="98" spans="1:27" x14ac:dyDescent="0.25">
      <c r="A98" s="10" t="s">
        <v>747</v>
      </c>
      <c r="B98" s="10" t="s">
        <v>748</v>
      </c>
      <c r="C98" s="14" t="str">
        <f>_xll.BDH("BLUE US Equity","CASH_CONVERSION_CYCLE","FQ4 2018","FQ4 2018","Currency=USD","Period=FQ","BEST_FPERIOD_OVERRIDE=FQ","FILING_STATUS=MR","FA_ADJUSTED=GAAP","Sort=A","Dates=H","DateFormat=P","Fill=—","Direction=H","UseDPDF=Y")</f>
        <v>—</v>
      </c>
      <c r="D98" s="14" t="str">
        <f>_xll.BDH("BLUE US Equity","CASH_CONVERSION_CYCLE","FQ1 2019","FQ1 2019","Currency=USD","Period=FQ","BEST_FPERIOD_OVERRIDE=FQ","FILING_STATUS=MR","FA_ADJUSTED=GAAP","Sort=A","Dates=H","DateFormat=P","Fill=—","Direction=H","UseDPDF=Y")</f>
        <v>—</v>
      </c>
      <c r="E98" s="14" t="str">
        <f>_xll.BDH("BLUE US Equity","CASH_CONVERSION_CYCLE","FQ2 2019","FQ2 2019","Currency=USD","Period=FQ","BEST_FPERIOD_OVERRIDE=FQ","FILING_STATUS=MR","FA_ADJUSTED=GAAP","Sort=A","Dates=H","DateFormat=P","Fill=—","Direction=H","UseDPDF=Y")</f>
        <v>—</v>
      </c>
      <c r="F98" s="14" t="str">
        <f>_xll.BDH("BLUE US Equity","CASH_CONVERSION_CYCLE","FQ3 2019","FQ3 2019","Currency=USD","Period=FQ","BEST_FPERIOD_OVERRIDE=FQ","FILING_STATUS=MR","FA_ADJUSTED=GAAP","Sort=A","Dates=H","DateFormat=P","Fill=—","Direction=H","UseDPDF=Y")</f>
        <v>—</v>
      </c>
      <c r="G98" s="14" t="str">
        <f>_xll.BDH("BLUE US Equity","CASH_CONVERSION_CYCLE","FQ4 2019","FQ4 2019","Currency=USD","Period=FQ","BEST_FPERIOD_OVERRIDE=FQ","FILING_STATUS=MR","FA_ADJUSTED=GAAP","Sort=A","Dates=H","DateFormat=P","Fill=—","Direction=H","UseDPDF=Y")</f>
        <v>—</v>
      </c>
      <c r="H98" s="14" t="str">
        <f>_xll.BDH("BLUE US Equity","CASH_CONVERSION_CYCLE","FQ1 2020","FQ1 2020","Currency=USD","Period=FQ","BEST_FPERIOD_OVERRIDE=FQ","FILING_STATUS=MR","FA_ADJUSTED=GAAP","Sort=A","Dates=H","DateFormat=P","Fill=—","Direction=H","UseDPDF=Y")</f>
        <v>—</v>
      </c>
      <c r="I98" s="14" t="str">
        <f>_xll.BDH("BLUE US Equity","CASH_CONVERSION_CYCLE","FQ2 2020","FQ2 2020","Currency=USD","Period=FQ","BEST_FPERIOD_OVERRIDE=FQ","FILING_STATUS=MR","FA_ADJUSTED=GAAP","Sort=A","Dates=H","DateFormat=P","Fill=—","Direction=H","UseDPDF=Y")</f>
        <v>—</v>
      </c>
      <c r="J98" s="14" t="str">
        <f>_xll.BDH("BLUE US Equity","CASH_CONVERSION_CYCLE","FQ3 2020","FQ3 2020","Currency=USD","Period=FQ","BEST_FPERIOD_OVERRIDE=FQ","FILING_STATUS=MR","FA_ADJUSTED=GAAP","Sort=A","Dates=H","DateFormat=P","Fill=—","Direction=H","UseDPDF=Y")</f>
        <v>—</v>
      </c>
      <c r="K98" s="14" t="str">
        <f>_xll.BDH("BLUE US Equity","CASH_CONVERSION_CYCLE","FQ4 2020","FQ4 2020","Currency=USD","Period=FQ","BEST_FPERIOD_OVERRIDE=FQ","FILING_STATUS=MR","FA_ADJUSTED=GAAP","Sort=A","Dates=H","DateFormat=P","Fill=—","Direction=H","UseDPDF=Y")</f>
        <v>—</v>
      </c>
      <c r="L98" s="14" t="str">
        <f>_xll.BDH("BLUE US Equity","CASH_CONVERSION_CYCLE","FQ1 2021","FQ1 2021","Currency=USD","Period=FQ","BEST_FPERIOD_OVERRIDE=FQ","FILING_STATUS=MR","FA_ADJUSTED=GAAP","Sort=A","Dates=H","DateFormat=P","Fill=—","Direction=H","UseDPDF=Y")</f>
        <v>—</v>
      </c>
      <c r="M98" s="14" t="str">
        <f>_xll.BDH("BLUE US Equity","CASH_CONVERSION_CYCLE","FQ2 2021","FQ2 2021","Currency=USD","Period=FQ","BEST_FPERIOD_OVERRIDE=FQ","FILING_STATUS=MR","FA_ADJUSTED=GAAP","Sort=A","Dates=H","DateFormat=P","Fill=—","Direction=H","UseDPDF=Y")</f>
        <v>—</v>
      </c>
      <c r="N98" s="14" t="str">
        <f>_xll.BDH("BLUE US Equity","CASH_CONVERSION_CYCLE","FQ3 2021","FQ3 2021","Currency=USD","Period=FQ","BEST_FPERIOD_OVERRIDE=FQ","FILING_STATUS=MR","FA_ADJUSTED=GAAP","Sort=A","Dates=H","DateFormat=P","Fill=—","Direction=H","UseDPDF=Y")</f>
        <v>—</v>
      </c>
      <c r="O98" s="14" t="str">
        <f>_xll.BDH("BLUE US Equity","CASH_CONVERSION_CYCLE","FQ4 2021","FQ4 2021","Currency=USD","Period=FQ","BEST_FPERIOD_OVERRIDE=FQ","FILING_STATUS=MR","FA_ADJUSTED=GAAP","Sort=A","Dates=H","DateFormat=P","Fill=—","Direction=H","UseDPDF=Y")</f>
        <v>—</v>
      </c>
      <c r="P98" s="14" t="str">
        <f>_xll.BDH("BLUE US Equity","CASH_CONVERSION_CYCLE","FQ1 2022","FQ1 2022","Currency=USD","Period=FQ","BEST_FPERIOD_OVERRIDE=FQ","FILING_STATUS=MR","FA_ADJUSTED=GAAP","Sort=A","Dates=H","DateFormat=P","Fill=—","Direction=H","UseDPDF=Y")</f>
        <v>—</v>
      </c>
      <c r="Q98" s="14" t="str">
        <f>_xll.BDH("BLUE US Equity","CASH_CONVERSION_CYCLE","FQ2 2022","FQ2 2022","Currency=USD","Period=FQ","BEST_FPERIOD_OVERRIDE=FQ","FILING_STATUS=MR","FA_ADJUSTED=GAAP","Sort=A","Dates=H","DateFormat=P","Fill=—","Direction=H","UseDPDF=Y")</f>
        <v>—</v>
      </c>
      <c r="R98" s="14" t="str">
        <f>_xll.BDH("BLUE US Equity","CASH_CONVERSION_CYCLE","FQ3 2022","FQ3 2022","Currency=USD","Period=FQ","BEST_FPERIOD_OVERRIDE=FQ","FILING_STATUS=MR","FA_ADJUSTED=GAAP","Sort=A","Dates=H","DateFormat=P","Fill=—","Direction=H","UseDPDF=Y")</f>
        <v>—</v>
      </c>
      <c r="S98" s="14" t="str">
        <f>_xll.BDH("BLUE US Equity","CASH_CONVERSION_CYCLE","FQ4 2022","FQ4 2022","Currency=USD","Period=FQ","BEST_FPERIOD_OVERRIDE=FQ","FILING_STATUS=MR","FA_ADJUSTED=GAAP","Sort=A","Dates=H","DateFormat=P","Fill=—","Direction=H","UseDPDF=Y")</f>
        <v>—</v>
      </c>
      <c r="T98" s="14" t="str">
        <f>_xll.BDH("BLUE US Equity","CASH_CONVERSION_CYCLE","FQ1 2023","FQ1 2023","Currency=USD","Period=FQ","BEST_FPERIOD_OVERRIDE=FQ","FILING_STATUS=MR","FA_ADJUSTED=GAAP","Sort=A","Dates=H","DateFormat=P","Fill=—","Direction=H","UseDPDF=Y")</f>
        <v>—</v>
      </c>
      <c r="U98" s="14" t="str">
        <f>_xll.BDH("BLUE US Equity","CASH_CONVERSION_CYCLE","FQ2 2023","FQ2 2023","Currency=USD","Period=FQ","BEST_FPERIOD_OVERRIDE=FQ","FILING_STATUS=MR","FA_ADJUSTED=GAAP","Sort=A","Dates=H","DateFormat=P","Fill=—","Direction=H","UseDPDF=Y")</f>
        <v>—</v>
      </c>
      <c r="V98" s="14">
        <f>_xll.BDH("BLUE US Equity","CASH_CONVERSION_CYCLE","FQ3 2023","FQ3 2023","Currency=USD","Period=FQ","BEST_FPERIOD_OVERRIDE=FQ","FILING_STATUS=MR","FA_ADJUSTED=GAAP","Sort=A","Dates=H","DateFormat=P","Fill=—","Direction=H","UseDPDF=Y")</f>
        <v>206.50399999999999</v>
      </c>
      <c r="W98" s="14" t="str">
        <f>_xll.BDH("BLUE US Equity","CASH_CONVERSION_CYCLE","FQ4 2023","FQ4 2023","Currency=USD","Period=FQ","BEST_FPERIOD_OVERRIDE=FQ","FILING_STATUS=MR","FA_ADJUSTED=GAAP","Sort=A","Dates=H","DateFormat=P","Fill=—","Direction=H","UseDPDF=Y")</f>
        <v>—</v>
      </c>
      <c r="X98" s="14" t="str">
        <f>_xll.BDH("BLUE US Equity","CASH_CONVERSION_CYCLE","FQ1 2024","FQ1 2024","Currency=USD","Period=FQ","BEST_FPERIOD_OVERRIDE=FQ","FILING_STATUS=MR","FA_ADJUSTED=GAAP","Sort=A","Dates=H","DateFormat=P","Fill=—","Direction=H","UseDPDF=Y")</f>
        <v>—</v>
      </c>
      <c r="Y98" s="14" t="str">
        <f>_xll.BDH("BLUE US Equity","CASH_CONVERSION_CYCLE","FQ2 2024","FQ2 2024","Currency=USD","Period=FQ","BEST_FPERIOD_OVERRIDE=FQ","FILING_STATUS=MR","FA_ADJUSTED=GAAP","Sort=A","Dates=H","DateFormat=P","Fill=—","Direction=H","UseDPDF=Y")</f>
        <v>—</v>
      </c>
      <c r="Z98" s="14">
        <f>_xll.BDH("BLUE US Equity","CASH_CONVERSION_CYCLE","FQ3 2024","FQ3 2024","Currency=USD","Period=FQ","BEST_FPERIOD_OVERRIDE=FQ","FILING_STATUS=MR","FA_ADJUSTED=GAAP","Sort=A","Dates=H","DateFormat=P","Fill=—","Direction=H","UseDPDF=Y")</f>
        <v>184.79490000000001</v>
      </c>
      <c r="AA98" s="14" t="str">
        <f>_xll.BDH("BLUE US Equity","CASH_CONVERSION_CYCLE","FQ4 2024","FQ4 2024","Currency=USD","Period=FQ","BEST_FPERIOD_OVERRIDE=FQ","FILING_STATUS=MR","FA_ADJUSTED=GAAP","Sort=A","Dates=H","DateFormat=P","Fill=—","Direction=H","UseDPDF=Y")</f>
        <v>—</v>
      </c>
    </row>
    <row r="99" spans="1:27" x14ac:dyDescent="0.25">
      <c r="A99" s="10" t="s">
        <v>749</v>
      </c>
      <c r="B99" s="10" t="s">
        <v>750</v>
      </c>
      <c r="C99" s="14">
        <f>_xll.BDH("BLUE US Equity","NUM_OF_EMPLOYEES","FQ4 2018","FQ4 2018","Currency=USD","Period=FQ","BEST_FPERIOD_OVERRIDE=FQ","FILING_STATUS=MR","Sort=A","Dates=H","DateFormat=P","Fill=—","Direction=H","UseDPDF=Y")</f>
        <v>764</v>
      </c>
      <c r="D99" s="14" t="str">
        <f>_xll.BDH("BLUE US Equity","NUM_OF_EMPLOYEES","FQ1 2019","FQ1 2019","Currency=USD","Period=FQ","BEST_FPERIOD_OVERRIDE=FQ","FILING_STATUS=MR","Sort=A","Dates=H","DateFormat=P","Fill=—","Direction=H","UseDPDF=Y")</f>
        <v>—</v>
      </c>
      <c r="E99" s="14" t="str">
        <f>_xll.BDH("BLUE US Equity","NUM_OF_EMPLOYEES","FQ2 2019","FQ2 2019","Currency=USD","Period=FQ","BEST_FPERIOD_OVERRIDE=FQ","FILING_STATUS=MR","Sort=A","Dates=H","DateFormat=P","Fill=—","Direction=H","UseDPDF=Y")</f>
        <v>—</v>
      </c>
      <c r="F99" s="14" t="str">
        <f>_xll.BDH("BLUE US Equity","NUM_OF_EMPLOYEES","FQ3 2019","FQ3 2019","Currency=USD","Period=FQ","BEST_FPERIOD_OVERRIDE=FQ","FILING_STATUS=MR","Sort=A","Dates=H","DateFormat=P","Fill=—","Direction=H","UseDPDF=Y")</f>
        <v>—</v>
      </c>
      <c r="G99" s="14">
        <f>_xll.BDH("BLUE US Equity","NUM_OF_EMPLOYEES","FQ4 2019","FQ4 2019","Currency=USD","Period=FQ","BEST_FPERIOD_OVERRIDE=FQ","FILING_STATUS=MR","Sort=A","Dates=H","DateFormat=P","Fill=—","Direction=H","UseDPDF=Y")</f>
        <v>1012</v>
      </c>
      <c r="H99" s="14" t="str">
        <f>_xll.BDH("BLUE US Equity","NUM_OF_EMPLOYEES","FQ1 2020","FQ1 2020","Currency=USD","Period=FQ","BEST_FPERIOD_OVERRIDE=FQ","FILING_STATUS=MR","Sort=A","Dates=H","DateFormat=P","Fill=—","Direction=H","UseDPDF=Y")</f>
        <v>—</v>
      </c>
      <c r="I99" s="14" t="str">
        <f>_xll.BDH("BLUE US Equity","NUM_OF_EMPLOYEES","FQ2 2020","FQ2 2020","Currency=USD","Period=FQ","BEST_FPERIOD_OVERRIDE=FQ","FILING_STATUS=MR","Sort=A","Dates=H","DateFormat=P","Fill=—","Direction=H","UseDPDF=Y")</f>
        <v>—</v>
      </c>
      <c r="J99" s="14" t="str">
        <f>_xll.BDH("BLUE US Equity","NUM_OF_EMPLOYEES","FQ3 2020","FQ3 2020","Currency=USD","Period=FQ","BEST_FPERIOD_OVERRIDE=FQ","FILING_STATUS=MR","Sort=A","Dates=H","DateFormat=P","Fill=—","Direction=H","UseDPDF=Y")</f>
        <v>—</v>
      </c>
      <c r="K99" s="14">
        <f>_xll.BDH("BLUE US Equity","NUM_OF_EMPLOYEES","FQ4 2020","FQ4 2020","Currency=USD","Period=FQ","BEST_FPERIOD_OVERRIDE=FQ","FILING_STATUS=MR","Sort=A","Dates=H","DateFormat=P","Fill=—","Direction=H","UseDPDF=Y")</f>
        <v>1213</v>
      </c>
      <c r="L99" s="14" t="str">
        <f>_xll.BDH("BLUE US Equity","NUM_OF_EMPLOYEES","FQ1 2021","FQ1 2021","Currency=USD","Period=FQ","BEST_FPERIOD_OVERRIDE=FQ","FILING_STATUS=MR","Sort=A","Dates=H","DateFormat=P","Fill=—","Direction=H","UseDPDF=Y")</f>
        <v>—</v>
      </c>
      <c r="M99" s="14" t="str">
        <f>_xll.BDH("BLUE US Equity","NUM_OF_EMPLOYEES","FQ2 2021","FQ2 2021","Currency=USD","Period=FQ","BEST_FPERIOD_OVERRIDE=FQ","FILING_STATUS=MR","Sort=A","Dates=H","DateFormat=P","Fill=—","Direction=H","UseDPDF=Y")</f>
        <v>—</v>
      </c>
      <c r="N99" s="14" t="str">
        <f>_xll.BDH("BLUE US Equity","NUM_OF_EMPLOYEES","FQ3 2021","FQ3 2021","Currency=USD","Period=FQ","BEST_FPERIOD_OVERRIDE=FQ","FILING_STATUS=MR","Sort=A","Dates=H","DateFormat=P","Fill=—","Direction=H","UseDPDF=Y")</f>
        <v>—</v>
      </c>
      <c r="O99" s="14">
        <f>_xll.BDH("BLUE US Equity","NUM_OF_EMPLOYEES","FQ4 2021","FQ4 2021","Currency=USD","Period=FQ","BEST_FPERIOD_OVERRIDE=FQ","FILING_STATUS=MR","Sort=A","Dates=H","DateFormat=P","Fill=—","Direction=H","UseDPDF=Y")</f>
        <v>518</v>
      </c>
      <c r="P99" s="14" t="str">
        <f>_xll.BDH("BLUE US Equity","NUM_OF_EMPLOYEES","FQ1 2022","FQ1 2022","Currency=USD","Period=FQ","BEST_FPERIOD_OVERRIDE=FQ","FILING_STATUS=MR","Sort=A","Dates=H","DateFormat=P","Fill=—","Direction=H","UseDPDF=Y")</f>
        <v>—</v>
      </c>
      <c r="Q99" s="14" t="str">
        <f>_xll.BDH("BLUE US Equity","NUM_OF_EMPLOYEES","FQ2 2022","FQ2 2022","Currency=USD","Period=FQ","BEST_FPERIOD_OVERRIDE=FQ","FILING_STATUS=MR","Sort=A","Dates=H","DateFormat=P","Fill=—","Direction=H","UseDPDF=Y")</f>
        <v>—</v>
      </c>
      <c r="R99" s="14" t="str">
        <f>_xll.BDH("BLUE US Equity","NUM_OF_EMPLOYEES","FQ3 2022","FQ3 2022","Currency=USD","Period=FQ","BEST_FPERIOD_OVERRIDE=FQ","FILING_STATUS=MR","Sort=A","Dates=H","DateFormat=P","Fill=—","Direction=H","UseDPDF=Y")</f>
        <v>—</v>
      </c>
      <c r="S99" s="14">
        <f>_xll.BDH("BLUE US Equity","NUM_OF_EMPLOYEES","FQ4 2022","FQ4 2022","Currency=USD","Period=FQ","BEST_FPERIOD_OVERRIDE=FQ","FILING_STATUS=MR","Sort=A","Dates=H","DateFormat=P","Fill=—","Direction=H","UseDPDF=Y")</f>
        <v>323</v>
      </c>
      <c r="T99" s="14" t="str">
        <f>_xll.BDH("BLUE US Equity","NUM_OF_EMPLOYEES","FQ1 2023","FQ1 2023","Currency=USD","Period=FQ","BEST_FPERIOD_OVERRIDE=FQ","FILING_STATUS=MR","Sort=A","Dates=H","DateFormat=P","Fill=—","Direction=H","UseDPDF=Y")</f>
        <v>—</v>
      </c>
      <c r="U99" s="14" t="str">
        <f>_xll.BDH("BLUE US Equity","NUM_OF_EMPLOYEES","FQ2 2023","FQ2 2023","Currency=USD","Period=FQ","BEST_FPERIOD_OVERRIDE=FQ","FILING_STATUS=MR","Sort=A","Dates=H","DateFormat=P","Fill=—","Direction=H","UseDPDF=Y")</f>
        <v>—</v>
      </c>
      <c r="V99" s="14" t="str">
        <f>_xll.BDH("BLUE US Equity","NUM_OF_EMPLOYEES","FQ3 2023","FQ3 2023","Currency=USD","Period=FQ","BEST_FPERIOD_OVERRIDE=FQ","FILING_STATUS=MR","Sort=A","Dates=H","DateFormat=P","Fill=—","Direction=H","UseDPDF=Y")</f>
        <v>—</v>
      </c>
      <c r="W99" s="14">
        <f>_xll.BDH("BLUE US Equity","NUM_OF_EMPLOYEES","FQ4 2023","FQ4 2023","Currency=USD","Period=FQ","BEST_FPERIOD_OVERRIDE=FQ","FILING_STATUS=MR","Sort=A","Dates=H","DateFormat=P","Fill=—","Direction=H","UseDPDF=Y")</f>
        <v>375</v>
      </c>
      <c r="X99" s="14" t="str">
        <f>_xll.BDH("BLUE US Equity","NUM_OF_EMPLOYEES","FQ1 2024","FQ1 2024","Currency=USD","Period=FQ","BEST_FPERIOD_OVERRIDE=FQ","FILING_STATUS=MR","Sort=A","Dates=H","DateFormat=P","Fill=—","Direction=H","UseDPDF=Y")</f>
        <v>—</v>
      </c>
      <c r="Y99" s="14" t="str">
        <f>_xll.BDH("BLUE US Equity","NUM_OF_EMPLOYEES","FQ2 2024","FQ2 2024","Currency=USD","Period=FQ","BEST_FPERIOD_OVERRIDE=FQ","FILING_STATUS=MR","Sort=A","Dates=H","DateFormat=P","Fill=—","Direction=H","UseDPDF=Y")</f>
        <v>—</v>
      </c>
      <c r="Z99" s="14" t="str">
        <f>_xll.BDH("BLUE US Equity","NUM_OF_EMPLOYEES","FQ3 2024","FQ3 2024","Currency=USD","Period=FQ","BEST_FPERIOD_OVERRIDE=FQ","FILING_STATUS=MR","Sort=A","Dates=H","DateFormat=P","Fill=—","Direction=H","UseDPDF=Y")</f>
        <v>—</v>
      </c>
      <c r="AA99" s="14">
        <f>_xll.BDH("BLUE US Equity","NUM_OF_EMPLOYEES","FQ4 2024","FQ4 2024","Currency=USD","Period=FQ","BEST_FPERIOD_OVERRIDE=FQ","FILING_STATUS=MR","Sort=A","Dates=H","DateFormat=P","Fill=—","Direction=H","UseDPDF=Y")</f>
        <v>248</v>
      </c>
    </row>
    <row r="100" spans="1:27" x14ac:dyDescent="0.25">
      <c r="A100" s="7" t="s">
        <v>90</v>
      </c>
      <c r="B100" s="7"/>
      <c r="C100" s="7" t="s">
        <v>5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9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381</v>
      </c>
      <c r="D4" s="4" t="s">
        <v>382</v>
      </c>
      <c r="E4" s="4" t="s">
        <v>93</v>
      </c>
      <c r="F4" s="4" t="s">
        <v>94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27</v>
      </c>
      <c r="Z4" s="4" t="s">
        <v>28</v>
      </c>
      <c r="AA4" s="4" t="s">
        <v>29</v>
      </c>
    </row>
    <row r="5" spans="1:27" x14ac:dyDescent="0.25">
      <c r="A5" s="9" t="s">
        <v>33</v>
      </c>
      <c r="B5" s="9"/>
      <c r="C5" s="5" t="s">
        <v>383</v>
      </c>
      <c r="D5" s="5" t="s">
        <v>384</v>
      </c>
      <c r="E5" s="5" t="s">
        <v>95</v>
      </c>
      <c r="F5" s="5" t="s">
        <v>96</v>
      </c>
      <c r="G5" s="5" t="s">
        <v>34</v>
      </c>
      <c r="H5" s="5" t="s">
        <v>35</v>
      </c>
      <c r="I5" s="5" t="s">
        <v>36</v>
      </c>
      <c r="J5" s="5" t="s">
        <v>37</v>
      </c>
      <c r="K5" s="5" t="s">
        <v>38</v>
      </c>
      <c r="L5" s="5" t="s">
        <v>39</v>
      </c>
      <c r="M5" s="5" t="s">
        <v>40</v>
      </c>
      <c r="N5" s="5" t="s">
        <v>41</v>
      </c>
      <c r="O5" s="5" t="s">
        <v>42</v>
      </c>
      <c r="P5" s="5" t="s">
        <v>43</v>
      </c>
      <c r="Q5" s="5" t="s">
        <v>44</v>
      </c>
      <c r="R5" s="5" t="s">
        <v>45</v>
      </c>
      <c r="S5" s="5" t="s">
        <v>46</v>
      </c>
      <c r="T5" s="5" t="s">
        <v>47</v>
      </c>
      <c r="U5" s="5" t="s">
        <v>48</v>
      </c>
      <c r="V5" s="5" t="s">
        <v>49</v>
      </c>
      <c r="W5" s="5" t="s">
        <v>50</v>
      </c>
      <c r="X5" s="5" t="s">
        <v>51</v>
      </c>
      <c r="Y5" s="5" t="s">
        <v>53</v>
      </c>
      <c r="Z5" s="5" t="s">
        <v>54</v>
      </c>
      <c r="AA5" s="5" t="s">
        <v>55</v>
      </c>
    </row>
    <row r="6" spans="1:27" x14ac:dyDescent="0.25">
      <c r="A6" s="6" t="s">
        <v>751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752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109</v>
      </c>
      <c r="B8" s="10" t="s">
        <v>753</v>
      </c>
      <c r="C8" s="13">
        <f>_xll.BDH("BLUE US Equity","ARD_CASH_AND_EQUIVALENTS","FQ2 2018","FQ2 2018","Currency=USD","Period=FQ","BEST_FPERIOD_OVERRIDE=FQ","FILING_STATUS=MR","SCALING_FORMAT=MLN","Sort=A","Dates=H","DateFormat=P","Fill=—","Direction=H","UseDPDF=Y")</f>
        <v>333.94900000000001</v>
      </c>
      <c r="D8" s="13">
        <f>_xll.BDH("BLUE US Equity","ARD_CASH_AND_EQUIVALENTS","FQ3 2018","FQ3 2018","Currency=USD","Period=FQ","BEST_FPERIOD_OVERRIDE=FQ","FILING_STATUS=MR","SCALING_FORMAT=MLN","Sort=A","Dates=H","DateFormat=P","Fill=—","Direction=H","UseDPDF=Y")</f>
        <v>952.13699999999994</v>
      </c>
      <c r="E8" s="13">
        <f>_xll.BDH("BLUE US Equity","ARD_CASH_AND_EQUIVALENTS","FQ4 2018","FQ4 2018","Currency=USD","Period=FQ","BEST_FPERIOD_OVERRIDE=FQ","FILING_STATUS=MR","SCALING_FORMAT=MLN","Sort=A","Dates=H","DateFormat=P","Fill=—","Direction=H","UseDPDF=Y")</f>
        <v>402.57900000000001</v>
      </c>
      <c r="F8" s="13">
        <f>_xll.BDH("BLUE US Equity","ARD_CASH_AND_EQUIVALENTS","FQ1 2019","FQ1 2019","Currency=USD","Period=FQ","BEST_FPERIOD_OVERRIDE=FQ","FILING_STATUS=MR","SCALING_FORMAT=MLN","Sort=A","Dates=H","DateFormat=P","Fill=—","Direction=H","UseDPDF=Y")</f>
        <v>221.738</v>
      </c>
      <c r="G8" s="13">
        <f>_xll.BDH("BLUE US Equity","ARD_CASH_AND_EQUIVALENTS","FQ2 2019","FQ2 2019","Currency=USD","Period=FQ","BEST_FPERIOD_OVERRIDE=FQ","FILING_STATUS=MR","SCALING_FORMAT=MLN","Sort=A","Dates=H","DateFormat=P","Fill=—","Direction=H","UseDPDF=Y")</f>
        <v>280.995</v>
      </c>
      <c r="H8" s="13">
        <f>_xll.BDH("BLUE US Equity","ARD_CASH_AND_EQUIVALENTS","FQ3 2019","FQ3 2019","Currency=USD","Period=FQ","BEST_FPERIOD_OVERRIDE=FQ","FILING_STATUS=MR","SCALING_FORMAT=MLN","Sort=A","Dates=H","DateFormat=P","Fill=—","Direction=H","UseDPDF=Y")</f>
        <v>300.42599999999999</v>
      </c>
      <c r="I8" s="13">
        <f>_xll.BDH("BLUE US Equity","ARD_CASH_AND_EQUIVALENTS","FQ4 2019","FQ4 2019","Currency=USD","Period=FQ","BEST_FPERIOD_OVERRIDE=FQ","FILING_STATUS=MR","SCALING_FORMAT=MLN","Sort=A","Dates=H","DateFormat=P","Fill=—","Direction=H","UseDPDF=Y")</f>
        <v>327.214</v>
      </c>
      <c r="J8" s="13">
        <f>_xll.BDH("BLUE US Equity","ARD_CASH_AND_EQUIVALENTS","FQ1 2020","FQ1 2020","Currency=USD","Period=FQ","BEST_FPERIOD_OVERRIDE=FQ","FILING_STATUS=MR","SCALING_FORMAT=MLN","Sort=A","Dates=H","DateFormat=P","Fill=—","Direction=H","UseDPDF=Y")</f>
        <v>346.62900000000002</v>
      </c>
      <c r="K8" s="13">
        <f>_xll.BDH("BLUE US Equity","ARD_CASH_AND_EQUIVALENTS","FQ2 2020","FQ2 2020","Currency=USD","Period=FQ","BEST_FPERIOD_OVERRIDE=FQ","FILING_STATUS=MR","SCALING_FORMAT=MLN","Sort=A","Dates=H","DateFormat=P","Fill=—","Direction=H","UseDPDF=Y")</f>
        <v>1198.768</v>
      </c>
      <c r="L8" s="13">
        <f>_xll.BDH("BLUE US Equity","ARD_CASH_AND_EQUIVALENTS","FQ3 2020","FQ3 2020","Currency=USD","Period=FQ","BEST_FPERIOD_OVERRIDE=FQ","FILING_STATUS=MR","SCALING_FORMAT=MLN","Sort=A","Dates=H","DateFormat=P","Fill=—","Direction=H","UseDPDF=Y")</f>
        <v>324.16399999999999</v>
      </c>
      <c r="M8" s="13">
        <f>_xll.BDH("BLUE US Equity","ARD_CASH_AND_EQUIVALENTS","FQ4 2020","FQ4 2020","Currency=USD","Period=FQ","BEST_FPERIOD_OVERRIDE=FQ","FILING_STATUS=MR","SCALING_FORMAT=MLN","Sort=A","Dates=H","DateFormat=P","Fill=—","Direction=H","UseDPDF=Y")</f>
        <v>260.62900000000002</v>
      </c>
      <c r="N8" s="13">
        <f>_xll.BDH("BLUE US Equity","ARD_CASH_AND_EQUIVALENTS","FQ1 2021","FQ1 2021","Currency=USD","Period=FQ","BEST_FPERIOD_OVERRIDE=FQ","FILING_STATUS=MR","SCALING_FORMAT=MLN","Sort=A","Dates=H","DateFormat=P","Fill=—","Direction=H","UseDPDF=Y")</f>
        <v>439.714</v>
      </c>
      <c r="O8" s="13">
        <f>_xll.BDH("BLUE US Equity","ARD_CASH_AND_EQUIVALENTS","FQ2 2021","FQ2 2021","Currency=USD","Period=FQ","BEST_FPERIOD_OVERRIDE=FQ","FILING_STATUS=MR","SCALING_FORMAT=MLN","Sort=A","Dates=H","DateFormat=P","Fill=—","Direction=H","UseDPDF=Y")</f>
        <v>353.46800000000002</v>
      </c>
      <c r="P8" s="13">
        <f>_xll.BDH("BLUE US Equity","ARD_CASH_AND_EQUIVALENTS","FQ3 2021","FQ3 2021","Currency=USD","Period=FQ","BEST_FPERIOD_OVERRIDE=FQ","FILING_STATUS=MR","SCALING_FORMAT=MLN","Sort=A","Dates=H","DateFormat=P","Fill=—","Direction=H","UseDPDF=Y")</f>
        <v>402.46100000000001</v>
      </c>
      <c r="Q8" s="13">
        <f>_xll.BDH("BLUE US Equity","ARD_CASH_AND_EQUIVALENTS","FQ4 2021","FQ4 2021","Currency=USD","Period=FQ","BEST_FPERIOD_OVERRIDE=FQ","FILING_STATUS=MR","SCALING_FORMAT=MLN","Sort=A","Dates=H","DateFormat=P","Fill=—","Direction=H","UseDPDF=Y")</f>
        <v>161.16</v>
      </c>
      <c r="R8" s="13">
        <f>_xll.BDH("BLUE US Equity","ARD_CASH_AND_EQUIVALENTS","FQ1 2022","FQ1 2022","Currency=USD","Period=FQ","BEST_FPERIOD_OVERRIDE=FQ","FILING_STATUS=MR","SCALING_FORMAT=MLN","Sort=A","Dates=H","DateFormat=P","Fill=—","Direction=H","UseDPDF=Y")</f>
        <v>106.26</v>
      </c>
      <c r="S8" s="13">
        <f>_xll.BDH("BLUE US Equity","ARD_CASH_AND_EQUIVALENTS","FQ2 2022","FQ2 2022","Currency=USD","Period=FQ","BEST_FPERIOD_OVERRIDE=FQ","FILING_STATUS=MR","SCALING_FORMAT=MLN","Sort=A","Dates=H","DateFormat=P","Fill=—","Direction=H","UseDPDF=Y")</f>
        <v>81.498999999999995</v>
      </c>
      <c r="T8" s="13">
        <f>_xll.BDH("BLUE US Equity","ARD_CASH_AND_EQUIVALENTS","FQ3 2022","FQ3 2022","Currency=USD","Period=FQ","BEST_FPERIOD_OVERRIDE=FQ","FILING_STATUS=MR","SCALING_FORMAT=MLN","Sort=A","Dates=H","DateFormat=P","Fill=—","Direction=H","UseDPDF=Y")</f>
        <v>66.477999999999994</v>
      </c>
      <c r="U8" s="13">
        <f>_xll.BDH("BLUE US Equity","ARD_CASH_AND_EQUIVALENTS","FQ4 2022","FQ4 2022","Currency=USD","Period=FQ","BEST_FPERIOD_OVERRIDE=FQ","FILING_STATUS=MR","SCALING_FORMAT=MLN","Sort=A","Dates=H","DateFormat=P","Fill=—","Direction=H","UseDPDF=Y")</f>
        <v>113.006</v>
      </c>
      <c r="V8" s="13">
        <f>_xll.BDH("BLUE US Equity","ARD_CASH_AND_EQUIVALENTS","FQ1 2023","FQ1 2023","Currency=USD","Period=FQ","BEST_FPERIOD_OVERRIDE=FQ","FILING_STATUS=MR","SCALING_FORMAT=MLN","Sort=A","Dates=H","DateFormat=P","Fill=—","Direction=H","UseDPDF=Y")</f>
        <v>239.04499999999999</v>
      </c>
      <c r="W8" s="13">
        <f>_xll.BDH("BLUE US Equity","ARD_CASH_AND_EQUIVALENTS","FQ2 2023","FQ2 2023","Currency=USD","Period=FQ","BEST_FPERIOD_OVERRIDE=FQ","FILING_STATUS=MR","SCALING_FORMAT=MLN","Sort=A","Dates=H","DateFormat=P","Fill=—","Direction=H","UseDPDF=Y")</f>
        <v>172.87200000000001</v>
      </c>
      <c r="X8" s="13">
        <f>_xll.BDH("BLUE US Equity","ARD_CASH_AND_EQUIVALENTS","FQ3 2023","FQ3 2023","Currency=USD","Period=FQ","BEST_FPERIOD_OVERRIDE=FQ","FILING_STATUS=MR","SCALING_FORMAT=MLN","Sort=A","Dates=H","DateFormat=P","Fill=—","Direction=H","UseDPDF=Y")</f>
        <v>165.34700000000001</v>
      </c>
      <c r="Y8" s="13">
        <f>_xll.BDH("BLUE US Equity","ARD_CASH_AND_EQUIVALENTS","FQ1 2024","FQ1 2024","Currency=USD","Period=FQ","BEST_FPERIOD_OVERRIDE=FQ","FILING_STATUS=MR","SCALING_FORMAT=MLN","Sort=A","Dates=H","DateFormat=P","Fill=—","Direction=H","UseDPDF=Y")</f>
        <v>212.047</v>
      </c>
      <c r="Z8" s="13">
        <f>_xll.BDH("BLUE US Equity","ARD_CASH_AND_EQUIVALENTS","FQ2 2024","FQ2 2024","Currency=USD","Period=FQ","BEST_FPERIOD_OVERRIDE=FQ","FILING_STATUS=MR","SCALING_FORMAT=MLN","Sort=A","Dates=H","DateFormat=P","Fill=—","Direction=H","UseDPDF=Y")</f>
        <v>144.06700000000001</v>
      </c>
      <c r="AA8" s="13">
        <f>_xll.BDH("BLUE US Equity","ARD_CASH_AND_EQUIVALENTS","FQ3 2024","FQ3 2024","Currency=USD","Period=FQ","BEST_FPERIOD_OVERRIDE=FQ","FILING_STATUS=MR","SCALING_FORMAT=MLN","Sort=A","Dates=H","DateFormat=P","Fill=—","Direction=H","UseDPDF=Y")</f>
        <v>70.650999999999996</v>
      </c>
    </row>
    <row r="9" spans="1:27" x14ac:dyDescent="0.25">
      <c r="A9" s="10" t="s">
        <v>754</v>
      </c>
      <c r="B9" s="10" t="s">
        <v>755</v>
      </c>
      <c r="C9" s="13">
        <f>_xll.BDH("BLUE US Equity","ARD_MARKETABLE_SECURITIES","FQ2 2018","FQ2 2018","Currency=USD","Period=FQ","BEST_FPERIOD_OVERRIDE=FQ","FILING_STATUS=MR","SCALING_FORMAT=MLN","Sort=A","Dates=H","DateFormat=P","Fill=—","Direction=H","UseDPDF=Y")</f>
        <v>743.01</v>
      </c>
      <c r="D9" s="13">
        <f>_xll.BDH("BLUE US Equity","ARD_MARKETABLE_SECURITIES","FQ3 2018","FQ3 2018","Currency=USD","Period=FQ","BEST_FPERIOD_OVERRIDE=FQ","FILING_STATUS=MR","SCALING_FORMAT=MLN","Sort=A","Dates=H","DateFormat=P","Fill=—","Direction=H","UseDPDF=Y")</f>
        <v>723.14099999999996</v>
      </c>
      <c r="E9" s="13">
        <f>_xll.BDH("BLUE US Equity","ARD_MARKETABLE_SECURITIES","FQ4 2018","FQ4 2018","Currency=USD","Period=FQ","BEST_FPERIOD_OVERRIDE=FQ","FILING_STATUS=MR","SCALING_FORMAT=MLN","Sort=A","Dates=H","DateFormat=P","Fill=—","Direction=H","UseDPDF=Y")</f>
        <v>982.72500000000002</v>
      </c>
      <c r="F9" s="13">
        <f>_xll.BDH("BLUE US Equity","ARD_MARKETABLE_SECURITIES","FQ1 2019","FQ1 2019","Currency=USD","Period=FQ","BEST_FPERIOD_OVERRIDE=FQ","FILING_STATUS=MR","SCALING_FORMAT=MLN","Sort=A","Dates=H","DateFormat=P","Fill=—","Direction=H","UseDPDF=Y")</f>
        <v>1100.079</v>
      </c>
      <c r="G9" s="13">
        <f>_xll.BDH("BLUE US Equity","ARD_MARKETABLE_SECURITIES","FQ2 2019","FQ2 2019","Currency=USD","Period=FQ","BEST_FPERIOD_OVERRIDE=FQ","FILING_STATUS=MR","SCALING_FORMAT=MLN","Sort=A","Dates=H","DateFormat=P","Fill=—","Direction=H","UseDPDF=Y")</f>
        <v>972.88499999999999</v>
      </c>
      <c r="H9" s="13">
        <f>_xll.BDH("BLUE US Equity","ARD_MARKETABLE_SECURITIES","FQ3 2019","FQ3 2019","Currency=USD","Period=FQ","BEST_FPERIOD_OVERRIDE=FQ","FILING_STATUS=MR","SCALING_FORMAT=MLN","Sort=A","Dates=H","DateFormat=P","Fill=—","Direction=H","UseDPDF=Y")</f>
        <v>879.529</v>
      </c>
      <c r="I9" s="13">
        <f>_xll.BDH("BLUE US Equity","ARD_MARKETABLE_SECURITIES","FQ4 2019","FQ4 2019","Currency=USD","Period=FQ","BEST_FPERIOD_OVERRIDE=FQ","FILING_STATUS=MR","SCALING_FORMAT=MLN","Sort=A","Dates=H","DateFormat=P","Fill=—","Direction=H","UseDPDF=Y")</f>
        <v>779.24599999999998</v>
      </c>
      <c r="J9" s="13">
        <f>_xll.BDH("BLUE US Equity","ARD_MARKETABLE_SECURITIES","FQ1 2020","FQ1 2020","Currency=USD","Period=FQ","BEST_FPERIOD_OVERRIDE=FQ","FILING_STATUS=MR","SCALING_FORMAT=MLN","Sort=A","Dates=H","DateFormat=P","Fill=—","Direction=H","UseDPDF=Y")</f>
        <v>564.05399999999997</v>
      </c>
      <c r="K9" s="13">
        <f>_xll.BDH("BLUE US Equity","ARD_MARKETABLE_SECURITIES","FQ2 2020","FQ2 2020","Currency=USD","Period=FQ","BEST_FPERIOD_OVERRIDE=FQ","FILING_STATUS=MR","SCALING_FORMAT=MLN","Sort=A","Dates=H","DateFormat=P","Fill=—","Direction=H","UseDPDF=Y")</f>
        <v>350.61399999999998</v>
      </c>
      <c r="L9" s="13">
        <f>_xll.BDH("BLUE US Equity","ARD_MARKETABLE_SECURITIES","FQ3 2020","FQ3 2020","Currency=USD","Period=FQ","BEST_FPERIOD_OVERRIDE=FQ","FILING_STATUS=MR","SCALING_FORMAT=MLN","Sort=A","Dates=H","DateFormat=P","Fill=—","Direction=H","UseDPDF=Y")</f>
        <v>906.09100000000001</v>
      </c>
      <c r="M9" s="13">
        <f>_xll.BDH("BLUE US Equity","ARD_MARKETABLE_SECURITIES","FQ4 2020","FQ4 2020","Currency=USD","Period=FQ","BEST_FPERIOD_OVERRIDE=FQ","FILING_STATUS=MR","SCALING_FORMAT=MLN","Sort=A","Dates=H","DateFormat=P","Fill=—","Direction=H","UseDPDF=Y")</f>
        <v>419.59899999999999</v>
      </c>
      <c r="N9" s="13">
        <f>_xll.BDH("BLUE US Equity","ARD_MARKETABLE_SECURITIES","FQ1 2021","FQ1 2021","Currency=USD","Period=FQ","BEST_FPERIOD_OVERRIDE=FQ","FILING_STATUS=MR","SCALING_FORMAT=MLN","Sort=A","Dates=H","DateFormat=P","Fill=—","Direction=H","UseDPDF=Y")</f>
        <v>572.72199999999998</v>
      </c>
      <c r="O9" s="13">
        <f>_xll.BDH("BLUE US Equity","ARD_MARKETABLE_SECURITIES","FQ2 2021","FQ2 2021","Currency=USD","Period=FQ","BEST_FPERIOD_OVERRIDE=FQ","FILING_STATUS=MR","SCALING_FORMAT=MLN","Sort=A","Dates=H","DateFormat=P","Fill=—","Direction=H","UseDPDF=Y")</f>
        <v>486.233</v>
      </c>
      <c r="P9" s="13">
        <f>_xll.BDH("BLUE US Equity","ARD_MARKETABLE_SECURITIES","FQ3 2021","FQ3 2021","Currency=USD","Period=FQ","BEST_FPERIOD_OVERRIDE=FQ","FILING_STATUS=MR","SCALING_FORMAT=MLN","Sort=A","Dates=H","DateFormat=P","Fill=—","Direction=H","UseDPDF=Y")</f>
        <v>375.14</v>
      </c>
      <c r="Q9" s="13">
        <f>_xll.BDH("BLUE US Equity","ARD_MARKETABLE_SECURITIES","FQ4 2021","FQ4 2021","Currency=USD","Period=FQ","BEST_FPERIOD_OVERRIDE=FQ","FILING_STATUS=MR","SCALING_FORMAT=MLN","Sort=A","Dates=H","DateFormat=P","Fill=—","Direction=H","UseDPDF=Y")</f>
        <v>138.34299999999999</v>
      </c>
      <c r="R9" s="13">
        <f>_xll.BDH("BLUE US Equity","ARD_MARKETABLE_SECURITIES","FQ1 2022","FQ1 2022","Currency=USD","Period=FQ","BEST_FPERIOD_OVERRIDE=FQ","FILING_STATUS=MR","SCALING_FORMAT=MLN","Sort=A","Dates=H","DateFormat=P","Fill=—","Direction=H","UseDPDF=Y")</f>
        <v>105.328</v>
      </c>
      <c r="S9" s="13">
        <f>_xll.BDH("BLUE US Equity","ARD_MARKETABLE_SECURITIES","FQ2 2022","FQ2 2022","Currency=USD","Period=FQ","BEST_FPERIOD_OVERRIDE=FQ","FILING_STATUS=MR","SCALING_FORMAT=MLN","Sort=A","Dates=H","DateFormat=P","Fill=—","Direction=H","UseDPDF=Y")</f>
        <v>51.01</v>
      </c>
      <c r="T9" s="13">
        <f>_xll.BDH("BLUE US Equity","ARD_MARKETABLE_SECURITIES","FQ3 2022","FQ3 2022","Currency=USD","Period=FQ","BEST_FPERIOD_OVERRIDE=FQ","FILING_STATUS=MR","SCALING_FORMAT=MLN","Sort=A","Dates=H","DateFormat=P","Fill=—","Direction=H","UseDPDF=Y")</f>
        <v>73.155000000000001</v>
      </c>
      <c r="U9" s="13">
        <f>_xll.BDH("BLUE US Equity","ARD_MARKETABLE_SECURITIES","FQ4 2022","FQ4 2022","Currency=USD","Period=FQ","BEST_FPERIOD_OVERRIDE=FQ","FILING_STATUS=MR","SCALING_FORMAT=MLN","Sort=A","Dates=H","DateFormat=P","Fill=—","Direction=H","UseDPDF=Y")</f>
        <v>67.320999999999998</v>
      </c>
      <c r="V9" s="13">
        <f>_xll.BDH("BLUE US Equity","ARD_MARKETABLE_SECURITIES","FQ1 2023","FQ1 2023","Currency=USD","Period=FQ","BEST_FPERIOD_OVERRIDE=FQ","FILING_STATUS=MR","SCALING_FORMAT=MLN","Sort=A","Dates=H","DateFormat=P","Fill=—","Direction=H","UseDPDF=Y")</f>
        <v>79.212000000000003</v>
      </c>
      <c r="W9" s="13">
        <f>_xll.BDH("BLUE US Equity","ARD_MARKETABLE_SECURITIES","FQ2 2023","FQ2 2023","Currency=USD","Period=FQ","BEST_FPERIOD_OVERRIDE=FQ","FILING_STATUS=MR","SCALING_FORMAT=MLN","Sort=A","Dates=H","DateFormat=P","Fill=—","Direction=H","UseDPDF=Y")</f>
        <v>72.430999999999997</v>
      </c>
      <c r="X9" s="13">
        <f>_xll.BDH("BLUE US Equity","ARD_MARKETABLE_SECURITIES","FQ3 2023","FQ3 2023","Currency=USD","Period=FQ","BEST_FPERIOD_OVERRIDE=FQ","FILING_STATUS=MR","SCALING_FORMAT=MLN","Sort=A","Dates=H","DateFormat=P","Fill=—","Direction=H","UseDPDF=Y")</f>
        <v>8.9459999999999997</v>
      </c>
      <c r="Y9" s="13" t="str">
        <f>_xll.BDH("BLUE US Equity","ARD_MARKETABLE_SECURITIES","FQ1 2024","FQ1 2024","Currency=USD","Period=FQ","BEST_FPERIOD_OVERRIDE=FQ","FILING_STATUS=MR","SCALING_FORMAT=MLN","Sort=A","Dates=H","DateFormat=P","Fill=—","Direction=H","UseDPDF=Y")</f>
        <v>—</v>
      </c>
      <c r="Z9" s="13" t="str">
        <f>_xll.BDH("BLUE US Equity","ARD_MARKETABLE_SECURITIES","FQ2 2024","FQ2 2024","Currency=USD","Period=FQ","BEST_FPERIOD_OVERRIDE=FQ","FILING_STATUS=MR","SCALING_FORMAT=MLN","Sort=A","Dates=H","DateFormat=P","Fill=—","Direction=H","UseDPDF=Y")</f>
        <v>—</v>
      </c>
      <c r="AA9" s="13" t="str">
        <f>_xll.BDH("BLUE US Equity","ARD_MARKETABLE_SECURITIES","FQ3 2024","FQ3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10" t="s">
        <v>756</v>
      </c>
      <c r="B10" s="10" t="s">
        <v>757</v>
      </c>
      <c r="C10" s="13" t="str">
        <f>_xll.BDH("BLUE US Equity","ARD_ACCTS_RECEIVABLE_TRADE","FQ2 2018","FQ2 2018","Currency=USD","Period=FQ","BEST_FPERIOD_OVERRIDE=FQ","FILING_STATUS=MR","SCALING_FORMAT=MLN","Sort=A","Dates=H","DateFormat=P","Fill=—","Direction=H","UseDPDF=Y")</f>
        <v>—</v>
      </c>
      <c r="D10" s="13" t="str">
        <f>_xll.BDH("BLUE US Equity","ARD_ACCTS_RECEIVABLE_TRADE","FQ3 2018","FQ3 2018","Currency=USD","Period=FQ","BEST_FPERIOD_OVERRIDE=FQ","FILING_STATUS=MR","SCALING_FORMAT=MLN","Sort=A","Dates=H","DateFormat=P","Fill=—","Direction=H","UseDPDF=Y")</f>
        <v>—</v>
      </c>
      <c r="E10" s="13" t="str">
        <f>_xll.BDH("BLUE US Equity","ARD_ACCTS_RECEIVABLE_TRADE","FQ4 2018","FQ4 2018","Currency=USD","Period=FQ","BEST_FPERIOD_OVERRIDE=FQ","FILING_STATUS=MR","SCALING_FORMAT=MLN","Sort=A","Dates=H","DateFormat=P","Fill=—","Direction=H","UseDPDF=Y")</f>
        <v>—</v>
      </c>
      <c r="F10" s="13" t="str">
        <f>_xll.BDH("BLUE US Equity","ARD_ACCTS_RECEIVABLE_TRADE","FQ1 2019","FQ1 2019","Currency=USD","Period=FQ","BEST_FPERIOD_OVERRIDE=FQ","FILING_STATUS=MR","SCALING_FORMAT=MLN","Sort=A","Dates=H","DateFormat=P","Fill=—","Direction=H","UseDPDF=Y")</f>
        <v>—</v>
      </c>
      <c r="G10" s="13" t="str">
        <f>_xll.BDH("BLUE US Equity","ARD_ACCTS_RECEIVABLE_TRADE","FQ2 2019","FQ2 2019","Currency=USD","Period=FQ","BEST_FPERIOD_OVERRIDE=FQ","FILING_STATUS=MR","SCALING_FORMAT=MLN","Sort=A","Dates=H","DateFormat=P","Fill=—","Direction=H","UseDPDF=Y")</f>
        <v>—</v>
      </c>
      <c r="H10" s="13" t="str">
        <f>_xll.BDH("BLUE US Equity","ARD_ACCTS_RECEIVABLE_TRADE","FQ3 2019","FQ3 2019","Currency=USD","Period=FQ","BEST_FPERIOD_OVERRIDE=FQ","FILING_STATUS=MR","SCALING_FORMAT=MLN","Sort=A","Dates=H","DateFormat=P","Fill=—","Direction=H","UseDPDF=Y")</f>
        <v>—</v>
      </c>
      <c r="I10" s="13" t="str">
        <f>_xll.BDH("BLUE US Equity","ARD_ACCTS_RECEIVABLE_TRADE","FQ4 2019","FQ4 2019","Currency=USD","Period=FQ","BEST_FPERIOD_OVERRIDE=FQ","FILING_STATUS=MR","SCALING_FORMAT=MLN","Sort=A","Dates=H","DateFormat=P","Fill=—","Direction=H","UseDPDF=Y")</f>
        <v>—</v>
      </c>
      <c r="J10" s="13" t="str">
        <f>_xll.BDH("BLUE US Equity","ARD_ACCTS_RECEIVABLE_TRADE","FQ1 2020","FQ1 2020","Currency=USD","Period=FQ","BEST_FPERIOD_OVERRIDE=FQ","FILING_STATUS=MR","SCALING_FORMAT=MLN","Sort=A","Dates=H","DateFormat=P","Fill=—","Direction=H","UseDPDF=Y")</f>
        <v>—</v>
      </c>
      <c r="K10" s="13" t="str">
        <f>_xll.BDH("BLUE US Equity","ARD_ACCTS_RECEIVABLE_TRADE","FQ2 2020","FQ2 2020","Currency=USD","Period=FQ","BEST_FPERIOD_OVERRIDE=FQ","FILING_STATUS=MR","SCALING_FORMAT=MLN","Sort=A","Dates=H","DateFormat=P","Fill=—","Direction=H","UseDPDF=Y")</f>
        <v>—</v>
      </c>
      <c r="L10" s="13" t="str">
        <f>_xll.BDH("BLUE US Equity","ARD_ACCTS_RECEIVABLE_TRADE","FQ3 2020","FQ3 2020","Currency=USD","Period=FQ","BEST_FPERIOD_OVERRIDE=FQ","FILING_STATUS=MR","SCALING_FORMAT=MLN","Sort=A","Dates=H","DateFormat=P","Fill=—","Direction=H","UseDPDF=Y")</f>
        <v>—</v>
      </c>
      <c r="M10" s="13" t="str">
        <f>_xll.BDH("BLUE US Equity","ARD_ACCTS_RECEIVABLE_TRADE","FQ4 2020","FQ4 2020","Currency=USD","Period=FQ","BEST_FPERIOD_OVERRIDE=FQ","FILING_STATUS=MR","SCALING_FORMAT=MLN","Sort=A","Dates=H","DateFormat=P","Fill=—","Direction=H","UseDPDF=Y")</f>
        <v>—</v>
      </c>
      <c r="N10" s="13" t="str">
        <f>_xll.BDH("BLUE US Equity","ARD_ACCTS_RECEIVABLE_TRADE","FQ1 2021","FQ1 2021","Currency=USD","Period=FQ","BEST_FPERIOD_OVERRIDE=FQ","FILING_STATUS=MR","SCALING_FORMAT=MLN","Sort=A","Dates=H","DateFormat=P","Fill=—","Direction=H","UseDPDF=Y")</f>
        <v>—</v>
      </c>
      <c r="O10" s="13" t="str">
        <f>_xll.BDH("BLUE US Equity","ARD_ACCTS_RECEIVABLE_TRADE","FQ2 2021","FQ2 2021","Currency=USD","Period=FQ","BEST_FPERIOD_OVERRIDE=FQ","FILING_STATUS=MR","SCALING_FORMAT=MLN","Sort=A","Dates=H","DateFormat=P","Fill=—","Direction=H","UseDPDF=Y")</f>
        <v>—</v>
      </c>
      <c r="P10" s="13" t="str">
        <f>_xll.BDH("BLUE US Equity","ARD_ACCTS_RECEIVABLE_TRADE","FQ3 2021","FQ3 2021","Currency=USD","Period=FQ","BEST_FPERIOD_OVERRIDE=FQ","FILING_STATUS=MR","SCALING_FORMAT=MLN","Sort=A","Dates=H","DateFormat=P","Fill=—","Direction=H","UseDPDF=Y")</f>
        <v>—</v>
      </c>
      <c r="Q10" s="13" t="str">
        <f>_xll.BDH("BLUE US Equity","ARD_ACCTS_RECEIVABLE_TRADE","FQ4 2021","FQ4 2021","Currency=USD","Period=FQ","BEST_FPERIOD_OVERRIDE=FQ","FILING_STATUS=MR","SCALING_FORMAT=MLN","Sort=A","Dates=H","DateFormat=P","Fill=—","Direction=H","UseDPDF=Y")</f>
        <v>—</v>
      </c>
      <c r="R10" s="13" t="str">
        <f>_xll.BDH("BLUE US Equity","ARD_ACCTS_RECEIVABLE_TRADE","FQ1 2022","FQ1 2022","Currency=USD","Period=FQ","BEST_FPERIOD_OVERRIDE=FQ","FILING_STATUS=MR","SCALING_FORMAT=MLN","Sort=A","Dates=H","DateFormat=P","Fill=—","Direction=H","UseDPDF=Y")</f>
        <v>—</v>
      </c>
      <c r="S10" s="13" t="str">
        <f>_xll.BDH("BLUE US Equity","ARD_ACCTS_RECEIVABLE_TRADE","FQ2 2022","FQ2 2022","Currency=USD","Period=FQ","BEST_FPERIOD_OVERRIDE=FQ","FILING_STATUS=MR","SCALING_FORMAT=MLN","Sort=A","Dates=H","DateFormat=P","Fill=—","Direction=H","UseDPDF=Y")</f>
        <v>—</v>
      </c>
      <c r="T10" s="13" t="str">
        <f>_xll.BDH("BLUE US Equity","ARD_ACCTS_RECEIVABLE_TRADE","FQ3 2022","FQ3 2022","Currency=USD","Period=FQ","BEST_FPERIOD_OVERRIDE=FQ","FILING_STATUS=MR","SCALING_FORMAT=MLN","Sort=A","Dates=H","DateFormat=P","Fill=—","Direction=H","UseDPDF=Y")</f>
        <v>—</v>
      </c>
      <c r="U10" s="13" t="str">
        <f>_xll.BDH("BLUE US Equity","ARD_ACCTS_RECEIVABLE_TRADE","FQ4 2022","FQ4 2022","Currency=USD","Period=FQ","BEST_FPERIOD_OVERRIDE=FQ","FILING_STATUS=MR","SCALING_FORMAT=MLN","Sort=A","Dates=H","DateFormat=P","Fill=—","Direction=H","UseDPDF=Y")</f>
        <v>—</v>
      </c>
      <c r="V10" s="13" t="str">
        <f>_xll.BDH("BLUE US Equity","ARD_ACCTS_RECEIVABLE_TRADE","FQ1 2023","FQ1 2023","Currency=USD","Period=FQ","BEST_FPERIOD_OVERRIDE=FQ","FILING_STATUS=MR","SCALING_FORMAT=MLN","Sort=A","Dates=H","DateFormat=P","Fill=—","Direction=H","UseDPDF=Y")</f>
        <v>—</v>
      </c>
      <c r="W10" s="13" t="str">
        <f>_xll.BDH("BLUE US Equity","ARD_ACCTS_RECEIVABLE_TRADE","FQ2 2023","FQ2 2023","Currency=USD","Period=FQ","BEST_FPERIOD_OVERRIDE=FQ","FILING_STATUS=MR","SCALING_FORMAT=MLN","Sort=A","Dates=H","DateFormat=P","Fill=—","Direction=H","UseDPDF=Y")</f>
        <v>—</v>
      </c>
      <c r="X10" s="13">
        <f>_xll.BDH("BLUE US Equity","ARD_ACCTS_RECEIVABLE_TRADE","FQ3 2023","FQ3 2023","Currency=USD","Period=FQ","BEST_FPERIOD_OVERRIDE=FQ","FILING_STATUS=MR","SCALING_FORMAT=MLN","Sort=A","Dates=H","DateFormat=P","Fill=—","Direction=H","UseDPDF=Y")</f>
        <v>23</v>
      </c>
      <c r="Y10" s="13" t="str">
        <f>_xll.BDH("BLUE US Equity","ARD_ACCTS_RECEIVABLE_TRADE","FQ1 2024","FQ1 2024","Currency=USD","Period=FQ","BEST_FPERIOD_OVERRIDE=FQ","FILING_STATUS=MR","SCALING_FORMAT=MLN","Sort=A","Dates=H","DateFormat=P","Fill=—","Direction=H","UseDPDF=Y")</f>
        <v>—</v>
      </c>
      <c r="Z10" s="13" t="str">
        <f>_xll.BDH("BLUE US Equity","ARD_ACCTS_RECEIVABLE_TRADE","FQ2 2024","FQ2 2024","Currency=USD","Period=FQ","BEST_FPERIOD_OVERRIDE=FQ","FILING_STATUS=MR","SCALING_FORMAT=MLN","Sort=A","Dates=H","DateFormat=P","Fill=—","Direction=H","UseDPDF=Y")</f>
        <v>—</v>
      </c>
      <c r="AA10" s="13" t="str">
        <f>_xll.BDH("BLUE US Equity","ARD_ACCTS_RECEIVABLE_TRADE","FQ3 2024","FQ3 2024","Currency=USD","Period=FQ","BEST_FPERIOD_OVERRIDE=FQ","FILING_STATUS=MR","SCALING_FORMAT=MLN","Sort=A","Dates=H","DateFormat=P","Fill=—","Direction=H","UseDPDF=Y")</f>
        <v>—</v>
      </c>
    </row>
    <row r="11" spans="1:27" x14ac:dyDescent="0.25">
      <c r="A11" s="10" t="s">
        <v>758</v>
      </c>
      <c r="B11" s="10" t="s">
        <v>759</v>
      </c>
      <c r="C11" s="13" t="str">
        <f>_xll.BDH("BLUE US Equity","ARD_INVENTORY","FQ2 2018","FQ2 2018","Currency=USD","Period=FQ","BEST_FPERIOD_OVERRIDE=FQ","FILING_STATUS=MR","SCALING_FORMAT=MLN","Sort=A","Dates=H","DateFormat=P","Fill=—","Direction=H","UseDPDF=Y")</f>
        <v>—</v>
      </c>
      <c r="D11" s="13" t="str">
        <f>_xll.BDH("BLUE US Equity","ARD_INVENTORY","FQ3 2018","FQ3 2018","Currency=USD","Period=FQ","BEST_FPERIOD_OVERRIDE=FQ","FILING_STATUS=MR","SCALING_FORMAT=MLN","Sort=A","Dates=H","DateFormat=P","Fill=—","Direction=H","UseDPDF=Y")</f>
        <v>—</v>
      </c>
      <c r="E11" s="13" t="str">
        <f>_xll.BDH("BLUE US Equity","ARD_INVENTORY","FQ4 2018","FQ4 2018","Currency=USD","Period=FQ","BEST_FPERIOD_OVERRIDE=FQ","FILING_STATUS=MR","SCALING_FORMAT=MLN","Sort=A","Dates=H","DateFormat=P","Fill=—","Direction=H","UseDPDF=Y")</f>
        <v>—</v>
      </c>
      <c r="F11" s="13" t="str">
        <f>_xll.BDH("BLUE US Equity","ARD_INVENTORY","FQ1 2019","FQ1 2019","Currency=USD","Period=FQ","BEST_FPERIOD_OVERRIDE=FQ","FILING_STATUS=MR","SCALING_FORMAT=MLN","Sort=A","Dates=H","DateFormat=P","Fill=—","Direction=H","UseDPDF=Y")</f>
        <v>—</v>
      </c>
      <c r="G11" s="13" t="str">
        <f>_xll.BDH("BLUE US Equity","ARD_INVENTORY","FQ2 2019","FQ2 2019","Currency=USD","Period=FQ","BEST_FPERIOD_OVERRIDE=FQ","FILING_STATUS=MR","SCALING_FORMAT=MLN","Sort=A","Dates=H","DateFormat=P","Fill=—","Direction=H","UseDPDF=Y")</f>
        <v>—</v>
      </c>
      <c r="H11" s="13" t="str">
        <f>_xll.BDH("BLUE US Equity","ARD_INVENTORY","FQ3 2019","FQ3 2019","Currency=USD","Period=FQ","BEST_FPERIOD_OVERRIDE=FQ","FILING_STATUS=MR","SCALING_FORMAT=MLN","Sort=A","Dates=H","DateFormat=P","Fill=—","Direction=H","UseDPDF=Y")</f>
        <v>—</v>
      </c>
      <c r="I11" s="13" t="str">
        <f>_xll.BDH("BLUE US Equity","ARD_INVENTORY","FQ4 2019","FQ4 2019","Currency=USD","Period=FQ","BEST_FPERIOD_OVERRIDE=FQ","FILING_STATUS=MR","SCALING_FORMAT=MLN","Sort=A","Dates=H","DateFormat=P","Fill=—","Direction=H","UseDPDF=Y")</f>
        <v>—</v>
      </c>
      <c r="J11" s="13" t="str">
        <f>_xll.BDH("BLUE US Equity","ARD_INVENTORY","FQ1 2020","FQ1 2020","Currency=USD","Period=FQ","BEST_FPERIOD_OVERRIDE=FQ","FILING_STATUS=MR","SCALING_FORMAT=MLN","Sort=A","Dates=H","DateFormat=P","Fill=—","Direction=H","UseDPDF=Y")</f>
        <v>—</v>
      </c>
      <c r="K11" s="13" t="str">
        <f>_xll.BDH("BLUE US Equity","ARD_INVENTORY","FQ2 2020","FQ2 2020","Currency=USD","Period=FQ","BEST_FPERIOD_OVERRIDE=FQ","FILING_STATUS=MR","SCALING_FORMAT=MLN","Sort=A","Dates=H","DateFormat=P","Fill=—","Direction=H","UseDPDF=Y")</f>
        <v>—</v>
      </c>
      <c r="L11" s="13" t="str">
        <f>_xll.BDH("BLUE US Equity","ARD_INVENTORY","FQ3 2020","FQ3 2020","Currency=USD","Period=FQ","BEST_FPERIOD_OVERRIDE=FQ","FILING_STATUS=MR","SCALING_FORMAT=MLN","Sort=A","Dates=H","DateFormat=P","Fill=—","Direction=H","UseDPDF=Y")</f>
        <v>—</v>
      </c>
      <c r="M11" s="13">
        <f>_xll.BDH("BLUE US Equity","ARD_INVENTORY","FQ4 2020","FQ4 2020","Currency=USD","Period=FQ","BEST_FPERIOD_OVERRIDE=FQ","FILING_STATUS=MR","SCALING_FORMAT=MLN","Sort=A","Dates=H","DateFormat=P","Fill=—","Direction=H","UseDPDF=Y")</f>
        <v>10.698</v>
      </c>
      <c r="N11" s="13">
        <f>_xll.BDH("BLUE US Equity","ARD_INVENTORY","FQ1 2021","FQ1 2021","Currency=USD","Period=FQ","BEST_FPERIOD_OVERRIDE=FQ","FILING_STATUS=MR","SCALING_FORMAT=MLN","Sort=A","Dates=H","DateFormat=P","Fill=—","Direction=H","UseDPDF=Y")</f>
        <v>18.079000000000001</v>
      </c>
      <c r="O11" s="13">
        <f>_xll.BDH("BLUE US Equity","ARD_INVENTORY","FQ2 2021","FQ2 2021","Currency=USD","Period=FQ","BEST_FPERIOD_OVERRIDE=FQ","FILING_STATUS=MR","SCALING_FORMAT=MLN","Sort=A","Dates=H","DateFormat=P","Fill=—","Direction=H","UseDPDF=Y")</f>
        <v>13.502000000000001</v>
      </c>
      <c r="P11" s="13">
        <f>_xll.BDH("BLUE US Equity","ARD_INVENTORY","FQ3 2021","FQ3 2021","Currency=USD","Period=FQ","BEST_FPERIOD_OVERRIDE=FQ","FILING_STATUS=MR","SCALING_FORMAT=MLN","Sort=A","Dates=H","DateFormat=P","Fill=—","Direction=H","UseDPDF=Y")</f>
        <v>0.76600000000000001</v>
      </c>
      <c r="Q11" s="13">
        <f>_xll.BDH("BLUE US Equity","ARD_INVENTORY","FQ4 2021","FQ4 2021","Currency=USD","Period=FQ","BEST_FPERIOD_OVERRIDE=FQ","FILING_STATUS=MR","SCALING_FORMAT=MLN","Sort=A","Dates=H","DateFormat=P","Fill=—","Direction=H","UseDPDF=Y")</f>
        <v>0</v>
      </c>
      <c r="R11" s="13" t="str">
        <f>_xll.BDH("BLUE US Equity","ARD_INVENTORY","FQ1 2022","FQ1 2022","Currency=USD","Period=FQ","BEST_FPERIOD_OVERRIDE=FQ","FILING_STATUS=MR","SCALING_FORMAT=MLN","Sort=A","Dates=H","DateFormat=P","Fill=—","Direction=H","UseDPDF=Y")</f>
        <v>—</v>
      </c>
      <c r="S11" s="13" t="str">
        <f>_xll.BDH("BLUE US Equity","ARD_INVENTORY","FQ2 2022","FQ2 2022","Currency=USD","Period=FQ","BEST_FPERIOD_OVERRIDE=FQ","FILING_STATUS=MR","SCALING_FORMAT=MLN","Sort=A","Dates=H","DateFormat=P","Fill=—","Direction=H","UseDPDF=Y")</f>
        <v>—</v>
      </c>
      <c r="T11" s="13" t="str">
        <f>_xll.BDH("BLUE US Equity","ARD_INVENTORY","FQ3 2022","FQ3 2022","Currency=USD","Period=FQ","BEST_FPERIOD_OVERRIDE=FQ","FILING_STATUS=MR","SCALING_FORMAT=MLN","Sort=A","Dates=H","DateFormat=P","Fill=—","Direction=H","UseDPDF=Y")</f>
        <v>—</v>
      </c>
      <c r="U11" s="13" t="str">
        <f>_xll.BDH("BLUE US Equity","ARD_INVENTORY","FQ4 2022","FQ4 2022","Currency=USD","Period=FQ","BEST_FPERIOD_OVERRIDE=FQ","FILING_STATUS=MR","SCALING_FORMAT=MLN","Sort=A","Dates=H","DateFormat=P","Fill=—","Direction=H","UseDPDF=Y")</f>
        <v>—</v>
      </c>
      <c r="V11" s="13">
        <f>_xll.BDH("BLUE US Equity","ARD_INVENTORY","FQ1 2023","FQ1 2023","Currency=USD","Period=FQ","BEST_FPERIOD_OVERRIDE=FQ","FILING_STATUS=MR","SCALING_FORMAT=MLN","Sort=A","Dates=H","DateFormat=P","Fill=—","Direction=H","UseDPDF=Y")</f>
        <v>3.8090000000000002</v>
      </c>
      <c r="W11" s="13">
        <f>_xll.BDH("BLUE US Equity","ARD_INVENTORY","FQ2 2023","FQ2 2023","Currency=USD","Period=FQ","BEST_FPERIOD_OVERRIDE=FQ","FILING_STATUS=MR","SCALING_FORMAT=MLN","Sort=A","Dates=H","DateFormat=P","Fill=—","Direction=H","UseDPDF=Y")</f>
        <v>13.641999999999999</v>
      </c>
      <c r="X11" s="13">
        <f>_xll.BDH("BLUE US Equity","ARD_INVENTORY","FQ3 2023","FQ3 2023","Currency=USD","Period=FQ","BEST_FPERIOD_OVERRIDE=FQ","FILING_STATUS=MR","SCALING_FORMAT=MLN","Sort=A","Dates=H","DateFormat=P","Fill=—","Direction=H","UseDPDF=Y")</f>
        <v>20.969000000000001</v>
      </c>
      <c r="Y11" s="13">
        <f>_xll.BDH("BLUE US Equity","ARD_INVENTORY","FQ1 2024","FQ1 2024","Currency=USD","Period=FQ","BEST_FPERIOD_OVERRIDE=FQ","FILING_STATUS=MR","SCALING_FORMAT=MLN","Sort=A","Dates=H","DateFormat=P","Fill=—","Direction=H","UseDPDF=Y")</f>
        <v>30.305</v>
      </c>
      <c r="Z11" s="13">
        <f>_xll.BDH("BLUE US Equity","ARD_INVENTORY","FQ2 2024","FQ2 2024","Currency=USD","Period=FQ","BEST_FPERIOD_OVERRIDE=FQ","FILING_STATUS=MR","SCALING_FORMAT=MLN","Sort=A","Dates=H","DateFormat=P","Fill=—","Direction=H","UseDPDF=Y")</f>
        <v>33.33</v>
      </c>
      <c r="AA11" s="13">
        <f>_xll.BDH("BLUE US Equity","ARD_INVENTORY","FQ3 2024","FQ3 2024","Currency=USD","Period=FQ","BEST_FPERIOD_OVERRIDE=FQ","FILING_STATUS=MR","SCALING_FORMAT=MLN","Sort=A","Dates=H","DateFormat=P","Fill=—","Direction=H","UseDPDF=Y")</f>
        <v>53.944000000000003</v>
      </c>
    </row>
    <row r="12" spans="1:27" x14ac:dyDescent="0.25">
      <c r="A12" s="10" t="s">
        <v>760</v>
      </c>
      <c r="B12" s="10" t="s">
        <v>761</v>
      </c>
      <c r="C12" s="13" t="str">
        <f>_xll.BDH("BLUE US Equity","ARD_PREPAID_EXPENSES_ST","FQ2 2018","FQ2 2018","Currency=USD","Period=FQ","BEST_FPERIOD_OVERRIDE=FQ","FILING_STATUS=MR","SCALING_FORMAT=MLN","Sort=A","Dates=H","DateFormat=P","Fill=—","Direction=H","UseDPDF=Y")</f>
        <v>—</v>
      </c>
      <c r="D12" s="13" t="str">
        <f>_xll.BDH("BLUE US Equity","ARD_PREPAID_EXPENSES_ST","FQ3 2018","FQ3 2018","Currency=USD","Period=FQ","BEST_FPERIOD_OVERRIDE=FQ","FILING_STATUS=MR","SCALING_FORMAT=MLN","Sort=A","Dates=H","DateFormat=P","Fill=—","Direction=H","UseDPDF=Y")</f>
        <v>—</v>
      </c>
      <c r="E12" s="13" t="str">
        <f>_xll.BDH("BLUE US Equity","ARD_PREPAID_EXPENSES_ST","FQ4 2018","FQ4 2018","Currency=USD","Period=FQ","BEST_FPERIOD_OVERRIDE=FQ","FILING_STATUS=MR","SCALING_FORMAT=MLN","Sort=A","Dates=H","DateFormat=P","Fill=—","Direction=H","UseDPDF=Y")</f>
        <v>—</v>
      </c>
      <c r="F12" s="13" t="str">
        <f>_xll.BDH("BLUE US Equity","ARD_PREPAID_EXPENSES_ST","FQ1 2019","FQ1 2019","Currency=USD","Period=FQ","BEST_FPERIOD_OVERRIDE=FQ","FILING_STATUS=MR","SCALING_FORMAT=MLN","Sort=A","Dates=H","DateFormat=P","Fill=—","Direction=H","UseDPDF=Y")</f>
        <v>—</v>
      </c>
      <c r="G12" s="13" t="str">
        <f>_xll.BDH("BLUE US Equity","ARD_PREPAID_EXPENSES_ST","FQ2 2019","FQ2 2019","Currency=USD","Period=FQ","BEST_FPERIOD_OVERRIDE=FQ","FILING_STATUS=MR","SCALING_FORMAT=MLN","Sort=A","Dates=H","DateFormat=P","Fill=—","Direction=H","UseDPDF=Y")</f>
        <v>—</v>
      </c>
      <c r="H12" s="13" t="str">
        <f>_xll.BDH("BLUE US Equity","ARD_PREPAID_EXPENSES_ST","FQ3 2019","FQ3 2019","Currency=USD","Period=FQ","BEST_FPERIOD_OVERRIDE=FQ","FILING_STATUS=MR","SCALING_FORMAT=MLN","Sort=A","Dates=H","DateFormat=P","Fill=—","Direction=H","UseDPDF=Y")</f>
        <v>—</v>
      </c>
      <c r="I12" s="13" t="str">
        <f>_xll.BDH("BLUE US Equity","ARD_PREPAID_EXPENSES_ST","FQ4 2019","FQ4 2019","Currency=USD","Period=FQ","BEST_FPERIOD_OVERRIDE=FQ","FILING_STATUS=MR","SCALING_FORMAT=MLN","Sort=A","Dates=H","DateFormat=P","Fill=—","Direction=H","UseDPDF=Y")</f>
        <v>—</v>
      </c>
      <c r="J12" s="13" t="str">
        <f>_xll.BDH("BLUE US Equity","ARD_PREPAID_EXPENSES_ST","FQ1 2020","FQ1 2020","Currency=USD","Period=FQ","BEST_FPERIOD_OVERRIDE=FQ","FILING_STATUS=MR","SCALING_FORMAT=MLN","Sort=A","Dates=H","DateFormat=P","Fill=—","Direction=H","UseDPDF=Y")</f>
        <v>—</v>
      </c>
      <c r="K12" s="13" t="str">
        <f>_xll.BDH("BLUE US Equity","ARD_PREPAID_EXPENSES_ST","FQ2 2020","FQ2 2020","Currency=USD","Period=FQ","BEST_FPERIOD_OVERRIDE=FQ","FILING_STATUS=MR","SCALING_FORMAT=MLN","Sort=A","Dates=H","DateFormat=P","Fill=—","Direction=H","UseDPDF=Y")</f>
        <v>—</v>
      </c>
      <c r="L12" s="13" t="str">
        <f>_xll.BDH("BLUE US Equity","ARD_PREPAID_EXPENSES_ST","FQ3 2020","FQ3 2020","Currency=USD","Period=FQ","BEST_FPERIOD_OVERRIDE=FQ","FILING_STATUS=MR","SCALING_FORMAT=MLN","Sort=A","Dates=H","DateFormat=P","Fill=—","Direction=H","UseDPDF=Y")</f>
        <v>—</v>
      </c>
      <c r="M12" s="13" t="str">
        <f>_xll.BDH("BLUE US Equity","ARD_PREPAID_EXPENSES_ST","FQ4 2020","FQ4 2020","Currency=USD","Period=FQ","BEST_FPERIOD_OVERRIDE=FQ","FILING_STATUS=MR","SCALING_FORMAT=MLN","Sort=A","Dates=H","DateFormat=P","Fill=—","Direction=H","UseDPDF=Y")</f>
        <v>—</v>
      </c>
      <c r="N12" s="13" t="str">
        <f>_xll.BDH("BLUE US Equity","ARD_PREPAID_EXPENSES_ST","FQ1 2021","FQ1 2021","Currency=USD","Period=FQ","BEST_FPERIOD_OVERRIDE=FQ","FILING_STATUS=MR","SCALING_FORMAT=MLN","Sort=A","Dates=H","DateFormat=P","Fill=—","Direction=H","UseDPDF=Y")</f>
        <v>—</v>
      </c>
      <c r="O12" s="13" t="str">
        <f>_xll.BDH("BLUE US Equity","ARD_PREPAID_EXPENSES_ST","FQ2 2021","FQ2 2021","Currency=USD","Period=FQ","BEST_FPERIOD_OVERRIDE=FQ","FILING_STATUS=MR","SCALING_FORMAT=MLN","Sort=A","Dates=H","DateFormat=P","Fill=—","Direction=H","UseDPDF=Y")</f>
        <v>—</v>
      </c>
      <c r="P12" s="13" t="str">
        <f>_xll.BDH("BLUE US Equity","ARD_PREPAID_EXPENSES_ST","FQ3 2021","FQ3 2021","Currency=USD","Period=FQ","BEST_FPERIOD_OVERRIDE=FQ","FILING_STATUS=MR","SCALING_FORMAT=MLN","Sort=A","Dates=H","DateFormat=P","Fill=—","Direction=H","UseDPDF=Y")</f>
        <v>—</v>
      </c>
      <c r="Q12" s="13" t="str">
        <f>_xll.BDH("BLUE US Equity","ARD_PREPAID_EXPENSES_ST","FQ4 2021","FQ4 2021","Currency=USD","Period=FQ","BEST_FPERIOD_OVERRIDE=FQ","FILING_STATUS=MR","SCALING_FORMAT=MLN","Sort=A","Dates=H","DateFormat=P","Fill=—","Direction=H","UseDPDF=Y")</f>
        <v>—</v>
      </c>
      <c r="R12" s="13" t="str">
        <f>_xll.BDH("BLUE US Equity","ARD_PREPAID_EXPENSES_ST","FQ1 2022","FQ1 2022","Currency=USD","Period=FQ","BEST_FPERIOD_OVERRIDE=FQ","FILING_STATUS=MR","SCALING_FORMAT=MLN","Sort=A","Dates=H","DateFormat=P","Fill=—","Direction=H","UseDPDF=Y")</f>
        <v>—</v>
      </c>
      <c r="S12" s="13" t="str">
        <f>_xll.BDH("BLUE US Equity","ARD_PREPAID_EXPENSES_ST","FQ2 2022","FQ2 2022","Currency=USD","Period=FQ","BEST_FPERIOD_OVERRIDE=FQ","FILING_STATUS=MR","SCALING_FORMAT=MLN","Sort=A","Dates=H","DateFormat=P","Fill=—","Direction=H","UseDPDF=Y")</f>
        <v>—</v>
      </c>
      <c r="T12" s="13" t="str">
        <f>_xll.BDH("BLUE US Equity","ARD_PREPAID_EXPENSES_ST","FQ3 2022","FQ3 2022","Currency=USD","Period=FQ","BEST_FPERIOD_OVERRIDE=FQ","FILING_STATUS=MR","SCALING_FORMAT=MLN","Sort=A","Dates=H","DateFormat=P","Fill=—","Direction=H","UseDPDF=Y")</f>
        <v>—</v>
      </c>
      <c r="U12" s="13">
        <f>_xll.BDH("BLUE US Equity","ARD_PREPAID_EXPENSES_ST","FQ4 2022","FQ4 2022","Currency=USD","Period=FQ","BEST_FPERIOD_OVERRIDE=FQ","FILING_STATUS=MR","SCALING_FORMAT=MLN","Sort=A","Dates=H","DateFormat=P","Fill=—","Direction=H","UseDPDF=Y")</f>
        <v>8.3740000000000006</v>
      </c>
      <c r="V12" s="13" t="str">
        <f>_xll.BDH("BLUE US Equity","ARD_PREPAID_EXPENSES_ST","FQ1 2023","FQ1 2023","Currency=USD","Period=FQ","BEST_FPERIOD_OVERRIDE=FQ","FILING_STATUS=MR","SCALING_FORMAT=MLN","Sort=A","Dates=H","DateFormat=P","Fill=—","Direction=H","UseDPDF=Y")</f>
        <v>—</v>
      </c>
      <c r="W12" s="13">
        <f>_xll.BDH("BLUE US Equity","ARD_PREPAID_EXPENSES_ST","FQ2 2023","FQ2 2023","Currency=USD","Period=FQ","BEST_FPERIOD_OVERRIDE=FQ","FILING_STATUS=MR","SCALING_FORMAT=MLN","Sort=A","Dates=H","DateFormat=P","Fill=—","Direction=H","UseDPDF=Y")</f>
        <v>13.597</v>
      </c>
      <c r="X12" s="13" t="str">
        <f>_xll.BDH("BLUE US Equity","ARD_PREPAID_EXPENSES_ST","FQ3 2023","FQ3 2023","Currency=USD","Period=FQ","BEST_FPERIOD_OVERRIDE=FQ","FILING_STATUS=MR","SCALING_FORMAT=MLN","Sort=A","Dates=H","DateFormat=P","Fill=—","Direction=H","UseDPDF=Y")</f>
        <v>—</v>
      </c>
      <c r="Y12" s="13" t="str">
        <f>_xll.BDH("BLUE US Equity","ARD_PREPAID_EXPENSES_ST","FQ1 2024","FQ1 2024","Currency=USD","Period=FQ","BEST_FPERIOD_OVERRIDE=FQ","FILING_STATUS=MR","SCALING_FORMAT=MLN","Sort=A","Dates=H","DateFormat=P","Fill=—","Direction=H","UseDPDF=Y")</f>
        <v>—</v>
      </c>
      <c r="Z12" s="13">
        <f>_xll.BDH("BLUE US Equity","ARD_PREPAID_EXPENSES_ST","FQ2 2024","FQ2 2024","Currency=USD","Period=FQ","BEST_FPERIOD_OVERRIDE=FQ","FILING_STATUS=MR","SCALING_FORMAT=MLN","Sort=A","Dates=H","DateFormat=P","Fill=—","Direction=H","UseDPDF=Y")</f>
        <v>10.539</v>
      </c>
      <c r="AA12" s="13">
        <f>_xll.BDH("BLUE US Equity","ARD_PREPAID_EXPENSES_ST","FQ3 2024","FQ3 2024","Currency=USD","Period=FQ","BEST_FPERIOD_OVERRIDE=FQ","FILING_STATUS=MR","SCALING_FORMAT=MLN","Sort=A","Dates=H","DateFormat=P","Fill=—","Direction=H","UseDPDF=Y")</f>
        <v>7.5529999999999999</v>
      </c>
    </row>
    <row r="13" spans="1:27" x14ac:dyDescent="0.25">
      <c r="A13" s="10" t="s">
        <v>762</v>
      </c>
      <c r="B13" s="10" t="s">
        <v>763</v>
      </c>
      <c r="C13" s="13">
        <f>_xll.BDH("BLUE US Equity","ARD_PREPAID_EXP_AND_OTHER","FQ2 2018","FQ2 2018","Currency=USD","Period=FQ","BEST_FPERIOD_OVERRIDE=FQ","FILING_STATUS=MR","SCALING_FORMAT=MLN","Sort=A","Dates=H","DateFormat=P","Fill=—","Direction=H","UseDPDF=Y")</f>
        <v>24.053000000000001</v>
      </c>
      <c r="D13" s="13">
        <f>_xll.BDH("BLUE US Equity","ARD_PREPAID_EXP_AND_OTHER","FQ3 2018","FQ3 2018","Currency=USD","Period=FQ","BEST_FPERIOD_OVERRIDE=FQ","FILING_STATUS=MR","SCALING_FORMAT=MLN","Sort=A","Dates=H","DateFormat=P","Fill=—","Direction=H","UseDPDF=Y")</f>
        <v>24.132999999999999</v>
      </c>
      <c r="E13" s="13">
        <f>_xll.BDH("BLUE US Equity","ARD_PREPAID_EXP_AND_OTHER","FQ4 2018","FQ4 2018","Currency=USD","Period=FQ","BEST_FPERIOD_OVERRIDE=FQ","FILING_STATUS=MR","SCALING_FORMAT=MLN","Sort=A","Dates=H","DateFormat=P","Fill=—","Direction=H","UseDPDF=Y")</f>
        <v>19.762</v>
      </c>
      <c r="F13" s="13">
        <f>_xll.BDH("BLUE US Equity","ARD_PREPAID_EXP_AND_OTHER","FQ1 2019","FQ1 2019","Currency=USD","Period=FQ","BEST_FPERIOD_OVERRIDE=FQ","FILING_STATUS=MR","SCALING_FORMAT=MLN","Sort=A","Dates=H","DateFormat=P","Fill=—","Direction=H","UseDPDF=Y")</f>
        <v>23.765999999999998</v>
      </c>
      <c r="G13" s="13">
        <f>_xll.BDH("BLUE US Equity","ARD_PREPAID_EXP_AND_OTHER","FQ2 2019","FQ2 2019","Currency=USD","Period=FQ","BEST_FPERIOD_OVERRIDE=FQ","FILING_STATUS=MR","SCALING_FORMAT=MLN","Sort=A","Dates=H","DateFormat=P","Fill=—","Direction=H","UseDPDF=Y")</f>
        <v>25.427</v>
      </c>
      <c r="H13" s="13">
        <f>_xll.BDH("BLUE US Equity","ARD_PREPAID_EXP_AND_OTHER","FQ3 2019","FQ3 2019","Currency=USD","Period=FQ","BEST_FPERIOD_OVERRIDE=FQ","FILING_STATUS=MR","SCALING_FORMAT=MLN","Sort=A","Dates=H","DateFormat=P","Fill=—","Direction=H","UseDPDF=Y")</f>
        <v>26.931999999999999</v>
      </c>
      <c r="I13" s="13">
        <f>_xll.BDH("BLUE US Equity","ARD_PREPAID_EXP_AND_OTHER","FQ4 2019","FQ4 2019","Currency=USD","Period=FQ","BEST_FPERIOD_OVERRIDE=FQ","FILING_STATUS=MR","SCALING_FORMAT=MLN","Sort=A","Dates=H","DateFormat=P","Fill=—","Direction=H","UseDPDF=Y")</f>
        <v>32.887999999999998</v>
      </c>
      <c r="J13" s="13">
        <f>_xll.BDH("BLUE US Equity","ARD_PREPAID_EXP_AND_OTHER","FQ1 2020","FQ1 2020","Currency=USD","Period=FQ","BEST_FPERIOD_OVERRIDE=FQ","FILING_STATUS=MR","SCALING_FORMAT=MLN","Sort=A","Dates=H","DateFormat=P","Fill=—","Direction=H","UseDPDF=Y")</f>
        <v>40.209000000000003</v>
      </c>
      <c r="K13" s="13">
        <f>_xll.BDH("BLUE US Equity","ARD_PREPAID_EXP_AND_OTHER","FQ2 2020","FQ2 2020","Currency=USD","Period=FQ","BEST_FPERIOD_OVERRIDE=FQ","FILING_STATUS=MR","SCALING_FORMAT=MLN","Sort=A","Dates=H","DateFormat=P","Fill=—","Direction=H","UseDPDF=Y")</f>
        <v>39.357999999999997</v>
      </c>
      <c r="L13" s="13">
        <f>_xll.BDH("BLUE US Equity","ARD_PREPAID_EXP_AND_OTHER","FQ3 2020","FQ3 2020","Currency=USD","Period=FQ","BEST_FPERIOD_OVERRIDE=FQ","FILING_STATUS=MR","SCALING_FORMAT=MLN","Sort=A","Dates=H","DateFormat=P","Fill=—","Direction=H","UseDPDF=Y")</f>
        <v>35.421999999999997</v>
      </c>
      <c r="M13" s="13">
        <f>_xll.BDH("BLUE US Equity","ARD_PREPAID_EXP_AND_OTHER","FQ4 2020","FQ4 2020","Currency=USD","Period=FQ","BEST_FPERIOD_OVERRIDE=FQ","FILING_STATUS=MR","SCALING_FORMAT=MLN","Sort=A","Dates=H","DateFormat=P","Fill=—","Direction=H","UseDPDF=Y")</f>
        <v>25.718</v>
      </c>
      <c r="N13" s="13">
        <f>_xll.BDH("BLUE US Equity","ARD_PREPAID_EXP_AND_OTHER","FQ1 2021","FQ1 2021","Currency=USD","Period=FQ","BEST_FPERIOD_OVERRIDE=FQ","FILING_STATUS=MR","SCALING_FORMAT=MLN","Sort=A","Dates=H","DateFormat=P","Fill=—","Direction=H","UseDPDF=Y")</f>
        <v>42.258000000000003</v>
      </c>
      <c r="O13" s="13">
        <f>_xll.BDH("BLUE US Equity","ARD_PREPAID_EXP_AND_OTHER","FQ2 2021","FQ2 2021","Currency=USD","Period=FQ","BEST_FPERIOD_OVERRIDE=FQ","FILING_STATUS=MR","SCALING_FORMAT=MLN","Sort=A","Dates=H","DateFormat=P","Fill=—","Direction=H","UseDPDF=Y")</f>
        <v>33.725999999999999</v>
      </c>
      <c r="P13" s="13">
        <f>_xll.BDH("BLUE US Equity","ARD_PREPAID_EXP_AND_OTHER","FQ3 2021","FQ3 2021","Currency=USD","Period=FQ","BEST_FPERIOD_OVERRIDE=FQ","FILING_STATUS=MR","SCALING_FORMAT=MLN","Sort=A","Dates=H","DateFormat=P","Fill=—","Direction=H","UseDPDF=Y")</f>
        <v>30.712</v>
      </c>
      <c r="Q13" s="13">
        <f>_xll.BDH("BLUE US Equity","ARD_PREPAID_EXP_AND_OTHER","FQ4 2021","FQ4 2021","Currency=USD","Period=FQ","BEST_FPERIOD_OVERRIDE=FQ","FILING_STATUS=MR","SCALING_FORMAT=MLN","Sort=A","Dates=H","DateFormat=P","Fill=—","Direction=H","UseDPDF=Y")</f>
        <v>25.628</v>
      </c>
      <c r="R13" s="13">
        <f>_xll.BDH("BLUE US Equity","ARD_PREPAID_EXP_AND_OTHER","FQ1 2022","FQ1 2022","Currency=USD","Period=FQ","BEST_FPERIOD_OVERRIDE=FQ","FILING_STATUS=MR","SCALING_FORMAT=MLN","Sort=A","Dates=H","DateFormat=P","Fill=—","Direction=H","UseDPDF=Y")</f>
        <v>31.797999999999998</v>
      </c>
      <c r="S13" s="13">
        <f>_xll.BDH("BLUE US Equity","ARD_PREPAID_EXP_AND_OTHER","FQ2 2022","FQ2 2022","Currency=USD","Period=FQ","BEST_FPERIOD_OVERRIDE=FQ","FILING_STATUS=MR","SCALING_FORMAT=MLN","Sort=A","Dates=H","DateFormat=P","Fill=—","Direction=H","UseDPDF=Y")</f>
        <v>24.472999999999999</v>
      </c>
      <c r="T13" s="13">
        <f>_xll.BDH("BLUE US Equity","ARD_PREPAID_EXP_AND_OTHER","FQ3 2022","FQ3 2022","Currency=USD","Period=FQ","BEST_FPERIOD_OVERRIDE=FQ","FILING_STATUS=MR","SCALING_FORMAT=MLN","Sort=A","Dates=H","DateFormat=P","Fill=—","Direction=H","UseDPDF=Y")</f>
        <v>8.27</v>
      </c>
      <c r="U13" s="13" t="str">
        <f>_xll.BDH("BLUE US Equity","ARD_PREPAID_EXP_AND_OTHER","FQ4 2022","FQ4 2022","Currency=USD","Period=FQ","BEST_FPERIOD_OVERRIDE=FQ","FILING_STATUS=MR","SCALING_FORMAT=MLN","Sort=A","Dates=H","DateFormat=P","Fill=—","Direction=H","UseDPDF=Y")</f>
        <v>—</v>
      </c>
      <c r="V13" s="13">
        <f>_xll.BDH("BLUE US Equity","ARD_PREPAID_EXP_AND_OTHER","FQ1 2023","FQ1 2023","Currency=USD","Period=FQ","BEST_FPERIOD_OVERRIDE=FQ","FILING_STATUS=MR","SCALING_FORMAT=MLN","Sort=A","Dates=H","DateFormat=P","Fill=—","Direction=H","UseDPDF=Y")</f>
        <v>13.465999999999999</v>
      </c>
      <c r="W13" s="13" t="str">
        <f>_xll.BDH("BLUE US Equity","ARD_PREPAID_EXP_AND_OTHER","FQ2 2023","FQ2 2023","Currency=USD","Period=FQ","BEST_FPERIOD_OVERRIDE=FQ","FILING_STATUS=MR","SCALING_FORMAT=MLN","Sort=A","Dates=H","DateFormat=P","Fill=—","Direction=H","UseDPDF=Y")</f>
        <v>—</v>
      </c>
      <c r="X13" s="13">
        <f>_xll.BDH("BLUE US Equity","ARD_PREPAID_EXP_AND_OTHER","FQ3 2023","FQ3 2023","Currency=USD","Period=FQ","BEST_FPERIOD_OVERRIDE=FQ","FILING_STATUS=MR","SCALING_FORMAT=MLN","Sort=A","Dates=H","DateFormat=P","Fill=—","Direction=H","UseDPDF=Y")</f>
        <v>11.430999999999999</v>
      </c>
      <c r="Y13" s="13">
        <f>_xll.BDH("BLUE US Equity","ARD_PREPAID_EXP_AND_OTHER","FQ1 2024","FQ1 2024","Currency=USD","Period=FQ","BEST_FPERIOD_OVERRIDE=FQ","FILING_STATUS=MR","SCALING_FORMAT=MLN","Sort=A","Dates=H","DateFormat=P","Fill=—","Direction=H","UseDPDF=Y")</f>
        <v>11.510999999999999</v>
      </c>
      <c r="Z13" s="13" t="str">
        <f>_xll.BDH("BLUE US Equity","ARD_PREPAID_EXP_AND_OTHER","FQ2 2024","FQ2 2024","Currency=USD","Period=FQ","BEST_FPERIOD_OVERRIDE=FQ","FILING_STATUS=MR","SCALING_FORMAT=MLN","Sort=A","Dates=H","DateFormat=P","Fill=—","Direction=H","UseDPDF=Y")</f>
        <v>—</v>
      </c>
      <c r="AA13" s="13" t="str">
        <f>_xll.BDH("BLUE US Equity","ARD_PREPAID_EXP_AND_OTHER","FQ3 2024","FQ3 2024","Currency=USD","Period=FQ","BEST_FPERIOD_OVERRIDE=FQ","FILING_STATUS=MR","SCALING_FORMAT=MLN","Sort=A","Dates=H","DateFormat=P","Fill=—","Direction=H","UseDPDF=Y")</f>
        <v>—</v>
      </c>
    </row>
    <row r="14" spans="1:27" x14ac:dyDescent="0.25">
      <c r="A14" s="10" t="s">
        <v>764</v>
      </c>
      <c r="B14" s="10" t="s">
        <v>765</v>
      </c>
      <c r="C14" s="13">
        <f>_xll.BDH("BLUE US Equity","ARD_OTHER_CURRENT_ASSETS","FQ2 2018","FQ2 2018","Currency=USD","Period=FQ","BEST_FPERIOD_OVERRIDE=FQ","FILING_STATUS=MR","SCALING_FORMAT=MLN","Sort=A","Dates=H","DateFormat=P","Fill=—","Direction=H","UseDPDF=Y")</f>
        <v>4.7130000000000001</v>
      </c>
      <c r="D14" s="13">
        <f>_xll.BDH("BLUE US Equity","ARD_OTHER_CURRENT_ASSETS","FQ3 2018","FQ3 2018","Currency=USD","Period=FQ","BEST_FPERIOD_OVERRIDE=FQ","FILING_STATUS=MR","SCALING_FORMAT=MLN","Sort=A","Dates=H","DateFormat=P","Fill=—","Direction=H","UseDPDF=Y")</f>
        <v>25.917999999999999</v>
      </c>
      <c r="E14" s="13">
        <f>_xll.BDH("BLUE US Equity","ARD_OTHER_CURRENT_ASSETS","FQ4 2018","FQ4 2018","Currency=USD","Period=FQ","BEST_FPERIOD_OVERRIDE=FQ","FILING_STATUS=MR","SCALING_FORMAT=MLN","Sort=A","Dates=H","DateFormat=P","Fill=—","Direction=H","UseDPDF=Y")</f>
        <v>13.912000000000001</v>
      </c>
      <c r="F14" s="13">
        <f>_xll.BDH("BLUE US Equity","ARD_OTHER_CURRENT_ASSETS","FQ1 2019","FQ1 2019","Currency=USD","Period=FQ","BEST_FPERIOD_OVERRIDE=FQ","FILING_STATUS=MR","SCALING_FORMAT=MLN","Sort=A","Dates=H","DateFormat=P","Fill=—","Direction=H","UseDPDF=Y")</f>
        <v>19.449000000000002</v>
      </c>
      <c r="G14" s="13">
        <f>_xll.BDH("BLUE US Equity","ARD_OTHER_CURRENT_ASSETS","FQ2 2019","FQ2 2019","Currency=USD","Period=FQ","BEST_FPERIOD_OVERRIDE=FQ","FILING_STATUS=MR","SCALING_FORMAT=MLN","Sort=A","Dates=H","DateFormat=P","Fill=—","Direction=H","UseDPDF=Y")</f>
        <v>21.472999999999999</v>
      </c>
      <c r="H14" s="13">
        <f>_xll.BDH("BLUE US Equity","ARD_OTHER_CURRENT_ASSETS","FQ3 2019","FQ3 2019","Currency=USD","Period=FQ","BEST_FPERIOD_OVERRIDE=FQ","FILING_STATUS=MR","SCALING_FORMAT=MLN","Sort=A","Dates=H","DateFormat=P","Fill=—","Direction=H","UseDPDF=Y")</f>
        <v>13.145</v>
      </c>
      <c r="I14" s="13">
        <f>_xll.BDH("BLUE US Equity","ARD_OTHER_CURRENT_ASSETS","FQ4 2019","FQ4 2019","Currency=USD","Period=FQ","BEST_FPERIOD_OVERRIDE=FQ","FILING_STATUS=MR","SCALING_FORMAT=MLN","Sort=A","Dates=H","DateFormat=P","Fill=—","Direction=H","UseDPDF=Y")</f>
        <v>12.826000000000001</v>
      </c>
      <c r="J14" s="13">
        <f>_xll.BDH("BLUE US Equity","ARD_OTHER_CURRENT_ASSETS","FQ1 2020","FQ1 2020","Currency=USD","Period=FQ","BEST_FPERIOD_OVERRIDE=FQ","FILING_STATUS=MR","SCALING_FORMAT=MLN","Sort=A","Dates=H","DateFormat=P","Fill=—","Direction=H","UseDPDF=Y")</f>
        <v>16.574999999999999</v>
      </c>
      <c r="K14" s="13">
        <f>_xll.BDH("BLUE US Equity","ARD_OTHER_CURRENT_ASSETS","FQ2 2020","FQ2 2020","Currency=USD","Period=FQ","BEST_FPERIOD_OVERRIDE=FQ","FILING_STATUS=MR","SCALING_FORMAT=MLN","Sort=A","Dates=H","DateFormat=P","Fill=—","Direction=H","UseDPDF=Y")</f>
        <v>24.704999999999998</v>
      </c>
      <c r="L14" s="13">
        <f>_xll.BDH("BLUE US Equity","ARD_OTHER_CURRENT_ASSETS","FQ3 2020","FQ3 2020","Currency=USD","Period=FQ","BEST_FPERIOD_OVERRIDE=FQ","FILING_STATUS=MR","SCALING_FORMAT=MLN","Sort=A","Dates=H","DateFormat=P","Fill=—","Direction=H","UseDPDF=Y")</f>
        <v>27.516999999999999</v>
      </c>
      <c r="M14" s="13" t="str">
        <f>_xll.BDH("BLUE US Equity","ARD_OTHER_CURRENT_ASSETS","FQ4 2020","FQ4 2020","Currency=USD","Period=FQ","BEST_FPERIOD_OVERRIDE=FQ","FILING_STATUS=MR","SCALING_FORMAT=MLN","Sort=A","Dates=H","DateFormat=P","Fill=—","Direction=H","UseDPDF=Y")</f>
        <v>—</v>
      </c>
      <c r="N14" s="13">
        <f>_xll.BDH("BLUE US Equity","ARD_OTHER_CURRENT_ASSETS","FQ1 2021","FQ1 2021","Currency=USD","Period=FQ","BEST_FPERIOD_OVERRIDE=FQ","FILING_STATUS=MR","SCALING_FORMAT=MLN","Sort=A","Dates=H","DateFormat=P","Fill=—","Direction=H","UseDPDF=Y")</f>
        <v>24.762</v>
      </c>
      <c r="O14" s="13" t="str">
        <f>_xll.BDH("BLUE US Equity","ARD_OTHER_CURRENT_ASSETS","FQ2 2021","FQ2 2021","Currency=USD","Period=FQ","BEST_FPERIOD_OVERRIDE=FQ","FILING_STATUS=MR","SCALING_FORMAT=MLN","Sort=A","Dates=H","DateFormat=P","Fill=—","Direction=H","UseDPDF=Y")</f>
        <v>—</v>
      </c>
      <c r="P14" s="13" t="str">
        <f>_xll.BDH("BLUE US Equity","ARD_OTHER_CURRENT_ASSETS","FQ3 2021","FQ3 2021","Currency=USD","Period=FQ","BEST_FPERIOD_OVERRIDE=FQ","FILING_STATUS=MR","SCALING_FORMAT=MLN","Sort=A","Dates=H","DateFormat=P","Fill=—","Direction=H","UseDPDF=Y")</f>
        <v>—</v>
      </c>
      <c r="Q14" s="13" t="str">
        <f>_xll.BDH("BLUE US Equity","ARD_OTHER_CURRENT_ASSETS","FQ4 2021","FQ4 2021","Currency=USD","Period=FQ","BEST_FPERIOD_OVERRIDE=FQ","FILING_STATUS=MR","SCALING_FORMAT=MLN","Sort=A","Dates=H","DateFormat=P","Fill=—","Direction=H","UseDPDF=Y")</f>
        <v>—</v>
      </c>
      <c r="R14" s="13">
        <f>_xll.BDH("BLUE US Equity","ARD_OTHER_CURRENT_ASSETS","FQ1 2022","FQ1 2022","Currency=USD","Period=FQ","BEST_FPERIOD_OVERRIDE=FQ","FILING_STATUS=MR","SCALING_FORMAT=MLN","Sort=A","Dates=H","DateFormat=P","Fill=—","Direction=H","UseDPDF=Y")</f>
        <v>11.531000000000001</v>
      </c>
      <c r="S14" s="13">
        <f>_xll.BDH("BLUE US Equity","ARD_OTHER_CURRENT_ASSETS","FQ2 2022","FQ2 2022","Currency=USD","Period=FQ","BEST_FPERIOD_OVERRIDE=FQ","FILING_STATUS=MR","SCALING_FORMAT=MLN","Sort=A","Dates=H","DateFormat=P","Fill=—","Direction=H","UseDPDF=Y")</f>
        <v>10.476000000000001</v>
      </c>
      <c r="T14" s="13" t="str">
        <f>_xll.BDH("BLUE US Equity","ARD_OTHER_CURRENT_ASSETS","FQ3 2022","FQ3 2022","Currency=USD","Period=FQ","BEST_FPERIOD_OVERRIDE=FQ","FILING_STATUS=MR","SCALING_FORMAT=MLN","Sort=A","Dates=H","DateFormat=P","Fill=—","Direction=H","UseDPDF=Y")</f>
        <v>—</v>
      </c>
      <c r="U14" s="13">
        <f>_xll.BDH("BLUE US Equity","ARD_OTHER_CURRENT_ASSETS","FQ4 2022","FQ4 2022","Currency=USD","Period=FQ","BEST_FPERIOD_OVERRIDE=FQ","FILING_STATUS=MR","SCALING_FORMAT=MLN","Sort=A","Dates=H","DateFormat=P","Fill=—","Direction=H","UseDPDF=Y")</f>
        <v>10.787000000000001</v>
      </c>
      <c r="V14" s="13">
        <f>_xll.BDH("BLUE US Equity","ARD_OTHER_CURRENT_ASSETS","FQ1 2023","FQ1 2023","Currency=USD","Period=FQ","BEST_FPERIOD_OVERRIDE=FQ","FILING_STATUS=MR","SCALING_FORMAT=MLN","Sort=A","Dates=H","DateFormat=P","Fill=—","Direction=H","UseDPDF=Y")</f>
        <v>15.539</v>
      </c>
      <c r="W14" s="13">
        <f>_xll.BDH("BLUE US Equity","ARD_OTHER_CURRENT_ASSETS","FQ2 2023","FQ2 2023","Currency=USD","Period=FQ","BEST_FPERIOD_OVERRIDE=FQ","FILING_STATUS=MR","SCALING_FORMAT=MLN","Sort=A","Dates=H","DateFormat=P","Fill=—","Direction=H","UseDPDF=Y")</f>
        <v>15.435</v>
      </c>
      <c r="X14" s="13">
        <f>_xll.BDH("BLUE US Equity","ARD_OTHER_CURRENT_ASSETS","FQ3 2023","FQ3 2023","Currency=USD","Period=FQ","BEST_FPERIOD_OVERRIDE=FQ","FILING_STATUS=MR","SCALING_FORMAT=MLN","Sort=A","Dates=H","DateFormat=P","Fill=—","Direction=H","UseDPDF=Y")</f>
        <v>17.382999999999999</v>
      </c>
      <c r="Y14" s="13">
        <f>_xll.BDH("BLUE US Equity","ARD_OTHER_CURRENT_ASSETS","FQ1 2024","FQ1 2024","Currency=USD","Period=FQ","BEST_FPERIOD_OVERRIDE=FQ","FILING_STATUS=MR","SCALING_FORMAT=MLN","Sort=A","Dates=H","DateFormat=P","Fill=—","Direction=H","UseDPDF=Y")</f>
        <v>17.738</v>
      </c>
      <c r="Z14" s="13">
        <f>_xll.BDH("BLUE US Equity","ARD_OTHER_CURRENT_ASSETS","FQ2 2024","FQ2 2024","Currency=USD","Period=FQ","BEST_FPERIOD_OVERRIDE=FQ","FILING_STATUS=MR","SCALING_FORMAT=MLN","Sort=A","Dates=H","DateFormat=P","Fill=—","Direction=H","UseDPDF=Y")</f>
        <v>1.302</v>
      </c>
      <c r="AA14" s="13">
        <f>_xll.BDH("BLUE US Equity","ARD_OTHER_CURRENT_ASSETS","FQ3 2024","FQ3 2024","Currency=USD","Period=FQ","BEST_FPERIOD_OVERRIDE=FQ","FILING_STATUS=MR","SCALING_FORMAT=MLN","Sort=A","Dates=H","DateFormat=P","Fill=—","Direction=H","UseDPDF=Y")</f>
        <v>1.0620000000000001</v>
      </c>
    </row>
    <row r="15" spans="1:27" x14ac:dyDescent="0.25">
      <c r="A15" s="10" t="s">
        <v>766</v>
      </c>
      <c r="B15" s="10" t="s">
        <v>767</v>
      </c>
      <c r="C15" s="13" t="str">
        <f>_xll.BDH("BLUE US Equity","ARD_ASSETS_FROM_DISC_OPS_ST","FQ2 2018","FQ2 2018","Currency=USD","Period=FQ","BEST_FPERIOD_OVERRIDE=FQ","FILING_STATUS=MR","SCALING_FORMAT=MLN","Sort=A","Dates=H","DateFormat=P","Fill=—","Direction=H","UseDPDF=Y")</f>
        <v>—</v>
      </c>
      <c r="D15" s="13" t="str">
        <f>_xll.BDH("BLUE US Equity","ARD_ASSETS_FROM_DISC_OPS_ST","FQ3 2018","FQ3 2018","Currency=USD","Period=FQ","BEST_FPERIOD_OVERRIDE=FQ","FILING_STATUS=MR","SCALING_FORMAT=MLN","Sort=A","Dates=H","DateFormat=P","Fill=—","Direction=H","UseDPDF=Y")</f>
        <v>—</v>
      </c>
      <c r="E15" s="13" t="str">
        <f>_xll.BDH("BLUE US Equity","ARD_ASSETS_FROM_DISC_OPS_ST","FQ4 2018","FQ4 2018","Currency=USD","Period=FQ","BEST_FPERIOD_OVERRIDE=FQ","FILING_STATUS=MR","SCALING_FORMAT=MLN","Sort=A","Dates=H","DateFormat=P","Fill=—","Direction=H","UseDPDF=Y")</f>
        <v>—</v>
      </c>
      <c r="F15" s="13" t="str">
        <f>_xll.BDH("BLUE US Equity","ARD_ASSETS_FROM_DISC_OPS_ST","FQ1 2019","FQ1 2019","Currency=USD","Period=FQ","BEST_FPERIOD_OVERRIDE=FQ","FILING_STATUS=MR","SCALING_FORMAT=MLN","Sort=A","Dates=H","DateFormat=P","Fill=—","Direction=H","UseDPDF=Y")</f>
        <v>—</v>
      </c>
      <c r="G15" s="13" t="str">
        <f>_xll.BDH("BLUE US Equity","ARD_ASSETS_FROM_DISC_OPS_ST","FQ2 2019","FQ2 2019","Currency=USD","Period=FQ","BEST_FPERIOD_OVERRIDE=FQ","FILING_STATUS=MR","SCALING_FORMAT=MLN","Sort=A","Dates=H","DateFormat=P","Fill=—","Direction=H","UseDPDF=Y")</f>
        <v>—</v>
      </c>
      <c r="H15" s="13" t="str">
        <f>_xll.BDH("BLUE US Equity","ARD_ASSETS_FROM_DISC_OPS_ST","FQ3 2019","FQ3 2019","Currency=USD","Period=FQ","BEST_FPERIOD_OVERRIDE=FQ","FILING_STATUS=MR","SCALING_FORMAT=MLN","Sort=A","Dates=H","DateFormat=P","Fill=—","Direction=H","UseDPDF=Y")</f>
        <v>—</v>
      </c>
      <c r="I15" s="13" t="str">
        <f>_xll.BDH("BLUE US Equity","ARD_ASSETS_FROM_DISC_OPS_ST","FQ4 2019","FQ4 2019","Currency=USD","Period=FQ","BEST_FPERIOD_OVERRIDE=FQ","FILING_STATUS=MR","SCALING_FORMAT=MLN","Sort=A","Dates=H","DateFormat=P","Fill=—","Direction=H","UseDPDF=Y")</f>
        <v>—</v>
      </c>
      <c r="J15" s="13" t="str">
        <f>_xll.BDH("BLUE US Equity","ARD_ASSETS_FROM_DISC_OPS_ST","FQ1 2020","FQ1 2020","Currency=USD","Period=FQ","BEST_FPERIOD_OVERRIDE=FQ","FILING_STATUS=MR","SCALING_FORMAT=MLN","Sort=A","Dates=H","DateFormat=P","Fill=—","Direction=H","UseDPDF=Y")</f>
        <v>—</v>
      </c>
      <c r="K15" s="13" t="str">
        <f>_xll.BDH("BLUE US Equity","ARD_ASSETS_FROM_DISC_OPS_ST","FQ2 2020","FQ2 2020","Currency=USD","Period=FQ","BEST_FPERIOD_OVERRIDE=FQ","FILING_STATUS=MR","SCALING_FORMAT=MLN","Sort=A","Dates=H","DateFormat=P","Fill=—","Direction=H","UseDPDF=Y")</f>
        <v>—</v>
      </c>
      <c r="L15" s="13" t="str">
        <f>_xll.BDH("BLUE US Equity","ARD_ASSETS_FROM_DISC_OPS_ST","FQ3 2020","FQ3 2020","Currency=USD","Period=FQ","BEST_FPERIOD_OVERRIDE=FQ","FILING_STATUS=MR","SCALING_FORMAT=MLN","Sort=A","Dates=H","DateFormat=P","Fill=—","Direction=H","UseDPDF=Y")</f>
        <v>—</v>
      </c>
      <c r="M15" s="13">
        <f>_xll.BDH("BLUE US Equity","ARD_ASSETS_FROM_DISC_OPS_ST","FQ4 2020","FQ4 2020","Currency=USD","Period=FQ","BEST_FPERIOD_OVERRIDE=FQ","FILING_STATUS=MR","SCALING_FORMAT=MLN","Sort=A","Dates=H","DateFormat=P","Fill=—","Direction=H","UseDPDF=Y")</f>
        <v>495.02100000000002</v>
      </c>
      <c r="N15" s="13" t="str">
        <f>_xll.BDH("BLUE US Equity","ARD_ASSETS_FROM_DISC_OPS_ST","FQ1 2021","FQ1 2021","Currency=USD","Period=FQ","BEST_FPERIOD_OVERRIDE=FQ","FILING_STATUS=MR","SCALING_FORMAT=MLN","Sort=A","Dates=H","DateFormat=P","Fill=—","Direction=H","UseDPDF=Y")</f>
        <v>—</v>
      </c>
      <c r="O15" s="13" t="str">
        <f>_xll.BDH("BLUE US Equity","ARD_ASSETS_FROM_DISC_OPS_ST","FQ2 2021","FQ2 2021","Currency=USD","Period=FQ","BEST_FPERIOD_OVERRIDE=FQ","FILING_STATUS=MR","SCALING_FORMAT=MLN","Sort=A","Dates=H","DateFormat=P","Fill=—","Direction=H","UseDPDF=Y")</f>
        <v>—</v>
      </c>
      <c r="P15" s="13" t="str">
        <f>_xll.BDH("BLUE US Equity","ARD_ASSETS_FROM_DISC_OPS_ST","FQ3 2021","FQ3 2021","Currency=USD","Period=FQ","BEST_FPERIOD_OVERRIDE=FQ","FILING_STATUS=MR","SCALING_FORMAT=MLN","Sort=A","Dates=H","DateFormat=P","Fill=—","Direction=H","UseDPDF=Y")</f>
        <v>—</v>
      </c>
      <c r="Q15" s="13">
        <f>_xll.BDH("BLUE US Equity","ARD_ASSETS_FROM_DISC_OPS_ST","FQ4 2021","FQ4 2021","Currency=USD","Period=FQ","BEST_FPERIOD_OVERRIDE=FQ","FILING_STATUS=MR","SCALING_FORMAT=MLN","Sort=A","Dates=H","DateFormat=P","Fill=—","Direction=H","UseDPDF=Y")</f>
        <v>0</v>
      </c>
      <c r="R15" s="13" t="str">
        <f>_xll.BDH("BLUE US Equity","ARD_ASSETS_FROM_DISC_OPS_ST","FQ1 2022","FQ1 2022","Currency=USD","Period=FQ","BEST_FPERIOD_OVERRIDE=FQ","FILING_STATUS=MR","SCALING_FORMAT=MLN","Sort=A","Dates=H","DateFormat=P","Fill=—","Direction=H","UseDPDF=Y")</f>
        <v>—</v>
      </c>
      <c r="S15" s="13" t="str">
        <f>_xll.BDH("BLUE US Equity","ARD_ASSETS_FROM_DISC_OPS_ST","FQ2 2022","FQ2 2022","Currency=USD","Period=FQ","BEST_FPERIOD_OVERRIDE=FQ","FILING_STATUS=MR","SCALING_FORMAT=MLN","Sort=A","Dates=H","DateFormat=P","Fill=—","Direction=H","UseDPDF=Y")</f>
        <v>—</v>
      </c>
      <c r="T15" s="13" t="str">
        <f>_xll.BDH("BLUE US Equity","ARD_ASSETS_FROM_DISC_OPS_ST","FQ3 2022","FQ3 2022","Currency=USD","Period=FQ","BEST_FPERIOD_OVERRIDE=FQ","FILING_STATUS=MR","SCALING_FORMAT=MLN","Sort=A","Dates=H","DateFormat=P","Fill=—","Direction=H","UseDPDF=Y")</f>
        <v>—</v>
      </c>
      <c r="U15" s="13" t="str">
        <f>_xll.BDH("BLUE US Equity","ARD_ASSETS_FROM_DISC_OPS_ST","FQ4 2022","FQ4 2022","Currency=USD","Period=FQ","BEST_FPERIOD_OVERRIDE=FQ","FILING_STATUS=MR","SCALING_FORMAT=MLN","Sort=A","Dates=H","DateFormat=P","Fill=—","Direction=H","UseDPDF=Y")</f>
        <v>—</v>
      </c>
      <c r="V15" s="13" t="str">
        <f>_xll.BDH("BLUE US Equity","ARD_ASSETS_FROM_DISC_OPS_ST","FQ1 2023","FQ1 2023","Currency=USD","Period=FQ","BEST_FPERIOD_OVERRIDE=FQ","FILING_STATUS=MR","SCALING_FORMAT=MLN","Sort=A","Dates=H","DateFormat=P","Fill=—","Direction=H","UseDPDF=Y")</f>
        <v>—</v>
      </c>
      <c r="W15" s="13" t="str">
        <f>_xll.BDH("BLUE US Equity","ARD_ASSETS_FROM_DISC_OPS_ST","FQ2 2023","FQ2 2023","Currency=USD","Period=FQ","BEST_FPERIOD_OVERRIDE=FQ","FILING_STATUS=MR","SCALING_FORMAT=MLN","Sort=A","Dates=H","DateFormat=P","Fill=—","Direction=H","UseDPDF=Y")</f>
        <v>—</v>
      </c>
      <c r="X15" s="13" t="str">
        <f>_xll.BDH("BLUE US Equity","ARD_ASSETS_FROM_DISC_OPS_ST","FQ3 2023","FQ3 2023","Currency=USD","Period=FQ","BEST_FPERIOD_OVERRIDE=FQ","FILING_STATUS=MR","SCALING_FORMAT=MLN","Sort=A","Dates=H","DateFormat=P","Fill=—","Direction=H","UseDPDF=Y")</f>
        <v>—</v>
      </c>
      <c r="Y15" s="13" t="str">
        <f>_xll.BDH("BLUE US Equity","ARD_ASSETS_FROM_DISC_OPS_ST","FQ1 2024","FQ1 2024","Currency=USD","Period=FQ","BEST_FPERIOD_OVERRIDE=FQ","FILING_STATUS=MR","SCALING_FORMAT=MLN","Sort=A","Dates=H","DateFormat=P","Fill=—","Direction=H","UseDPDF=Y")</f>
        <v>—</v>
      </c>
      <c r="Z15" s="13" t="str">
        <f>_xll.BDH("BLUE US Equity","ARD_ASSETS_FROM_DISC_OPS_ST","FQ2 2024","FQ2 2024","Currency=USD","Period=FQ","BEST_FPERIOD_OVERRIDE=FQ","FILING_STATUS=MR","SCALING_FORMAT=MLN","Sort=A","Dates=H","DateFormat=P","Fill=—","Direction=H","UseDPDF=Y")</f>
        <v>—</v>
      </c>
      <c r="AA15" s="13" t="str">
        <f>_xll.BDH("BLUE US Equity","ARD_ASSETS_FROM_DISC_OPS_ST","FQ3 2024","FQ3 2024","Currency=USD","Period=FQ","BEST_FPERIOD_OVERRIDE=FQ","FILING_STATUS=MR","SCALING_FORMAT=MLN","Sort=A","Dates=H","DateFormat=P","Fill=—","Direction=H","UseDPDF=Y")</f>
        <v>—</v>
      </c>
    </row>
    <row r="16" spans="1:27" x14ac:dyDescent="0.25">
      <c r="A16" s="10" t="s">
        <v>768</v>
      </c>
      <c r="B16" s="10" t="s">
        <v>769</v>
      </c>
      <c r="C16" s="13">
        <f>_xll.BDH("BLUE US Equity","ARD_OTHER_RECEIVABLES_ST","FQ2 2018","FQ2 2018","Currency=USD","Period=FQ","BEST_FPERIOD_OVERRIDE=FQ","FILING_STATUS=MR","SCALING_FORMAT=MLN","Sort=A","Dates=H","DateFormat=P","Fill=—","Direction=H","UseDPDF=Y")</f>
        <v>1.9E-2</v>
      </c>
      <c r="D16" s="13">
        <f>_xll.BDH("BLUE US Equity","ARD_OTHER_RECEIVABLES_ST","FQ3 2018","FQ3 2018","Currency=USD","Period=FQ","BEST_FPERIOD_OVERRIDE=FQ","FILING_STATUS=MR","SCALING_FORMAT=MLN","Sort=A","Dates=H","DateFormat=P","Fill=—","Direction=H","UseDPDF=Y")</f>
        <v>1.9E-2</v>
      </c>
      <c r="E16" s="13">
        <f>_xll.BDH("BLUE US Equity","ARD_OTHER_RECEIVABLES_ST","FQ4 2018","FQ4 2018","Currency=USD","Period=FQ","BEST_FPERIOD_OVERRIDE=FQ","FILING_STATUS=MR","SCALING_FORMAT=MLN","Sort=A","Dates=H","DateFormat=P","Fill=—","Direction=H","UseDPDF=Y")</f>
        <v>1.9E-2</v>
      </c>
      <c r="F16" s="13" t="str">
        <f>_xll.BDH("BLUE US Equity","ARD_OTHER_RECEIVABLES_ST","FQ1 2019","FQ1 2019","Currency=USD","Period=FQ","BEST_FPERIOD_OVERRIDE=FQ","FILING_STATUS=MR","SCALING_FORMAT=MLN","Sort=A","Dates=H","DateFormat=P","Fill=—","Direction=H","UseDPDF=Y")</f>
        <v>—</v>
      </c>
      <c r="G16" s="13" t="str">
        <f>_xll.BDH("BLUE US Equity","ARD_OTHER_RECEIVABLES_ST","FQ2 2019","FQ2 2019","Currency=USD","Period=FQ","BEST_FPERIOD_OVERRIDE=FQ","FILING_STATUS=MR","SCALING_FORMAT=MLN","Sort=A","Dates=H","DateFormat=P","Fill=—","Direction=H","UseDPDF=Y")</f>
        <v>—</v>
      </c>
      <c r="H16" s="13" t="str">
        <f>_xll.BDH("BLUE US Equity","ARD_OTHER_RECEIVABLES_ST","FQ3 2019","FQ3 2019","Currency=USD","Period=FQ","BEST_FPERIOD_OVERRIDE=FQ","FILING_STATUS=MR","SCALING_FORMAT=MLN","Sort=A","Dates=H","DateFormat=P","Fill=—","Direction=H","UseDPDF=Y")</f>
        <v>—</v>
      </c>
      <c r="I16" s="13" t="str">
        <f>_xll.BDH("BLUE US Equity","ARD_OTHER_RECEIVABLES_ST","FQ4 2019","FQ4 2019","Currency=USD","Period=FQ","BEST_FPERIOD_OVERRIDE=FQ","FILING_STATUS=MR","SCALING_FORMAT=MLN","Sort=A","Dates=H","DateFormat=P","Fill=—","Direction=H","UseDPDF=Y")</f>
        <v>—</v>
      </c>
      <c r="J16" s="13" t="str">
        <f>_xll.BDH("BLUE US Equity","ARD_OTHER_RECEIVABLES_ST","FQ1 2020","FQ1 2020","Currency=USD","Period=FQ","BEST_FPERIOD_OVERRIDE=FQ","FILING_STATUS=MR","SCALING_FORMAT=MLN","Sort=A","Dates=H","DateFormat=P","Fill=—","Direction=H","UseDPDF=Y")</f>
        <v>—</v>
      </c>
      <c r="K16" s="13" t="str">
        <f>_xll.BDH("BLUE US Equity","ARD_OTHER_RECEIVABLES_ST","FQ2 2020","FQ2 2020","Currency=USD","Period=FQ","BEST_FPERIOD_OVERRIDE=FQ","FILING_STATUS=MR","SCALING_FORMAT=MLN","Sort=A","Dates=H","DateFormat=P","Fill=—","Direction=H","UseDPDF=Y")</f>
        <v>—</v>
      </c>
      <c r="L16" s="13" t="str">
        <f>_xll.BDH("BLUE US Equity","ARD_OTHER_RECEIVABLES_ST","FQ3 2020","FQ3 2020","Currency=USD","Period=FQ","BEST_FPERIOD_OVERRIDE=FQ","FILING_STATUS=MR","SCALING_FORMAT=MLN","Sort=A","Dates=H","DateFormat=P","Fill=—","Direction=H","UseDPDF=Y")</f>
        <v>—</v>
      </c>
      <c r="M16" s="13">
        <f>_xll.BDH("BLUE US Equity","ARD_OTHER_RECEIVABLES_ST","FQ4 2020","FQ4 2020","Currency=USD","Period=FQ","BEST_FPERIOD_OVERRIDE=FQ","FILING_STATUS=MR","SCALING_FORMAT=MLN","Sort=A","Dates=H","DateFormat=P","Fill=—","Direction=H","UseDPDF=Y")</f>
        <v>3.8719999999999999</v>
      </c>
      <c r="N16" s="13" t="str">
        <f>_xll.BDH("BLUE US Equity","ARD_OTHER_RECEIVABLES_ST","FQ1 2021","FQ1 2021","Currency=USD","Period=FQ","BEST_FPERIOD_OVERRIDE=FQ","FILING_STATUS=MR","SCALING_FORMAT=MLN","Sort=A","Dates=H","DateFormat=P","Fill=—","Direction=H","UseDPDF=Y")</f>
        <v>—</v>
      </c>
      <c r="O16" s="13">
        <f>_xll.BDH("BLUE US Equity","ARD_OTHER_RECEIVABLES_ST","FQ2 2021","FQ2 2021","Currency=USD","Period=FQ","BEST_FPERIOD_OVERRIDE=FQ","FILING_STATUS=MR","SCALING_FORMAT=MLN","Sort=A","Dates=H","DateFormat=P","Fill=—","Direction=H","UseDPDF=Y")</f>
        <v>16.597000000000001</v>
      </c>
      <c r="P16" s="13">
        <f>_xll.BDH("BLUE US Equity","ARD_OTHER_RECEIVABLES_ST","FQ3 2021","FQ3 2021","Currency=USD","Period=FQ","BEST_FPERIOD_OVERRIDE=FQ","FILING_STATUS=MR","SCALING_FORMAT=MLN","Sort=A","Dates=H","DateFormat=P","Fill=—","Direction=H","UseDPDF=Y")</f>
        <v>23.245999999999999</v>
      </c>
      <c r="Q16" s="13">
        <f>_xll.BDH("BLUE US Equity","ARD_OTHER_RECEIVABLES_ST","FQ4 2021","FQ4 2021","Currency=USD","Period=FQ","BEST_FPERIOD_OVERRIDE=FQ","FILING_STATUS=MR","SCALING_FORMAT=MLN","Sort=A","Dates=H","DateFormat=P","Fill=—","Direction=H","UseDPDF=Y")</f>
        <v>11.388999999999999</v>
      </c>
      <c r="R16" s="13" t="str">
        <f>_xll.BDH("BLUE US Equity","ARD_OTHER_RECEIVABLES_ST","FQ1 2022","FQ1 2022","Currency=USD","Period=FQ","BEST_FPERIOD_OVERRIDE=FQ","FILING_STATUS=MR","SCALING_FORMAT=MLN","Sort=A","Dates=H","DateFormat=P","Fill=—","Direction=H","UseDPDF=Y")</f>
        <v>—</v>
      </c>
      <c r="S16" s="13" t="str">
        <f>_xll.BDH("BLUE US Equity","ARD_OTHER_RECEIVABLES_ST","FQ2 2022","FQ2 2022","Currency=USD","Period=FQ","BEST_FPERIOD_OVERRIDE=FQ","FILING_STATUS=MR","SCALING_FORMAT=MLN","Sort=A","Dates=H","DateFormat=P","Fill=—","Direction=H","UseDPDF=Y")</f>
        <v>—</v>
      </c>
      <c r="T16" s="13">
        <f>_xll.BDH("BLUE US Equity","ARD_OTHER_RECEIVABLES_ST","FQ3 2022","FQ3 2022","Currency=USD","Period=FQ","BEST_FPERIOD_OVERRIDE=FQ","FILING_STATUS=MR","SCALING_FORMAT=MLN","Sort=A","Dates=H","DateFormat=P","Fill=—","Direction=H","UseDPDF=Y")</f>
        <v>12.535</v>
      </c>
      <c r="U16" s="13" t="str">
        <f>_xll.BDH("BLUE US Equity","ARD_OTHER_RECEIVABLES_ST","FQ4 2022","FQ4 2022","Currency=USD","Period=FQ","BEST_FPERIOD_OVERRIDE=FQ","FILING_STATUS=MR","SCALING_FORMAT=MLN","Sort=A","Dates=H","DateFormat=P","Fill=—","Direction=H","UseDPDF=Y")</f>
        <v>—</v>
      </c>
      <c r="V16" s="13" t="str">
        <f>_xll.BDH("BLUE US Equity","ARD_OTHER_RECEIVABLES_ST","FQ1 2023","FQ1 2023","Currency=USD","Period=FQ","BEST_FPERIOD_OVERRIDE=FQ","FILING_STATUS=MR","SCALING_FORMAT=MLN","Sort=A","Dates=H","DateFormat=P","Fill=—","Direction=H","UseDPDF=Y")</f>
        <v>—</v>
      </c>
      <c r="W16" s="13" t="str">
        <f>_xll.BDH("BLUE US Equity","ARD_OTHER_RECEIVABLES_ST","FQ2 2023","FQ2 2023","Currency=USD","Period=FQ","BEST_FPERIOD_OVERRIDE=FQ","FILING_STATUS=MR","SCALING_FORMAT=MLN","Sort=A","Dates=H","DateFormat=P","Fill=—","Direction=H","UseDPDF=Y")</f>
        <v>—</v>
      </c>
      <c r="X16" s="13" t="str">
        <f>_xll.BDH("BLUE US Equity","ARD_OTHER_RECEIVABLES_ST","FQ3 2023","FQ3 2023","Currency=USD","Period=FQ","BEST_FPERIOD_OVERRIDE=FQ","FILING_STATUS=MR","SCALING_FORMAT=MLN","Sort=A","Dates=H","DateFormat=P","Fill=—","Direction=H","UseDPDF=Y")</f>
        <v>—</v>
      </c>
      <c r="Y16" s="13" t="str">
        <f>_xll.BDH("BLUE US Equity","ARD_OTHER_RECEIVABLES_ST","FQ1 2024","FQ1 2024","Currency=USD","Period=FQ","BEST_FPERIOD_OVERRIDE=FQ","FILING_STATUS=MR","SCALING_FORMAT=MLN","Sort=A","Dates=H","DateFormat=P","Fill=—","Direction=H","UseDPDF=Y")</f>
        <v>—</v>
      </c>
      <c r="Z16" s="13" t="str">
        <f>_xll.BDH("BLUE US Equity","ARD_OTHER_RECEIVABLES_ST","FQ2 2024","FQ2 2024","Currency=USD","Period=FQ","BEST_FPERIOD_OVERRIDE=FQ","FILING_STATUS=MR","SCALING_FORMAT=MLN","Sort=A","Dates=H","DateFormat=P","Fill=—","Direction=H","UseDPDF=Y")</f>
        <v>—</v>
      </c>
      <c r="AA16" s="13" t="str">
        <f>_xll.BDH("BLUE US Equity","ARD_OTHER_RECEIVABLES_ST","FQ3 2024","FQ3 2024","Currency=USD","Period=FQ","BEST_FPERIOD_OVERRIDE=FQ","FILING_STATUS=MR","SCALING_FORMAT=MLN","Sort=A","Dates=H","DateFormat=P","Fill=—","Direction=H","UseDPDF=Y")</f>
        <v>—</v>
      </c>
    </row>
    <row r="17" spans="1:27" x14ac:dyDescent="0.25">
      <c r="A17" s="10" t="s">
        <v>770</v>
      </c>
      <c r="B17" s="10" t="s">
        <v>771</v>
      </c>
      <c r="C17" s="13" t="str">
        <f>_xll.BDH("BLUE US Equity","ARD_ACCTS_REC_OTHER_REC","FQ2 2018","FQ2 2018","Currency=USD","Period=FQ","BEST_FPERIOD_OVERRIDE=FQ","FILING_STATUS=MR","SCALING_FORMAT=MLN","Sort=A","Dates=H","DateFormat=P","Fill=—","Direction=H","UseDPDF=Y")</f>
        <v>—</v>
      </c>
      <c r="D17" s="13" t="str">
        <f>_xll.BDH("BLUE US Equity","ARD_ACCTS_REC_OTHER_REC","FQ3 2018","FQ3 2018","Currency=USD","Period=FQ","BEST_FPERIOD_OVERRIDE=FQ","FILING_STATUS=MR","SCALING_FORMAT=MLN","Sort=A","Dates=H","DateFormat=P","Fill=—","Direction=H","UseDPDF=Y")</f>
        <v>—</v>
      </c>
      <c r="E17" s="13" t="str">
        <f>_xll.BDH("BLUE US Equity","ARD_ACCTS_REC_OTHER_REC","FQ4 2018","FQ4 2018","Currency=USD","Period=FQ","BEST_FPERIOD_OVERRIDE=FQ","FILING_STATUS=MR","SCALING_FORMAT=MLN","Sort=A","Dates=H","DateFormat=P","Fill=—","Direction=H","UseDPDF=Y")</f>
        <v>—</v>
      </c>
      <c r="F17" s="13" t="str">
        <f>_xll.BDH("BLUE US Equity","ARD_ACCTS_REC_OTHER_REC","FQ1 2019","FQ1 2019","Currency=USD","Period=FQ","BEST_FPERIOD_OVERRIDE=FQ","FILING_STATUS=MR","SCALING_FORMAT=MLN","Sort=A","Dates=H","DateFormat=P","Fill=—","Direction=H","UseDPDF=Y")</f>
        <v>—</v>
      </c>
      <c r="G17" s="13" t="str">
        <f>_xll.BDH("BLUE US Equity","ARD_ACCTS_REC_OTHER_REC","FQ2 2019","FQ2 2019","Currency=USD","Period=FQ","BEST_FPERIOD_OVERRIDE=FQ","FILING_STATUS=MR","SCALING_FORMAT=MLN","Sort=A","Dates=H","DateFormat=P","Fill=—","Direction=H","UseDPDF=Y")</f>
        <v>—</v>
      </c>
      <c r="H17" s="13" t="str">
        <f>_xll.BDH("BLUE US Equity","ARD_ACCTS_REC_OTHER_REC","FQ3 2019","FQ3 2019","Currency=USD","Period=FQ","BEST_FPERIOD_OVERRIDE=FQ","FILING_STATUS=MR","SCALING_FORMAT=MLN","Sort=A","Dates=H","DateFormat=P","Fill=—","Direction=H","UseDPDF=Y")</f>
        <v>—</v>
      </c>
      <c r="I17" s="13" t="str">
        <f>_xll.BDH("BLUE US Equity","ARD_ACCTS_REC_OTHER_REC","FQ4 2019","FQ4 2019","Currency=USD","Period=FQ","BEST_FPERIOD_OVERRIDE=FQ","FILING_STATUS=MR","SCALING_FORMAT=MLN","Sort=A","Dates=H","DateFormat=P","Fill=—","Direction=H","UseDPDF=Y")</f>
        <v>—</v>
      </c>
      <c r="J17" s="13" t="str">
        <f>_xll.BDH("BLUE US Equity","ARD_ACCTS_REC_OTHER_REC","FQ1 2020","FQ1 2020","Currency=USD","Period=FQ","BEST_FPERIOD_OVERRIDE=FQ","FILING_STATUS=MR","SCALING_FORMAT=MLN","Sort=A","Dates=H","DateFormat=P","Fill=—","Direction=H","UseDPDF=Y")</f>
        <v>—</v>
      </c>
      <c r="K17" s="13" t="str">
        <f>_xll.BDH("BLUE US Equity","ARD_ACCTS_REC_OTHER_REC","FQ2 2020","FQ2 2020","Currency=USD","Period=FQ","BEST_FPERIOD_OVERRIDE=FQ","FILING_STATUS=MR","SCALING_FORMAT=MLN","Sort=A","Dates=H","DateFormat=P","Fill=—","Direction=H","UseDPDF=Y")</f>
        <v>—</v>
      </c>
      <c r="L17" s="13" t="str">
        <f>_xll.BDH("BLUE US Equity","ARD_ACCTS_REC_OTHER_REC","FQ3 2020","FQ3 2020","Currency=USD","Period=FQ","BEST_FPERIOD_OVERRIDE=FQ","FILING_STATUS=MR","SCALING_FORMAT=MLN","Sort=A","Dates=H","DateFormat=P","Fill=—","Direction=H","UseDPDF=Y")</f>
        <v>—</v>
      </c>
      <c r="M17" s="13" t="str">
        <f>_xll.BDH("BLUE US Equity","ARD_ACCTS_REC_OTHER_REC","FQ4 2020","FQ4 2020","Currency=USD","Period=FQ","BEST_FPERIOD_OVERRIDE=FQ","FILING_STATUS=MR","SCALING_FORMAT=MLN","Sort=A","Dates=H","DateFormat=P","Fill=—","Direction=H","UseDPDF=Y")</f>
        <v>—</v>
      </c>
      <c r="N17" s="13" t="str">
        <f>_xll.BDH("BLUE US Equity","ARD_ACCTS_REC_OTHER_REC","FQ1 2021","FQ1 2021","Currency=USD","Period=FQ","BEST_FPERIOD_OVERRIDE=FQ","FILING_STATUS=MR","SCALING_FORMAT=MLN","Sort=A","Dates=H","DateFormat=P","Fill=—","Direction=H","UseDPDF=Y")</f>
        <v>—</v>
      </c>
      <c r="O17" s="13" t="str">
        <f>_xll.BDH("BLUE US Equity","ARD_ACCTS_REC_OTHER_REC","FQ2 2021","FQ2 2021","Currency=USD","Period=FQ","BEST_FPERIOD_OVERRIDE=FQ","FILING_STATUS=MR","SCALING_FORMAT=MLN","Sort=A","Dates=H","DateFormat=P","Fill=—","Direction=H","UseDPDF=Y")</f>
        <v>—</v>
      </c>
      <c r="P17" s="13" t="str">
        <f>_xll.BDH("BLUE US Equity","ARD_ACCTS_REC_OTHER_REC","FQ3 2021","FQ3 2021","Currency=USD","Period=FQ","BEST_FPERIOD_OVERRIDE=FQ","FILING_STATUS=MR","SCALING_FORMAT=MLN","Sort=A","Dates=H","DateFormat=P","Fill=—","Direction=H","UseDPDF=Y")</f>
        <v>—</v>
      </c>
      <c r="Q17" s="13" t="str">
        <f>_xll.BDH("BLUE US Equity","ARD_ACCTS_REC_OTHER_REC","FQ4 2021","FQ4 2021","Currency=USD","Period=FQ","BEST_FPERIOD_OVERRIDE=FQ","FILING_STATUS=MR","SCALING_FORMAT=MLN","Sort=A","Dates=H","DateFormat=P","Fill=—","Direction=H","UseDPDF=Y")</f>
        <v>—</v>
      </c>
      <c r="R17" s="13" t="str">
        <f>_xll.BDH("BLUE US Equity","ARD_ACCTS_REC_OTHER_REC","FQ1 2022","FQ1 2022","Currency=USD","Period=FQ","BEST_FPERIOD_OVERRIDE=FQ","FILING_STATUS=MR","SCALING_FORMAT=MLN","Sort=A","Dates=H","DateFormat=P","Fill=—","Direction=H","UseDPDF=Y")</f>
        <v>—</v>
      </c>
      <c r="S17" s="13" t="str">
        <f>_xll.BDH("BLUE US Equity","ARD_ACCTS_REC_OTHER_REC","FQ2 2022","FQ2 2022","Currency=USD","Period=FQ","BEST_FPERIOD_OVERRIDE=FQ","FILING_STATUS=MR","SCALING_FORMAT=MLN","Sort=A","Dates=H","DateFormat=P","Fill=—","Direction=H","UseDPDF=Y")</f>
        <v>—</v>
      </c>
      <c r="T17" s="13" t="str">
        <f>_xll.BDH("BLUE US Equity","ARD_ACCTS_REC_OTHER_REC","FQ3 2022","FQ3 2022","Currency=USD","Period=FQ","BEST_FPERIOD_OVERRIDE=FQ","FILING_STATUS=MR","SCALING_FORMAT=MLN","Sort=A","Dates=H","DateFormat=P","Fill=—","Direction=H","UseDPDF=Y")</f>
        <v>—</v>
      </c>
      <c r="U17" s="13" t="str">
        <f>_xll.BDH("BLUE US Equity","ARD_ACCTS_REC_OTHER_REC","FQ4 2022","FQ4 2022","Currency=USD","Period=FQ","BEST_FPERIOD_OVERRIDE=FQ","FILING_STATUS=MR","SCALING_FORMAT=MLN","Sort=A","Dates=H","DateFormat=P","Fill=—","Direction=H","UseDPDF=Y")</f>
        <v>—</v>
      </c>
      <c r="V17" s="13" t="str">
        <f>_xll.BDH("BLUE US Equity","ARD_ACCTS_REC_OTHER_REC","FQ1 2023","FQ1 2023","Currency=USD","Period=FQ","BEST_FPERIOD_OVERRIDE=FQ","FILING_STATUS=MR","SCALING_FORMAT=MLN","Sort=A","Dates=H","DateFormat=P","Fill=—","Direction=H","UseDPDF=Y")</f>
        <v>—</v>
      </c>
      <c r="W17" s="13" t="str">
        <f>_xll.BDH("BLUE US Equity","ARD_ACCTS_REC_OTHER_REC","FQ2 2023","FQ2 2023","Currency=USD","Period=FQ","BEST_FPERIOD_OVERRIDE=FQ","FILING_STATUS=MR","SCALING_FORMAT=MLN","Sort=A","Dates=H","DateFormat=P","Fill=—","Direction=H","UseDPDF=Y")</f>
        <v>—</v>
      </c>
      <c r="X17" s="13" t="str">
        <f>_xll.BDH("BLUE US Equity","ARD_ACCTS_REC_OTHER_REC","FQ3 2023","FQ3 2023","Currency=USD","Period=FQ","BEST_FPERIOD_OVERRIDE=FQ","FILING_STATUS=MR","SCALING_FORMAT=MLN","Sort=A","Dates=H","DateFormat=P","Fill=—","Direction=H","UseDPDF=Y")</f>
        <v>—</v>
      </c>
      <c r="Y17" s="13" t="str">
        <f>_xll.BDH("BLUE US Equity","ARD_ACCTS_REC_OTHER_REC","FQ1 2024","FQ1 2024","Currency=USD","Period=FQ","BEST_FPERIOD_OVERRIDE=FQ","FILING_STATUS=MR","SCALING_FORMAT=MLN","Sort=A","Dates=H","DateFormat=P","Fill=—","Direction=H","UseDPDF=Y")</f>
        <v>—</v>
      </c>
      <c r="Z17" s="13">
        <f>_xll.BDH("BLUE US Equity","ARD_ACCTS_REC_OTHER_REC","FQ2 2024","FQ2 2024","Currency=USD","Period=FQ","BEST_FPERIOD_OVERRIDE=FQ","FILING_STATUS=MR","SCALING_FORMAT=MLN","Sort=A","Dates=H","DateFormat=P","Fill=—","Direction=H","UseDPDF=Y")</f>
        <v>14.278</v>
      </c>
      <c r="AA17" s="13">
        <f>_xll.BDH("BLUE US Equity","ARD_ACCTS_REC_OTHER_REC","FQ3 2024","FQ3 2024","Currency=USD","Period=FQ","BEST_FPERIOD_OVERRIDE=FQ","FILING_STATUS=MR","SCALING_FORMAT=MLN","Sort=A","Dates=H","DateFormat=P","Fill=—","Direction=H","UseDPDF=Y")</f>
        <v>17.600999999999999</v>
      </c>
    </row>
    <row r="18" spans="1:27" x14ac:dyDescent="0.25">
      <c r="A18" s="6" t="s">
        <v>110</v>
      </c>
      <c r="B18" s="6" t="s">
        <v>772</v>
      </c>
      <c r="C18" s="19">
        <f>_xll.BDH("BLUE US Equity","ARD_TOTAL_CUR_ASSETS","FQ2 2018","FQ2 2018","Currency=USD","Period=FQ","BEST_FPERIOD_OVERRIDE=FQ","FILING_STATUS=MR","SCALING_FORMAT=MLN","Sort=A","Dates=H","DateFormat=P","Fill=—","Direction=H","UseDPDF=Y")</f>
        <v>1105.7439999999999</v>
      </c>
      <c r="D18" s="19">
        <f>_xll.BDH("BLUE US Equity","ARD_TOTAL_CUR_ASSETS","FQ3 2018","FQ3 2018","Currency=USD","Period=FQ","BEST_FPERIOD_OVERRIDE=FQ","FILING_STATUS=MR","SCALING_FORMAT=MLN","Sort=A","Dates=H","DateFormat=P","Fill=—","Direction=H","UseDPDF=Y")</f>
        <v>1725.348</v>
      </c>
      <c r="E18" s="19">
        <f>_xll.BDH("BLUE US Equity","ARD_TOTAL_CUR_ASSETS","FQ4 2018","FQ4 2018","Currency=USD","Period=FQ","BEST_FPERIOD_OVERRIDE=FQ","FILING_STATUS=MR","SCALING_FORMAT=MLN","Sort=A","Dates=H","DateFormat=P","Fill=—","Direction=H","UseDPDF=Y")</f>
        <v>1418.9970000000001</v>
      </c>
      <c r="F18" s="19">
        <f>_xll.BDH("BLUE US Equity","ARD_TOTAL_CUR_ASSETS","FQ1 2019","FQ1 2019","Currency=USD","Period=FQ","BEST_FPERIOD_OVERRIDE=FQ","FILING_STATUS=MR","SCALING_FORMAT=MLN","Sort=A","Dates=H","DateFormat=P","Fill=—","Direction=H","UseDPDF=Y")</f>
        <v>1365.0319999999999</v>
      </c>
      <c r="G18" s="19">
        <f>_xll.BDH("BLUE US Equity","ARD_TOTAL_CUR_ASSETS","FQ2 2019","FQ2 2019","Currency=USD","Period=FQ","BEST_FPERIOD_OVERRIDE=FQ","FILING_STATUS=MR","SCALING_FORMAT=MLN","Sort=A","Dates=H","DateFormat=P","Fill=—","Direction=H","UseDPDF=Y")</f>
        <v>1300.78</v>
      </c>
      <c r="H18" s="19">
        <f>_xll.BDH("BLUE US Equity","ARD_TOTAL_CUR_ASSETS","FQ3 2019","FQ3 2019","Currency=USD","Period=FQ","BEST_FPERIOD_OVERRIDE=FQ","FILING_STATUS=MR","SCALING_FORMAT=MLN","Sort=A","Dates=H","DateFormat=P","Fill=—","Direction=H","UseDPDF=Y")</f>
        <v>1220.0319999999999</v>
      </c>
      <c r="I18" s="19">
        <f>_xll.BDH("BLUE US Equity","ARD_TOTAL_CUR_ASSETS","FQ4 2019","FQ4 2019","Currency=USD","Period=FQ","BEST_FPERIOD_OVERRIDE=FQ","FILING_STATUS=MR","SCALING_FORMAT=MLN","Sort=A","Dates=H","DateFormat=P","Fill=—","Direction=H","UseDPDF=Y")</f>
        <v>1152.174</v>
      </c>
      <c r="J18" s="19">
        <f>_xll.BDH("BLUE US Equity","ARD_TOTAL_CUR_ASSETS","FQ1 2020","FQ1 2020","Currency=USD","Period=FQ","BEST_FPERIOD_OVERRIDE=FQ","FILING_STATUS=MR","SCALING_FORMAT=MLN","Sort=A","Dates=H","DateFormat=P","Fill=—","Direction=H","UseDPDF=Y")</f>
        <v>967.46699999999998</v>
      </c>
      <c r="K18" s="19">
        <f>_xll.BDH("BLUE US Equity","ARD_TOTAL_CUR_ASSETS","FQ2 2020","FQ2 2020","Currency=USD","Period=FQ","BEST_FPERIOD_OVERRIDE=FQ","FILING_STATUS=MR","SCALING_FORMAT=MLN","Sort=A","Dates=H","DateFormat=P","Fill=—","Direction=H","UseDPDF=Y")</f>
        <v>1613.4449999999999</v>
      </c>
      <c r="L18" s="19">
        <f>_xll.BDH("BLUE US Equity","ARD_TOTAL_CUR_ASSETS","FQ3 2020","FQ3 2020","Currency=USD","Period=FQ","BEST_FPERIOD_OVERRIDE=FQ","FILING_STATUS=MR","SCALING_FORMAT=MLN","Sort=A","Dates=H","DateFormat=P","Fill=—","Direction=H","UseDPDF=Y")</f>
        <v>1293.194</v>
      </c>
      <c r="M18" s="19">
        <f>_xll.BDH("BLUE US Equity","ARD_TOTAL_CUR_ASSETS","FQ4 2020","FQ4 2020","Currency=USD","Period=FQ","BEST_FPERIOD_OVERRIDE=FQ","FILING_STATUS=MR","SCALING_FORMAT=MLN","Sort=A","Dates=H","DateFormat=P","Fill=—","Direction=H","UseDPDF=Y")</f>
        <v>1215.537</v>
      </c>
      <c r="N18" s="19">
        <f>_xll.BDH("BLUE US Equity","ARD_TOTAL_CUR_ASSETS","FQ1 2021","FQ1 2021","Currency=USD","Period=FQ","BEST_FPERIOD_OVERRIDE=FQ","FILING_STATUS=MR","SCALING_FORMAT=MLN","Sort=A","Dates=H","DateFormat=P","Fill=—","Direction=H","UseDPDF=Y")</f>
        <v>1097.5350000000001</v>
      </c>
      <c r="O18" s="19">
        <f>_xll.BDH("BLUE US Equity","ARD_TOTAL_CUR_ASSETS","FQ2 2021","FQ2 2021","Currency=USD","Period=FQ","BEST_FPERIOD_OVERRIDE=FQ","FILING_STATUS=MR","SCALING_FORMAT=MLN","Sort=A","Dates=H","DateFormat=P","Fill=—","Direction=H","UseDPDF=Y")</f>
        <v>903.52599999999995</v>
      </c>
      <c r="P18" s="19">
        <f>_xll.BDH("BLUE US Equity","ARD_TOTAL_CUR_ASSETS","FQ3 2021","FQ3 2021","Currency=USD","Period=FQ","BEST_FPERIOD_OVERRIDE=FQ","FILING_STATUS=MR","SCALING_FORMAT=MLN","Sort=A","Dates=H","DateFormat=P","Fill=—","Direction=H","UseDPDF=Y")</f>
        <v>832.32500000000005</v>
      </c>
      <c r="Q18" s="19">
        <f>_xll.BDH("BLUE US Equity","ARD_TOTAL_CUR_ASSETS","FQ4 2021","FQ4 2021","Currency=USD","Period=FQ","BEST_FPERIOD_OVERRIDE=FQ","FILING_STATUS=MR","SCALING_FORMAT=MLN","Sort=A","Dates=H","DateFormat=P","Fill=—","Direction=H","UseDPDF=Y")</f>
        <v>336.52</v>
      </c>
      <c r="R18" s="19">
        <f>_xll.BDH("BLUE US Equity","ARD_TOTAL_CUR_ASSETS","FQ1 2022","FQ1 2022","Currency=USD","Period=FQ","BEST_FPERIOD_OVERRIDE=FQ","FILING_STATUS=MR","SCALING_FORMAT=MLN","Sort=A","Dates=H","DateFormat=P","Fill=—","Direction=H","UseDPDF=Y")</f>
        <v>254.917</v>
      </c>
      <c r="S18" s="19">
        <f>_xll.BDH("BLUE US Equity","ARD_TOTAL_CUR_ASSETS","FQ2 2022","FQ2 2022","Currency=USD","Period=FQ","BEST_FPERIOD_OVERRIDE=FQ","FILING_STATUS=MR","SCALING_FORMAT=MLN","Sort=A","Dates=H","DateFormat=P","Fill=—","Direction=H","UseDPDF=Y")</f>
        <v>167.458</v>
      </c>
      <c r="T18" s="19">
        <f>_xll.BDH("BLUE US Equity","ARD_TOTAL_CUR_ASSETS","FQ3 2022","FQ3 2022","Currency=USD","Period=FQ","BEST_FPERIOD_OVERRIDE=FQ","FILING_STATUS=MR","SCALING_FORMAT=MLN","Sort=A","Dates=H","DateFormat=P","Fill=—","Direction=H","UseDPDF=Y")</f>
        <v>160.43799999999999</v>
      </c>
      <c r="U18" s="19">
        <f>_xll.BDH("BLUE US Equity","ARD_TOTAL_CUR_ASSETS","FQ4 2022","FQ4 2022","Currency=USD","Period=FQ","BEST_FPERIOD_OVERRIDE=FQ","FILING_STATUS=MR","SCALING_FORMAT=MLN","Sort=A","Dates=H","DateFormat=P","Fill=—","Direction=H","UseDPDF=Y")</f>
        <v>199.488</v>
      </c>
      <c r="V18" s="19">
        <f>_xll.BDH("BLUE US Equity","ARD_TOTAL_CUR_ASSETS","FQ1 2023","FQ1 2023","Currency=USD","Period=FQ","BEST_FPERIOD_OVERRIDE=FQ","FILING_STATUS=MR","SCALING_FORMAT=MLN","Sort=A","Dates=H","DateFormat=P","Fill=—","Direction=H","UseDPDF=Y")</f>
        <v>351.07100000000003</v>
      </c>
      <c r="W18" s="19">
        <f>_xll.BDH("BLUE US Equity","ARD_TOTAL_CUR_ASSETS","FQ2 2023","FQ2 2023","Currency=USD","Period=FQ","BEST_FPERIOD_OVERRIDE=FQ","FILING_STATUS=MR","SCALING_FORMAT=MLN","Sort=A","Dates=H","DateFormat=P","Fill=—","Direction=H","UseDPDF=Y")</f>
        <v>287.97699999999998</v>
      </c>
      <c r="X18" s="19">
        <f>_xll.BDH("BLUE US Equity","ARD_TOTAL_CUR_ASSETS","FQ3 2023","FQ3 2023","Currency=USD","Period=FQ","BEST_FPERIOD_OVERRIDE=FQ","FILING_STATUS=MR","SCALING_FORMAT=MLN","Sort=A","Dates=H","DateFormat=P","Fill=—","Direction=H","UseDPDF=Y")</f>
        <v>247.07599999999999</v>
      </c>
      <c r="Y18" s="19">
        <f>_xll.BDH("BLUE US Equity","ARD_TOTAL_CUR_ASSETS","FQ1 2024","FQ1 2024","Currency=USD","Period=FQ","BEST_FPERIOD_OVERRIDE=FQ","FILING_STATUS=MR","SCALING_FORMAT=MLN","Sort=A","Dates=H","DateFormat=P","Fill=—","Direction=H","UseDPDF=Y")</f>
        <v>271.601</v>
      </c>
      <c r="Z18" s="19">
        <f>_xll.BDH("BLUE US Equity","ARD_TOTAL_CUR_ASSETS","FQ2 2024","FQ2 2024","Currency=USD","Period=FQ","BEST_FPERIOD_OVERRIDE=FQ","FILING_STATUS=MR","SCALING_FORMAT=MLN","Sort=A","Dates=H","DateFormat=P","Fill=—","Direction=H","UseDPDF=Y")</f>
        <v>203.51599999999999</v>
      </c>
      <c r="AA18" s="19">
        <f>_xll.BDH("BLUE US Equity","ARD_TOTAL_CUR_ASSETS","FQ3 2024","FQ3 2024","Currency=USD","Period=FQ","BEST_FPERIOD_OVERRIDE=FQ","FILING_STATUS=MR","SCALING_FORMAT=MLN","Sort=A","Dates=H","DateFormat=P","Fill=—","Direction=H","UseDPDF=Y")</f>
        <v>150.81100000000001</v>
      </c>
    </row>
    <row r="19" spans="1:27" x14ac:dyDescent="0.25">
      <c r="A19" s="10" t="s">
        <v>773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774</v>
      </c>
      <c r="B20" s="10" t="s">
        <v>775</v>
      </c>
      <c r="C20" s="13">
        <f>_xll.BDH("BLUE US Equity","ARD_NON_CUR_MKT_SEC","FQ2 2018","FQ2 2018","Currency=USD","Period=FQ","BEST_FPERIOD_OVERRIDE=FQ","FILING_STATUS=MR","SCALING_FORMAT=MLN","Sort=A","Dates=H","DateFormat=P","Fill=—","Direction=H","UseDPDF=Y")</f>
        <v>380.28399999999999</v>
      </c>
      <c r="D20" s="13">
        <f>_xll.BDH("BLUE US Equity","ARD_NON_CUR_MKT_SEC","FQ3 2018","FQ3 2018","Currency=USD","Period=FQ","BEST_FPERIOD_OVERRIDE=FQ","FILING_STATUS=MR","SCALING_FORMAT=MLN","Sort=A","Dates=H","DateFormat=P","Fill=—","Direction=H","UseDPDF=Y")</f>
        <v>323.77199999999999</v>
      </c>
      <c r="E20" s="13">
        <f>_xll.BDH("BLUE US Equity","ARD_NON_CUR_MKT_SEC","FQ4 2018","FQ4 2018","Currency=USD","Period=FQ","BEST_FPERIOD_OVERRIDE=FQ","FILING_STATUS=MR","SCALING_FORMAT=MLN","Sort=A","Dates=H","DateFormat=P","Fill=—","Direction=H","UseDPDF=Y")</f>
        <v>506.12299999999999</v>
      </c>
      <c r="F20" s="13">
        <f>_xll.BDH("BLUE US Equity","ARD_NON_CUR_MKT_SEC","FQ1 2019","FQ1 2019","Currency=USD","Period=FQ","BEST_FPERIOD_OVERRIDE=FQ","FILING_STATUS=MR","SCALING_FORMAT=MLN","Sort=A","Dates=H","DateFormat=P","Fill=—","Direction=H","UseDPDF=Y")</f>
        <v>408.94900000000001</v>
      </c>
      <c r="G20" s="13">
        <f>_xll.BDH("BLUE US Equity","ARD_NON_CUR_MKT_SEC","FQ2 2019","FQ2 2019","Currency=USD","Period=FQ","BEST_FPERIOD_OVERRIDE=FQ","FILING_STATUS=MR","SCALING_FORMAT=MLN","Sort=A","Dates=H","DateFormat=P","Fill=—","Direction=H","UseDPDF=Y")</f>
        <v>287.92200000000003</v>
      </c>
      <c r="H20" s="13">
        <f>_xll.BDH("BLUE US Equity","ARD_NON_CUR_MKT_SEC","FQ3 2019","FQ3 2019","Currency=USD","Period=FQ","BEST_FPERIOD_OVERRIDE=FQ","FILING_STATUS=MR","SCALING_FORMAT=MLN","Sort=A","Dates=H","DateFormat=P","Fill=—","Direction=H","UseDPDF=Y")</f>
        <v>225.93199999999999</v>
      </c>
      <c r="I20" s="13">
        <f>_xll.BDH("BLUE US Equity","ARD_NON_CUR_MKT_SEC","FQ4 2019","FQ4 2019","Currency=USD","Period=FQ","BEST_FPERIOD_OVERRIDE=FQ","FILING_STATUS=MR","SCALING_FORMAT=MLN","Sort=A","Dates=H","DateFormat=P","Fill=—","Direction=H","UseDPDF=Y")</f>
        <v>131.506</v>
      </c>
      <c r="J20" s="13">
        <f>_xll.BDH("BLUE US Equity","ARD_NON_CUR_MKT_SEC","FQ1 2020","FQ1 2020","Currency=USD","Period=FQ","BEST_FPERIOD_OVERRIDE=FQ","FILING_STATUS=MR","SCALING_FORMAT=MLN","Sort=A","Dates=H","DateFormat=P","Fill=—","Direction=H","UseDPDF=Y")</f>
        <v>107.67400000000001</v>
      </c>
      <c r="K20" s="13">
        <f>_xll.BDH("BLUE US Equity","ARD_NON_CUR_MKT_SEC","FQ2 2020","FQ2 2020","Currency=USD","Period=FQ","BEST_FPERIOD_OVERRIDE=FQ","FILING_STATUS=MR","SCALING_FORMAT=MLN","Sort=A","Dates=H","DateFormat=P","Fill=—","Direction=H","UseDPDF=Y")</f>
        <v>49.411000000000001</v>
      </c>
      <c r="L20" s="13">
        <f>_xll.BDH("BLUE US Equity","ARD_NON_CUR_MKT_SEC","FQ3 2020","FQ3 2020","Currency=USD","Period=FQ","BEST_FPERIOD_OVERRIDE=FQ","FILING_STATUS=MR","SCALING_FORMAT=MLN","Sort=A","Dates=H","DateFormat=P","Fill=—","Direction=H","UseDPDF=Y")</f>
        <v>207.61500000000001</v>
      </c>
      <c r="M20" s="13">
        <f>_xll.BDH("BLUE US Equity","ARD_NON_CUR_MKT_SEC","FQ4 2020","FQ4 2020","Currency=USD","Period=FQ","BEST_FPERIOD_OVERRIDE=FQ","FILING_STATUS=MR","SCALING_FORMAT=MLN","Sort=A","Dates=H","DateFormat=P","Fill=—","Direction=H","UseDPDF=Y")</f>
        <v>61.445</v>
      </c>
      <c r="N20" s="13">
        <f>_xll.BDH("BLUE US Equity","ARD_NON_CUR_MKT_SEC","FQ1 2021","FQ1 2021","Currency=USD","Period=FQ","BEST_FPERIOD_OVERRIDE=FQ","FILING_STATUS=MR","SCALING_FORMAT=MLN","Sort=A","Dates=H","DateFormat=P","Fill=—","Direction=H","UseDPDF=Y")</f>
        <v>81.114999999999995</v>
      </c>
      <c r="O20" s="13">
        <f>_xll.BDH("BLUE US Equity","ARD_NON_CUR_MKT_SEC","FQ2 2021","FQ2 2021","Currency=USD","Period=FQ","BEST_FPERIOD_OVERRIDE=FQ","FILING_STATUS=MR","SCALING_FORMAT=MLN","Sort=A","Dates=H","DateFormat=P","Fill=—","Direction=H","UseDPDF=Y")</f>
        <v>101.92700000000001</v>
      </c>
      <c r="P20" s="13">
        <f>_xll.BDH("BLUE US Equity","ARD_NON_CUR_MKT_SEC","FQ3 2021","FQ3 2021","Currency=USD","Period=FQ","BEST_FPERIOD_OVERRIDE=FQ","FILING_STATUS=MR","SCALING_FORMAT=MLN","Sort=A","Dates=H","DateFormat=P","Fill=—","Direction=H","UseDPDF=Y")</f>
        <v>193.12899999999999</v>
      </c>
      <c r="Q20" s="13">
        <f>_xll.BDH("BLUE US Equity","ARD_NON_CUR_MKT_SEC","FQ4 2021","FQ4 2021","Currency=USD","Period=FQ","BEST_FPERIOD_OVERRIDE=FQ","FILING_STATUS=MR","SCALING_FORMAT=MLN","Sort=A","Dates=H","DateFormat=P","Fill=—","Direction=H","UseDPDF=Y")</f>
        <v>97.114000000000004</v>
      </c>
      <c r="R20" s="13">
        <f>_xll.BDH("BLUE US Equity","ARD_NON_CUR_MKT_SEC","FQ1 2022","FQ1 2022","Currency=USD","Period=FQ","BEST_FPERIOD_OVERRIDE=FQ","FILING_STATUS=MR","SCALING_FORMAT=MLN","Sort=A","Dates=H","DateFormat=P","Fill=—","Direction=H","UseDPDF=Y")</f>
        <v>55.048999999999999</v>
      </c>
      <c r="S20" s="13">
        <f>_xll.BDH("BLUE US Equity","ARD_NON_CUR_MKT_SEC","FQ2 2022","FQ2 2022","Currency=USD","Period=FQ","BEST_FPERIOD_OVERRIDE=FQ","FILING_STATUS=MR","SCALING_FORMAT=MLN","Sort=A","Dates=H","DateFormat=P","Fill=—","Direction=H","UseDPDF=Y")</f>
        <v>40.640999999999998</v>
      </c>
      <c r="T20" s="13">
        <f>_xll.BDH("BLUE US Equity","ARD_NON_CUR_MKT_SEC","FQ3 2022","FQ3 2022","Currency=USD","Period=FQ","BEST_FPERIOD_OVERRIDE=FQ","FILING_STATUS=MR","SCALING_FORMAT=MLN","Sort=A","Dates=H","DateFormat=P","Fill=—","Direction=H","UseDPDF=Y")</f>
        <v>1.407</v>
      </c>
      <c r="U20" s="13">
        <f>_xll.BDH("BLUE US Equity","ARD_NON_CUR_MKT_SEC","FQ4 2022","FQ4 2022","Currency=USD","Period=FQ","BEST_FPERIOD_OVERRIDE=FQ","FILING_STATUS=MR","SCALING_FORMAT=MLN","Sort=A","Dates=H","DateFormat=P","Fill=—","Direction=H","UseDPDF=Y")</f>
        <v>1.4139999999999999</v>
      </c>
      <c r="V20" s="13">
        <f>_xll.BDH("BLUE US Equity","ARD_NON_CUR_MKT_SEC","FQ1 2023","FQ1 2023","Currency=USD","Period=FQ","BEST_FPERIOD_OVERRIDE=FQ","FILING_STATUS=MR","SCALING_FORMAT=MLN","Sort=A","Dates=H","DateFormat=P","Fill=—","Direction=H","UseDPDF=Y")</f>
        <v>0</v>
      </c>
      <c r="W20" s="13">
        <f>_xll.BDH("BLUE US Equity","ARD_NON_CUR_MKT_SEC","FQ2 2023","FQ2 2023","Currency=USD","Period=FQ","BEST_FPERIOD_OVERRIDE=FQ","FILING_STATUS=MR","SCALING_FORMAT=MLN","Sort=A","Dates=H","DateFormat=P","Fill=—","Direction=H","UseDPDF=Y")</f>
        <v>0</v>
      </c>
      <c r="X20" s="13">
        <f>_xll.BDH("BLUE US Equity","ARD_NON_CUR_MKT_SEC","FQ3 2023","FQ3 2023","Currency=USD","Period=FQ","BEST_FPERIOD_OVERRIDE=FQ","FILING_STATUS=MR","SCALING_FORMAT=MLN","Sort=A","Dates=H","DateFormat=P","Fill=—","Direction=H","UseDPDF=Y")</f>
        <v>0</v>
      </c>
      <c r="Y20" s="13" t="str">
        <f>_xll.BDH("BLUE US Equity","ARD_NON_CUR_MKT_SEC","FQ1 2024","FQ1 2024","Currency=USD","Period=FQ","BEST_FPERIOD_OVERRIDE=FQ","FILING_STATUS=MR","SCALING_FORMAT=MLN","Sort=A","Dates=H","DateFormat=P","Fill=—","Direction=H","UseDPDF=Y")</f>
        <v>—</v>
      </c>
      <c r="Z20" s="13" t="str">
        <f>_xll.BDH("BLUE US Equity","ARD_NON_CUR_MKT_SEC","FQ2 2024","FQ2 2024","Currency=USD","Period=FQ","BEST_FPERIOD_OVERRIDE=FQ","FILING_STATUS=MR","SCALING_FORMAT=MLN","Sort=A","Dates=H","DateFormat=P","Fill=—","Direction=H","UseDPDF=Y")</f>
        <v>—</v>
      </c>
      <c r="AA20" s="13" t="str">
        <f>_xll.BDH("BLUE US Equity","ARD_NON_CUR_MKT_SEC","FQ3 2024","FQ3 2024","Currency=USD","Period=FQ","BEST_FPERIOD_OVERRIDE=FQ","FILING_STATUS=MR","SCALING_FORMAT=MLN","Sort=A","Dates=H","DateFormat=P","Fill=—","Direction=H","UseDPDF=Y")</f>
        <v>—</v>
      </c>
    </row>
    <row r="21" spans="1:27" x14ac:dyDescent="0.25">
      <c r="A21" s="10" t="s">
        <v>776</v>
      </c>
      <c r="B21" s="10" t="s">
        <v>777</v>
      </c>
      <c r="C21" s="13">
        <f>_xll.BDH("BLUE US Equity","ARD_PROPERTY_PLANT_EQUIP_NET","FQ2 2018","FQ2 2018","Currency=USD","Period=FQ","BEST_FPERIOD_OVERRIDE=FQ","FILING_STATUS=MR","SCALING_FORMAT=MLN","Sort=A","Dates=H","DateFormat=P","Fill=—","Direction=H","UseDPDF=Y")</f>
        <v>219.226</v>
      </c>
      <c r="D21" s="13">
        <f>_xll.BDH("BLUE US Equity","ARD_PROPERTY_PLANT_EQUIP_NET","FQ3 2018","FQ3 2018","Currency=USD","Period=FQ","BEST_FPERIOD_OVERRIDE=FQ","FILING_STATUS=MR","SCALING_FORMAT=MLN","Sort=A","Dates=H","DateFormat=P","Fill=—","Direction=H","UseDPDF=Y")</f>
        <v>232.863</v>
      </c>
      <c r="E21" s="13">
        <f>_xll.BDH("BLUE US Equity","ARD_PROPERTY_PLANT_EQUIP_NET","FQ4 2018","FQ4 2018","Currency=USD","Period=FQ","BEST_FPERIOD_OVERRIDE=FQ","FILING_STATUS=MR","SCALING_FORMAT=MLN","Sort=A","Dates=H","DateFormat=P","Fill=—","Direction=H","UseDPDF=Y")</f>
        <v>246.62200000000001</v>
      </c>
      <c r="F21" s="13">
        <f>_xll.BDH("BLUE US Equity","ARD_PROPERTY_PLANT_EQUIP_NET","FQ1 2019","FQ1 2019","Currency=USD","Period=FQ","BEST_FPERIOD_OVERRIDE=FQ","FILING_STATUS=MR","SCALING_FORMAT=MLN","Sort=A","Dates=H","DateFormat=P","Fill=—","Direction=H","UseDPDF=Y")</f>
        <v>114.03</v>
      </c>
      <c r="G21" s="13">
        <f>_xll.BDH("BLUE US Equity","ARD_PROPERTY_PLANT_EQUIP_NET","FQ2 2019","FQ2 2019","Currency=USD","Period=FQ","BEST_FPERIOD_OVERRIDE=FQ","FILING_STATUS=MR","SCALING_FORMAT=MLN","Sort=A","Dates=H","DateFormat=P","Fill=—","Direction=H","UseDPDF=Y")</f>
        <v>129.13499999999999</v>
      </c>
      <c r="H21" s="13">
        <f>_xll.BDH("BLUE US Equity","ARD_PROPERTY_PLANT_EQUIP_NET","FQ3 2019","FQ3 2019","Currency=USD","Period=FQ","BEST_FPERIOD_OVERRIDE=FQ","FILING_STATUS=MR","SCALING_FORMAT=MLN","Sort=A","Dates=H","DateFormat=P","Fill=—","Direction=H","UseDPDF=Y")</f>
        <v>144.09700000000001</v>
      </c>
      <c r="I21" s="13">
        <f>_xll.BDH("BLUE US Equity","ARD_PROPERTY_PLANT_EQUIP_NET","FQ4 2019","FQ4 2019","Currency=USD","Period=FQ","BEST_FPERIOD_OVERRIDE=FQ","FILING_STATUS=MR","SCALING_FORMAT=MLN","Sort=A","Dates=H","DateFormat=P","Fill=—","Direction=H","UseDPDF=Y")</f>
        <v>151.17599999999999</v>
      </c>
      <c r="J21" s="13">
        <f>_xll.BDH("BLUE US Equity","ARD_PROPERTY_PLANT_EQUIP_NET","FQ1 2020","FQ1 2020","Currency=USD","Period=FQ","BEST_FPERIOD_OVERRIDE=FQ","FILING_STATUS=MR","SCALING_FORMAT=MLN","Sort=A","Dates=H","DateFormat=P","Fill=—","Direction=H","UseDPDF=Y")</f>
        <v>153.91999999999999</v>
      </c>
      <c r="K21" s="13">
        <f>_xll.BDH("BLUE US Equity","ARD_PROPERTY_PLANT_EQUIP_NET","FQ2 2020","FQ2 2020","Currency=USD","Period=FQ","BEST_FPERIOD_OVERRIDE=FQ","FILING_STATUS=MR","SCALING_FORMAT=MLN","Sort=A","Dates=H","DateFormat=P","Fill=—","Direction=H","UseDPDF=Y")</f>
        <v>155.376</v>
      </c>
      <c r="L21" s="13">
        <f>_xll.BDH("BLUE US Equity","ARD_PROPERTY_PLANT_EQUIP_NET","FQ3 2020","FQ3 2020","Currency=USD","Period=FQ","BEST_FPERIOD_OVERRIDE=FQ","FILING_STATUS=MR","SCALING_FORMAT=MLN","Sort=A","Dates=H","DateFormat=P","Fill=—","Direction=H","UseDPDF=Y")</f>
        <v>157.68100000000001</v>
      </c>
      <c r="M21" s="13">
        <f>_xll.BDH("BLUE US Equity","ARD_PROPERTY_PLANT_EQUIP_NET","FQ4 2020","FQ4 2020","Currency=USD","Period=FQ","BEST_FPERIOD_OVERRIDE=FQ","FILING_STATUS=MR","SCALING_FORMAT=MLN","Sort=A","Dates=H","DateFormat=P","Fill=—","Direction=H","UseDPDF=Y")</f>
        <v>17.373000000000001</v>
      </c>
      <c r="N21" s="13">
        <f>_xll.BDH("BLUE US Equity","ARD_PROPERTY_PLANT_EQUIP_NET","FQ1 2021","FQ1 2021","Currency=USD","Period=FQ","BEST_FPERIOD_OVERRIDE=FQ","FILING_STATUS=MR","SCALING_FORMAT=MLN","Sort=A","Dates=H","DateFormat=P","Fill=—","Direction=H","UseDPDF=Y")</f>
        <v>165.19800000000001</v>
      </c>
      <c r="O21" s="13">
        <f>_xll.BDH("BLUE US Equity","ARD_PROPERTY_PLANT_EQUIP_NET","FQ2 2021","FQ2 2021","Currency=USD","Period=FQ","BEST_FPERIOD_OVERRIDE=FQ","FILING_STATUS=MR","SCALING_FORMAT=MLN","Sort=A","Dates=H","DateFormat=P","Fill=—","Direction=H","UseDPDF=Y")</f>
        <v>158.82</v>
      </c>
      <c r="P21" s="13">
        <f>_xll.BDH("BLUE US Equity","ARD_PROPERTY_PLANT_EQUIP_NET","FQ3 2021","FQ3 2021","Currency=USD","Period=FQ","BEST_FPERIOD_OVERRIDE=FQ","FILING_STATUS=MR","SCALING_FORMAT=MLN","Sort=A","Dates=H","DateFormat=P","Fill=—","Direction=H","UseDPDF=Y")</f>
        <v>45.744999999999997</v>
      </c>
      <c r="Q21" s="13">
        <f>_xll.BDH("BLUE US Equity","ARD_PROPERTY_PLANT_EQUIP_NET","FQ4 2021","FQ4 2021","Currency=USD","Period=FQ","BEST_FPERIOD_OVERRIDE=FQ","FILING_STATUS=MR","SCALING_FORMAT=MLN","Sort=A","Dates=H","DateFormat=P","Fill=—","Direction=H","UseDPDF=Y")</f>
        <v>9.7059999999999995</v>
      </c>
      <c r="R21" s="13">
        <f>_xll.BDH("BLUE US Equity","ARD_PROPERTY_PLANT_EQUIP_NET","FQ1 2022","FQ1 2022","Currency=USD","Period=FQ","BEST_FPERIOD_OVERRIDE=FQ","FILING_STATUS=MR","SCALING_FORMAT=MLN","Sort=A","Dates=H","DateFormat=P","Fill=—","Direction=H","UseDPDF=Y")</f>
        <v>11.234</v>
      </c>
      <c r="S21" s="13">
        <f>_xll.BDH("BLUE US Equity","ARD_PROPERTY_PLANT_EQUIP_NET","FQ2 2022","FQ2 2022","Currency=USD","Period=FQ","BEST_FPERIOD_OVERRIDE=FQ","FILING_STATUS=MR","SCALING_FORMAT=MLN","Sort=A","Dates=H","DateFormat=P","Fill=—","Direction=H","UseDPDF=Y")</f>
        <v>14.566000000000001</v>
      </c>
      <c r="T21" s="13">
        <f>_xll.BDH("BLUE US Equity","ARD_PROPERTY_PLANT_EQUIP_NET","FQ3 2022","FQ3 2022","Currency=USD","Period=FQ","BEST_FPERIOD_OVERRIDE=FQ","FILING_STATUS=MR","SCALING_FORMAT=MLN","Sort=A","Dates=H","DateFormat=P","Fill=—","Direction=H","UseDPDF=Y")</f>
        <v>11.535</v>
      </c>
      <c r="U21" s="13">
        <f>_xll.BDH("BLUE US Equity","ARD_PROPERTY_PLANT_EQUIP_NET","FQ4 2022","FQ4 2022","Currency=USD","Period=FQ","BEST_FPERIOD_OVERRIDE=FQ","FILING_STATUS=MR","SCALING_FORMAT=MLN","Sort=A","Dates=H","DateFormat=P","Fill=—","Direction=H","UseDPDF=Y")</f>
        <v>9.3620000000000001</v>
      </c>
      <c r="V21" s="13">
        <f>_xll.BDH("BLUE US Equity","ARD_PROPERTY_PLANT_EQUIP_NET","FQ1 2023","FQ1 2023","Currency=USD","Period=FQ","BEST_FPERIOD_OVERRIDE=FQ","FILING_STATUS=MR","SCALING_FORMAT=MLN","Sort=A","Dates=H","DateFormat=P","Fill=—","Direction=H","UseDPDF=Y")</f>
        <v>8.718</v>
      </c>
      <c r="W21" s="13">
        <f>_xll.BDH("BLUE US Equity","ARD_PROPERTY_PLANT_EQUIP_NET","FQ2 2023","FQ2 2023","Currency=USD","Period=FQ","BEST_FPERIOD_OVERRIDE=FQ","FILING_STATUS=MR","SCALING_FORMAT=MLN","Sort=A","Dates=H","DateFormat=P","Fill=—","Direction=H","UseDPDF=Y")</f>
        <v>10.227</v>
      </c>
      <c r="X21" s="13">
        <f>_xll.BDH("BLUE US Equity","ARD_PROPERTY_PLANT_EQUIP_NET","FQ3 2023","FQ3 2023","Currency=USD","Period=FQ","BEST_FPERIOD_OVERRIDE=FQ","FILING_STATUS=MR","SCALING_FORMAT=MLN","Sort=A","Dates=H","DateFormat=P","Fill=—","Direction=H","UseDPDF=Y")</f>
        <v>9.9719999999999995</v>
      </c>
      <c r="Y21" s="13">
        <f>_xll.BDH("BLUE US Equity","ARD_PROPERTY_PLANT_EQUIP_NET","FQ1 2024","FQ1 2024","Currency=USD","Period=FQ","BEST_FPERIOD_OVERRIDE=FQ","FILING_STATUS=MR","SCALING_FORMAT=MLN","Sort=A","Dates=H","DateFormat=P","Fill=—","Direction=H","UseDPDF=Y")</f>
        <v>90.366</v>
      </c>
      <c r="Z21" s="13">
        <f>_xll.BDH("BLUE US Equity","ARD_PROPERTY_PLANT_EQUIP_NET","FQ2 2024","FQ2 2024","Currency=USD","Period=FQ","BEST_FPERIOD_OVERRIDE=FQ","FILING_STATUS=MR","SCALING_FORMAT=MLN","Sort=A","Dates=H","DateFormat=P","Fill=—","Direction=H","UseDPDF=Y")</f>
        <v>78.756</v>
      </c>
      <c r="AA21" s="13">
        <f>_xll.BDH("BLUE US Equity","ARD_PROPERTY_PLANT_EQUIP_NET","FQ3 2024","FQ3 2024","Currency=USD","Period=FQ","BEST_FPERIOD_OVERRIDE=FQ","FILING_STATUS=MR","SCALING_FORMAT=MLN","Sort=A","Dates=H","DateFormat=P","Fill=—","Direction=H","UseDPDF=Y")</f>
        <v>62.593000000000004</v>
      </c>
    </row>
    <row r="22" spans="1:27" x14ac:dyDescent="0.25">
      <c r="A22" s="10" t="s">
        <v>778</v>
      </c>
      <c r="B22" s="10" t="s">
        <v>779</v>
      </c>
      <c r="C22" s="13">
        <f>_xll.BDH("BLUE US Equity","ARD_OTHER_INTANGIBLE_ASSET","FQ2 2018","FQ2 2018","Currency=USD","Period=FQ","BEST_FPERIOD_OVERRIDE=FQ","FILING_STATUS=MR","SCALING_FORMAT=MLN","Sort=A","Dates=H","DateFormat=P","Fill=—","Direction=H","UseDPDF=Y")</f>
        <v>15.05</v>
      </c>
      <c r="D22" s="13">
        <f>_xll.BDH("BLUE US Equity","ARD_OTHER_INTANGIBLE_ASSET","FQ3 2018","FQ3 2018","Currency=USD","Period=FQ","BEST_FPERIOD_OVERRIDE=FQ","FILING_STATUS=MR","SCALING_FORMAT=MLN","Sort=A","Dates=H","DateFormat=P","Fill=—","Direction=H","UseDPDF=Y")</f>
        <v>14.109</v>
      </c>
      <c r="E22" s="13">
        <f>_xll.BDH("BLUE US Equity","ARD_OTHER_INTANGIBLE_ASSET","FQ4 2018","FQ4 2018","Currency=USD","Period=FQ","BEST_FPERIOD_OVERRIDE=FQ","FILING_STATUS=MR","SCALING_FORMAT=MLN","Sort=A","Dates=H","DateFormat=P","Fill=—","Direction=H","UseDPDF=Y")</f>
        <v>13.169</v>
      </c>
      <c r="F22" s="13">
        <f>_xll.BDH("BLUE US Equity","ARD_OTHER_INTANGIBLE_ASSET","FQ1 2019","FQ1 2019","Currency=USD","Period=FQ","BEST_FPERIOD_OVERRIDE=FQ","FILING_STATUS=MR","SCALING_FORMAT=MLN","Sort=A","Dates=H","DateFormat=P","Fill=—","Direction=H","UseDPDF=Y")</f>
        <v>12.228</v>
      </c>
      <c r="G22" s="13">
        <f>_xll.BDH("BLUE US Equity","ARD_OTHER_INTANGIBLE_ASSET","FQ2 2019","FQ2 2019","Currency=USD","Period=FQ","BEST_FPERIOD_OVERRIDE=FQ","FILING_STATUS=MR","SCALING_FORMAT=MLN","Sort=A","Dates=H","DateFormat=P","Fill=—","Direction=H","UseDPDF=Y")</f>
        <v>16.48</v>
      </c>
      <c r="H22" s="13">
        <f>_xll.BDH("BLUE US Equity","ARD_OTHER_INTANGIBLE_ASSET","FQ3 2019","FQ3 2019","Currency=USD","Period=FQ","BEST_FPERIOD_OVERRIDE=FQ","FILING_STATUS=MR","SCALING_FORMAT=MLN","Sort=A","Dates=H","DateFormat=P","Fill=—","Direction=H","UseDPDF=Y")</f>
        <v>15.397</v>
      </c>
      <c r="I22" s="13">
        <f>_xll.BDH("BLUE US Equity","ARD_OTHER_INTANGIBLE_ASSET","FQ4 2019","FQ4 2019","Currency=USD","Period=FQ","BEST_FPERIOD_OVERRIDE=FQ","FILING_STATUS=MR","SCALING_FORMAT=MLN","Sort=A","Dates=H","DateFormat=P","Fill=—","Direction=H","UseDPDF=Y")</f>
        <v>14.326000000000001</v>
      </c>
      <c r="J22" s="13">
        <f>_xll.BDH("BLUE US Equity","ARD_OTHER_INTANGIBLE_ASSET","FQ1 2020","FQ1 2020","Currency=USD","Period=FQ","BEST_FPERIOD_OVERRIDE=FQ","FILING_STATUS=MR","SCALING_FORMAT=MLN","Sort=A","Dates=H","DateFormat=P","Fill=—","Direction=H","UseDPDF=Y")</f>
        <v>13.254</v>
      </c>
      <c r="K22" s="13">
        <f>_xll.BDH("BLUE US Equity","ARD_OTHER_INTANGIBLE_ASSET","FQ2 2020","FQ2 2020","Currency=USD","Period=FQ","BEST_FPERIOD_OVERRIDE=FQ","FILING_STATUS=MR","SCALING_FORMAT=MLN","Sort=A","Dates=H","DateFormat=P","Fill=—","Direction=H","UseDPDF=Y")</f>
        <v>12.183</v>
      </c>
      <c r="L22" s="13">
        <f>_xll.BDH("BLUE US Equity","ARD_OTHER_INTANGIBLE_ASSET","FQ3 2020","FQ3 2020","Currency=USD","Period=FQ","BEST_FPERIOD_OVERRIDE=FQ","FILING_STATUS=MR","SCALING_FORMAT=MLN","Sort=A","Dates=H","DateFormat=P","Fill=—","Direction=H","UseDPDF=Y")</f>
        <v>11.112</v>
      </c>
      <c r="M22" s="13">
        <f>_xll.BDH("BLUE US Equity","ARD_OTHER_INTANGIBLE_ASSET","FQ4 2020","FQ4 2020","Currency=USD","Period=FQ","BEST_FPERIOD_OVERRIDE=FQ","FILING_STATUS=MR","SCALING_FORMAT=MLN","Sort=A","Dates=H","DateFormat=P","Fill=—","Direction=H","UseDPDF=Y")</f>
        <v>4.3970000000000002</v>
      </c>
      <c r="N22" s="13">
        <f>_xll.BDH("BLUE US Equity","ARD_OTHER_INTANGIBLE_ASSET","FQ1 2021","FQ1 2021","Currency=USD","Period=FQ","BEST_FPERIOD_OVERRIDE=FQ","FILING_STATUS=MR","SCALING_FORMAT=MLN","Sort=A","Dates=H","DateFormat=P","Fill=—","Direction=H","UseDPDF=Y")</f>
        <v>11.468999999999999</v>
      </c>
      <c r="O22" s="13">
        <f>_xll.BDH("BLUE US Equity","ARD_OTHER_INTANGIBLE_ASSET","FQ2 2021","FQ2 2021","Currency=USD","Period=FQ","BEST_FPERIOD_OVERRIDE=FQ","FILING_STATUS=MR","SCALING_FORMAT=MLN","Sort=A","Dates=H","DateFormat=P","Fill=—","Direction=H","UseDPDF=Y")</f>
        <v>16.263000000000002</v>
      </c>
      <c r="P22" s="13">
        <f>_xll.BDH("BLUE US Equity","ARD_OTHER_INTANGIBLE_ASSET","FQ3 2021","FQ3 2021","Currency=USD","Period=FQ","BEST_FPERIOD_OVERRIDE=FQ","FILING_STATUS=MR","SCALING_FORMAT=MLN","Sort=A","Dates=H","DateFormat=P","Fill=—","Direction=H","UseDPDF=Y")</f>
        <v>11.009</v>
      </c>
      <c r="Q22" s="13">
        <f>_xll.BDH("BLUE US Equity","ARD_OTHER_INTANGIBLE_ASSET","FQ4 2021","FQ4 2021","Currency=USD","Period=FQ","BEST_FPERIOD_OVERRIDE=FQ","FILING_STATUS=MR","SCALING_FORMAT=MLN","Sort=A","Dates=H","DateFormat=P","Fill=—","Direction=H","UseDPDF=Y")</f>
        <v>0</v>
      </c>
      <c r="R22" s="13" t="str">
        <f>_xll.BDH("BLUE US Equity","ARD_OTHER_INTANGIBLE_ASSET","FQ1 2022","FQ1 2022","Currency=USD","Period=FQ","BEST_FPERIOD_OVERRIDE=FQ","FILING_STATUS=MR","SCALING_FORMAT=MLN","Sort=A","Dates=H","DateFormat=P","Fill=—","Direction=H","UseDPDF=Y")</f>
        <v>—</v>
      </c>
      <c r="S22" s="13" t="str">
        <f>_xll.BDH("BLUE US Equity","ARD_OTHER_INTANGIBLE_ASSET","FQ2 2022","FQ2 2022","Currency=USD","Period=FQ","BEST_FPERIOD_OVERRIDE=FQ","FILING_STATUS=MR","SCALING_FORMAT=MLN","Sort=A","Dates=H","DateFormat=P","Fill=—","Direction=H","UseDPDF=Y")</f>
        <v>—</v>
      </c>
      <c r="T22" s="13" t="str">
        <f>_xll.BDH("BLUE US Equity","ARD_OTHER_INTANGIBLE_ASSET","FQ3 2022","FQ3 2022","Currency=USD","Period=FQ","BEST_FPERIOD_OVERRIDE=FQ","FILING_STATUS=MR","SCALING_FORMAT=MLN","Sort=A","Dates=H","DateFormat=P","Fill=—","Direction=H","UseDPDF=Y")</f>
        <v>—</v>
      </c>
      <c r="U22" s="13">
        <f>_xll.BDH("BLUE US Equity","ARD_OTHER_INTANGIBLE_ASSET","FQ4 2022","FQ4 2022","Currency=USD","Period=FQ","BEST_FPERIOD_OVERRIDE=FQ","FILING_STATUS=MR","SCALING_FORMAT=MLN","Sort=A","Dates=H","DateFormat=P","Fill=—","Direction=H","UseDPDF=Y")</f>
        <v>4.8680000000000003</v>
      </c>
      <c r="V22" s="13">
        <f>_xll.BDH("BLUE US Equity","ARD_OTHER_INTANGIBLE_ASSET","FQ1 2023","FQ1 2023","Currency=USD","Period=FQ","BEST_FPERIOD_OVERRIDE=FQ","FILING_STATUS=MR","SCALING_FORMAT=MLN","Sort=A","Dates=H","DateFormat=P","Fill=—","Direction=H","UseDPDF=Y")</f>
        <v>5.6130000000000004</v>
      </c>
      <c r="W22" s="13">
        <f>_xll.BDH("BLUE US Equity","ARD_OTHER_INTANGIBLE_ASSET","FQ2 2023","FQ2 2023","Currency=USD","Period=FQ","BEST_FPERIOD_OVERRIDE=FQ","FILING_STATUS=MR","SCALING_FORMAT=MLN","Sort=A","Dates=H","DateFormat=P","Fill=—","Direction=H","UseDPDF=Y")</f>
        <v>5.49</v>
      </c>
      <c r="X22" s="13">
        <f>_xll.BDH("BLUE US Equity","ARD_OTHER_INTANGIBLE_ASSET","FQ3 2023","FQ3 2023","Currency=USD","Period=FQ","BEST_FPERIOD_OVERRIDE=FQ","FILING_STATUS=MR","SCALING_FORMAT=MLN","Sort=A","Dates=H","DateFormat=P","Fill=—","Direction=H","UseDPDF=Y")</f>
        <v>5.3680000000000003</v>
      </c>
      <c r="Y22" s="13">
        <f>_xll.BDH("BLUE US Equity","ARD_OTHER_INTANGIBLE_ASSET","FQ1 2024","FQ1 2024","Currency=USD","Period=FQ","BEST_FPERIOD_OVERRIDE=FQ","FILING_STATUS=MR","SCALING_FORMAT=MLN","Sort=A","Dates=H","DateFormat=P","Fill=—","Direction=H","UseDPDF=Y")</f>
        <v>10.244</v>
      </c>
      <c r="Z22" s="13">
        <f>_xll.BDH("BLUE US Equity","ARD_OTHER_INTANGIBLE_ASSET","FQ2 2024","FQ2 2024","Currency=USD","Period=FQ","BEST_FPERIOD_OVERRIDE=FQ","FILING_STATUS=MR","SCALING_FORMAT=MLN","Sort=A","Dates=H","DateFormat=P","Fill=—","Direction=H","UseDPDF=Y")</f>
        <v>10.012</v>
      </c>
      <c r="AA22" s="13">
        <f>_xll.BDH("BLUE US Equity","ARD_OTHER_INTANGIBLE_ASSET","FQ3 2024","FQ3 2024","Currency=USD","Period=FQ","BEST_FPERIOD_OVERRIDE=FQ","FILING_STATUS=MR","SCALING_FORMAT=MLN","Sort=A","Dates=H","DateFormat=P","Fill=—","Direction=H","UseDPDF=Y")</f>
        <v>9.7799999999999994</v>
      </c>
    </row>
    <row r="23" spans="1:27" x14ac:dyDescent="0.25">
      <c r="A23" s="10" t="s">
        <v>780</v>
      </c>
      <c r="B23" s="10" t="s">
        <v>781</v>
      </c>
      <c r="C23" s="13">
        <f>_xll.BDH("BLUE US Equity","ARD_GOODWLL","FQ2 2018","FQ2 2018","Currency=USD","Period=FQ","BEST_FPERIOD_OVERRIDE=FQ","FILING_STATUS=MR","SCALING_FORMAT=MLN","Sort=A","Dates=H","DateFormat=P","Fill=—","Direction=H","UseDPDF=Y")</f>
        <v>13.128</v>
      </c>
      <c r="D23" s="13">
        <f>_xll.BDH("BLUE US Equity","ARD_GOODWLL","FQ3 2018","FQ3 2018","Currency=USD","Period=FQ","BEST_FPERIOD_OVERRIDE=FQ","FILING_STATUS=MR","SCALING_FORMAT=MLN","Sort=A","Dates=H","DateFormat=P","Fill=—","Direction=H","UseDPDF=Y")</f>
        <v>13.128</v>
      </c>
      <c r="E23" s="13">
        <f>_xll.BDH("BLUE US Equity","ARD_GOODWLL","FQ4 2018","FQ4 2018","Currency=USD","Period=FQ","BEST_FPERIOD_OVERRIDE=FQ","FILING_STATUS=MR","SCALING_FORMAT=MLN","Sort=A","Dates=H","DateFormat=P","Fill=—","Direction=H","UseDPDF=Y")</f>
        <v>13.128</v>
      </c>
      <c r="F23" s="13">
        <f>_xll.BDH("BLUE US Equity","ARD_GOODWLL","FQ1 2019","FQ1 2019","Currency=USD","Period=FQ","BEST_FPERIOD_OVERRIDE=FQ","FILING_STATUS=MR","SCALING_FORMAT=MLN","Sort=A","Dates=H","DateFormat=P","Fill=—","Direction=H","UseDPDF=Y")</f>
        <v>13.128</v>
      </c>
      <c r="G23" s="13">
        <f>_xll.BDH("BLUE US Equity","ARD_GOODWLL","FQ2 2019","FQ2 2019","Currency=USD","Period=FQ","BEST_FPERIOD_OVERRIDE=FQ","FILING_STATUS=MR","SCALING_FORMAT=MLN","Sort=A","Dates=H","DateFormat=P","Fill=—","Direction=H","UseDPDF=Y")</f>
        <v>13.128</v>
      </c>
      <c r="H23" s="13">
        <f>_xll.BDH("BLUE US Equity","ARD_GOODWLL","FQ3 2019","FQ3 2019","Currency=USD","Period=FQ","BEST_FPERIOD_OVERRIDE=FQ","FILING_STATUS=MR","SCALING_FORMAT=MLN","Sort=A","Dates=H","DateFormat=P","Fill=—","Direction=H","UseDPDF=Y")</f>
        <v>13.128</v>
      </c>
      <c r="I23" s="13">
        <f>_xll.BDH("BLUE US Equity","ARD_GOODWLL","FQ4 2019","FQ4 2019","Currency=USD","Period=FQ","BEST_FPERIOD_OVERRIDE=FQ","FILING_STATUS=MR","SCALING_FORMAT=MLN","Sort=A","Dates=H","DateFormat=P","Fill=—","Direction=H","UseDPDF=Y")</f>
        <v>13.128</v>
      </c>
      <c r="J23" s="13">
        <f>_xll.BDH("BLUE US Equity","ARD_GOODWLL","FQ1 2020","FQ1 2020","Currency=USD","Period=FQ","BEST_FPERIOD_OVERRIDE=FQ","FILING_STATUS=MR","SCALING_FORMAT=MLN","Sort=A","Dates=H","DateFormat=P","Fill=—","Direction=H","UseDPDF=Y")</f>
        <v>13.128</v>
      </c>
      <c r="K23" s="13">
        <f>_xll.BDH("BLUE US Equity","ARD_GOODWLL","FQ2 2020","FQ2 2020","Currency=USD","Period=FQ","BEST_FPERIOD_OVERRIDE=FQ","FILING_STATUS=MR","SCALING_FORMAT=MLN","Sort=A","Dates=H","DateFormat=P","Fill=—","Direction=H","UseDPDF=Y")</f>
        <v>13.128</v>
      </c>
      <c r="L23" s="13">
        <f>_xll.BDH("BLUE US Equity","ARD_GOODWLL","FQ3 2020","FQ3 2020","Currency=USD","Period=FQ","BEST_FPERIOD_OVERRIDE=FQ","FILING_STATUS=MR","SCALING_FORMAT=MLN","Sort=A","Dates=H","DateFormat=P","Fill=—","Direction=H","UseDPDF=Y")</f>
        <v>13.128</v>
      </c>
      <c r="M23" s="13">
        <f>_xll.BDH("BLUE US Equity","ARD_GOODWLL","FQ4 2020","FQ4 2020","Currency=USD","Period=FQ","BEST_FPERIOD_OVERRIDE=FQ","FILING_STATUS=MR","SCALING_FORMAT=MLN","Sort=A","Dates=H","DateFormat=P","Fill=—","Direction=H","UseDPDF=Y")</f>
        <v>5.6459999999999999</v>
      </c>
      <c r="N23" s="13">
        <f>_xll.BDH("BLUE US Equity","ARD_GOODWLL","FQ1 2021","FQ1 2021","Currency=USD","Period=FQ","BEST_FPERIOD_OVERRIDE=FQ","FILING_STATUS=MR","SCALING_FORMAT=MLN","Sort=A","Dates=H","DateFormat=P","Fill=—","Direction=H","UseDPDF=Y")</f>
        <v>13.128</v>
      </c>
      <c r="O23" s="13">
        <f>_xll.BDH("BLUE US Equity","ARD_GOODWLL","FQ2 2021","FQ2 2021","Currency=USD","Period=FQ","BEST_FPERIOD_OVERRIDE=FQ","FILING_STATUS=MR","SCALING_FORMAT=MLN","Sort=A","Dates=H","DateFormat=P","Fill=—","Direction=H","UseDPDF=Y")</f>
        <v>13.128</v>
      </c>
      <c r="P23" s="13">
        <f>_xll.BDH("BLUE US Equity","ARD_GOODWLL","FQ3 2021","FQ3 2021","Currency=USD","Period=FQ","BEST_FPERIOD_OVERRIDE=FQ","FILING_STATUS=MR","SCALING_FORMAT=MLN","Sort=A","Dates=H","DateFormat=P","Fill=—","Direction=H","UseDPDF=Y")</f>
        <v>12.055999999999999</v>
      </c>
      <c r="Q23" s="13">
        <f>_xll.BDH("BLUE US Equity","ARD_GOODWLL","FQ4 2021","FQ4 2021","Currency=USD","Period=FQ","BEST_FPERIOD_OVERRIDE=FQ","FILING_STATUS=MR","SCALING_FORMAT=MLN","Sort=A","Dates=H","DateFormat=P","Fill=—","Direction=H","UseDPDF=Y")</f>
        <v>5.6459999999999999</v>
      </c>
      <c r="R23" s="13">
        <f>_xll.BDH("BLUE US Equity","ARD_GOODWLL","FQ1 2022","FQ1 2022","Currency=USD","Period=FQ","BEST_FPERIOD_OVERRIDE=FQ","FILING_STATUS=MR","SCALING_FORMAT=MLN","Sort=A","Dates=H","DateFormat=P","Fill=—","Direction=H","UseDPDF=Y")</f>
        <v>5.6459999999999999</v>
      </c>
      <c r="S23" s="13">
        <f>_xll.BDH("BLUE US Equity","ARD_GOODWLL","FQ2 2022","FQ2 2022","Currency=USD","Period=FQ","BEST_FPERIOD_OVERRIDE=FQ","FILING_STATUS=MR","SCALING_FORMAT=MLN","Sort=A","Dates=H","DateFormat=P","Fill=—","Direction=H","UseDPDF=Y")</f>
        <v>5.6459999999999999</v>
      </c>
      <c r="T23" s="13">
        <f>_xll.BDH("BLUE US Equity","ARD_GOODWLL","FQ3 2022","FQ3 2022","Currency=USD","Period=FQ","BEST_FPERIOD_OVERRIDE=FQ","FILING_STATUS=MR","SCALING_FORMAT=MLN","Sort=A","Dates=H","DateFormat=P","Fill=—","Direction=H","UseDPDF=Y")</f>
        <v>5.6459999999999999</v>
      </c>
      <c r="U23" s="13">
        <f>_xll.BDH("BLUE US Equity","ARD_GOODWLL","FQ4 2022","FQ4 2022","Currency=USD","Period=FQ","BEST_FPERIOD_OVERRIDE=FQ","FILING_STATUS=MR","SCALING_FORMAT=MLN","Sort=A","Dates=H","DateFormat=P","Fill=—","Direction=H","UseDPDF=Y")</f>
        <v>5.6459999999999999</v>
      </c>
      <c r="V23" s="13">
        <f>_xll.BDH("BLUE US Equity","ARD_GOODWLL","FQ1 2023","FQ1 2023","Currency=USD","Period=FQ","BEST_FPERIOD_OVERRIDE=FQ","FILING_STATUS=MR","SCALING_FORMAT=MLN","Sort=A","Dates=H","DateFormat=P","Fill=—","Direction=H","UseDPDF=Y")</f>
        <v>5.6459999999999999</v>
      </c>
      <c r="W23" s="13">
        <f>_xll.BDH("BLUE US Equity","ARD_GOODWLL","FQ2 2023","FQ2 2023","Currency=USD","Period=FQ","BEST_FPERIOD_OVERRIDE=FQ","FILING_STATUS=MR","SCALING_FORMAT=MLN","Sort=A","Dates=H","DateFormat=P","Fill=—","Direction=H","UseDPDF=Y")</f>
        <v>5.6459999999999999</v>
      </c>
      <c r="X23" s="13">
        <f>_xll.BDH("BLUE US Equity","ARD_GOODWLL","FQ3 2023","FQ3 2023","Currency=USD","Period=FQ","BEST_FPERIOD_OVERRIDE=FQ","FILING_STATUS=MR","SCALING_FORMAT=MLN","Sort=A","Dates=H","DateFormat=P","Fill=—","Direction=H","UseDPDF=Y")</f>
        <v>5.6459999999999999</v>
      </c>
      <c r="Y23" s="13">
        <f>_xll.BDH("BLUE US Equity","ARD_GOODWLL","FQ1 2024","FQ1 2024","Currency=USD","Period=FQ","BEST_FPERIOD_OVERRIDE=FQ","FILING_STATUS=MR","SCALING_FORMAT=MLN","Sort=A","Dates=H","DateFormat=P","Fill=—","Direction=H","UseDPDF=Y")</f>
        <v>5.6459999999999999</v>
      </c>
      <c r="Z23" s="13">
        <f>_xll.BDH("BLUE US Equity","ARD_GOODWLL","FQ2 2024","FQ2 2024","Currency=USD","Period=FQ","BEST_FPERIOD_OVERRIDE=FQ","FILING_STATUS=MR","SCALING_FORMAT=MLN","Sort=A","Dates=H","DateFormat=P","Fill=—","Direction=H","UseDPDF=Y")</f>
        <v>5.6459999999999999</v>
      </c>
      <c r="AA23" s="13">
        <f>_xll.BDH("BLUE US Equity","ARD_GOODWLL","FQ3 2024","FQ3 2024","Currency=USD","Period=FQ","BEST_FPERIOD_OVERRIDE=FQ","FILING_STATUS=MR","SCALING_FORMAT=MLN","Sort=A","Dates=H","DateFormat=P","Fill=—","Direction=H","UseDPDF=Y")</f>
        <v>5.6459999999999999</v>
      </c>
    </row>
    <row r="24" spans="1:27" x14ac:dyDescent="0.25">
      <c r="A24" s="10" t="s">
        <v>782</v>
      </c>
      <c r="B24" s="10" t="s">
        <v>783</v>
      </c>
      <c r="C24" s="13">
        <f>_xll.BDH("BLUE US Equity","ARD_RESTRICTED_CASH_INVEST_LT","FQ2 2018","FQ2 2018","Currency=USD","Period=FQ","BEST_FPERIOD_OVERRIDE=FQ","FILING_STATUS=MR","SCALING_FORMAT=MLN","Sort=A","Dates=H","DateFormat=P","Fill=—","Direction=H","UseDPDF=Y")</f>
        <v>28.079000000000001</v>
      </c>
      <c r="D24" s="13">
        <f>_xll.BDH("BLUE US Equity","ARD_RESTRICTED_CASH_INVEST_LT","FQ3 2018","FQ3 2018","Currency=USD","Period=FQ","BEST_FPERIOD_OVERRIDE=FQ","FILING_STATUS=MR","SCALING_FORMAT=MLN","Sort=A","Dates=H","DateFormat=P","Fill=—","Direction=H","UseDPDF=Y")</f>
        <v>42.569000000000003</v>
      </c>
      <c r="E24" s="13">
        <f>_xll.BDH("BLUE US Equity","ARD_RESTRICTED_CASH_INVEST_LT","FQ4 2018","FQ4 2018","Currency=USD","Period=FQ","BEST_FPERIOD_OVERRIDE=FQ","FILING_STATUS=MR","SCALING_FORMAT=MLN","Sort=A","Dates=H","DateFormat=P","Fill=—","Direction=H","UseDPDF=Y")</f>
        <v>44.805</v>
      </c>
      <c r="F24" s="13">
        <f>_xll.BDH("BLUE US Equity","ARD_RESTRICTED_CASH_INVEST_LT","FQ1 2019","FQ1 2019","Currency=USD","Period=FQ","BEST_FPERIOD_OVERRIDE=FQ","FILING_STATUS=MR","SCALING_FORMAT=MLN","Sort=A","Dates=H","DateFormat=P","Fill=—","Direction=H","UseDPDF=Y")</f>
        <v>40.630000000000003</v>
      </c>
      <c r="G24" s="13">
        <f>_xll.BDH("BLUE US Equity","ARD_RESTRICTED_CASH_INVEST_LT","FQ2 2019","FQ2 2019","Currency=USD","Period=FQ","BEST_FPERIOD_OVERRIDE=FQ","FILING_STATUS=MR","SCALING_FORMAT=MLN","Sort=A","Dates=H","DateFormat=P","Fill=—","Direction=H","UseDPDF=Y")</f>
        <v>84.92</v>
      </c>
      <c r="H24" s="13">
        <f>_xll.BDH("BLUE US Equity","ARD_RESTRICTED_CASH_INVEST_LT","FQ3 2019","FQ3 2019","Currency=USD","Period=FQ","BEST_FPERIOD_OVERRIDE=FQ","FILING_STATUS=MR","SCALING_FORMAT=MLN","Sort=A","Dates=H","DateFormat=P","Fill=—","Direction=H","UseDPDF=Y")</f>
        <v>82.069000000000003</v>
      </c>
      <c r="I24" s="13">
        <f>_xll.BDH("BLUE US Equity","ARD_RESTRICTED_CASH_INVEST_LT","FQ4 2019","FQ4 2019","Currency=USD","Period=FQ","BEST_FPERIOD_OVERRIDE=FQ","FILING_STATUS=MR","SCALING_FORMAT=MLN","Sort=A","Dates=H","DateFormat=P","Fill=—","Direction=H","UseDPDF=Y")</f>
        <v>79.228999999999999</v>
      </c>
      <c r="J24" s="13">
        <f>_xll.BDH("BLUE US Equity","ARD_RESTRICTED_CASH_INVEST_LT","FQ1 2020","FQ1 2020","Currency=USD","Period=FQ","BEST_FPERIOD_OVERRIDE=FQ","FILING_STATUS=MR","SCALING_FORMAT=MLN","Sort=A","Dates=H","DateFormat=P","Fill=—","Direction=H","UseDPDF=Y")</f>
        <v>79.191999999999993</v>
      </c>
      <c r="K24" s="13">
        <f>_xll.BDH("BLUE US Equity","ARD_RESTRICTED_CASH_INVEST_LT","FQ2 2020","FQ2 2020","Currency=USD","Period=FQ","BEST_FPERIOD_OVERRIDE=FQ","FILING_STATUS=MR","SCALING_FORMAT=MLN","Sort=A","Dates=H","DateFormat=P","Fill=—","Direction=H","UseDPDF=Y")</f>
        <v>74.783000000000001</v>
      </c>
      <c r="L24" s="13">
        <f>_xll.BDH("BLUE US Equity","ARD_RESTRICTED_CASH_INVEST_LT","FQ3 2020","FQ3 2020","Currency=USD","Period=FQ","BEST_FPERIOD_OVERRIDE=FQ","FILING_STATUS=MR","SCALING_FORMAT=MLN","Sort=A","Dates=H","DateFormat=P","Fill=—","Direction=H","UseDPDF=Y")</f>
        <v>74.304000000000002</v>
      </c>
      <c r="M24" s="13">
        <f>_xll.BDH("BLUE US Equity","ARD_RESTRICTED_CASH_INVEST_LT","FQ4 2020","FQ4 2020","Currency=USD","Period=FQ","BEST_FPERIOD_OVERRIDE=FQ","FILING_STATUS=MR","SCALING_FORMAT=MLN","Sort=A","Dates=H","DateFormat=P","Fill=—","Direction=H","UseDPDF=Y")</f>
        <v>65.727000000000004</v>
      </c>
      <c r="N24" s="13">
        <f>_xll.BDH("BLUE US Equity","ARD_RESTRICTED_CASH_INVEST_LT","FQ1 2021","FQ1 2021","Currency=USD","Period=FQ","BEST_FPERIOD_OVERRIDE=FQ","FILING_STATUS=MR","SCALING_FORMAT=MLN","Sort=A","Dates=H","DateFormat=P","Fill=—","Direction=H","UseDPDF=Y")</f>
        <v>70.864000000000004</v>
      </c>
      <c r="O24" s="13">
        <f>_xll.BDH("BLUE US Equity","ARD_RESTRICTED_CASH_INVEST_LT","FQ2 2021","FQ2 2021","Currency=USD","Period=FQ","BEST_FPERIOD_OVERRIDE=FQ","FILING_STATUS=MR","SCALING_FORMAT=MLN","Sort=A","Dates=H","DateFormat=P","Fill=—","Direction=H","UseDPDF=Y")</f>
        <v>69.802000000000007</v>
      </c>
      <c r="P24" s="13">
        <f>_xll.BDH("BLUE US Equity","ARD_RESTRICTED_CASH_INVEST_LT","FQ3 2021","FQ3 2021","Currency=USD","Period=FQ","BEST_FPERIOD_OVERRIDE=FQ","FILING_STATUS=MR","SCALING_FORMAT=MLN","Sort=A","Dates=H","DateFormat=P","Fill=—","Direction=H","UseDPDF=Y")</f>
        <v>70.944999999999993</v>
      </c>
      <c r="Q24" s="13">
        <f>_xll.BDH("BLUE US Equity","ARD_RESTRICTED_CASH_INVEST_LT","FQ4 2021","FQ4 2021","Currency=USD","Period=FQ","BEST_FPERIOD_OVERRIDE=FQ","FILING_STATUS=MR","SCALING_FORMAT=MLN","Sort=A","Dates=H","DateFormat=P","Fill=—","Direction=H","UseDPDF=Y")</f>
        <v>53.277000000000001</v>
      </c>
      <c r="R24" s="13">
        <f>_xll.BDH("BLUE US Equity","ARD_RESTRICTED_CASH_INVEST_LT","FQ1 2022","FQ1 2022","Currency=USD","Period=FQ","BEST_FPERIOD_OVERRIDE=FQ","FILING_STATUS=MR","SCALING_FORMAT=MLN","Sort=A","Dates=H","DateFormat=P","Fill=—","Direction=H","UseDPDF=Y")</f>
        <v>52.328000000000003</v>
      </c>
      <c r="S24" s="13">
        <f>_xll.BDH("BLUE US Equity","ARD_RESTRICTED_CASH_INVEST_LT","FQ2 2022","FQ2 2022","Currency=USD","Period=FQ","BEST_FPERIOD_OVERRIDE=FQ","FILING_STATUS=MR","SCALING_FORMAT=MLN","Sort=A","Dates=H","DateFormat=P","Fill=—","Direction=H","UseDPDF=Y")</f>
        <v>52.55</v>
      </c>
      <c r="T24" s="13">
        <f>_xll.BDH("BLUE US Equity","ARD_RESTRICTED_CASH_INVEST_LT","FQ3 2022","FQ3 2022","Currency=USD","Period=FQ","BEST_FPERIOD_OVERRIDE=FQ","FILING_STATUS=MR","SCALING_FORMAT=MLN","Sort=A","Dates=H","DateFormat=P","Fill=—","Direction=H","UseDPDF=Y")</f>
        <v>52.387999999999998</v>
      </c>
      <c r="U24" s="13">
        <f>_xll.BDH("BLUE US Equity","ARD_RESTRICTED_CASH_INVEST_LT","FQ4 2022","FQ4 2022","Currency=USD","Period=FQ","BEST_FPERIOD_OVERRIDE=FQ","FILING_STATUS=MR","SCALING_FORMAT=MLN","Sort=A","Dates=H","DateFormat=P","Fill=—","Direction=H","UseDPDF=Y")</f>
        <v>52.128</v>
      </c>
      <c r="V24" s="13">
        <f>_xll.BDH("BLUE US Equity","ARD_RESTRICTED_CASH_INVEST_LT","FQ1 2023","FQ1 2023","Currency=USD","Period=FQ","BEST_FPERIOD_OVERRIDE=FQ","FILING_STATUS=MR","SCALING_FORMAT=MLN","Sort=A","Dates=H","DateFormat=P","Fill=—","Direction=H","UseDPDF=Y")</f>
        <v>51.534999999999997</v>
      </c>
      <c r="W24" s="13">
        <f>_xll.BDH("BLUE US Equity","ARD_RESTRICTED_CASH_INVEST_LT","FQ2 2023","FQ2 2023","Currency=USD","Period=FQ","BEST_FPERIOD_OVERRIDE=FQ","FILING_STATUS=MR","SCALING_FORMAT=MLN","Sort=A","Dates=H","DateFormat=P","Fill=—","Direction=H","UseDPDF=Y")</f>
        <v>51.204000000000001</v>
      </c>
      <c r="X24" s="13">
        <f>_xll.BDH("BLUE US Equity","ARD_RESTRICTED_CASH_INVEST_LT","FQ3 2023","FQ3 2023","Currency=USD","Period=FQ","BEST_FPERIOD_OVERRIDE=FQ","FILING_STATUS=MR","SCALING_FORMAT=MLN","Sort=A","Dates=H","DateFormat=P","Fill=—","Direction=H","UseDPDF=Y")</f>
        <v>50.829000000000001</v>
      </c>
      <c r="Y24" s="13">
        <f>_xll.BDH("BLUE US Equity","ARD_RESTRICTED_CASH_INVEST_LT","FQ1 2024","FQ1 2024","Currency=USD","Period=FQ","BEST_FPERIOD_OVERRIDE=FQ","FILING_STATUS=MR","SCALING_FORMAT=MLN","Sort=A","Dates=H","DateFormat=P","Fill=—","Direction=H","UseDPDF=Y")</f>
        <v>58.417000000000002</v>
      </c>
      <c r="Z24" s="13">
        <f>_xll.BDH("BLUE US Equity","ARD_RESTRICTED_CASH_INVEST_LT","FQ2 2024","FQ2 2024","Currency=USD","Period=FQ","BEST_FPERIOD_OVERRIDE=FQ","FILING_STATUS=MR","SCALING_FORMAT=MLN","Sort=A","Dates=H","DateFormat=P","Fill=—","Direction=H","UseDPDF=Y")</f>
        <v>58.057000000000002</v>
      </c>
      <c r="AA24" s="13">
        <f>_xll.BDH("BLUE US Equity","ARD_RESTRICTED_CASH_INVEST_LT","FQ3 2024","FQ3 2024","Currency=USD","Period=FQ","BEST_FPERIOD_OVERRIDE=FQ","FILING_STATUS=MR","SCALING_FORMAT=MLN","Sort=A","Dates=H","DateFormat=P","Fill=—","Direction=H","UseDPDF=Y")</f>
        <v>53.128</v>
      </c>
    </row>
    <row r="25" spans="1:27" x14ac:dyDescent="0.25">
      <c r="A25" s="10" t="s">
        <v>784</v>
      </c>
      <c r="B25" s="10" t="s">
        <v>785</v>
      </c>
      <c r="C25" s="13" t="str">
        <f>_xll.BDH("BLUE US Equity","ARD_OTHER_NONCURRENT_ASSET","FQ2 2018","FQ2 2018","Currency=USD","Period=FQ","BEST_FPERIOD_OVERRIDE=FQ","FILING_STATUS=MR","SCALING_FORMAT=MLN","Sort=A","Dates=H","DateFormat=P","Fill=—","Direction=H","UseDPDF=Y")</f>
        <v>—</v>
      </c>
      <c r="D25" s="13" t="str">
        <f>_xll.BDH("BLUE US Equity","ARD_OTHER_NONCURRENT_ASSET","FQ3 2018","FQ3 2018","Currency=USD","Period=FQ","BEST_FPERIOD_OVERRIDE=FQ","FILING_STATUS=MR","SCALING_FORMAT=MLN","Sort=A","Dates=H","DateFormat=P","Fill=—","Direction=H","UseDPDF=Y")</f>
        <v>—</v>
      </c>
      <c r="E25" s="13" t="str">
        <f>_xll.BDH("BLUE US Equity","ARD_OTHER_NONCURRENT_ASSET","FQ4 2018","FQ4 2018","Currency=USD","Period=FQ","BEST_FPERIOD_OVERRIDE=FQ","FILING_STATUS=MR","SCALING_FORMAT=MLN","Sort=A","Dates=H","DateFormat=P","Fill=—","Direction=H","UseDPDF=Y")</f>
        <v>—</v>
      </c>
      <c r="F25" s="13" t="str">
        <f>_xll.BDH("BLUE US Equity","ARD_OTHER_NONCURRENT_ASSET","FQ1 2019","FQ1 2019","Currency=USD","Period=FQ","BEST_FPERIOD_OVERRIDE=FQ","FILING_STATUS=MR","SCALING_FORMAT=MLN","Sort=A","Dates=H","DateFormat=P","Fill=—","Direction=H","UseDPDF=Y")</f>
        <v>—</v>
      </c>
      <c r="G25" s="13">
        <f>_xll.BDH("BLUE US Equity","ARD_OTHER_NONCURRENT_ASSET","FQ2 2019","FQ2 2019","Currency=USD","Period=FQ","BEST_FPERIOD_OVERRIDE=FQ","FILING_STATUS=MR","SCALING_FORMAT=MLN","Sort=A","Dates=H","DateFormat=P","Fill=—","Direction=H","UseDPDF=Y")</f>
        <v>2023.3440000000001</v>
      </c>
      <c r="H25" s="13" t="str">
        <f>_xll.BDH("BLUE US Equity","ARD_OTHER_NONCURRENT_ASSET","FQ3 2019","FQ3 2019","Currency=USD","Period=FQ","BEST_FPERIOD_OVERRIDE=FQ","FILING_STATUS=MR","SCALING_FORMAT=MLN","Sort=A","Dates=H","DateFormat=P","Fill=—","Direction=H","UseDPDF=Y")</f>
        <v>—</v>
      </c>
      <c r="I25" s="13" t="str">
        <f>_xll.BDH("BLUE US Equity","ARD_OTHER_NONCURRENT_ASSET","FQ4 2019","FQ4 2019","Currency=USD","Period=FQ","BEST_FPERIOD_OVERRIDE=FQ","FILING_STATUS=MR","SCALING_FORMAT=MLN","Sort=A","Dates=H","DateFormat=P","Fill=—","Direction=H","UseDPDF=Y")</f>
        <v>—</v>
      </c>
      <c r="J25" s="13" t="str">
        <f>_xll.BDH("BLUE US Equity","ARD_OTHER_NONCURRENT_ASSET","FQ1 2020","FQ1 2020","Currency=USD","Period=FQ","BEST_FPERIOD_OVERRIDE=FQ","FILING_STATUS=MR","SCALING_FORMAT=MLN","Sort=A","Dates=H","DateFormat=P","Fill=—","Direction=H","UseDPDF=Y")</f>
        <v>—</v>
      </c>
      <c r="K25" s="13" t="str">
        <f>_xll.BDH("BLUE US Equity","ARD_OTHER_NONCURRENT_ASSET","FQ2 2020","FQ2 2020","Currency=USD","Period=FQ","BEST_FPERIOD_OVERRIDE=FQ","FILING_STATUS=MR","SCALING_FORMAT=MLN","Sort=A","Dates=H","DateFormat=P","Fill=—","Direction=H","UseDPDF=Y")</f>
        <v>—</v>
      </c>
      <c r="L25" s="13" t="str">
        <f>_xll.BDH("BLUE US Equity","ARD_OTHER_NONCURRENT_ASSET","FQ3 2020","FQ3 2020","Currency=USD","Period=FQ","BEST_FPERIOD_OVERRIDE=FQ","FILING_STATUS=MR","SCALING_FORMAT=MLN","Sort=A","Dates=H","DateFormat=P","Fill=—","Direction=H","UseDPDF=Y")</f>
        <v>—</v>
      </c>
      <c r="M25" s="13" t="str">
        <f>_xll.BDH("BLUE US Equity","ARD_OTHER_NONCURRENT_ASSET","FQ4 2020","FQ4 2020","Currency=USD","Period=FQ","BEST_FPERIOD_OVERRIDE=FQ","FILING_STATUS=MR","SCALING_FORMAT=MLN","Sort=A","Dates=H","DateFormat=P","Fill=—","Direction=H","UseDPDF=Y")</f>
        <v>—</v>
      </c>
      <c r="N25" s="13" t="str">
        <f>_xll.BDH("BLUE US Equity","ARD_OTHER_NONCURRENT_ASSET","FQ1 2021","FQ1 2021","Currency=USD","Period=FQ","BEST_FPERIOD_OVERRIDE=FQ","FILING_STATUS=MR","SCALING_FORMAT=MLN","Sort=A","Dates=H","DateFormat=P","Fill=—","Direction=H","UseDPDF=Y")</f>
        <v>—</v>
      </c>
      <c r="O25" s="13" t="str">
        <f>_xll.BDH("BLUE US Equity","ARD_OTHER_NONCURRENT_ASSET","FQ2 2021","FQ2 2021","Currency=USD","Period=FQ","BEST_FPERIOD_OVERRIDE=FQ","FILING_STATUS=MR","SCALING_FORMAT=MLN","Sort=A","Dates=H","DateFormat=P","Fill=—","Direction=H","UseDPDF=Y")</f>
        <v>—</v>
      </c>
      <c r="P25" s="13" t="str">
        <f>_xll.BDH("BLUE US Equity","ARD_OTHER_NONCURRENT_ASSET","FQ3 2021","FQ3 2021","Currency=USD","Period=FQ","BEST_FPERIOD_OVERRIDE=FQ","FILING_STATUS=MR","SCALING_FORMAT=MLN","Sort=A","Dates=H","DateFormat=P","Fill=—","Direction=H","UseDPDF=Y")</f>
        <v>—</v>
      </c>
      <c r="Q25" s="13" t="str">
        <f>_xll.BDH("BLUE US Equity","ARD_OTHER_NONCURRENT_ASSET","FQ4 2021","FQ4 2021","Currency=USD","Period=FQ","BEST_FPERIOD_OVERRIDE=FQ","FILING_STATUS=MR","SCALING_FORMAT=MLN","Sort=A","Dates=H","DateFormat=P","Fill=—","Direction=H","UseDPDF=Y")</f>
        <v>—</v>
      </c>
      <c r="R25" s="13" t="str">
        <f>_xll.BDH("BLUE US Equity","ARD_OTHER_NONCURRENT_ASSET","FQ1 2022","FQ1 2022","Currency=USD","Period=FQ","BEST_FPERIOD_OVERRIDE=FQ","FILING_STATUS=MR","SCALING_FORMAT=MLN","Sort=A","Dates=H","DateFormat=P","Fill=—","Direction=H","UseDPDF=Y")</f>
        <v>—</v>
      </c>
      <c r="S25" s="13" t="str">
        <f>_xll.BDH("BLUE US Equity","ARD_OTHER_NONCURRENT_ASSET","FQ2 2022","FQ2 2022","Currency=USD","Period=FQ","BEST_FPERIOD_OVERRIDE=FQ","FILING_STATUS=MR","SCALING_FORMAT=MLN","Sort=A","Dates=H","DateFormat=P","Fill=—","Direction=H","UseDPDF=Y")</f>
        <v>—</v>
      </c>
      <c r="T25" s="13" t="str">
        <f>_xll.BDH("BLUE US Equity","ARD_OTHER_NONCURRENT_ASSET","FQ3 2022","FQ3 2022","Currency=USD","Period=FQ","BEST_FPERIOD_OVERRIDE=FQ","FILING_STATUS=MR","SCALING_FORMAT=MLN","Sort=A","Dates=H","DateFormat=P","Fill=—","Direction=H","UseDPDF=Y")</f>
        <v>—</v>
      </c>
      <c r="U25" s="13" t="str">
        <f>_xll.BDH("BLUE US Equity","ARD_OTHER_NONCURRENT_ASSET","FQ4 2022","FQ4 2022","Currency=USD","Period=FQ","BEST_FPERIOD_OVERRIDE=FQ","FILING_STATUS=MR","SCALING_FORMAT=MLN","Sort=A","Dates=H","DateFormat=P","Fill=—","Direction=H","UseDPDF=Y")</f>
        <v>—</v>
      </c>
      <c r="V25" s="13" t="str">
        <f>_xll.BDH("BLUE US Equity","ARD_OTHER_NONCURRENT_ASSET","FQ1 2023","FQ1 2023","Currency=USD","Period=FQ","BEST_FPERIOD_OVERRIDE=FQ","FILING_STATUS=MR","SCALING_FORMAT=MLN","Sort=A","Dates=H","DateFormat=P","Fill=—","Direction=H","UseDPDF=Y")</f>
        <v>—</v>
      </c>
      <c r="W25" s="13" t="str">
        <f>_xll.BDH("BLUE US Equity","ARD_OTHER_NONCURRENT_ASSET","FQ2 2023","FQ2 2023","Currency=USD","Period=FQ","BEST_FPERIOD_OVERRIDE=FQ","FILING_STATUS=MR","SCALING_FORMAT=MLN","Sort=A","Dates=H","DateFormat=P","Fill=—","Direction=H","UseDPDF=Y")</f>
        <v>—</v>
      </c>
      <c r="X25" s="13" t="str">
        <f>_xll.BDH("BLUE US Equity","ARD_OTHER_NONCURRENT_ASSET","FQ3 2023","FQ3 2023","Currency=USD","Period=FQ","BEST_FPERIOD_OVERRIDE=FQ","FILING_STATUS=MR","SCALING_FORMAT=MLN","Sort=A","Dates=H","DateFormat=P","Fill=—","Direction=H","UseDPDF=Y")</f>
        <v>—</v>
      </c>
      <c r="Y25" s="13" t="str">
        <f>_xll.BDH("BLUE US Equity","ARD_OTHER_NONCURRENT_ASSET","FQ1 2024","FQ1 2024","Currency=USD","Period=FQ","BEST_FPERIOD_OVERRIDE=FQ","FILING_STATUS=MR","SCALING_FORMAT=MLN","Sort=A","Dates=H","DateFormat=P","Fill=—","Direction=H","UseDPDF=Y")</f>
        <v>—</v>
      </c>
      <c r="Z25" s="13" t="str">
        <f>_xll.BDH("BLUE US Equity","ARD_OTHER_NONCURRENT_ASSET","FQ2 2024","FQ2 2024","Currency=USD","Period=FQ","BEST_FPERIOD_OVERRIDE=FQ","FILING_STATUS=MR","SCALING_FORMAT=MLN","Sort=A","Dates=H","DateFormat=P","Fill=—","Direction=H","UseDPDF=Y")</f>
        <v>—</v>
      </c>
      <c r="AA25" s="13" t="str">
        <f>_xll.BDH("BLUE US Equity","ARD_OTHER_NONCURRENT_ASSET","FQ3 2024","FQ3 2024","Currency=USD","Period=FQ","BEST_FPERIOD_OVERRIDE=FQ","FILING_STATUS=MR","SCALING_FORMAT=MLN","Sort=A","Dates=H","DateFormat=P","Fill=—","Direction=H","UseDPDF=Y")</f>
        <v>—</v>
      </c>
    </row>
    <row r="26" spans="1:27" x14ac:dyDescent="0.25">
      <c r="A26" s="10" t="s">
        <v>786</v>
      </c>
      <c r="B26" s="10" t="s">
        <v>787</v>
      </c>
      <c r="C26" s="13" t="str">
        <f>_xll.BDH("BLUE US Equity","ARD_ASSETS_FROM_DISC_OPS_LT","FQ2 2018","FQ2 2018","Currency=USD","Period=FQ","BEST_FPERIOD_OVERRIDE=FQ","FILING_STATUS=MR","SCALING_FORMAT=MLN","Sort=A","Dates=H","DateFormat=P","Fill=—","Direction=H","UseDPDF=Y")</f>
        <v>—</v>
      </c>
      <c r="D26" s="13" t="str">
        <f>_xll.BDH("BLUE US Equity","ARD_ASSETS_FROM_DISC_OPS_LT","FQ3 2018","FQ3 2018","Currency=USD","Period=FQ","BEST_FPERIOD_OVERRIDE=FQ","FILING_STATUS=MR","SCALING_FORMAT=MLN","Sort=A","Dates=H","DateFormat=P","Fill=—","Direction=H","UseDPDF=Y")</f>
        <v>—</v>
      </c>
      <c r="E26" s="13" t="str">
        <f>_xll.BDH("BLUE US Equity","ARD_ASSETS_FROM_DISC_OPS_LT","FQ4 2018","FQ4 2018","Currency=USD","Period=FQ","BEST_FPERIOD_OVERRIDE=FQ","FILING_STATUS=MR","SCALING_FORMAT=MLN","Sort=A","Dates=H","DateFormat=P","Fill=—","Direction=H","UseDPDF=Y")</f>
        <v>—</v>
      </c>
      <c r="F26" s="13" t="str">
        <f>_xll.BDH("BLUE US Equity","ARD_ASSETS_FROM_DISC_OPS_LT","FQ1 2019","FQ1 2019","Currency=USD","Period=FQ","BEST_FPERIOD_OVERRIDE=FQ","FILING_STATUS=MR","SCALING_FORMAT=MLN","Sort=A","Dates=H","DateFormat=P","Fill=—","Direction=H","UseDPDF=Y")</f>
        <v>—</v>
      </c>
      <c r="G26" s="13" t="str">
        <f>_xll.BDH("BLUE US Equity","ARD_ASSETS_FROM_DISC_OPS_LT","FQ2 2019","FQ2 2019","Currency=USD","Period=FQ","BEST_FPERIOD_OVERRIDE=FQ","FILING_STATUS=MR","SCALING_FORMAT=MLN","Sort=A","Dates=H","DateFormat=P","Fill=—","Direction=H","UseDPDF=Y")</f>
        <v>—</v>
      </c>
      <c r="H26" s="13" t="str">
        <f>_xll.BDH("BLUE US Equity","ARD_ASSETS_FROM_DISC_OPS_LT","FQ3 2019","FQ3 2019","Currency=USD","Period=FQ","BEST_FPERIOD_OVERRIDE=FQ","FILING_STATUS=MR","SCALING_FORMAT=MLN","Sort=A","Dates=H","DateFormat=P","Fill=—","Direction=H","UseDPDF=Y")</f>
        <v>—</v>
      </c>
      <c r="I26" s="13" t="str">
        <f>_xll.BDH("BLUE US Equity","ARD_ASSETS_FROM_DISC_OPS_LT","FQ4 2019","FQ4 2019","Currency=USD","Period=FQ","BEST_FPERIOD_OVERRIDE=FQ","FILING_STATUS=MR","SCALING_FORMAT=MLN","Sort=A","Dates=H","DateFormat=P","Fill=—","Direction=H","UseDPDF=Y")</f>
        <v>—</v>
      </c>
      <c r="J26" s="13" t="str">
        <f>_xll.BDH("BLUE US Equity","ARD_ASSETS_FROM_DISC_OPS_LT","FQ1 2020","FQ1 2020","Currency=USD","Period=FQ","BEST_FPERIOD_OVERRIDE=FQ","FILING_STATUS=MR","SCALING_FORMAT=MLN","Sort=A","Dates=H","DateFormat=P","Fill=—","Direction=H","UseDPDF=Y")</f>
        <v>—</v>
      </c>
      <c r="K26" s="13" t="str">
        <f>_xll.BDH("BLUE US Equity","ARD_ASSETS_FROM_DISC_OPS_LT","FQ2 2020","FQ2 2020","Currency=USD","Period=FQ","BEST_FPERIOD_OVERRIDE=FQ","FILING_STATUS=MR","SCALING_FORMAT=MLN","Sort=A","Dates=H","DateFormat=P","Fill=—","Direction=H","UseDPDF=Y")</f>
        <v>—</v>
      </c>
      <c r="L26" s="13" t="str">
        <f>_xll.BDH("BLUE US Equity","ARD_ASSETS_FROM_DISC_OPS_LT","FQ3 2020","FQ3 2020","Currency=USD","Period=FQ","BEST_FPERIOD_OVERRIDE=FQ","FILING_STATUS=MR","SCALING_FORMAT=MLN","Sort=A","Dates=H","DateFormat=P","Fill=—","Direction=H","UseDPDF=Y")</f>
        <v>—</v>
      </c>
      <c r="M26" s="13">
        <f>_xll.BDH("BLUE US Equity","ARD_ASSETS_FROM_DISC_OPS_LT","FQ4 2020","FQ4 2020","Currency=USD","Period=FQ","BEST_FPERIOD_OVERRIDE=FQ","FILING_STATUS=MR","SCALING_FORMAT=MLN","Sort=A","Dates=H","DateFormat=P","Fill=—","Direction=H","UseDPDF=Y")</f>
        <v>343.56400000000002</v>
      </c>
      <c r="N26" s="13" t="str">
        <f>_xll.BDH("BLUE US Equity","ARD_ASSETS_FROM_DISC_OPS_LT","FQ1 2021","FQ1 2021","Currency=USD","Period=FQ","BEST_FPERIOD_OVERRIDE=FQ","FILING_STATUS=MR","SCALING_FORMAT=MLN","Sort=A","Dates=H","DateFormat=P","Fill=—","Direction=H","UseDPDF=Y")</f>
        <v>—</v>
      </c>
      <c r="O26" s="13" t="str">
        <f>_xll.BDH("BLUE US Equity","ARD_ASSETS_FROM_DISC_OPS_LT","FQ2 2021","FQ2 2021","Currency=USD","Period=FQ","BEST_FPERIOD_OVERRIDE=FQ","FILING_STATUS=MR","SCALING_FORMAT=MLN","Sort=A","Dates=H","DateFormat=P","Fill=—","Direction=H","UseDPDF=Y")</f>
        <v>—</v>
      </c>
      <c r="P26" s="13" t="str">
        <f>_xll.BDH("BLUE US Equity","ARD_ASSETS_FROM_DISC_OPS_LT","FQ3 2021","FQ3 2021","Currency=USD","Period=FQ","BEST_FPERIOD_OVERRIDE=FQ","FILING_STATUS=MR","SCALING_FORMAT=MLN","Sort=A","Dates=H","DateFormat=P","Fill=—","Direction=H","UseDPDF=Y")</f>
        <v>—</v>
      </c>
      <c r="Q26" s="13">
        <f>_xll.BDH("BLUE US Equity","ARD_ASSETS_FROM_DISC_OPS_LT","FQ4 2021","FQ4 2021","Currency=USD","Period=FQ","BEST_FPERIOD_OVERRIDE=FQ","FILING_STATUS=MR","SCALING_FORMAT=MLN","Sort=A","Dates=H","DateFormat=P","Fill=—","Direction=H","UseDPDF=Y")</f>
        <v>0</v>
      </c>
      <c r="R26" s="13" t="str">
        <f>_xll.BDH("BLUE US Equity","ARD_ASSETS_FROM_DISC_OPS_LT","FQ1 2022","FQ1 2022","Currency=USD","Period=FQ","BEST_FPERIOD_OVERRIDE=FQ","FILING_STATUS=MR","SCALING_FORMAT=MLN","Sort=A","Dates=H","DateFormat=P","Fill=—","Direction=H","UseDPDF=Y")</f>
        <v>—</v>
      </c>
      <c r="S26" s="13" t="str">
        <f>_xll.BDH("BLUE US Equity","ARD_ASSETS_FROM_DISC_OPS_LT","FQ2 2022","FQ2 2022","Currency=USD","Period=FQ","BEST_FPERIOD_OVERRIDE=FQ","FILING_STATUS=MR","SCALING_FORMAT=MLN","Sort=A","Dates=H","DateFormat=P","Fill=—","Direction=H","UseDPDF=Y")</f>
        <v>—</v>
      </c>
      <c r="T26" s="13" t="str">
        <f>_xll.BDH("BLUE US Equity","ARD_ASSETS_FROM_DISC_OPS_LT","FQ3 2022","FQ3 2022","Currency=USD","Period=FQ","BEST_FPERIOD_OVERRIDE=FQ","FILING_STATUS=MR","SCALING_FORMAT=MLN","Sort=A","Dates=H","DateFormat=P","Fill=—","Direction=H","UseDPDF=Y")</f>
        <v>—</v>
      </c>
      <c r="U26" s="13" t="str">
        <f>_xll.BDH("BLUE US Equity","ARD_ASSETS_FROM_DISC_OPS_LT","FQ4 2022","FQ4 2022","Currency=USD","Period=FQ","BEST_FPERIOD_OVERRIDE=FQ","FILING_STATUS=MR","SCALING_FORMAT=MLN","Sort=A","Dates=H","DateFormat=P","Fill=—","Direction=H","UseDPDF=Y")</f>
        <v>—</v>
      </c>
      <c r="V26" s="13" t="str">
        <f>_xll.BDH("BLUE US Equity","ARD_ASSETS_FROM_DISC_OPS_LT","FQ1 2023","FQ1 2023","Currency=USD","Period=FQ","BEST_FPERIOD_OVERRIDE=FQ","FILING_STATUS=MR","SCALING_FORMAT=MLN","Sort=A","Dates=H","DateFormat=P","Fill=—","Direction=H","UseDPDF=Y")</f>
        <v>—</v>
      </c>
      <c r="W26" s="13" t="str">
        <f>_xll.BDH("BLUE US Equity","ARD_ASSETS_FROM_DISC_OPS_LT","FQ2 2023","FQ2 2023","Currency=USD","Period=FQ","BEST_FPERIOD_OVERRIDE=FQ","FILING_STATUS=MR","SCALING_FORMAT=MLN","Sort=A","Dates=H","DateFormat=P","Fill=—","Direction=H","UseDPDF=Y")</f>
        <v>—</v>
      </c>
      <c r="X26" s="13" t="str">
        <f>_xll.BDH("BLUE US Equity","ARD_ASSETS_FROM_DISC_OPS_LT","FQ3 2023","FQ3 2023","Currency=USD","Period=FQ","BEST_FPERIOD_OVERRIDE=FQ","FILING_STATUS=MR","SCALING_FORMAT=MLN","Sort=A","Dates=H","DateFormat=P","Fill=—","Direction=H","UseDPDF=Y")</f>
        <v>—</v>
      </c>
      <c r="Y26" s="13" t="str">
        <f>_xll.BDH("BLUE US Equity","ARD_ASSETS_FROM_DISC_OPS_LT","FQ1 2024","FQ1 2024","Currency=USD","Period=FQ","BEST_FPERIOD_OVERRIDE=FQ","FILING_STATUS=MR","SCALING_FORMAT=MLN","Sort=A","Dates=H","DateFormat=P","Fill=—","Direction=H","UseDPDF=Y")</f>
        <v>—</v>
      </c>
      <c r="Z26" s="13" t="str">
        <f>_xll.BDH("BLUE US Equity","ARD_ASSETS_FROM_DISC_OPS_LT","FQ2 2024","FQ2 2024","Currency=USD","Period=FQ","BEST_FPERIOD_OVERRIDE=FQ","FILING_STATUS=MR","SCALING_FORMAT=MLN","Sort=A","Dates=H","DateFormat=P","Fill=—","Direction=H","UseDPDF=Y")</f>
        <v>—</v>
      </c>
      <c r="AA26" s="13" t="str">
        <f>_xll.BDH("BLUE US Equity","ARD_ASSETS_FROM_DISC_OPS_LT","FQ3 2024","FQ3 2024","Currency=USD","Period=FQ","BEST_FPERIOD_OVERRIDE=FQ","FILING_STATUS=MR","SCALING_FORMAT=MLN","Sort=A","Dates=H","DateFormat=P","Fill=—","Direction=H","UseDPDF=Y")</f>
        <v>—</v>
      </c>
    </row>
    <row r="27" spans="1:27" x14ac:dyDescent="0.25">
      <c r="A27" s="10" t="s">
        <v>788</v>
      </c>
      <c r="B27" s="10" t="s">
        <v>789</v>
      </c>
      <c r="C27" s="13" t="str">
        <f>_xll.BDH("BLUE US Equity","ARD_TOTAL_NONCURRENT_ASSETS","FQ2 2018","FQ2 2018","Currency=USD","Period=FQ","BEST_FPERIOD_OVERRIDE=FQ","FILING_STATUS=MR","SCALING_FORMAT=MLN","Sort=A","Dates=H","DateFormat=P","Fill=—","Direction=H","UseDPDF=Y")</f>
        <v>—</v>
      </c>
      <c r="D27" s="13" t="str">
        <f>_xll.BDH("BLUE US Equity","ARD_TOTAL_NONCURRENT_ASSETS","FQ3 2018","FQ3 2018","Currency=USD","Period=FQ","BEST_FPERIOD_OVERRIDE=FQ","FILING_STATUS=MR","SCALING_FORMAT=MLN","Sort=A","Dates=H","DateFormat=P","Fill=—","Direction=H","UseDPDF=Y")</f>
        <v>—</v>
      </c>
      <c r="E27" s="13" t="str">
        <f>_xll.BDH("BLUE US Equity","ARD_TOTAL_NONCURRENT_ASSETS","FQ4 2018","FQ4 2018","Currency=USD","Period=FQ","BEST_FPERIOD_OVERRIDE=FQ","FILING_STATUS=MR","SCALING_FORMAT=MLN","Sort=A","Dates=H","DateFormat=P","Fill=—","Direction=H","UseDPDF=Y")</f>
        <v>—</v>
      </c>
      <c r="F27" s="13" t="str">
        <f>_xll.BDH("BLUE US Equity","ARD_TOTAL_NONCURRENT_ASSETS","FQ1 2019","FQ1 2019","Currency=USD","Period=FQ","BEST_FPERIOD_OVERRIDE=FQ","FILING_STATUS=MR","SCALING_FORMAT=MLN","Sort=A","Dates=H","DateFormat=P","Fill=—","Direction=H","UseDPDF=Y")</f>
        <v>—</v>
      </c>
      <c r="G27" s="13" t="str">
        <f>_xll.BDH("BLUE US Equity","ARD_TOTAL_NONCURRENT_ASSETS","FQ2 2019","FQ2 2019","Currency=USD","Period=FQ","BEST_FPERIOD_OVERRIDE=FQ","FILING_STATUS=MR","SCALING_FORMAT=MLN","Sort=A","Dates=H","DateFormat=P","Fill=—","Direction=H","UseDPDF=Y")</f>
        <v>—</v>
      </c>
      <c r="H27" s="13" t="str">
        <f>_xll.BDH("BLUE US Equity","ARD_TOTAL_NONCURRENT_ASSETS","FQ3 2019","FQ3 2019","Currency=USD","Period=FQ","BEST_FPERIOD_OVERRIDE=FQ","FILING_STATUS=MR","SCALING_FORMAT=MLN","Sort=A","Dates=H","DateFormat=P","Fill=—","Direction=H","UseDPDF=Y")</f>
        <v>—</v>
      </c>
      <c r="I27" s="13" t="str">
        <f>_xll.BDH("BLUE US Equity","ARD_TOTAL_NONCURRENT_ASSETS","FQ4 2019","FQ4 2019","Currency=USD","Period=FQ","BEST_FPERIOD_OVERRIDE=FQ","FILING_STATUS=MR","SCALING_FORMAT=MLN","Sort=A","Dates=H","DateFormat=P","Fill=—","Direction=H","UseDPDF=Y")</f>
        <v>—</v>
      </c>
      <c r="J27" s="13" t="str">
        <f>_xll.BDH("BLUE US Equity","ARD_TOTAL_NONCURRENT_ASSETS","FQ1 2020","FQ1 2020","Currency=USD","Period=FQ","BEST_FPERIOD_OVERRIDE=FQ","FILING_STATUS=MR","SCALING_FORMAT=MLN","Sort=A","Dates=H","DateFormat=P","Fill=—","Direction=H","UseDPDF=Y")</f>
        <v>—</v>
      </c>
      <c r="K27" s="13" t="str">
        <f>_xll.BDH("BLUE US Equity","ARD_TOTAL_NONCURRENT_ASSETS","FQ2 2020","FQ2 2020","Currency=USD","Period=FQ","BEST_FPERIOD_OVERRIDE=FQ","FILING_STATUS=MR","SCALING_FORMAT=MLN","Sort=A","Dates=H","DateFormat=P","Fill=—","Direction=H","UseDPDF=Y")</f>
        <v>—</v>
      </c>
      <c r="L27" s="13" t="str">
        <f>_xll.BDH("BLUE US Equity","ARD_TOTAL_NONCURRENT_ASSETS","FQ3 2020","FQ3 2020","Currency=USD","Period=FQ","BEST_FPERIOD_OVERRIDE=FQ","FILING_STATUS=MR","SCALING_FORMAT=MLN","Sort=A","Dates=H","DateFormat=P","Fill=—","Direction=H","UseDPDF=Y")</f>
        <v>—</v>
      </c>
      <c r="M27" s="13">
        <f>_xll.BDH("BLUE US Equity","ARD_TOTAL_NONCURRENT_ASSETS","FQ4 2020","FQ4 2020","Currency=USD","Period=FQ","BEST_FPERIOD_OVERRIDE=FQ","FILING_STATUS=MR","SCALING_FORMAT=MLN","Sort=A","Dates=H","DateFormat=P","Fill=—","Direction=H","UseDPDF=Y")</f>
        <v>565.71500000000003</v>
      </c>
      <c r="N27" s="13">
        <f>_xll.BDH("BLUE US Equity","ARD_TOTAL_NONCURRENT_ASSETS","FQ1 2021","FQ1 2021","Currency=USD","Period=FQ","BEST_FPERIOD_OVERRIDE=FQ","FILING_STATUS=MR","SCALING_FORMAT=MLN","Sort=A","Dates=H","DateFormat=P","Fill=—","Direction=H","UseDPDF=Y")</f>
        <v>539.74400000000003</v>
      </c>
      <c r="O27" s="13" t="str">
        <f>_xll.BDH("BLUE US Equity","ARD_TOTAL_NONCURRENT_ASSETS","FQ2 2021","FQ2 2021","Currency=USD","Period=FQ","BEST_FPERIOD_OVERRIDE=FQ","FILING_STATUS=MR","SCALING_FORMAT=MLN","Sort=A","Dates=H","DateFormat=P","Fill=—","Direction=H","UseDPDF=Y")</f>
        <v>—</v>
      </c>
      <c r="P27" s="13">
        <f>_xll.BDH("BLUE US Equity","ARD_TOTAL_NONCURRENT_ASSETS","FQ3 2021","FQ3 2021","Currency=USD","Period=FQ","BEST_FPERIOD_OVERRIDE=FQ","FILING_STATUS=MR","SCALING_FORMAT=MLN","Sort=A","Dates=H","DateFormat=P","Fill=—","Direction=H","UseDPDF=Y")</f>
        <v>314.19</v>
      </c>
      <c r="Q27" s="13">
        <f>_xll.BDH("BLUE US Equity","ARD_TOTAL_NONCURRENT_ASSETS","FQ4 2021","FQ4 2021","Currency=USD","Period=FQ","BEST_FPERIOD_OVERRIDE=FQ","FILING_STATUS=MR","SCALING_FORMAT=MLN","Sort=A","Dates=H","DateFormat=P","Fill=—","Direction=H","UseDPDF=Y")</f>
        <v>257.27499999999998</v>
      </c>
      <c r="R27" s="13">
        <f>_xll.BDH("BLUE US Equity","ARD_TOTAL_NONCURRENT_ASSETS","FQ1 2022","FQ1 2022","Currency=USD","Period=FQ","BEST_FPERIOD_OVERRIDE=FQ","FILING_STATUS=MR","SCALING_FORMAT=MLN","Sort=A","Dates=H","DateFormat=P","Fill=—","Direction=H","UseDPDF=Y")</f>
        <v>236.154</v>
      </c>
      <c r="S27" s="13">
        <f>_xll.BDH("BLUE US Equity","ARD_TOTAL_NONCURRENT_ASSETS","FQ2 2022","FQ2 2022","Currency=USD","Period=FQ","BEST_FPERIOD_OVERRIDE=FQ","FILING_STATUS=MR","SCALING_FORMAT=MLN","Sort=A","Dates=H","DateFormat=P","Fill=—","Direction=H","UseDPDF=Y")</f>
        <v>406.13400000000001</v>
      </c>
      <c r="T27" s="13">
        <f>_xll.BDH("BLUE US Equity","ARD_TOTAL_NONCURRENT_ASSETS","FQ3 2022","FQ3 2022","Currency=USD","Period=FQ","BEST_FPERIOD_OVERRIDE=FQ","FILING_STATUS=MR","SCALING_FORMAT=MLN","Sort=A","Dates=H","DateFormat=P","Fill=—","Direction=H","UseDPDF=Y")</f>
        <v>359.66</v>
      </c>
      <c r="U27" s="13">
        <f>_xll.BDH("BLUE US Equity","ARD_TOTAL_NONCURRENT_ASSETS","FQ4 2022","FQ4 2022","Currency=USD","Period=FQ","BEST_FPERIOD_OVERRIDE=FQ","FILING_STATUS=MR","SCALING_FORMAT=MLN","Sort=A","Dates=H","DateFormat=P","Fill=—","Direction=H","UseDPDF=Y")</f>
        <v>355.41399999999999</v>
      </c>
      <c r="V27" s="13">
        <f>_xll.BDH("BLUE US Equity","ARD_TOTAL_NONCURRENT_ASSETS","FQ1 2023","FQ1 2023","Currency=USD","Period=FQ","BEST_FPERIOD_OVERRIDE=FQ","FILING_STATUS=MR","SCALING_FORMAT=MLN","Sort=A","Dates=H","DateFormat=P","Fill=—","Direction=H","UseDPDF=Y")</f>
        <v>341.66500000000002</v>
      </c>
      <c r="W27" s="13" t="str">
        <f>_xll.BDH("BLUE US Equity","ARD_TOTAL_NONCURRENT_ASSETS","FQ2 2023","FQ2 2023","Currency=USD","Period=FQ","BEST_FPERIOD_OVERRIDE=FQ","FILING_STATUS=MR","SCALING_FORMAT=MLN","Sort=A","Dates=H","DateFormat=P","Fill=—","Direction=H","UseDPDF=Y")</f>
        <v>—</v>
      </c>
      <c r="X27" s="13">
        <f>_xll.BDH("BLUE US Equity","ARD_TOTAL_NONCURRENT_ASSETS","FQ3 2023","FQ3 2023","Currency=USD","Period=FQ","BEST_FPERIOD_OVERRIDE=FQ","FILING_STATUS=MR","SCALING_FORMAT=MLN","Sort=A","Dates=H","DateFormat=P","Fill=—","Direction=H","UseDPDF=Y")</f>
        <v>366.53199999999998</v>
      </c>
      <c r="Y27" s="13" t="str">
        <f>_xll.BDH("BLUE US Equity","ARD_TOTAL_NONCURRENT_ASSETS","FQ1 2024","FQ1 2024","Currency=USD","Period=FQ","BEST_FPERIOD_OVERRIDE=FQ","FILING_STATUS=MR","SCALING_FORMAT=MLN","Sort=A","Dates=H","DateFormat=P","Fill=—","Direction=H","UseDPDF=Y")</f>
        <v>—</v>
      </c>
      <c r="Z27" s="13" t="str">
        <f>_xll.BDH("BLUE US Equity","ARD_TOTAL_NONCURRENT_ASSETS","FQ2 2024","FQ2 2024","Currency=USD","Period=FQ","BEST_FPERIOD_OVERRIDE=FQ","FILING_STATUS=MR","SCALING_FORMAT=MLN","Sort=A","Dates=H","DateFormat=P","Fill=—","Direction=H","UseDPDF=Y")</f>
        <v>—</v>
      </c>
      <c r="AA27" s="13" t="str">
        <f>_xll.BDH("BLUE US Equity","ARD_TOTAL_NONCURRENT_ASSETS","FQ3 2024","FQ3 2024","Currency=USD","Period=FQ","BEST_FPERIOD_OVERRIDE=FQ","FILING_STATUS=MR","SCALING_FORMAT=MLN","Sort=A","Dates=H","DateFormat=P","Fill=—","Direction=H","UseDPDF=Y")</f>
        <v>—</v>
      </c>
    </row>
    <row r="28" spans="1:27" x14ac:dyDescent="0.25">
      <c r="A28" s="6" t="s">
        <v>112</v>
      </c>
      <c r="B28" s="6" t="s">
        <v>790</v>
      </c>
      <c r="C28" s="19">
        <f>_xll.BDH("BLUE US Equity","ARD_TOT_ASSETS","FQ2 2018","FQ2 2018","Currency=USD","Period=FQ","BEST_FPERIOD_OVERRIDE=FQ","FILING_STATUS=MR","SCALING_FORMAT=MLN","Sort=A","Dates=H","DateFormat=P","Fill=—","Direction=H","UseDPDF=Y")</f>
        <v>1761.511</v>
      </c>
      <c r="D28" s="19">
        <f>_xll.BDH("BLUE US Equity","ARD_TOT_ASSETS","FQ3 2018","FQ3 2018","Currency=USD","Period=FQ","BEST_FPERIOD_OVERRIDE=FQ","FILING_STATUS=MR","SCALING_FORMAT=MLN","Sort=A","Dates=H","DateFormat=P","Fill=—","Direction=H","UseDPDF=Y")</f>
        <v>2351.7890000000002</v>
      </c>
      <c r="E28" s="19">
        <f>_xll.BDH("BLUE US Equity","ARD_TOT_ASSETS","FQ4 2018","FQ4 2018","Currency=USD","Period=FQ","BEST_FPERIOD_OVERRIDE=FQ","FILING_STATUS=MR","SCALING_FORMAT=MLN","Sort=A","Dates=H","DateFormat=P","Fill=—","Direction=H","UseDPDF=Y")</f>
        <v>2242.8440000000001</v>
      </c>
      <c r="F28" s="19">
        <f>_xll.BDH("BLUE US Equity","ARD_TOT_ASSETS","FQ1 2019","FQ1 2019","Currency=USD","Period=FQ","BEST_FPERIOD_OVERRIDE=FQ","FILING_STATUS=MR","SCALING_FORMAT=MLN","Sort=A","Dates=H","DateFormat=P","Fill=—","Direction=H","UseDPDF=Y")</f>
        <v>2138.6149999999998</v>
      </c>
      <c r="G28" s="19">
        <f>_xll.BDH("BLUE US Equity","ARD_TOT_ASSETS","FQ2 2019","FQ2 2019","Currency=USD","Period=FQ","BEST_FPERIOD_OVERRIDE=FQ","FILING_STATUS=MR","SCALING_FORMAT=MLN","Sort=A","Dates=H","DateFormat=P","Fill=—","Direction=H","UseDPDF=Y")</f>
        <v>2023.3440000000001</v>
      </c>
      <c r="H28" s="19">
        <f>_xll.BDH("BLUE US Equity","ARD_TOT_ASSETS","FQ3 2019","FQ3 2019","Currency=USD","Period=FQ","BEST_FPERIOD_OVERRIDE=FQ","FILING_STATUS=MR","SCALING_FORMAT=MLN","Sort=A","Dates=H","DateFormat=P","Fill=—","Direction=H","UseDPDF=Y")</f>
        <v>1892.2180000000001</v>
      </c>
      <c r="I28" s="19">
        <f>_xll.BDH("BLUE US Equity","ARD_TOT_ASSETS","FQ4 2019","FQ4 2019","Currency=USD","Period=FQ","BEST_FPERIOD_OVERRIDE=FQ","FILING_STATUS=MR","SCALING_FORMAT=MLN","Sort=A","Dates=H","DateFormat=P","Fill=—","Direction=H","UseDPDF=Y")</f>
        <v>1727.424</v>
      </c>
      <c r="J28" s="19">
        <f>_xll.BDH("BLUE US Equity","ARD_TOT_ASSETS","FQ1 2020","FQ1 2020","Currency=USD","Period=FQ","BEST_FPERIOD_OVERRIDE=FQ","FILING_STATUS=MR","SCALING_FORMAT=MLN","Sort=A","Dates=H","DateFormat=P","Fill=—","Direction=H","UseDPDF=Y")</f>
        <v>1529.104</v>
      </c>
      <c r="K28" s="19">
        <f>_xll.BDH("BLUE US Equity","ARD_TOT_ASSETS","FQ2 2020","FQ2 2020","Currency=USD","Period=FQ","BEST_FPERIOD_OVERRIDE=FQ","FILING_STATUS=MR","SCALING_FORMAT=MLN","Sort=A","Dates=H","DateFormat=P","Fill=—","Direction=H","UseDPDF=Y")</f>
        <v>2107.79</v>
      </c>
      <c r="L28" s="19">
        <f>_xll.BDH("BLUE US Equity","ARD_TOT_ASSETS","FQ3 2020","FQ3 2020","Currency=USD","Period=FQ","BEST_FPERIOD_OVERRIDE=FQ","FILING_STATUS=MR","SCALING_FORMAT=MLN","Sort=A","Dates=H","DateFormat=P","Fill=—","Direction=H","UseDPDF=Y")</f>
        <v>1945.4839999999999</v>
      </c>
      <c r="M28" s="19">
        <f>_xll.BDH("BLUE US Equity","ARD_TOT_ASSETS","FQ4 2020","FQ4 2020","Currency=USD","Period=FQ","BEST_FPERIOD_OVERRIDE=FQ","FILING_STATUS=MR","SCALING_FORMAT=MLN","Sort=A","Dates=H","DateFormat=P","Fill=—","Direction=H","UseDPDF=Y")</f>
        <v>1781.252</v>
      </c>
      <c r="N28" s="19">
        <f>_xll.BDH("BLUE US Equity","ARD_TOT_ASSETS","FQ1 2021","FQ1 2021","Currency=USD","Period=FQ","BEST_FPERIOD_OVERRIDE=FQ","FILING_STATUS=MR","SCALING_FORMAT=MLN","Sort=A","Dates=H","DateFormat=P","Fill=—","Direction=H","UseDPDF=Y")</f>
        <v>1637.279</v>
      </c>
      <c r="O28" s="19">
        <f>_xll.BDH("BLUE US Equity","ARD_TOT_ASSETS","FQ2 2021","FQ2 2021","Currency=USD","Period=FQ","BEST_FPERIOD_OVERRIDE=FQ","FILING_STATUS=MR","SCALING_FORMAT=MLN","Sort=A","Dates=H","DateFormat=P","Fill=—","Direction=H","UseDPDF=Y")</f>
        <v>1454.4590000000001</v>
      </c>
      <c r="P28" s="19">
        <f>_xll.BDH("BLUE US Equity","ARD_TOT_ASSETS","FQ3 2021","FQ3 2021","Currency=USD","Period=FQ","BEST_FPERIOD_OVERRIDE=FQ","FILING_STATUS=MR","SCALING_FORMAT=MLN","Sort=A","Dates=H","DateFormat=P","Fill=—","Direction=H","UseDPDF=Y")</f>
        <v>1339.644</v>
      </c>
      <c r="Q28" s="19">
        <f>_xll.BDH("BLUE US Equity","ARD_TOT_ASSETS","FQ4 2021","FQ4 2021","Currency=USD","Period=FQ","BEST_FPERIOD_OVERRIDE=FQ","FILING_STATUS=MR","SCALING_FORMAT=MLN","Sort=A","Dates=H","DateFormat=P","Fill=—","Direction=H","UseDPDF=Y")</f>
        <v>593.79499999999996</v>
      </c>
      <c r="R28" s="19">
        <f>_xll.BDH("BLUE US Equity","ARD_TOT_ASSETS","FQ1 2022","FQ1 2022","Currency=USD","Period=FQ","BEST_FPERIOD_OVERRIDE=FQ","FILING_STATUS=MR","SCALING_FORMAT=MLN","Sort=A","Dates=H","DateFormat=P","Fill=—","Direction=H","UseDPDF=Y")</f>
        <v>491.07100000000003</v>
      </c>
      <c r="S28" s="19">
        <f>_xll.BDH("BLUE US Equity","ARD_TOT_ASSETS","FQ2 2022","FQ2 2022","Currency=USD","Period=FQ","BEST_FPERIOD_OVERRIDE=FQ","FILING_STATUS=MR","SCALING_FORMAT=MLN","Sort=A","Dates=H","DateFormat=P","Fill=—","Direction=H","UseDPDF=Y")</f>
        <v>573.59199999999998</v>
      </c>
      <c r="T28" s="19">
        <f>_xll.BDH("BLUE US Equity","ARD_TOT_ASSETS","FQ3 2022","FQ3 2022","Currency=USD","Period=FQ","BEST_FPERIOD_OVERRIDE=FQ","FILING_STATUS=MR","SCALING_FORMAT=MLN","Sort=A","Dates=H","DateFormat=P","Fill=—","Direction=H","UseDPDF=Y")</f>
        <v>520.09799999999996</v>
      </c>
      <c r="U28" s="19">
        <f>_xll.BDH("BLUE US Equity","ARD_TOT_ASSETS","FQ4 2022","FQ4 2022","Currency=USD","Period=FQ","BEST_FPERIOD_OVERRIDE=FQ","FILING_STATUS=MR","SCALING_FORMAT=MLN","Sort=A","Dates=H","DateFormat=P","Fill=—","Direction=H","UseDPDF=Y")</f>
        <v>554.90200000000004</v>
      </c>
      <c r="V28" s="19">
        <f>_xll.BDH("BLUE US Equity","ARD_TOT_ASSETS","FQ1 2023","FQ1 2023","Currency=USD","Period=FQ","BEST_FPERIOD_OVERRIDE=FQ","FILING_STATUS=MR","SCALING_FORMAT=MLN","Sort=A","Dates=H","DateFormat=P","Fill=—","Direction=H","UseDPDF=Y")</f>
        <v>692.73599999999999</v>
      </c>
      <c r="W28" s="19">
        <f>_xll.BDH("BLUE US Equity","ARD_TOT_ASSETS","FQ2 2023","FQ2 2023","Currency=USD","Period=FQ","BEST_FPERIOD_OVERRIDE=FQ","FILING_STATUS=MR","SCALING_FORMAT=MLN","Sort=A","Dates=H","DateFormat=P","Fill=—","Direction=H","UseDPDF=Y")</f>
        <v>663.39300000000003</v>
      </c>
      <c r="X28" s="19">
        <f>_xll.BDH("BLUE US Equity","ARD_TOT_ASSETS","FQ3 2023","FQ3 2023","Currency=USD","Period=FQ","BEST_FPERIOD_OVERRIDE=FQ","FILING_STATUS=MR","SCALING_FORMAT=MLN","Sort=A","Dates=H","DateFormat=P","Fill=—","Direction=H","UseDPDF=Y")</f>
        <v>613.60799999999995</v>
      </c>
      <c r="Y28" s="19">
        <f>_xll.BDH("BLUE US Equity","ARD_TOT_ASSETS","FQ1 2024","FQ1 2024","Currency=USD","Period=FQ","BEST_FPERIOD_OVERRIDE=FQ","FILING_STATUS=MR","SCALING_FORMAT=MLN","Sort=A","Dates=H","DateFormat=P","Fill=—","Direction=H","UseDPDF=Y")</f>
        <v>631.48299999999995</v>
      </c>
      <c r="Z28" s="19">
        <f>_xll.BDH("BLUE US Equity","ARD_TOT_ASSETS","FQ2 2024","FQ2 2024","Currency=USD","Period=FQ","BEST_FPERIOD_OVERRIDE=FQ","FILING_STATUS=MR","SCALING_FORMAT=MLN","Sort=A","Dates=H","DateFormat=P","Fill=—","Direction=H","UseDPDF=Y")</f>
        <v>545.19299999999998</v>
      </c>
      <c r="AA28" s="19">
        <f>_xll.BDH("BLUE US Equity","ARD_TOT_ASSETS","FQ3 2024","FQ3 2024","Currency=USD","Period=FQ","BEST_FPERIOD_OVERRIDE=FQ","FILING_STATUS=MR","SCALING_FORMAT=MLN","Sort=A","Dates=H","DateFormat=P","Fill=—","Direction=H","UseDPDF=Y")</f>
        <v>465.05599999999998</v>
      </c>
    </row>
    <row r="29" spans="1:27" x14ac:dyDescent="0.25">
      <c r="A29" s="10" t="s">
        <v>791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792</v>
      </c>
      <c r="B30" s="10" t="s">
        <v>793</v>
      </c>
      <c r="C30" s="13">
        <f>_xll.BDH("BLUE US Equity","ARD_ACCOUNTS_PAYABLE_TRADE","FQ2 2018","FQ2 2018","Currency=USD","Period=FQ","BEST_FPERIOD_OVERRIDE=FQ","FILING_STATUS=MR","SCALING_FORMAT=MLN","Sort=A","Dates=H","DateFormat=P","Fill=—","Direction=H","UseDPDF=Y")</f>
        <v>17.936</v>
      </c>
      <c r="D30" s="13">
        <f>_xll.BDH("BLUE US Equity","ARD_ACCOUNTS_PAYABLE_TRADE","FQ3 2018","FQ3 2018","Currency=USD","Period=FQ","BEST_FPERIOD_OVERRIDE=FQ","FILING_STATUS=MR","SCALING_FORMAT=MLN","Sort=A","Dates=H","DateFormat=P","Fill=—","Direction=H","UseDPDF=Y")</f>
        <v>12.891</v>
      </c>
      <c r="E30" s="13">
        <f>_xll.BDH("BLUE US Equity","ARD_ACCOUNTS_PAYABLE_TRADE","FQ4 2018","FQ4 2018","Currency=USD","Period=FQ","BEST_FPERIOD_OVERRIDE=FQ","FILING_STATUS=MR","SCALING_FORMAT=MLN","Sort=A","Dates=H","DateFormat=P","Fill=—","Direction=H","UseDPDF=Y")</f>
        <v>17.831</v>
      </c>
      <c r="F30" s="13">
        <f>_xll.BDH("BLUE US Equity","ARD_ACCOUNTS_PAYABLE_TRADE","FQ1 2019","FQ1 2019","Currency=USD","Period=FQ","BEST_FPERIOD_OVERRIDE=FQ","FILING_STATUS=MR","SCALING_FORMAT=MLN","Sort=A","Dates=H","DateFormat=P","Fill=—","Direction=H","UseDPDF=Y")</f>
        <v>30.241</v>
      </c>
      <c r="G30" s="13">
        <f>_xll.BDH("BLUE US Equity","ARD_ACCOUNTS_PAYABLE_TRADE","FQ2 2019","FQ2 2019","Currency=USD","Period=FQ","BEST_FPERIOD_OVERRIDE=FQ","FILING_STATUS=MR","SCALING_FORMAT=MLN","Sort=A","Dates=H","DateFormat=P","Fill=—","Direction=H","UseDPDF=Y")</f>
        <v>29.457999999999998</v>
      </c>
      <c r="H30" s="13">
        <f>_xll.BDH("BLUE US Equity","ARD_ACCOUNTS_PAYABLE_TRADE","FQ3 2019","FQ3 2019","Currency=USD","Period=FQ","BEST_FPERIOD_OVERRIDE=FQ","FILING_STATUS=MR","SCALING_FORMAT=MLN","Sort=A","Dates=H","DateFormat=P","Fill=—","Direction=H","UseDPDF=Y")</f>
        <v>41.874000000000002</v>
      </c>
      <c r="I30" s="13">
        <f>_xll.BDH("BLUE US Equity","ARD_ACCOUNTS_PAYABLE_TRADE","FQ4 2019","FQ4 2019","Currency=USD","Period=FQ","BEST_FPERIOD_OVERRIDE=FQ","FILING_STATUS=MR","SCALING_FORMAT=MLN","Sort=A","Dates=H","DateFormat=P","Fill=—","Direction=H","UseDPDF=Y")</f>
        <v>42.994999999999997</v>
      </c>
      <c r="J30" s="13">
        <f>_xll.BDH("BLUE US Equity","ARD_ACCOUNTS_PAYABLE_TRADE","FQ1 2020","FQ1 2020","Currency=USD","Period=FQ","BEST_FPERIOD_OVERRIDE=FQ","FILING_STATUS=MR","SCALING_FORMAT=MLN","Sort=A","Dates=H","DateFormat=P","Fill=—","Direction=H","UseDPDF=Y")</f>
        <v>30.527000000000001</v>
      </c>
      <c r="K30" s="13">
        <f>_xll.BDH("BLUE US Equity","ARD_ACCOUNTS_PAYABLE_TRADE","FQ2 2020","FQ2 2020","Currency=USD","Period=FQ","BEST_FPERIOD_OVERRIDE=FQ","FILING_STATUS=MR","SCALING_FORMAT=MLN","Sort=A","Dates=H","DateFormat=P","Fill=—","Direction=H","UseDPDF=Y")</f>
        <v>26.181000000000001</v>
      </c>
      <c r="L30" s="13">
        <f>_xll.BDH("BLUE US Equity","ARD_ACCOUNTS_PAYABLE_TRADE","FQ3 2020","FQ3 2020","Currency=USD","Period=FQ","BEST_FPERIOD_OVERRIDE=FQ","FILING_STATUS=MR","SCALING_FORMAT=MLN","Sort=A","Dates=H","DateFormat=P","Fill=—","Direction=H","UseDPDF=Y")</f>
        <v>25.309000000000001</v>
      </c>
      <c r="M30" s="13">
        <f>_xll.BDH("BLUE US Equity","ARD_ACCOUNTS_PAYABLE_TRADE","FQ4 2020","FQ4 2020","Currency=USD","Period=FQ","BEST_FPERIOD_OVERRIDE=FQ","FILING_STATUS=MR","SCALING_FORMAT=MLN","Sort=A","Dates=H","DateFormat=P","Fill=—","Direction=H","UseDPDF=Y")</f>
        <v>13.811</v>
      </c>
      <c r="N30" s="13">
        <f>_xll.BDH("BLUE US Equity","ARD_ACCOUNTS_PAYABLE_TRADE","FQ1 2021","FQ1 2021","Currency=USD","Period=FQ","BEST_FPERIOD_OVERRIDE=FQ","FILING_STATUS=MR","SCALING_FORMAT=MLN","Sort=A","Dates=H","DateFormat=P","Fill=—","Direction=H","UseDPDF=Y")</f>
        <v>20.231999999999999</v>
      </c>
      <c r="O30" s="13">
        <f>_xll.BDH("BLUE US Equity","ARD_ACCOUNTS_PAYABLE_TRADE","FQ2 2021","FQ2 2021","Currency=USD","Period=FQ","BEST_FPERIOD_OVERRIDE=FQ","FILING_STATUS=MR","SCALING_FORMAT=MLN","Sort=A","Dates=H","DateFormat=P","Fill=—","Direction=H","UseDPDF=Y")</f>
        <v>39.293999999999997</v>
      </c>
      <c r="P30" s="13">
        <f>_xll.BDH("BLUE US Equity","ARD_ACCOUNTS_PAYABLE_TRADE","FQ3 2021","FQ3 2021","Currency=USD","Period=FQ","BEST_FPERIOD_OVERRIDE=FQ","FILING_STATUS=MR","SCALING_FORMAT=MLN","Sort=A","Dates=H","DateFormat=P","Fill=—","Direction=H","UseDPDF=Y")</f>
        <v>21.667999999999999</v>
      </c>
      <c r="Q30" s="13">
        <f>_xll.BDH("BLUE US Equity","ARD_ACCOUNTS_PAYABLE_TRADE","FQ4 2021","FQ4 2021","Currency=USD","Period=FQ","BEST_FPERIOD_OVERRIDE=FQ","FILING_STATUS=MR","SCALING_FORMAT=MLN","Sort=A","Dates=H","DateFormat=P","Fill=—","Direction=H","UseDPDF=Y")</f>
        <v>25.882999999999999</v>
      </c>
      <c r="R30" s="13">
        <f>_xll.BDH("BLUE US Equity","ARD_ACCOUNTS_PAYABLE_TRADE","FQ1 2022","FQ1 2022","Currency=USD","Period=FQ","BEST_FPERIOD_OVERRIDE=FQ","FILING_STATUS=MR","SCALING_FORMAT=MLN","Sort=A","Dates=H","DateFormat=P","Fill=—","Direction=H","UseDPDF=Y")</f>
        <v>28.35</v>
      </c>
      <c r="S30" s="13">
        <f>_xll.BDH("BLUE US Equity","ARD_ACCOUNTS_PAYABLE_TRADE","FQ2 2022","FQ2 2022","Currency=USD","Period=FQ","BEST_FPERIOD_OVERRIDE=FQ","FILING_STATUS=MR","SCALING_FORMAT=MLN","Sort=A","Dates=H","DateFormat=P","Fill=—","Direction=H","UseDPDF=Y")</f>
        <v>24.864999999999998</v>
      </c>
      <c r="T30" s="13">
        <f>_xll.BDH("BLUE US Equity","ARD_ACCOUNTS_PAYABLE_TRADE","FQ3 2022","FQ3 2022","Currency=USD","Period=FQ","BEST_FPERIOD_OVERRIDE=FQ","FILING_STATUS=MR","SCALING_FORMAT=MLN","Sort=A","Dates=H","DateFormat=P","Fill=—","Direction=H","UseDPDF=Y")</f>
        <v>18.622</v>
      </c>
      <c r="U30" s="13">
        <f>_xll.BDH("BLUE US Equity","ARD_ACCOUNTS_PAYABLE_TRADE","FQ4 2022","FQ4 2022","Currency=USD","Period=FQ","BEST_FPERIOD_OVERRIDE=FQ","FILING_STATUS=MR","SCALING_FORMAT=MLN","Sort=A","Dates=H","DateFormat=P","Fill=—","Direction=H","UseDPDF=Y")</f>
        <v>25.091999999999999</v>
      </c>
      <c r="V30" s="13">
        <f>_xll.BDH("BLUE US Equity","ARD_ACCOUNTS_PAYABLE_TRADE","FQ1 2023","FQ1 2023","Currency=USD","Period=FQ","BEST_FPERIOD_OVERRIDE=FQ","FILING_STATUS=MR","SCALING_FORMAT=MLN","Sort=A","Dates=H","DateFormat=P","Fill=—","Direction=H","UseDPDF=Y")</f>
        <v>19.234999999999999</v>
      </c>
      <c r="W30" s="13">
        <f>_xll.BDH("BLUE US Equity","ARD_ACCOUNTS_PAYABLE_TRADE","FQ2 2023","FQ2 2023","Currency=USD","Period=FQ","BEST_FPERIOD_OVERRIDE=FQ","FILING_STATUS=MR","SCALING_FORMAT=MLN","Sort=A","Dates=H","DateFormat=P","Fill=—","Direction=H","UseDPDF=Y")</f>
        <v>10.894</v>
      </c>
      <c r="X30" s="13">
        <f>_xll.BDH("BLUE US Equity","ARD_ACCOUNTS_PAYABLE_TRADE","FQ3 2023","FQ3 2023","Currency=USD","Period=FQ","BEST_FPERIOD_OVERRIDE=FQ","FILING_STATUS=MR","SCALING_FORMAT=MLN","Sort=A","Dates=H","DateFormat=P","Fill=—","Direction=H","UseDPDF=Y")</f>
        <v>19.852</v>
      </c>
      <c r="Y30" s="13">
        <f>_xll.BDH("BLUE US Equity","ARD_ACCOUNTS_PAYABLE_TRADE","FQ1 2024","FQ1 2024","Currency=USD","Period=FQ","BEST_FPERIOD_OVERRIDE=FQ","FILING_STATUS=MR","SCALING_FORMAT=MLN","Sort=A","Dates=H","DateFormat=P","Fill=—","Direction=H","UseDPDF=Y")</f>
        <v>19.387</v>
      </c>
      <c r="Z30" s="13">
        <f>_xll.BDH("BLUE US Equity","ARD_ACCOUNTS_PAYABLE_TRADE","FQ2 2024","FQ2 2024","Currency=USD","Period=FQ","BEST_FPERIOD_OVERRIDE=FQ","FILING_STATUS=MR","SCALING_FORMAT=MLN","Sort=A","Dates=H","DateFormat=P","Fill=—","Direction=H","UseDPDF=Y")</f>
        <v>30.591000000000001</v>
      </c>
      <c r="AA30" s="13">
        <f>_xll.BDH("BLUE US Equity","ARD_ACCOUNTS_PAYABLE_TRADE","FQ3 2024","FQ3 2024","Currency=USD","Period=FQ","BEST_FPERIOD_OVERRIDE=FQ","FILING_STATUS=MR","SCALING_FORMAT=MLN","Sort=A","Dates=H","DateFormat=P","Fill=—","Direction=H","UseDPDF=Y")</f>
        <v>24.481000000000002</v>
      </c>
    </row>
    <row r="31" spans="1:27" x14ac:dyDescent="0.25">
      <c r="A31" s="10" t="s">
        <v>794</v>
      </c>
      <c r="B31" s="10" t="s">
        <v>795</v>
      </c>
      <c r="C31" s="13" t="str">
        <f>_xll.BDH("BLUE US Equity","ARD_CURRENT_PORTION_OF_LT_DEBT","FQ2 2018","FQ2 2018","Currency=USD","Period=FQ","BEST_FPERIOD_OVERRIDE=FQ","FILING_STATUS=MR","SCALING_FORMAT=MLN","Sort=A","Dates=H","DateFormat=P","Fill=—","Direction=H","UseDPDF=Y")</f>
        <v>—</v>
      </c>
      <c r="D31" s="13" t="str">
        <f>_xll.BDH("BLUE US Equity","ARD_CURRENT_PORTION_OF_LT_DEBT","FQ3 2018","FQ3 2018","Currency=USD","Period=FQ","BEST_FPERIOD_OVERRIDE=FQ","FILING_STATUS=MR","SCALING_FORMAT=MLN","Sort=A","Dates=H","DateFormat=P","Fill=—","Direction=H","UseDPDF=Y")</f>
        <v>—</v>
      </c>
      <c r="E31" s="13" t="str">
        <f>_xll.BDH("BLUE US Equity","ARD_CURRENT_PORTION_OF_LT_DEBT","FQ4 2018","FQ4 2018","Currency=USD","Period=FQ","BEST_FPERIOD_OVERRIDE=FQ","FILING_STATUS=MR","SCALING_FORMAT=MLN","Sort=A","Dates=H","DateFormat=P","Fill=—","Direction=H","UseDPDF=Y")</f>
        <v>—</v>
      </c>
      <c r="F31" s="13" t="str">
        <f>_xll.BDH("BLUE US Equity","ARD_CURRENT_PORTION_OF_LT_DEBT","FQ1 2019","FQ1 2019","Currency=USD","Period=FQ","BEST_FPERIOD_OVERRIDE=FQ","FILING_STATUS=MR","SCALING_FORMAT=MLN","Sort=A","Dates=H","DateFormat=P","Fill=—","Direction=H","UseDPDF=Y")</f>
        <v>—</v>
      </c>
      <c r="G31" s="13" t="str">
        <f>_xll.BDH("BLUE US Equity","ARD_CURRENT_PORTION_OF_LT_DEBT","FQ2 2019","FQ2 2019","Currency=USD","Period=FQ","BEST_FPERIOD_OVERRIDE=FQ","FILING_STATUS=MR","SCALING_FORMAT=MLN","Sort=A","Dates=H","DateFormat=P","Fill=—","Direction=H","UseDPDF=Y")</f>
        <v>—</v>
      </c>
      <c r="H31" s="13" t="str">
        <f>_xll.BDH("BLUE US Equity","ARD_CURRENT_PORTION_OF_LT_DEBT","FQ3 2019","FQ3 2019","Currency=USD","Period=FQ","BEST_FPERIOD_OVERRIDE=FQ","FILING_STATUS=MR","SCALING_FORMAT=MLN","Sort=A","Dates=H","DateFormat=P","Fill=—","Direction=H","UseDPDF=Y")</f>
        <v>—</v>
      </c>
      <c r="I31" s="13" t="str">
        <f>_xll.BDH("BLUE US Equity","ARD_CURRENT_PORTION_OF_LT_DEBT","FQ4 2019","FQ4 2019","Currency=USD","Period=FQ","BEST_FPERIOD_OVERRIDE=FQ","FILING_STATUS=MR","SCALING_FORMAT=MLN","Sort=A","Dates=H","DateFormat=P","Fill=—","Direction=H","UseDPDF=Y")</f>
        <v>—</v>
      </c>
      <c r="J31" s="13" t="str">
        <f>_xll.BDH("BLUE US Equity","ARD_CURRENT_PORTION_OF_LT_DEBT","FQ1 2020","FQ1 2020","Currency=USD","Period=FQ","BEST_FPERIOD_OVERRIDE=FQ","FILING_STATUS=MR","SCALING_FORMAT=MLN","Sort=A","Dates=H","DateFormat=P","Fill=—","Direction=H","UseDPDF=Y")</f>
        <v>—</v>
      </c>
      <c r="K31" s="13" t="str">
        <f>_xll.BDH("BLUE US Equity","ARD_CURRENT_PORTION_OF_LT_DEBT","FQ2 2020","FQ2 2020","Currency=USD","Period=FQ","BEST_FPERIOD_OVERRIDE=FQ","FILING_STATUS=MR","SCALING_FORMAT=MLN","Sort=A","Dates=H","DateFormat=P","Fill=—","Direction=H","UseDPDF=Y")</f>
        <v>—</v>
      </c>
      <c r="L31" s="13" t="str">
        <f>_xll.BDH("BLUE US Equity","ARD_CURRENT_PORTION_OF_LT_DEBT","FQ3 2020","FQ3 2020","Currency=USD","Period=FQ","BEST_FPERIOD_OVERRIDE=FQ","FILING_STATUS=MR","SCALING_FORMAT=MLN","Sort=A","Dates=H","DateFormat=P","Fill=—","Direction=H","UseDPDF=Y")</f>
        <v>—</v>
      </c>
      <c r="M31" s="13" t="str">
        <f>_xll.BDH("BLUE US Equity","ARD_CURRENT_PORTION_OF_LT_DEBT","FQ4 2020","FQ4 2020","Currency=USD","Period=FQ","BEST_FPERIOD_OVERRIDE=FQ","FILING_STATUS=MR","SCALING_FORMAT=MLN","Sort=A","Dates=H","DateFormat=P","Fill=—","Direction=H","UseDPDF=Y")</f>
        <v>—</v>
      </c>
      <c r="N31" s="13" t="str">
        <f>_xll.BDH("BLUE US Equity","ARD_CURRENT_PORTION_OF_LT_DEBT","FQ1 2021","FQ1 2021","Currency=USD","Period=FQ","BEST_FPERIOD_OVERRIDE=FQ","FILING_STATUS=MR","SCALING_FORMAT=MLN","Sort=A","Dates=H","DateFormat=P","Fill=—","Direction=H","UseDPDF=Y")</f>
        <v>—</v>
      </c>
      <c r="O31" s="13" t="str">
        <f>_xll.BDH("BLUE US Equity","ARD_CURRENT_PORTION_OF_LT_DEBT","FQ2 2021","FQ2 2021","Currency=USD","Period=FQ","BEST_FPERIOD_OVERRIDE=FQ","FILING_STATUS=MR","SCALING_FORMAT=MLN","Sort=A","Dates=H","DateFormat=P","Fill=—","Direction=H","UseDPDF=Y")</f>
        <v>—</v>
      </c>
      <c r="P31" s="13" t="str">
        <f>_xll.BDH("BLUE US Equity","ARD_CURRENT_PORTION_OF_LT_DEBT","FQ3 2021","FQ3 2021","Currency=USD","Period=FQ","BEST_FPERIOD_OVERRIDE=FQ","FILING_STATUS=MR","SCALING_FORMAT=MLN","Sort=A","Dates=H","DateFormat=P","Fill=—","Direction=H","UseDPDF=Y")</f>
        <v>—</v>
      </c>
      <c r="Q31" s="13" t="str">
        <f>_xll.BDH("BLUE US Equity","ARD_CURRENT_PORTION_OF_LT_DEBT","FQ4 2021","FQ4 2021","Currency=USD","Period=FQ","BEST_FPERIOD_OVERRIDE=FQ","FILING_STATUS=MR","SCALING_FORMAT=MLN","Sort=A","Dates=H","DateFormat=P","Fill=—","Direction=H","UseDPDF=Y")</f>
        <v>—</v>
      </c>
      <c r="R31" s="13" t="str">
        <f>_xll.BDH("BLUE US Equity","ARD_CURRENT_PORTION_OF_LT_DEBT","FQ1 2022","FQ1 2022","Currency=USD","Period=FQ","BEST_FPERIOD_OVERRIDE=FQ","FILING_STATUS=MR","SCALING_FORMAT=MLN","Sort=A","Dates=H","DateFormat=P","Fill=—","Direction=H","UseDPDF=Y")</f>
        <v>—</v>
      </c>
      <c r="S31" s="13" t="str">
        <f>_xll.BDH("BLUE US Equity","ARD_CURRENT_PORTION_OF_LT_DEBT","FQ2 2022","FQ2 2022","Currency=USD","Period=FQ","BEST_FPERIOD_OVERRIDE=FQ","FILING_STATUS=MR","SCALING_FORMAT=MLN","Sort=A","Dates=H","DateFormat=P","Fill=—","Direction=H","UseDPDF=Y")</f>
        <v>—</v>
      </c>
      <c r="T31" s="13" t="str">
        <f>_xll.BDH("BLUE US Equity","ARD_CURRENT_PORTION_OF_LT_DEBT","FQ3 2022","FQ3 2022","Currency=USD","Period=FQ","BEST_FPERIOD_OVERRIDE=FQ","FILING_STATUS=MR","SCALING_FORMAT=MLN","Sort=A","Dates=H","DateFormat=P","Fill=—","Direction=H","UseDPDF=Y")</f>
        <v>—</v>
      </c>
      <c r="U31" s="13" t="str">
        <f>_xll.BDH("BLUE US Equity","ARD_CURRENT_PORTION_OF_LT_DEBT","FQ4 2022","FQ4 2022","Currency=USD","Period=FQ","BEST_FPERIOD_OVERRIDE=FQ","FILING_STATUS=MR","SCALING_FORMAT=MLN","Sort=A","Dates=H","DateFormat=P","Fill=—","Direction=H","UseDPDF=Y")</f>
        <v>—</v>
      </c>
      <c r="V31" s="13" t="str">
        <f>_xll.BDH("BLUE US Equity","ARD_CURRENT_PORTION_OF_LT_DEBT","FQ1 2023","FQ1 2023","Currency=USD","Period=FQ","BEST_FPERIOD_OVERRIDE=FQ","FILING_STATUS=MR","SCALING_FORMAT=MLN","Sort=A","Dates=H","DateFormat=P","Fill=—","Direction=H","UseDPDF=Y")</f>
        <v>—</v>
      </c>
      <c r="W31" s="13" t="str">
        <f>_xll.BDH("BLUE US Equity","ARD_CURRENT_PORTION_OF_LT_DEBT","FQ2 2023","FQ2 2023","Currency=USD","Period=FQ","BEST_FPERIOD_OVERRIDE=FQ","FILING_STATUS=MR","SCALING_FORMAT=MLN","Sort=A","Dates=H","DateFormat=P","Fill=—","Direction=H","UseDPDF=Y")</f>
        <v>—</v>
      </c>
      <c r="X31" s="13" t="str">
        <f>_xll.BDH("BLUE US Equity","ARD_CURRENT_PORTION_OF_LT_DEBT","FQ3 2023","FQ3 2023","Currency=USD","Period=FQ","BEST_FPERIOD_OVERRIDE=FQ","FILING_STATUS=MR","SCALING_FORMAT=MLN","Sort=A","Dates=H","DateFormat=P","Fill=—","Direction=H","UseDPDF=Y")</f>
        <v>—</v>
      </c>
      <c r="Y31" s="13">
        <f>_xll.BDH("BLUE US Equity","ARD_CURRENT_PORTION_OF_LT_DEBT","FQ1 2024","FQ1 2024","Currency=USD","Period=FQ","BEST_FPERIOD_OVERRIDE=FQ","FILING_STATUS=MR","SCALING_FORMAT=MLN","Sort=A","Dates=H","DateFormat=P","Fill=—","Direction=H","UseDPDF=Y")</f>
        <v>68.995000000000005</v>
      </c>
      <c r="Z31" s="13">
        <f>_xll.BDH("BLUE US Equity","ARD_CURRENT_PORTION_OF_LT_DEBT","FQ2 2024","FQ2 2024","Currency=USD","Period=FQ","BEST_FPERIOD_OVERRIDE=FQ","FILING_STATUS=MR","SCALING_FORMAT=MLN","Sort=A","Dates=H","DateFormat=P","Fill=—","Direction=H","UseDPDF=Y")</f>
        <v>69.843000000000004</v>
      </c>
      <c r="AA31" s="13">
        <f>_xll.BDH("BLUE US Equity","ARD_CURRENT_PORTION_OF_LT_DEBT","FQ3 2024","FQ3 2024","Currency=USD","Period=FQ","BEST_FPERIOD_OVERRIDE=FQ","FILING_STATUS=MR","SCALING_FORMAT=MLN","Sort=A","Dates=H","DateFormat=P","Fill=—","Direction=H","UseDPDF=Y")</f>
        <v>70.599999999999994</v>
      </c>
    </row>
    <row r="32" spans="1:27" x14ac:dyDescent="0.25">
      <c r="A32" s="10" t="s">
        <v>796</v>
      </c>
      <c r="B32" s="10" t="s">
        <v>797</v>
      </c>
      <c r="C32" s="13" t="str">
        <f>_xll.BDH("BLUE US Equity","ARD_ST_CAP_LEASE_OBLIGATIONS","FQ2 2018","FQ2 2018","Currency=USD","Period=FQ","BEST_FPERIOD_OVERRIDE=FQ","FILING_STATUS=MR","SCALING_FORMAT=MLN","Sort=A","Dates=H","DateFormat=P","Fill=—","Direction=H","UseDPDF=Y")</f>
        <v>—</v>
      </c>
      <c r="D32" s="13" t="str">
        <f>_xll.BDH("BLUE US Equity","ARD_ST_CAP_LEASE_OBLIGATIONS","FQ3 2018","FQ3 2018","Currency=USD","Period=FQ","BEST_FPERIOD_OVERRIDE=FQ","FILING_STATUS=MR","SCALING_FORMAT=MLN","Sort=A","Dates=H","DateFormat=P","Fill=—","Direction=H","UseDPDF=Y")</f>
        <v>—</v>
      </c>
      <c r="E32" s="13" t="str">
        <f>_xll.BDH("BLUE US Equity","ARD_ST_CAP_LEASE_OBLIGATIONS","FQ4 2018","FQ4 2018","Currency=USD","Period=FQ","BEST_FPERIOD_OVERRIDE=FQ","FILING_STATUS=MR","SCALING_FORMAT=MLN","Sort=A","Dates=H","DateFormat=P","Fill=—","Direction=H","UseDPDF=Y")</f>
        <v>—</v>
      </c>
      <c r="F32" s="13" t="str">
        <f>_xll.BDH("BLUE US Equity","ARD_ST_CAP_LEASE_OBLIGATIONS","FQ1 2019","FQ1 2019","Currency=USD","Period=FQ","BEST_FPERIOD_OVERRIDE=FQ","FILING_STATUS=MR","SCALING_FORMAT=MLN","Sort=A","Dates=H","DateFormat=P","Fill=—","Direction=H","UseDPDF=Y")</f>
        <v>—</v>
      </c>
      <c r="G32" s="13" t="str">
        <f>_xll.BDH("BLUE US Equity","ARD_ST_CAP_LEASE_OBLIGATIONS","FQ2 2019","FQ2 2019","Currency=USD","Period=FQ","BEST_FPERIOD_OVERRIDE=FQ","FILING_STATUS=MR","SCALING_FORMAT=MLN","Sort=A","Dates=H","DateFormat=P","Fill=—","Direction=H","UseDPDF=Y")</f>
        <v>—</v>
      </c>
      <c r="H32" s="13" t="str">
        <f>_xll.BDH("BLUE US Equity","ARD_ST_CAP_LEASE_OBLIGATIONS","FQ3 2019","FQ3 2019","Currency=USD","Period=FQ","BEST_FPERIOD_OVERRIDE=FQ","FILING_STATUS=MR","SCALING_FORMAT=MLN","Sort=A","Dates=H","DateFormat=P","Fill=—","Direction=H","UseDPDF=Y")</f>
        <v>—</v>
      </c>
      <c r="I32" s="13" t="str">
        <f>_xll.BDH("BLUE US Equity","ARD_ST_CAP_LEASE_OBLIGATIONS","FQ4 2019","FQ4 2019","Currency=USD","Period=FQ","BEST_FPERIOD_OVERRIDE=FQ","FILING_STATUS=MR","SCALING_FORMAT=MLN","Sort=A","Dates=H","DateFormat=P","Fill=—","Direction=H","UseDPDF=Y")</f>
        <v>—</v>
      </c>
      <c r="J32" s="13" t="str">
        <f>_xll.BDH("BLUE US Equity","ARD_ST_CAP_LEASE_OBLIGATIONS","FQ1 2020","FQ1 2020","Currency=USD","Period=FQ","BEST_FPERIOD_OVERRIDE=FQ","FILING_STATUS=MR","SCALING_FORMAT=MLN","Sort=A","Dates=H","DateFormat=P","Fill=—","Direction=H","UseDPDF=Y")</f>
        <v>—</v>
      </c>
      <c r="K32" s="13" t="str">
        <f>_xll.BDH("BLUE US Equity","ARD_ST_CAP_LEASE_OBLIGATIONS","FQ2 2020","FQ2 2020","Currency=USD","Period=FQ","BEST_FPERIOD_OVERRIDE=FQ","FILING_STATUS=MR","SCALING_FORMAT=MLN","Sort=A","Dates=H","DateFormat=P","Fill=—","Direction=H","UseDPDF=Y")</f>
        <v>—</v>
      </c>
      <c r="L32" s="13" t="str">
        <f>_xll.BDH("BLUE US Equity","ARD_ST_CAP_LEASE_OBLIGATIONS","FQ3 2020","FQ3 2020","Currency=USD","Period=FQ","BEST_FPERIOD_OVERRIDE=FQ","FILING_STATUS=MR","SCALING_FORMAT=MLN","Sort=A","Dates=H","DateFormat=P","Fill=—","Direction=H","UseDPDF=Y")</f>
        <v>—</v>
      </c>
      <c r="M32" s="13" t="str">
        <f>_xll.BDH("BLUE US Equity","ARD_ST_CAP_LEASE_OBLIGATIONS","FQ4 2020","FQ4 2020","Currency=USD","Period=FQ","BEST_FPERIOD_OVERRIDE=FQ","FILING_STATUS=MR","SCALING_FORMAT=MLN","Sort=A","Dates=H","DateFormat=P","Fill=—","Direction=H","UseDPDF=Y")</f>
        <v>—</v>
      </c>
      <c r="N32" s="13" t="str">
        <f>_xll.BDH("BLUE US Equity","ARD_ST_CAP_LEASE_OBLIGATIONS","FQ1 2021","FQ1 2021","Currency=USD","Period=FQ","BEST_FPERIOD_OVERRIDE=FQ","FILING_STATUS=MR","SCALING_FORMAT=MLN","Sort=A","Dates=H","DateFormat=P","Fill=—","Direction=H","UseDPDF=Y")</f>
        <v>—</v>
      </c>
      <c r="O32" s="13" t="str">
        <f>_xll.BDH("BLUE US Equity","ARD_ST_CAP_LEASE_OBLIGATIONS","FQ2 2021","FQ2 2021","Currency=USD","Period=FQ","BEST_FPERIOD_OVERRIDE=FQ","FILING_STATUS=MR","SCALING_FORMAT=MLN","Sort=A","Dates=H","DateFormat=P","Fill=—","Direction=H","UseDPDF=Y")</f>
        <v>—</v>
      </c>
      <c r="P32" s="13" t="str">
        <f>_xll.BDH("BLUE US Equity","ARD_ST_CAP_LEASE_OBLIGATIONS","FQ3 2021","FQ3 2021","Currency=USD","Period=FQ","BEST_FPERIOD_OVERRIDE=FQ","FILING_STATUS=MR","SCALING_FORMAT=MLN","Sort=A","Dates=H","DateFormat=P","Fill=—","Direction=H","UseDPDF=Y")</f>
        <v>—</v>
      </c>
      <c r="Q32" s="13" t="str">
        <f>_xll.BDH("BLUE US Equity","ARD_ST_CAP_LEASE_OBLIGATIONS","FQ4 2021","FQ4 2021","Currency=USD","Period=FQ","BEST_FPERIOD_OVERRIDE=FQ","FILING_STATUS=MR","SCALING_FORMAT=MLN","Sort=A","Dates=H","DateFormat=P","Fill=—","Direction=H","UseDPDF=Y")</f>
        <v>—</v>
      </c>
      <c r="R32" s="13" t="str">
        <f>_xll.BDH("BLUE US Equity","ARD_ST_CAP_LEASE_OBLIGATIONS","FQ1 2022","FQ1 2022","Currency=USD","Period=FQ","BEST_FPERIOD_OVERRIDE=FQ","FILING_STATUS=MR","SCALING_FORMAT=MLN","Sort=A","Dates=H","DateFormat=P","Fill=—","Direction=H","UseDPDF=Y")</f>
        <v>—</v>
      </c>
      <c r="S32" s="13" t="str">
        <f>_xll.BDH("BLUE US Equity","ARD_ST_CAP_LEASE_OBLIGATIONS","FQ2 2022","FQ2 2022","Currency=USD","Period=FQ","BEST_FPERIOD_OVERRIDE=FQ","FILING_STATUS=MR","SCALING_FORMAT=MLN","Sort=A","Dates=H","DateFormat=P","Fill=—","Direction=H","UseDPDF=Y")</f>
        <v>—</v>
      </c>
      <c r="T32" s="13" t="str">
        <f>_xll.BDH("BLUE US Equity","ARD_ST_CAP_LEASE_OBLIGATIONS","FQ3 2022","FQ3 2022","Currency=USD","Period=FQ","BEST_FPERIOD_OVERRIDE=FQ","FILING_STATUS=MR","SCALING_FORMAT=MLN","Sort=A","Dates=H","DateFormat=P","Fill=—","Direction=H","UseDPDF=Y")</f>
        <v>—</v>
      </c>
      <c r="U32" s="13" t="str">
        <f>_xll.BDH("BLUE US Equity","ARD_ST_CAP_LEASE_OBLIGATIONS","FQ4 2022","FQ4 2022","Currency=USD","Period=FQ","BEST_FPERIOD_OVERRIDE=FQ","FILING_STATUS=MR","SCALING_FORMAT=MLN","Sort=A","Dates=H","DateFormat=P","Fill=—","Direction=H","UseDPDF=Y")</f>
        <v>—</v>
      </c>
      <c r="V32" s="13" t="str">
        <f>_xll.BDH("BLUE US Equity","ARD_ST_CAP_LEASE_OBLIGATIONS","FQ1 2023","FQ1 2023","Currency=USD","Period=FQ","BEST_FPERIOD_OVERRIDE=FQ","FILING_STATUS=MR","SCALING_FORMAT=MLN","Sort=A","Dates=H","DateFormat=P","Fill=—","Direction=H","UseDPDF=Y")</f>
        <v>—</v>
      </c>
      <c r="W32" s="13" t="str">
        <f>_xll.BDH("BLUE US Equity","ARD_ST_CAP_LEASE_OBLIGATIONS","FQ2 2023","FQ2 2023","Currency=USD","Period=FQ","BEST_FPERIOD_OVERRIDE=FQ","FILING_STATUS=MR","SCALING_FORMAT=MLN","Sort=A","Dates=H","DateFormat=P","Fill=—","Direction=H","UseDPDF=Y")</f>
        <v>—</v>
      </c>
      <c r="X32" s="13" t="str">
        <f>_xll.BDH("BLUE US Equity","ARD_ST_CAP_LEASE_OBLIGATIONS","FQ3 2023","FQ3 2023","Currency=USD","Period=FQ","BEST_FPERIOD_OVERRIDE=FQ","FILING_STATUS=MR","SCALING_FORMAT=MLN","Sort=A","Dates=H","DateFormat=P","Fill=—","Direction=H","UseDPDF=Y")</f>
        <v>—</v>
      </c>
      <c r="Y32" s="13">
        <f>_xll.BDH("BLUE US Equity","ARD_ST_CAP_LEASE_OBLIGATIONS","FQ1 2024","FQ1 2024","Currency=USD","Period=FQ","BEST_FPERIOD_OVERRIDE=FQ","FILING_STATUS=MR","SCALING_FORMAT=MLN","Sort=A","Dates=H","DateFormat=P","Fill=—","Direction=H","UseDPDF=Y")</f>
        <v>114.212</v>
      </c>
      <c r="Z32" s="13">
        <f>_xll.BDH("BLUE US Equity","ARD_ST_CAP_LEASE_OBLIGATIONS","FQ2 2024","FQ2 2024","Currency=USD","Period=FQ","BEST_FPERIOD_OVERRIDE=FQ","FILING_STATUS=MR","SCALING_FORMAT=MLN","Sort=A","Dates=H","DateFormat=P","Fill=—","Direction=H","UseDPDF=Y")</f>
        <v>101.33499999999999</v>
      </c>
      <c r="AA32" s="13">
        <f>_xll.BDH("BLUE US Equity","ARD_ST_CAP_LEASE_OBLIGATIONS","FQ3 2024","FQ3 2024","Currency=USD","Period=FQ","BEST_FPERIOD_OVERRIDE=FQ","FILING_STATUS=MR","SCALING_FORMAT=MLN","Sort=A","Dates=H","DateFormat=P","Fill=—","Direction=H","UseDPDF=Y")</f>
        <v>96.180999999999997</v>
      </c>
    </row>
    <row r="33" spans="1:27" x14ac:dyDescent="0.25">
      <c r="A33" s="10" t="s">
        <v>798</v>
      </c>
      <c r="B33" s="10" t="s">
        <v>799</v>
      </c>
      <c r="C33" s="13">
        <f>_xll.BDH("BLUE US Equity","ARD_ACCRUED_EXP_AND_OTHER","FQ2 2018","FQ2 2018","Currency=USD","Period=FQ","BEST_FPERIOD_OVERRIDE=FQ","FILING_STATUS=MR","SCALING_FORMAT=MLN","Sort=A","Dates=H","DateFormat=P","Fill=—","Direction=H","UseDPDF=Y")</f>
        <v>71.003</v>
      </c>
      <c r="D33" s="13">
        <f>_xll.BDH("BLUE US Equity","ARD_ACCRUED_EXP_AND_OTHER","FQ3 2018","FQ3 2018","Currency=USD","Period=FQ","BEST_FPERIOD_OVERRIDE=FQ","FILING_STATUS=MR","SCALING_FORMAT=MLN","Sort=A","Dates=H","DateFormat=P","Fill=—","Direction=H","UseDPDF=Y")</f>
        <v>88.334999999999994</v>
      </c>
      <c r="E33" s="13">
        <f>_xll.BDH("BLUE US Equity","ARD_ACCRUED_EXP_AND_OTHER","FQ4 2018","FQ4 2018","Currency=USD","Period=FQ","BEST_FPERIOD_OVERRIDE=FQ","FILING_STATUS=MR","SCALING_FORMAT=MLN","Sort=A","Dates=H","DateFormat=P","Fill=—","Direction=H","UseDPDF=Y")</f>
        <v>99.393000000000001</v>
      </c>
      <c r="F33" s="13">
        <f>_xll.BDH("BLUE US Equity","ARD_ACCRUED_EXP_AND_OTHER","FQ1 2019","FQ1 2019","Currency=USD","Period=FQ","BEST_FPERIOD_OVERRIDE=FQ","FILING_STATUS=MR","SCALING_FORMAT=MLN","Sort=A","Dates=H","DateFormat=P","Fill=—","Direction=H","UseDPDF=Y")</f>
        <v>76.152000000000001</v>
      </c>
      <c r="G33" s="13">
        <f>_xll.BDH("BLUE US Equity","ARD_ACCRUED_EXP_AND_OTHER","FQ2 2019","FQ2 2019","Currency=USD","Period=FQ","BEST_FPERIOD_OVERRIDE=FQ","FILING_STATUS=MR","SCALING_FORMAT=MLN","Sort=A","Dates=H","DateFormat=P","Fill=—","Direction=H","UseDPDF=Y")</f>
        <v>91.105000000000004</v>
      </c>
      <c r="H33" s="13">
        <f>_xll.BDH("BLUE US Equity","ARD_ACCRUED_EXP_AND_OTHER","FQ3 2019","FQ3 2019","Currency=USD","Period=FQ","BEST_FPERIOD_OVERRIDE=FQ","FILING_STATUS=MR","SCALING_FORMAT=MLN","Sort=A","Dates=H","DateFormat=P","Fill=—","Direction=H","UseDPDF=Y")</f>
        <v>112.479</v>
      </c>
      <c r="I33" s="13">
        <f>_xll.BDH("BLUE US Equity","ARD_ACCRUED_EXP_AND_OTHER","FQ4 2019","FQ4 2019","Currency=USD","Period=FQ","BEST_FPERIOD_OVERRIDE=FQ","FILING_STATUS=MR","SCALING_FORMAT=MLN","Sort=A","Dates=H","DateFormat=P","Fill=—","Direction=H","UseDPDF=Y")</f>
        <v>141.55600000000001</v>
      </c>
      <c r="J33" s="13">
        <f>_xll.BDH("BLUE US Equity","ARD_ACCRUED_EXP_AND_OTHER","FQ1 2020","FQ1 2020","Currency=USD","Period=FQ","BEST_FPERIOD_OVERRIDE=FQ","FILING_STATUS=MR","SCALING_FORMAT=MLN","Sort=A","Dates=H","DateFormat=P","Fill=—","Direction=H","UseDPDF=Y")</f>
        <v>118.09099999999999</v>
      </c>
      <c r="K33" s="13">
        <f>_xll.BDH("BLUE US Equity","ARD_ACCRUED_EXP_AND_OTHER","FQ2 2020","FQ2 2020","Currency=USD","Period=FQ","BEST_FPERIOD_OVERRIDE=FQ","FILING_STATUS=MR","SCALING_FORMAT=MLN","Sort=A","Dates=H","DateFormat=P","Fill=—","Direction=H","UseDPDF=Y")</f>
        <v>135.61199999999999</v>
      </c>
      <c r="L33" s="13">
        <f>_xll.BDH("BLUE US Equity","ARD_ACCRUED_EXP_AND_OTHER","FQ3 2020","FQ3 2020","Currency=USD","Period=FQ","BEST_FPERIOD_OVERRIDE=FQ","FILING_STATUS=MR","SCALING_FORMAT=MLN","Sort=A","Dates=H","DateFormat=P","Fill=—","Direction=H","UseDPDF=Y")</f>
        <v>138.274</v>
      </c>
      <c r="M33" s="13">
        <f>_xll.BDH("BLUE US Equity","ARD_ACCRUED_EXP_AND_OTHER","FQ4 2020","FQ4 2020","Currency=USD","Period=FQ","BEST_FPERIOD_OVERRIDE=FQ","FILING_STATUS=MR","SCALING_FORMAT=MLN","Sort=A","Dates=H","DateFormat=P","Fill=—","Direction=H","UseDPDF=Y")</f>
        <v>98.19</v>
      </c>
      <c r="N33" s="13">
        <f>_xll.BDH("BLUE US Equity","ARD_ACCRUED_EXP_AND_OTHER","FQ1 2021","FQ1 2021","Currency=USD","Period=FQ","BEST_FPERIOD_OVERRIDE=FQ","FILING_STATUS=MR","SCALING_FORMAT=MLN","Sort=A","Dates=H","DateFormat=P","Fill=—","Direction=H","UseDPDF=Y")</f>
        <v>146.791</v>
      </c>
      <c r="O33" s="13">
        <f>_xll.BDH("BLUE US Equity","ARD_ACCRUED_EXP_AND_OTHER","FQ2 2021","FQ2 2021","Currency=USD","Period=FQ","BEST_FPERIOD_OVERRIDE=FQ","FILING_STATUS=MR","SCALING_FORMAT=MLN","Sort=A","Dates=H","DateFormat=P","Fill=—","Direction=H","UseDPDF=Y")</f>
        <v>168.035</v>
      </c>
      <c r="P33" s="13">
        <f>_xll.BDH("BLUE US Equity","ARD_ACCRUED_EXP_AND_OTHER","FQ3 2021","FQ3 2021","Currency=USD","Period=FQ","BEST_FPERIOD_OVERRIDE=FQ","FILING_STATUS=MR","SCALING_FORMAT=MLN","Sort=A","Dates=H","DateFormat=P","Fill=—","Direction=H","UseDPDF=Y")</f>
        <v>203.79</v>
      </c>
      <c r="Q33" s="13">
        <f>_xll.BDH("BLUE US Equity","ARD_ACCRUED_EXP_AND_OTHER","FQ4 2021","FQ4 2021","Currency=USD","Period=FQ","BEST_FPERIOD_OVERRIDE=FQ","FILING_STATUS=MR","SCALING_FORMAT=MLN","Sort=A","Dates=H","DateFormat=P","Fill=—","Direction=H","UseDPDF=Y")</f>
        <v>103.958</v>
      </c>
      <c r="R33" s="13">
        <f>_xll.BDH("BLUE US Equity","ARD_ACCRUED_EXP_AND_OTHER","FQ1 2022","FQ1 2022","Currency=USD","Period=FQ","BEST_FPERIOD_OVERRIDE=FQ","FILING_STATUS=MR","SCALING_FORMAT=MLN","Sort=A","Dates=H","DateFormat=P","Fill=—","Direction=H","UseDPDF=Y")</f>
        <v>89.031999999999996</v>
      </c>
      <c r="S33" s="13">
        <f>_xll.BDH("BLUE US Equity","ARD_ACCRUED_EXP_AND_OTHER","FQ2 2022","FQ2 2022","Currency=USD","Period=FQ","BEST_FPERIOD_OVERRIDE=FQ","FILING_STATUS=MR","SCALING_FORMAT=MLN","Sort=A","Dates=H","DateFormat=P","Fill=—","Direction=H","UseDPDF=Y")</f>
        <v>75.55</v>
      </c>
      <c r="T33" s="13">
        <f>_xll.BDH("BLUE US Equity","ARD_ACCRUED_EXP_AND_OTHER","FQ3 2022","FQ3 2022","Currency=USD","Period=FQ","BEST_FPERIOD_OVERRIDE=FQ","FILING_STATUS=MR","SCALING_FORMAT=MLN","Sort=A","Dates=H","DateFormat=P","Fill=—","Direction=H","UseDPDF=Y")</f>
        <v>64.313999999999993</v>
      </c>
      <c r="U33" s="13">
        <f>_xll.BDH("BLUE US Equity","ARD_ACCRUED_EXP_AND_OTHER","FQ4 2022","FQ4 2022","Currency=USD","Period=FQ","BEST_FPERIOD_OVERRIDE=FQ","FILING_STATUS=MR","SCALING_FORMAT=MLN","Sort=A","Dates=H","DateFormat=P","Fill=—","Direction=H","UseDPDF=Y")</f>
        <v>51.984999999999999</v>
      </c>
      <c r="V33" s="13">
        <f>_xll.BDH("BLUE US Equity","ARD_ACCRUED_EXP_AND_OTHER","FQ1 2023","FQ1 2023","Currency=USD","Period=FQ","BEST_FPERIOD_OVERRIDE=FQ","FILING_STATUS=MR","SCALING_FORMAT=MLN","Sort=A","Dates=H","DateFormat=P","Fill=—","Direction=H","UseDPDF=Y")</f>
        <v>45.293999999999997</v>
      </c>
      <c r="W33" s="13">
        <f>_xll.BDH("BLUE US Equity","ARD_ACCRUED_EXP_AND_OTHER","FQ2 2023","FQ2 2023","Currency=USD","Period=FQ","BEST_FPERIOD_OVERRIDE=FQ","FILING_STATUS=MR","SCALING_FORMAT=MLN","Sort=A","Dates=H","DateFormat=P","Fill=—","Direction=H","UseDPDF=Y")</f>
        <v>56.530999999999999</v>
      </c>
      <c r="X33" s="13">
        <f>_xll.BDH("BLUE US Equity","ARD_ACCRUED_EXP_AND_OTHER","FQ3 2023","FQ3 2023","Currency=USD","Period=FQ","BEST_FPERIOD_OVERRIDE=FQ","FILING_STATUS=MR","SCALING_FORMAT=MLN","Sort=A","Dates=H","DateFormat=P","Fill=—","Direction=H","UseDPDF=Y")</f>
        <v>57.768000000000001</v>
      </c>
      <c r="Y33" s="13">
        <f>_xll.BDH("BLUE US Equity","ARD_ACCRUED_EXP_AND_OTHER","FQ1 2024","FQ1 2024","Currency=USD","Period=FQ","BEST_FPERIOD_OVERRIDE=FQ","FILING_STATUS=MR","SCALING_FORMAT=MLN","Sort=A","Dates=H","DateFormat=P","Fill=—","Direction=H","UseDPDF=Y")</f>
        <v>64.096000000000004</v>
      </c>
      <c r="Z33" s="13">
        <f>_xll.BDH("BLUE US Equity","ARD_ACCRUED_EXP_AND_OTHER","FQ2 2024","FQ2 2024","Currency=USD","Period=FQ","BEST_FPERIOD_OVERRIDE=FQ","FILING_STATUS=MR","SCALING_FORMAT=MLN","Sort=A","Dates=H","DateFormat=P","Fill=—","Direction=H","UseDPDF=Y")</f>
        <v>65.888999999999996</v>
      </c>
      <c r="AA33" s="13">
        <f>_xll.BDH("BLUE US Equity","ARD_ACCRUED_EXP_AND_OTHER","FQ3 2024","FQ3 2024","Currency=USD","Period=FQ","BEST_FPERIOD_OVERRIDE=FQ","FILING_STATUS=MR","SCALING_FORMAT=MLN","Sort=A","Dates=H","DateFormat=P","Fill=—","Direction=H","UseDPDF=Y")</f>
        <v>70.179000000000002</v>
      </c>
    </row>
    <row r="34" spans="1:27" x14ac:dyDescent="0.25">
      <c r="A34" s="10" t="s">
        <v>800</v>
      </c>
      <c r="B34" s="10" t="s">
        <v>801</v>
      </c>
      <c r="C34" s="13">
        <f>_xll.BDH("BLUE US Equity","ARD_DEFERRED_UNEARNED_REV_ST","FQ2 2018","FQ2 2018","Currency=USD","Period=FQ","BEST_FPERIOD_OVERRIDE=FQ","FILING_STATUS=MR","SCALING_FORMAT=MLN","Sort=A","Dates=H","DateFormat=P","Fill=—","Direction=H","UseDPDF=Y")</f>
        <v>27.323</v>
      </c>
      <c r="D34" s="13">
        <f>_xll.BDH("BLUE US Equity","ARD_DEFERRED_UNEARNED_REV_ST","FQ3 2018","FQ3 2018","Currency=USD","Period=FQ","BEST_FPERIOD_OVERRIDE=FQ","FILING_STATUS=MR","SCALING_FORMAT=MLN","Sort=A","Dates=H","DateFormat=P","Fill=—","Direction=H","UseDPDF=Y")</f>
        <v>22.574999999999999</v>
      </c>
      <c r="E34" s="13">
        <f>_xll.BDH("BLUE US Equity","ARD_DEFERRED_UNEARNED_REV_ST","FQ4 2018","FQ4 2018","Currency=USD","Period=FQ","BEST_FPERIOD_OVERRIDE=FQ","FILING_STATUS=MR","SCALING_FORMAT=MLN","Sort=A","Dates=H","DateFormat=P","Fill=—","Direction=H","UseDPDF=Y")</f>
        <v>18.602</v>
      </c>
      <c r="F34" s="13">
        <f>_xll.BDH("BLUE US Equity","ARD_DEFERRED_UNEARNED_REV_ST","FQ1 2019","FQ1 2019","Currency=USD","Period=FQ","BEST_FPERIOD_OVERRIDE=FQ","FILING_STATUS=MR","SCALING_FORMAT=MLN","Sort=A","Dates=H","DateFormat=P","Fill=—","Direction=H","UseDPDF=Y")</f>
        <v>11.49</v>
      </c>
      <c r="G34" s="13">
        <f>_xll.BDH("BLUE US Equity","ARD_DEFERRED_UNEARNED_REV_ST","FQ2 2019","FQ2 2019","Currency=USD","Period=FQ","BEST_FPERIOD_OVERRIDE=FQ","FILING_STATUS=MR","SCALING_FORMAT=MLN","Sort=A","Dates=H","DateFormat=P","Fill=—","Direction=H","UseDPDF=Y")</f>
        <v>9.484</v>
      </c>
      <c r="H34" s="13">
        <f>_xll.BDH("BLUE US Equity","ARD_DEFERRED_UNEARNED_REV_ST","FQ3 2019","FQ3 2019","Currency=USD","Period=FQ","BEST_FPERIOD_OVERRIDE=FQ","FILING_STATUS=MR","SCALING_FORMAT=MLN","Sort=A","Dates=H","DateFormat=P","Fill=—","Direction=H","UseDPDF=Y")</f>
        <v>8.4740000000000002</v>
      </c>
      <c r="I34" s="13">
        <f>_xll.BDH("BLUE US Equity","ARD_DEFERRED_UNEARNED_REV_ST","FQ4 2019","FQ4 2019","Currency=USD","Period=FQ","BEST_FPERIOD_OVERRIDE=FQ","FILING_STATUS=MR","SCALING_FORMAT=MLN","Sort=A","Dates=H","DateFormat=P","Fill=—","Direction=H","UseDPDF=Y")</f>
        <v>8.4740000000000002</v>
      </c>
      <c r="J34" s="13">
        <f>_xll.BDH("BLUE US Equity","ARD_DEFERRED_UNEARNED_REV_ST","FQ1 2020","FQ1 2020","Currency=USD","Period=FQ","BEST_FPERIOD_OVERRIDE=FQ","FILING_STATUS=MR","SCALING_FORMAT=MLN","Sort=A","Dates=H","DateFormat=P","Fill=—","Direction=H","UseDPDF=Y")</f>
        <v>6.3550000000000004</v>
      </c>
      <c r="K34" s="13">
        <f>_xll.BDH("BLUE US Equity","ARD_DEFERRED_UNEARNED_REV_ST","FQ2 2020","FQ2 2020","Currency=USD","Period=FQ","BEST_FPERIOD_OVERRIDE=FQ","FILING_STATUS=MR","SCALING_FORMAT=MLN","Sort=A","Dates=H","DateFormat=P","Fill=—","Direction=H","UseDPDF=Y")</f>
        <v>3.915</v>
      </c>
      <c r="L34" s="13">
        <f>_xll.BDH("BLUE US Equity","ARD_DEFERRED_UNEARNED_REV_ST","FQ3 2020","FQ3 2020","Currency=USD","Period=FQ","BEST_FPERIOD_OVERRIDE=FQ","FILING_STATUS=MR","SCALING_FORMAT=MLN","Sort=A","Dates=H","DateFormat=P","Fill=—","Direction=H","UseDPDF=Y")</f>
        <v>1.0609999999999999</v>
      </c>
      <c r="M34" s="13" t="str">
        <f>_xll.BDH("BLUE US Equity","ARD_DEFERRED_UNEARNED_REV_ST","FQ4 2020","FQ4 2020","Currency=USD","Period=FQ","BEST_FPERIOD_OVERRIDE=FQ","FILING_STATUS=MR","SCALING_FORMAT=MLN","Sort=A","Dates=H","DateFormat=P","Fill=—","Direction=H","UseDPDF=Y")</f>
        <v>—</v>
      </c>
      <c r="N34" s="13">
        <f>_xll.BDH("BLUE US Equity","ARD_DEFERRED_UNEARNED_REV_ST","FQ1 2021","FQ1 2021","Currency=USD","Period=FQ","BEST_FPERIOD_OVERRIDE=FQ","FILING_STATUS=MR","SCALING_FORMAT=MLN","Sort=A","Dates=H","DateFormat=P","Fill=—","Direction=H","UseDPDF=Y")</f>
        <v>1.33</v>
      </c>
      <c r="O34" s="13">
        <f>_xll.BDH("BLUE US Equity","ARD_DEFERRED_UNEARNED_REV_ST","FQ2 2021","FQ2 2021","Currency=USD","Period=FQ","BEST_FPERIOD_OVERRIDE=FQ","FILING_STATUS=MR","SCALING_FORMAT=MLN","Sort=A","Dates=H","DateFormat=P","Fill=—","Direction=H","UseDPDF=Y")</f>
        <v>2.6869999999999998</v>
      </c>
      <c r="P34" s="13">
        <f>_xll.BDH("BLUE US Equity","ARD_DEFERRED_UNEARNED_REV_ST","FQ3 2021","FQ3 2021","Currency=USD","Period=FQ","BEST_FPERIOD_OVERRIDE=FQ","FILING_STATUS=MR","SCALING_FORMAT=MLN","Sort=A","Dates=H","DateFormat=P","Fill=—","Direction=H","UseDPDF=Y")</f>
        <v>2.5299999999999998</v>
      </c>
      <c r="Q34" s="13" t="str">
        <f>_xll.BDH("BLUE US Equity","ARD_DEFERRED_UNEARNED_REV_ST","FQ4 2021","FQ4 2021","Currency=USD","Period=FQ","BEST_FPERIOD_OVERRIDE=FQ","FILING_STATUS=MR","SCALING_FORMAT=MLN","Sort=A","Dates=H","DateFormat=P","Fill=—","Direction=H","UseDPDF=Y")</f>
        <v>—</v>
      </c>
      <c r="R34" s="13" t="str">
        <f>_xll.BDH("BLUE US Equity","ARD_DEFERRED_UNEARNED_REV_ST","FQ1 2022","FQ1 2022","Currency=USD","Period=FQ","BEST_FPERIOD_OVERRIDE=FQ","FILING_STATUS=MR","SCALING_FORMAT=MLN","Sort=A","Dates=H","DateFormat=P","Fill=—","Direction=H","UseDPDF=Y")</f>
        <v>—</v>
      </c>
      <c r="S34" s="13" t="str">
        <f>_xll.BDH("BLUE US Equity","ARD_DEFERRED_UNEARNED_REV_ST","FQ2 2022","FQ2 2022","Currency=USD","Period=FQ","BEST_FPERIOD_OVERRIDE=FQ","FILING_STATUS=MR","SCALING_FORMAT=MLN","Sort=A","Dates=H","DateFormat=P","Fill=—","Direction=H","UseDPDF=Y")</f>
        <v>—</v>
      </c>
      <c r="T34" s="13" t="str">
        <f>_xll.BDH("BLUE US Equity","ARD_DEFERRED_UNEARNED_REV_ST","FQ3 2022","FQ3 2022","Currency=USD","Period=FQ","BEST_FPERIOD_OVERRIDE=FQ","FILING_STATUS=MR","SCALING_FORMAT=MLN","Sort=A","Dates=H","DateFormat=P","Fill=—","Direction=H","UseDPDF=Y")</f>
        <v>—</v>
      </c>
      <c r="U34" s="13" t="str">
        <f>_xll.BDH("BLUE US Equity","ARD_DEFERRED_UNEARNED_REV_ST","FQ4 2022","FQ4 2022","Currency=USD","Period=FQ","BEST_FPERIOD_OVERRIDE=FQ","FILING_STATUS=MR","SCALING_FORMAT=MLN","Sort=A","Dates=H","DateFormat=P","Fill=—","Direction=H","UseDPDF=Y")</f>
        <v>—</v>
      </c>
      <c r="V34" s="13" t="str">
        <f>_xll.BDH("BLUE US Equity","ARD_DEFERRED_UNEARNED_REV_ST","FQ1 2023","FQ1 2023","Currency=USD","Period=FQ","BEST_FPERIOD_OVERRIDE=FQ","FILING_STATUS=MR","SCALING_FORMAT=MLN","Sort=A","Dates=H","DateFormat=P","Fill=—","Direction=H","UseDPDF=Y")</f>
        <v>—</v>
      </c>
      <c r="W34" s="13" t="str">
        <f>_xll.BDH("BLUE US Equity","ARD_DEFERRED_UNEARNED_REV_ST","FQ2 2023","FQ2 2023","Currency=USD","Period=FQ","BEST_FPERIOD_OVERRIDE=FQ","FILING_STATUS=MR","SCALING_FORMAT=MLN","Sort=A","Dates=H","DateFormat=P","Fill=—","Direction=H","UseDPDF=Y")</f>
        <v>—</v>
      </c>
      <c r="X34" s="13">
        <f>_xll.BDH("BLUE US Equity","ARD_DEFERRED_UNEARNED_REV_ST","FQ3 2023","FQ3 2023","Currency=USD","Period=FQ","BEST_FPERIOD_OVERRIDE=FQ","FILING_STATUS=MR","SCALING_FORMAT=MLN","Sort=A","Dates=H","DateFormat=P","Fill=—","Direction=H","UseDPDF=Y")</f>
        <v>9.6530000000000005</v>
      </c>
      <c r="Y34" s="13" t="str">
        <f>_xll.BDH("BLUE US Equity","ARD_DEFERRED_UNEARNED_REV_ST","FQ1 2024","FQ1 2024","Currency=USD","Period=FQ","BEST_FPERIOD_OVERRIDE=FQ","FILING_STATUS=MR","SCALING_FORMAT=MLN","Sort=A","Dates=H","DateFormat=P","Fill=—","Direction=H","UseDPDF=Y")</f>
        <v>—</v>
      </c>
      <c r="Z34" s="13" t="str">
        <f>_xll.BDH("BLUE US Equity","ARD_DEFERRED_UNEARNED_REV_ST","FQ2 2024","FQ2 2024","Currency=USD","Period=FQ","BEST_FPERIOD_OVERRIDE=FQ","FILING_STATUS=MR","SCALING_FORMAT=MLN","Sort=A","Dates=H","DateFormat=P","Fill=—","Direction=H","UseDPDF=Y")</f>
        <v>—</v>
      </c>
      <c r="AA34" s="13" t="str">
        <f>_xll.BDH("BLUE US Equity","ARD_DEFERRED_UNEARNED_REV_ST","FQ3 2024","FQ3 2024","Currency=USD","Period=FQ","BEST_FPERIOD_OVERRIDE=FQ","FILING_STATUS=MR","SCALING_FORMAT=MLN","Sort=A","Dates=H","DateFormat=P","Fill=—","Direction=H","UseDPDF=Y")</f>
        <v>—</v>
      </c>
    </row>
    <row r="35" spans="1:27" x14ac:dyDescent="0.25">
      <c r="A35" s="10" t="s">
        <v>802</v>
      </c>
      <c r="B35" s="10" t="s">
        <v>803</v>
      </c>
      <c r="C35" s="13" t="str">
        <f>_xll.BDH("BLUE US Equity","ARD_OTHER_CURRENT_LIABILITIES","FQ2 2018","FQ2 2018","Currency=USD","Period=FQ","BEST_FPERIOD_OVERRIDE=FQ","FILING_STATUS=MR","SCALING_FORMAT=MLN","Sort=A","Dates=H","DateFormat=P","Fill=—","Direction=H","UseDPDF=Y")</f>
        <v>—</v>
      </c>
      <c r="D35" s="13">
        <f>_xll.BDH("BLUE US Equity","ARD_OTHER_CURRENT_LIABILITIES","FQ3 2018","FQ3 2018","Currency=USD","Period=FQ","BEST_FPERIOD_OVERRIDE=FQ","FILING_STATUS=MR","SCALING_FORMAT=MLN","Sort=A","Dates=H","DateFormat=P","Fill=—","Direction=H","UseDPDF=Y")</f>
        <v>7.8419999999999996</v>
      </c>
      <c r="E35" s="13">
        <f>_xll.BDH("BLUE US Equity","ARD_OTHER_CURRENT_LIABILITIES","FQ4 2018","FQ4 2018","Currency=USD","Period=FQ","BEST_FPERIOD_OVERRIDE=FQ","FILING_STATUS=MR","SCALING_FORMAT=MLN","Sort=A","Dates=H","DateFormat=P","Fill=—","Direction=H","UseDPDF=Y")</f>
        <v>10.605</v>
      </c>
      <c r="F35" s="13">
        <f>_xll.BDH("BLUE US Equity","ARD_OTHER_CURRENT_LIABILITIES","FQ1 2019","FQ1 2019","Currency=USD","Period=FQ","BEST_FPERIOD_OVERRIDE=FQ","FILING_STATUS=MR","SCALING_FORMAT=MLN","Sort=A","Dates=H","DateFormat=P","Fill=—","Direction=H","UseDPDF=Y")</f>
        <v>11.242000000000001</v>
      </c>
      <c r="G35" s="13">
        <f>_xll.BDH("BLUE US Equity","ARD_OTHER_CURRENT_LIABILITIES","FQ2 2019","FQ2 2019","Currency=USD","Period=FQ","BEST_FPERIOD_OVERRIDE=FQ","FILING_STATUS=MR","SCALING_FORMAT=MLN","Sort=A","Dates=H","DateFormat=P","Fill=—","Direction=H","UseDPDF=Y")</f>
        <v>13.19</v>
      </c>
      <c r="H35" s="13">
        <f>_xll.BDH("BLUE US Equity","ARD_OTHER_CURRENT_LIABILITIES","FQ3 2019","FQ3 2019","Currency=USD","Period=FQ","BEST_FPERIOD_OVERRIDE=FQ","FILING_STATUS=MR","SCALING_FORMAT=MLN","Sort=A","Dates=H","DateFormat=P","Fill=—","Direction=H","UseDPDF=Y")</f>
        <v>13.273</v>
      </c>
      <c r="I35" s="13">
        <f>_xll.BDH("BLUE US Equity","ARD_OTHER_CURRENT_LIABILITIES","FQ4 2019","FQ4 2019","Currency=USD","Period=FQ","BEST_FPERIOD_OVERRIDE=FQ","FILING_STATUS=MR","SCALING_FORMAT=MLN","Sort=A","Dates=H","DateFormat=P","Fill=—","Direction=H","UseDPDF=Y")</f>
        <v>10.38</v>
      </c>
      <c r="J35" s="13">
        <f>_xll.BDH("BLUE US Equity","ARD_OTHER_CURRENT_LIABILITIES","FQ1 2020","FQ1 2020","Currency=USD","Period=FQ","BEST_FPERIOD_OVERRIDE=FQ","FILING_STATUS=MR","SCALING_FORMAT=MLN","Sort=A","Dates=H","DateFormat=P","Fill=—","Direction=H","UseDPDF=Y")</f>
        <v>9.0690000000000008</v>
      </c>
      <c r="K35" s="13">
        <f>_xll.BDH("BLUE US Equity","ARD_OTHER_CURRENT_LIABILITIES","FQ2 2020","FQ2 2020","Currency=USD","Period=FQ","BEST_FPERIOD_OVERRIDE=FQ","FILING_STATUS=MR","SCALING_FORMAT=MLN","Sort=A","Dates=H","DateFormat=P","Fill=—","Direction=H","UseDPDF=Y")</f>
        <v>10.518000000000001</v>
      </c>
      <c r="L35" s="13">
        <f>_xll.BDH("BLUE US Equity","ARD_OTHER_CURRENT_LIABILITIES","FQ3 2020","FQ3 2020","Currency=USD","Period=FQ","BEST_FPERIOD_OVERRIDE=FQ","FILING_STATUS=MR","SCALING_FORMAT=MLN","Sort=A","Dates=H","DateFormat=P","Fill=—","Direction=H","UseDPDF=Y")</f>
        <v>10.045</v>
      </c>
      <c r="M35" s="13" t="str">
        <f>_xll.BDH("BLUE US Equity","ARD_OTHER_CURRENT_LIABILITIES","FQ4 2020","FQ4 2020","Currency=USD","Period=FQ","BEST_FPERIOD_OVERRIDE=FQ","FILING_STATUS=MR","SCALING_FORMAT=MLN","Sort=A","Dates=H","DateFormat=P","Fill=—","Direction=H","UseDPDF=Y")</f>
        <v>—</v>
      </c>
      <c r="N35" s="13">
        <f>_xll.BDH("BLUE US Equity","ARD_OTHER_CURRENT_LIABILITIES","FQ1 2021","FQ1 2021","Currency=USD","Period=FQ","BEST_FPERIOD_OVERRIDE=FQ","FILING_STATUS=MR","SCALING_FORMAT=MLN","Sort=A","Dates=H","DateFormat=P","Fill=—","Direction=H","UseDPDF=Y")</f>
        <v>9.8989999999999991</v>
      </c>
      <c r="O35" s="13">
        <f>_xll.BDH("BLUE US Equity","ARD_OTHER_CURRENT_LIABILITIES","FQ2 2021","FQ2 2021","Currency=USD","Period=FQ","BEST_FPERIOD_OVERRIDE=FQ","FILING_STATUS=MR","SCALING_FORMAT=MLN","Sort=A","Dates=H","DateFormat=P","Fill=—","Direction=H","UseDPDF=Y")</f>
        <v>9.08</v>
      </c>
      <c r="P35" s="13">
        <f>_xll.BDH("BLUE US Equity","ARD_OTHER_CURRENT_LIABILITIES","FQ3 2021","FQ3 2021","Currency=USD","Period=FQ","BEST_FPERIOD_OVERRIDE=FQ","FILING_STATUS=MR","SCALING_FORMAT=MLN","Sort=A","Dates=H","DateFormat=P","Fill=—","Direction=H","UseDPDF=Y")</f>
        <v>9.1300000000000008</v>
      </c>
      <c r="Q35" s="13" t="str">
        <f>_xll.BDH("BLUE US Equity","ARD_OTHER_CURRENT_LIABILITIES","FQ4 2021","FQ4 2021","Currency=USD","Period=FQ","BEST_FPERIOD_OVERRIDE=FQ","FILING_STATUS=MR","SCALING_FORMAT=MLN","Sort=A","Dates=H","DateFormat=P","Fill=—","Direction=H","UseDPDF=Y")</f>
        <v>—</v>
      </c>
      <c r="R35" s="13" t="str">
        <f>_xll.BDH("BLUE US Equity","ARD_OTHER_CURRENT_LIABILITIES","FQ1 2022","FQ1 2022","Currency=USD","Period=FQ","BEST_FPERIOD_OVERRIDE=FQ","FILING_STATUS=MR","SCALING_FORMAT=MLN","Sort=A","Dates=H","DateFormat=P","Fill=—","Direction=H","UseDPDF=Y")</f>
        <v>—</v>
      </c>
      <c r="S35" s="13" t="str">
        <f>_xll.BDH("BLUE US Equity","ARD_OTHER_CURRENT_LIABILITIES","FQ2 2022","FQ2 2022","Currency=USD","Period=FQ","BEST_FPERIOD_OVERRIDE=FQ","FILING_STATUS=MR","SCALING_FORMAT=MLN","Sort=A","Dates=H","DateFormat=P","Fill=—","Direction=H","UseDPDF=Y")</f>
        <v>—</v>
      </c>
      <c r="T35" s="13" t="str">
        <f>_xll.BDH("BLUE US Equity","ARD_OTHER_CURRENT_LIABILITIES","FQ3 2022","FQ3 2022","Currency=USD","Period=FQ","BEST_FPERIOD_OVERRIDE=FQ","FILING_STATUS=MR","SCALING_FORMAT=MLN","Sort=A","Dates=H","DateFormat=P","Fill=—","Direction=H","UseDPDF=Y")</f>
        <v>—</v>
      </c>
      <c r="U35" s="13" t="str">
        <f>_xll.BDH("BLUE US Equity","ARD_OTHER_CURRENT_LIABILITIES","FQ4 2022","FQ4 2022","Currency=USD","Period=FQ","BEST_FPERIOD_OVERRIDE=FQ","FILING_STATUS=MR","SCALING_FORMAT=MLN","Sort=A","Dates=H","DateFormat=P","Fill=—","Direction=H","UseDPDF=Y")</f>
        <v>—</v>
      </c>
      <c r="V35" s="13" t="str">
        <f>_xll.BDH("BLUE US Equity","ARD_OTHER_CURRENT_LIABILITIES","FQ1 2023","FQ1 2023","Currency=USD","Period=FQ","BEST_FPERIOD_OVERRIDE=FQ","FILING_STATUS=MR","SCALING_FORMAT=MLN","Sort=A","Dates=H","DateFormat=P","Fill=—","Direction=H","UseDPDF=Y")</f>
        <v>—</v>
      </c>
      <c r="W35" s="13" t="str">
        <f>_xll.BDH("BLUE US Equity","ARD_OTHER_CURRENT_LIABILITIES","FQ2 2023","FQ2 2023","Currency=USD","Period=FQ","BEST_FPERIOD_OVERRIDE=FQ","FILING_STATUS=MR","SCALING_FORMAT=MLN","Sort=A","Dates=H","DateFormat=P","Fill=—","Direction=H","UseDPDF=Y")</f>
        <v>—</v>
      </c>
      <c r="X35" s="13" t="str">
        <f>_xll.BDH("BLUE US Equity","ARD_OTHER_CURRENT_LIABILITIES","FQ3 2023","FQ3 2023","Currency=USD","Period=FQ","BEST_FPERIOD_OVERRIDE=FQ","FILING_STATUS=MR","SCALING_FORMAT=MLN","Sort=A","Dates=H","DateFormat=P","Fill=—","Direction=H","UseDPDF=Y")</f>
        <v>—</v>
      </c>
      <c r="Y35" s="13">
        <f>_xll.BDH("BLUE US Equity","ARD_OTHER_CURRENT_LIABILITIES","FQ1 2024","FQ1 2024","Currency=USD","Period=FQ","BEST_FPERIOD_OVERRIDE=FQ","FILING_STATUS=MR","SCALING_FORMAT=MLN","Sort=A","Dates=H","DateFormat=P","Fill=—","Direction=H","UseDPDF=Y")</f>
        <v>2.52</v>
      </c>
      <c r="Z35" s="13">
        <f>_xll.BDH("BLUE US Equity","ARD_OTHER_CURRENT_LIABILITIES","FQ2 2024","FQ2 2024","Currency=USD","Period=FQ","BEST_FPERIOD_OVERRIDE=FQ","FILING_STATUS=MR","SCALING_FORMAT=MLN","Sort=A","Dates=H","DateFormat=P","Fill=—","Direction=H","UseDPDF=Y")</f>
        <v>5.22</v>
      </c>
      <c r="AA35" s="13">
        <f>_xll.BDH("BLUE US Equity","ARD_OTHER_CURRENT_LIABILITIES","FQ3 2024","FQ3 2024","Currency=USD","Period=FQ","BEST_FPERIOD_OVERRIDE=FQ","FILING_STATUS=MR","SCALING_FORMAT=MLN","Sort=A","Dates=H","DateFormat=P","Fill=—","Direction=H","UseDPDF=Y")</f>
        <v>10.08</v>
      </c>
    </row>
    <row r="36" spans="1:27" x14ac:dyDescent="0.25">
      <c r="A36" s="10" t="s">
        <v>804</v>
      </c>
      <c r="B36" s="10" t="s">
        <v>805</v>
      </c>
      <c r="C36" s="13" t="str">
        <f>_xll.BDH("BLUE US Equity","ARD_ST_OPERATING_LEASE_LIABS","FQ2 2018","FQ2 2018","Currency=USD","Period=FQ","BEST_FPERIOD_OVERRIDE=FQ","FILING_STATUS=MR","Sort=A","Dates=H","DateFormat=P","Fill=—","Direction=H","UseDPDF=Y")</f>
        <v>—</v>
      </c>
      <c r="D36" s="13" t="str">
        <f>_xll.BDH("BLUE US Equity","ARD_ST_OPERATING_LEASE_LIABS","FQ3 2018","FQ3 2018","Currency=USD","Period=FQ","BEST_FPERIOD_OVERRIDE=FQ","FILING_STATUS=MR","Sort=A","Dates=H","DateFormat=P","Fill=—","Direction=H","UseDPDF=Y")</f>
        <v>—</v>
      </c>
      <c r="E36" s="13" t="str">
        <f>_xll.BDH("BLUE US Equity","ARD_ST_OPERATING_LEASE_LIABS","FQ4 2018","FQ4 2018","Currency=USD","Period=FQ","BEST_FPERIOD_OVERRIDE=FQ","FILING_STATUS=MR","Sort=A","Dates=H","DateFormat=P","Fill=—","Direction=H","UseDPDF=Y")</f>
        <v>—</v>
      </c>
      <c r="F36" s="13">
        <f>_xll.BDH("BLUE US Equity","ARD_ST_OPERATING_LEASE_LIABS","FQ1 2019","FQ1 2019","Currency=USD","Period=FQ","BEST_FPERIOD_OVERRIDE=FQ","FILING_STATUS=MR","Sort=A","Dates=H","DateFormat=P","Fill=—","Direction=H","UseDPDF=Y")</f>
        <v>17.565999999999999</v>
      </c>
      <c r="G36" s="13">
        <f>_xll.BDH("BLUE US Equity","ARD_ST_OPERATING_LEASE_LIABS","FQ2 2019","FQ2 2019","Currency=USD","Period=FQ","BEST_FPERIOD_OVERRIDE=FQ","FILING_STATUS=MR","Sort=A","Dates=H","DateFormat=P","Fill=—","Direction=H","UseDPDF=Y")</f>
        <v>18.872</v>
      </c>
      <c r="H36" s="13">
        <f>_xll.BDH("BLUE US Equity","ARD_ST_OPERATING_LEASE_LIABS","FQ3 2019","FQ3 2019","Currency=USD","Period=FQ","BEST_FPERIOD_OVERRIDE=FQ","FILING_STATUS=MR","Sort=A","Dates=H","DateFormat=P","Fill=—","Direction=H","UseDPDF=Y")</f>
        <v>19.931000000000001</v>
      </c>
      <c r="I36" s="13">
        <f>_xll.BDH("BLUE US Equity","ARD_ST_OPERATING_LEASE_LIABS","FQ4 2019","FQ4 2019","Currency=USD","Period=FQ","BEST_FPERIOD_OVERRIDE=FQ","FILING_STATUS=MR","Sort=A","Dates=H","DateFormat=P","Fill=—","Direction=H","UseDPDF=Y")</f>
        <v>20.175000000000001</v>
      </c>
      <c r="J36" s="13">
        <f>_xll.BDH("BLUE US Equity","ARD_ST_OPERATING_LEASE_LIABS","FQ1 2020","FQ1 2020","Currency=USD","Period=FQ","BEST_FPERIOD_OVERRIDE=FQ","FILING_STATUS=MR","Sort=A","Dates=H","DateFormat=P","Fill=—","Direction=H","UseDPDF=Y")</f>
        <v>20.38</v>
      </c>
      <c r="K36" s="13">
        <f>_xll.BDH("BLUE US Equity","ARD_ST_OPERATING_LEASE_LIABS","FQ2 2020","FQ2 2020","Currency=USD","Period=FQ","BEST_FPERIOD_OVERRIDE=FQ","FILING_STATUS=MR","Sort=A","Dates=H","DateFormat=P","Fill=—","Direction=H","UseDPDF=Y")</f>
        <v>20.954999999999998</v>
      </c>
      <c r="L36" s="13">
        <f>_xll.BDH("BLUE US Equity","ARD_ST_OPERATING_LEASE_LIABS","FQ3 2020","FQ3 2020","Currency=USD","Period=FQ","BEST_FPERIOD_OVERRIDE=FQ","FILING_STATUS=MR","Sort=A","Dates=H","DateFormat=P","Fill=—","Direction=H","UseDPDF=Y")</f>
        <v>22.218</v>
      </c>
      <c r="M36" s="13">
        <f>_xll.BDH("BLUE US Equity","ARD_ST_OPERATING_LEASE_LIABS","FQ4 2020","FQ4 2020","Currency=USD","Period=FQ","BEST_FPERIOD_OVERRIDE=FQ","FILING_STATUS=MR","Sort=A","Dates=H","DateFormat=P","Fill=—","Direction=H","UseDPDF=Y")</f>
        <v>9.7110000000000003</v>
      </c>
      <c r="N36" s="13">
        <f>_xll.BDH("BLUE US Equity","ARD_ST_OPERATING_LEASE_LIABS","FQ1 2021","FQ1 2021","Currency=USD","Period=FQ","BEST_FPERIOD_OVERRIDE=FQ","FILING_STATUS=MR","Sort=A","Dates=H","DateFormat=P","Fill=—","Direction=H","UseDPDF=Y")</f>
        <v>28.062999999999999</v>
      </c>
      <c r="O36" s="13">
        <f>_xll.BDH("BLUE US Equity","ARD_ST_OPERATING_LEASE_LIABS","FQ2 2021","FQ2 2021","Currency=USD","Period=FQ","BEST_FPERIOD_OVERRIDE=FQ","FILING_STATUS=MR","Sort=A","Dates=H","DateFormat=P","Fill=—","Direction=H","UseDPDF=Y")</f>
        <v>28.669</v>
      </c>
      <c r="P36" s="13">
        <f>_xll.BDH("BLUE US Equity","ARD_ST_OPERATING_LEASE_LIABS","FQ3 2021","FQ3 2021","Currency=USD","Period=FQ","BEST_FPERIOD_OVERRIDE=FQ","FILING_STATUS=MR","Sort=A","Dates=H","DateFormat=P","Fill=—","Direction=H","UseDPDF=Y")</f>
        <v>29.440999999999999</v>
      </c>
      <c r="Q36" s="13">
        <f>_xll.BDH("BLUE US Equity","ARD_ST_OPERATING_LEASE_LIABS","FQ4 2021","FQ4 2021","Currency=USD","Period=FQ","BEST_FPERIOD_OVERRIDE=FQ","FILING_STATUS=MR","Sort=A","Dates=H","DateFormat=P","Fill=—","Direction=H","UseDPDF=Y")</f>
        <v>23.152000000000001</v>
      </c>
      <c r="R36" s="13">
        <f>_xll.BDH("BLUE US Equity","ARD_ST_OPERATING_LEASE_LIABS","FQ1 2022","FQ1 2022","Currency=USD","Period=FQ","BEST_FPERIOD_OVERRIDE=FQ","FILING_STATUS=MR","Sort=A","Dates=H","DateFormat=P","Fill=—","Direction=H","UseDPDF=Y")</f>
        <v>25.51</v>
      </c>
      <c r="S36" s="13">
        <f>_xll.BDH("BLUE US Equity","ARD_ST_OPERATING_LEASE_LIABS","FQ2 2022","FQ2 2022","Currency=USD","Period=FQ","BEST_FPERIOD_OVERRIDE=FQ","FILING_STATUS=MR","Sort=A","Dates=H","DateFormat=P","Fill=—","Direction=H","UseDPDF=Y")</f>
        <v>48.445999999999998</v>
      </c>
      <c r="T36" s="13">
        <f>_xll.BDH("BLUE US Equity","ARD_ST_OPERATING_LEASE_LIABS","FQ3 2022","FQ3 2022","Currency=USD","Period=FQ","BEST_FPERIOD_OVERRIDE=FQ","FILING_STATUS=MR","Sort=A","Dates=H","DateFormat=P","Fill=—","Direction=H","UseDPDF=Y")</f>
        <v>43.790999999999997</v>
      </c>
      <c r="U36" s="13">
        <f>_xll.BDH("BLUE US Equity","ARD_ST_OPERATING_LEASE_LIABS","FQ4 2022","FQ4 2022","Currency=USD","Period=FQ","BEST_FPERIOD_OVERRIDE=FQ","FILING_STATUS=MR","Sort=A","Dates=H","DateFormat=P","Fill=—","Direction=H","UseDPDF=Y")</f>
        <v>51.16</v>
      </c>
      <c r="V36" s="13">
        <f>_xll.BDH("BLUE US Equity","ARD_ST_OPERATING_LEASE_LIABS","FQ1 2023","FQ1 2023","Currency=USD","Period=FQ","BEST_FPERIOD_OVERRIDE=FQ","FILING_STATUS=MR","Sort=A","Dates=H","DateFormat=P","Fill=—","Direction=H","UseDPDF=Y")</f>
        <v>51.404000000000003</v>
      </c>
      <c r="W36" s="13">
        <f>_xll.BDH("BLUE US Equity","ARD_ST_OPERATING_LEASE_LIABS","FQ2 2023","FQ2 2023","Currency=USD","Period=FQ","BEST_FPERIOD_OVERRIDE=FQ","FILING_STATUS=MR","Sort=A","Dates=H","DateFormat=P","Fill=—","Direction=H","UseDPDF=Y")</f>
        <v>67.590999999999994</v>
      </c>
      <c r="X36" s="13">
        <f>_xll.BDH("BLUE US Equity","ARD_ST_OPERATING_LEASE_LIABS","FQ3 2023","FQ3 2023","Currency=USD","Period=FQ","BEST_FPERIOD_OVERRIDE=FQ","FILING_STATUS=MR","Sort=A","Dates=H","DateFormat=P","Fill=—","Direction=H","UseDPDF=Y")</f>
        <v>71.683999999999997</v>
      </c>
      <c r="Y36" s="13">
        <f>_xll.BDH("BLUE US Equity","ARD_ST_OPERATING_LEASE_LIABS","FQ1 2024","FQ1 2024","Currency=USD","Period=FQ","BEST_FPERIOD_OVERRIDE=FQ","FILING_STATUS=MR","Sort=A","Dates=H","DateFormat=P","Fill=—","Direction=H","UseDPDF=Y")</f>
        <v>24.363</v>
      </c>
      <c r="Z36" s="13">
        <f>_xll.BDH("BLUE US Equity","ARD_ST_OPERATING_LEASE_LIABS","FQ2 2024","FQ2 2024","Currency=USD","Period=FQ","BEST_FPERIOD_OVERRIDE=FQ","FILING_STATUS=MR","Sort=A","Dates=H","DateFormat=P","Fill=—","Direction=H","UseDPDF=Y")</f>
        <v>25.052</v>
      </c>
      <c r="AA36" s="13">
        <f>_xll.BDH("BLUE US Equity","ARD_ST_OPERATING_LEASE_LIABS","FQ3 2024","FQ3 2024","Currency=USD","Period=FQ","BEST_FPERIOD_OVERRIDE=FQ","FILING_STATUS=MR","Sort=A","Dates=H","DateFormat=P","Fill=—","Direction=H","UseDPDF=Y")</f>
        <v>24.510999999999999</v>
      </c>
    </row>
    <row r="37" spans="1:27" x14ac:dyDescent="0.25">
      <c r="A37" s="10" t="s">
        <v>806</v>
      </c>
      <c r="B37" s="10" t="s">
        <v>807</v>
      </c>
      <c r="C37" s="13" t="str">
        <f>_xll.BDH("BLUE US Equity","ARD_LIAB_FROM_DISC_OPS_ST","FQ2 2018","FQ2 2018","Currency=USD","Period=FQ","BEST_FPERIOD_OVERRIDE=FQ","FILING_STATUS=MR","SCALING_FORMAT=MLN","Sort=A","Dates=H","DateFormat=P","Fill=—","Direction=H","UseDPDF=Y")</f>
        <v>—</v>
      </c>
      <c r="D37" s="13" t="str">
        <f>_xll.BDH("BLUE US Equity","ARD_LIAB_FROM_DISC_OPS_ST","FQ3 2018","FQ3 2018","Currency=USD","Period=FQ","BEST_FPERIOD_OVERRIDE=FQ","FILING_STATUS=MR","SCALING_FORMAT=MLN","Sort=A","Dates=H","DateFormat=P","Fill=—","Direction=H","UseDPDF=Y")</f>
        <v>—</v>
      </c>
      <c r="E37" s="13" t="str">
        <f>_xll.BDH("BLUE US Equity","ARD_LIAB_FROM_DISC_OPS_ST","FQ4 2018","FQ4 2018","Currency=USD","Period=FQ","BEST_FPERIOD_OVERRIDE=FQ","FILING_STATUS=MR","SCALING_FORMAT=MLN","Sort=A","Dates=H","DateFormat=P","Fill=—","Direction=H","UseDPDF=Y")</f>
        <v>—</v>
      </c>
      <c r="F37" s="13" t="str">
        <f>_xll.BDH("BLUE US Equity","ARD_LIAB_FROM_DISC_OPS_ST","FQ1 2019","FQ1 2019","Currency=USD","Period=FQ","BEST_FPERIOD_OVERRIDE=FQ","FILING_STATUS=MR","SCALING_FORMAT=MLN","Sort=A","Dates=H","DateFormat=P","Fill=—","Direction=H","UseDPDF=Y")</f>
        <v>—</v>
      </c>
      <c r="G37" s="13" t="str">
        <f>_xll.BDH("BLUE US Equity","ARD_LIAB_FROM_DISC_OPS_ST","FQ2 2019","FQ2 2019","Currency=USD","Period=FQ","BEST_FPERIOD_OVERRIDE=FQ","FILING_STATUS=MR","SCALING_FORMAT=MLN","Sort=A","Dates=H","DateFormat=P","Fill=—","Direction=H","UseDPDF=Y")</f>
        <v>—</v>
      </c>
      <c r="H37" s="13" t="str">
        <f>_xll.BDH("BLUE US Equity","ARD_LIAB_FROM_DISC_OPS_ST","FQ3 2019","FQ3 2019","Currency=USD","Period=FQ","BEST_FPERIOD_OVERRIDE=FQ","FILING_STATUS=MR","SCALING_FORMAT=MLN","Sort=A","Dates=H","DateFormat=P","Fill=—","Direction=H","UseDPDF=Y")</f>
        <v>—</v>
      </c>
      <c r="I37" s="13" t="str">
        <f>_xll.BDH("BLUE US Equity","ARD_LIAB_FROM_DISC_OPS_ST","FQ4 2019","FQ4 2019","Currency=USD","Period=FQ","BEST_FPERIOD_OVERRIDE=FQ","FILING_STATUS=MR","SCALING_FORMAT=MLN","Sort=A","Dates=H","DateFormat=P","Fill=—","Direction=H","UseDPDF=Y")</f>
        <v>—</v>
      </c>
      <c r="J37" s="13" t="str">
        <f>_xll.BDH("BLUE US Equity","ARD_LIAB_FROM_DISC_OPS_ST","FQ1 2020","FQ1 2020","Currency=USD","Period=FQ","BEST_FPERIOD_OVERRIDE=FQ","FILING_STATUS=MR","SCALING_FORMAT=MLN","Sort=A","Dates=H","DateFormat=P","Fill=—","Direction=H","UseDPDF=Y")</f>
        <v>—</v>
      </c>
      <c r="K37" s="13" t="str">
        <f>_xll.BDH("BLUE US Equity","ARD_LIAB_FROM_DISC_OPS_ST","FQ2 2020","FQ2 2020","Currency=USD","Period=FQ","BEST_FPERIOD_OVERRIDE=FQ","FILING_STATUS=MR","SCALING_FORMAT=MLN","Sort=A","Dates=H","DateFormat=P","Fill=—","Direction=H","UseDPDF=Y")</f>
        <v>—</v>
      </c>
      <c r="L37" s="13" t="str">
        <f>_xll.BDH("BLUE US Equity","ARD_LIAB_FROM_DISC_OPS_ST","FQ3 2020","FQ3 2020","Currency=USD","Period=FQ","BEST_FPERIOD_OVERRIDE=FQ","FILING_STATUS=MR","SCALING_FORMAT=MLN","Sort=A","Dates=H","DateFormat=P","Fill=—","Direction=H","UseDPDF=Y")</f>
        <v>—</v>
      </c>
      <c r="M37" s="13">
        <f>_xll.BDH("BLUE US Equity","ARD_LIAB_FROM_DISC_OPS_ST","FQ4 2020","FQ4 2020","Currency=USD","Period=FQ","BEST_FPERIOD_OVERRIDE=FQ","FILING_STATUS=MR","SCALING_FORMAT=MLN","Sort=A","Dates=H","DateFormat=P","Fill=—","Direction=H","UseDPDF=Y")</f>
        <v>81.876000000000005</v>
      </c>
      <c r="N37" s="13" t="str">
        <f>_xll.BDH("BLUE US Equity","ARD_LIAB_FROM_DISC_OPS_ST","FQ1 2021","FQ1 2021","Currency=USD","Period=FQ","BEST_FPERIOD_OVERRIDE=FQ","FILING_STATUS=MR","SCALING_FORMAT=MLN","Sort=A","Dates=H","DateFormat=P","Fill=—","Direction=H","UseDPDF=Y")</f>
        <v>—</v>
      </c>
      <c r="O37" s="13" t="str">
        <f>_xll.BDH("BLUE US Equity","ARD_LIAB_FROM_DISC_OPS_ST","FQ2 2021","FQ2 2021","Currency=USD","Period=FQ","BEST_FPERIOD_OVERRIDE=FQ","FILING_STATUS=MR","SCALING_FORMAT=MLN","Sort=A","Dates=H","DateFormat=P","Fill=—","Direction=H","UseDPDF=Y")</f>
        <v>—</v>
      </c>
      <c r="P37" s="13" t="str">
        <f>_xll.BDH("BLUE US Equity","ARD_LIAB_FROM_DISC_OPS_ST","FQ3 2021","FQ3 2021","Currency=USD","Period=FQ","BEST_FPERIOD_OVERRIDE=FQ","FILING_STATUS=MR","SCALING_FORMAT=MLN","Sort=A","Dates=H","DateFormat=P","Fill=—","Direction=H","UseDPDF=Y")</f>
        <v>—</v>
      </c>
      <c r="Q37" s="13">
        <f>_xll.BDH("BLUE US Equity","ARD_LIAB_FROM_DISC_OPS_ST","FQ4 2021","FQ4 2021","Currency=USD","Period=FQ","BEST_FPERIOD_OVERRIDE=FQ","FILING_STATUS=MR","SCALING_FORMAT=MLN","Sort=A","Dates=H","DateFormat=P","Fill=—","Direction=H","UseDPDF=Y")</f>
        <v>0</v>
      </c>
      <c r="R37" s="13" t="str">
        <f>_xll.BDH("BLUE US Equity","ARD_LIAB_FROM_DISC_OPS_ST","FQ1 2022","FQ1 2022","Currency=USD","Period=FQ","BEST_FPERIOD_OVERRIDE=FQ","FILING_STATUS=MR","SCALING_FORMAT=MLN","Sort=A","Dates=H","DateFormat=P","Fill=—","Direction=H","UseDPDF=Y")</f>
        <v>—</v>
      </c>
      <c r="S37" s="13" t="str">
        <f>_xll.BDH("BLUE US Equity","ARD_LIAB_FROM_DISC_OPS_ST","FQ2 2022","FQ2 2022","Currency=USD","Period=FQ","BEST_FPERIOD_OVERRIDE=FQ","FILING_STATUS=MR","SCALING_FORMAT=MLN","Sort=A","Dates=H","DateFormat=P","Fill=—","Direction=H","UseDPDF=Y")</f>
        <v>—</v>
      </c>
      <c r="T37" s="13" t="str">
        <f>_xll.BDH("BLUE US Equity","ARD_LIAB_FROM_DISC_OPS_ST","FQ3 2022","FQ3 2022","Currency=USD","Period=FQ","BEST_FPERIOD_OVERRIDE=FQ","FILING_STATUS=MR","SCALING_FORMAT=MLN","Sort=A","Dates=H","DateFormat=P","Fill=—","Direction=H","UseDPDF=Y")</f>
        <v>—</v>
      </c>
      <c r="U37" s="13" t="str">
        <f>_xll.BDH("BLUE US Equity","ARD_LIAB_FROM_DISC_OPS_ST","FQ4 2022","FQ4 2022","Currency=USD","Period=FQ","BEST_FPERIOD_OVERRIDE=FQ","FILING_STATUS=MR","SCALING_FORMAT=MLN","Sort=A","Dates=H","DateFormat=P","Fill=—","Direction=H","UseDPDF=Y")</f>
        <v>—</v>
      </c>
      <c r="V37" s="13" t="str">
        <f>_xll.BDH("BLUE US Equity","ARD_LIAB_FROM_DISC_OPS_ST","FQ1 2023","FQ1 2023","Currency=USD","Period=FQ","BEST_FPERIOD_OVERRIDE=FQ","FILING_STATUS=MR","SCALING_FORMAT=MLN","Sort=A","Dates=H","DateFormat=P","Fill=—","Direction=H","UseDPDF=Y")</f>
        <v>—</v>
      </c>
      <c r="W37" s="13" t="str">
        <f>_xll.BDH("BLUE US Equity","ARD_LIAB_FROM_DISC_OPS_ST","FQ2 2023","FQ2 2023","Currency=USD","Period=FQ","BEST_FPERIOD_OVERRIDE=FQ","FILING_STATUS=MR","SCALING_FORMAT=MLN","Sort=A","Dates=H","DateFormat=P","Fill=—","Direction=H","UseDPDF=Y")</f>
        <v>—</v>
      </c>
      <c r="X37" s="13" t="str">
        <f>_xll.BDH("BLUE US Equity","ARD_LIAB_FROM_DISC_OPS_ST","FQ3 2023","FQ3 2023","Currency=USD","Period=FQ","BEST_FPERIOD_OVERRIDE=FQ","FILING_STATUS=MR","SCALING_FORMAT=MLN","Sort=A","Dates=H","DateFormat=P","Fill=—","Direction=H","UseDPDF=Y")</f>
        <v>—</v>
      </c>
      <c r="Y37" s="13" t="str">
        <f>_xll.BDH("BLUE US Equity","ARD_LIAB_FROM_DISC_OPS_ST","FQ1 2024","FQ1 2024","Currency=USD","Period=FQ","BEST_FPERIOD_OVERRIDE=FQ","FILING_STATUS=MR","SCALING_FORMAT=MLN","Sort=A","Dates=H","DateFormat=P","Fill=—","Direction=H","UseDPDF=Y")</f>
        <v>—</v>
      </c>
      <c r="Z37" s="13" t="str">
        <f>_xll.BDH("BLUE US Equity","ARD_LIAB_FROM_DISC_OPS_ST","FQ2 2024","FQ2 2024","Currency=USD","Period=FQ","BEST_FPERIOD_OVERRIDE=FQ","FILING_STATUS=MR","SCALING_FORMAT=MLN","Sort=A","Dates=H","DateFormat=P","Fill=—","Direction=H","UseDPDF=Y")</f>
        <v>—</v>
      </c>
      <c r="AA37" s="13" t="str">
        <f>_xll.BDH("BLUE US Equity","ARD_LIAB_FROM_DISC_OPS_ST","FQ3 2024","FQ3 2024","Currency=USD","Period=FQ","BEST_FPERIOD_OVERRIDE=FQ","FILING_STATUS=MR","SCALING_FORMAT=MLN","Sort=A","Dates=H","DateFormat=P","Fill=—","Direction=H","UseDPDF=Y")</f>
        <v>—</v>
      </c>
    </row>
    <row r="38" spans="1:27" x14ac:dyDescent="0.25">
      <c r="A38" s="6" t="s">
        <v>114</v>
      </c>
      <c r="B38" s="6" t="s">
        <v>808</v>
      </c>
      <c r="C38" s="19">
        <f>_xll.BDH("BLUE US Equity","ARD_TOTAL_CURRENT_LIABILITIES","FQ2 2018","FQ2 2018","Currency=USD","Period=FQ","BEST_FPERIOD_OVERRIDE=FQ","FILING_STATUS=MR","SCALING_FORMAT=MLN","Sort=A","Dates=H","DateFormat=P","Fill=—","Direction=H","UseDPDF=Y")</f>
        <v>116.262</v>
      </c>
      <c r="D38" s="19">
        <f>_xll.BDH("BLUE US Equity","ARD_TOTAL_CURRENT_LIABILITIES","FQ3 2018","FQ3 2018","Currency=USD","Period=FQ","BEST_FPERIOD_OVERRIDE=FQ","FILING_STATUS=MR","SCALING_FORMAT=MLN","Sort=A","Dates=H","DateFormat=P","Fill=—","Direction=H","UseDPDF=Y")</f>
        <v>131.643</v>
      </c>
      <c r="E38" s="19">
        <f>_xll.BDH("BLUE US Equity","ARD_TOTAL_CURRENT_LIABILITIES","FQ4 2018","FQ4 2018","Currency=USD","Period=FQ","BEST_FPERIOD_OVERRIDE=FQ","FILING_STATUS=MR","SCALING_FORMAT=MLN","Sort=A","Dates=H","DateFormat=P","Fill=—","Direction=H","UseDPDF=Y")</f>
        <v>146.43100000000001</v>
      </c>
      <c r="F38" s="19">
        <f>_xll.BDH("BLUE US Equity","ARD_TOTAL_CURRENT_LIABILITIES","FQ1 2019","FQ1 2019","Currency=USD","Period=FQ","BEST_FPERIOD_OVERRIDE=FQ","FILING_STATUS=MR","SCALING_FORMAT=MLN","Sort=A","Dates=H","DateFormat=P","Fill=—","Direction=H","UseDPDF=Y")</f>
        <v>146.691</v>
      </c>
      <c r="G38" s="19">
        <f>_xll.BDH("BLUE US Equity","ARD_TOTAL_CURRENT_LIABILITIES","FQ2 2019","FQ2 2019","Currency=USD","Period=FQ","BEST_FPERIOD_OVERRIDE=FQ","FILING_STATUS=MR","SCALING_FORMAT=MLN","Sort=A","Dates=H","DateFormat=P","Fill=—","Direction=H","UseDPDF=Y")</f>
        <v>162.10900000000001</v>
      </c>
      <c r="H38" s="19">
        <f>_xll.BDH("BLUE US Equity","ARD_TOTAL_CURRENT_LIABILITIES","FQ3 2019","FQ3 2019","Currency=USD","Period=FQ","BEST_FPERIOD_OVERRIDE=FQ","FILING_STATUS=MR","SCALING_FORMAT=MLN","Sort=A","Dates=H","DateFormat=P","Fill=—","Direction=H","UseDPDF=Y")</f>
        <v>196.03100000000001</v>
      </c>
      <c r="I38" s="19">
        <f>_xll.BDH("BLUE US Equity","ARD_TOTAL_CURRENT_LIABILITIES","FQ4 2019","FQ4 2019","Currency=USD","Period=FQ","BEST_FPERIOD_OVERRIDE=FQ","FILING_STATUS=MR","SCALING_FORMAT=MLN","Sort=A","Dates=H","DateFormat=P","Fill=—","Direction=H","UseDPDF=Y")</f>
        <v>223.58</v>
      </c>
      <c r="J38" s="19">
        <f>_xll.BDH("BLUE US Equity","ARD_TOTAL_CURRENT_LIABILITIES","FQ1 2020","FQ1 2020","Currency=USD","Period=FQ","BEST_FPERIOD_OVERRIDE=FQ","FILING_STATUS=MR","SCALING_FORMAT=MLN","Sort=A","Dates=H","DateFormat=P","Fill=—","Direction=H","UseDPDF=Y")</f>
        <v>184.422</v>
      </c>
      <c r="K38" s="19">
        <f>_xll.BDH("BLUE US Equity","ARD_TOTAL_CURRENT_LIABILITIES","FQ2 2020","FQ2 2020","Currency=USD","Period=FQ","BEST_FPERIOD_OVERRIDE=FQ","FILING_STATUS=MR","SCALING_FORMAT=MLN","Sort=A","Dates=H","DateFormat=P","Fill=—","Direction=H","UseDPDF=Y")</f>
        <v>197.18100000000001</v>
      </c>
      <c r="L38" s="19">
        <f>_xll.BDH("BLUE US Equity","ARD_TOTAL_CURRENT_LIABILITIES","FQ3 2020","FQ3 2020","Currency=USD","Period=FQ","BEST_FPERIOD_OVERRIDE=FQ","FILING_STATUS=MR","SCALING_FORMAT=MLN","Sort=A","Dates=H","DateFormat=P","Fill=—","Direction=H","UseDPDF=Y")</f>
        <v>196.90700000000001</v>
      </c>
      <c r="M38" s="19">
        <f>_xll.BDH("BLUE US Equity","ARD_TOTAL_CURRENT_LIABILITIES","FQ4 2020","FQ4 2020","Currency=USD","Period=FQ","BEST_FPERIOD_OVERRIDE=FQ","FILING_STATUS=MR","SCALING_FORMAT=MLN","Sort=A","Dates=H","DateFormat=P","Fill=—","Direction=H","UseDPDF=Y")</f>
        <v>203.58799999999999</v>
      </c>
      <c r="N38" s="19">
        <f>_xll.BDH("BLUE US Equity","ARD_TOTAL_CURRENT_LIABILITIES","FQ1 2021","FQ1 2021","Currency=USD","Period=FQ","BEST_FPERIOD_OVERRIDE=FQ","FILING_STATUS=MR","SCALING_FORMAT=MLN","Sort=A","Dates=H","DateFormat=P","Fill=—","Direction=H","UseDPDF=Y")</f>
        <v>206.315</v>
      </c>
      <c r="O38" s="19">
        <f>_xll.BDH("BLUE US Equity","ARD_TOTAL_CURRENT_LIABILITIES","FQ2 2021","FQ2 2021","Currency=USD","Period=FQ","BEST_FPERIOD_OVERRIDE=FQ","FILING_STATUS=MR","SCALING_FORMAT=MLN","Sort=A","Dates=H","DateFormat=P","Fill=—","Direction=H","UseDPDF=Y")</f>
        <v>247.76499999999999</v>
      </c>
      <c r="P38" s="19">
        <f>_xll.BDH("BLUE US Equity","ARD_TOTAL_CURRENT_LIABILITIES","FQ3 2021","FQ3 2021","Currency=USD","Period=FQ","BEST_FPERIOD_OVERRIDE=FQ","FILING_STATUS=MR","SCALING_FORMAT=MLN","Sort=A","Dates=H","DateFormat=P","Fill=—","Direction=H","UseDPDF=Y")</f>
        <v>266.55900000000003</v>
      </c>
      <c r="Q38" s="19">
        <f>_xll.BDH("BLUE US Equity","ARD_TOTAL_CURRENT_LIABILITIES","FQ4 2021","FQ4 2021","Currency=USD","Period=FQ","BEST_FPERIOD_OVERRIDE=FQ","FILING_STATUS=MR","SCALING_FORMAT=MLN","Sort=A","Dates=H","DateFormat=P","Fill=—","Direction=H","UseDPDF=Y")</f>
        <v>152.99299999999999</v>
      </c>
      <c r="R38" s="19">
        <f>_xll.BDH("BLUE US Equity","ARD_TOTAL_CURRENT_LIABILITIES","FQ1 2022","FQ1 2022","Currency=USD","Period=FQ","BEST_FPERIOD_OVERRIDE=FQ","FILING_STATUS=MR","SCALING_FORMAT=MLN","Sort=A","Dates=H","DateFormat=P","Fill=—","Direction=H","UseDPDF=Y")</f>
        <v>142.892</v>
      </c>
      <c r="S38" s="19">
        <f>_xll.BDH("BLUE US Equity","ARD_TOTAL_CURRENT_LIABILITIES","FQ2 2022","FQ2 2022","Currency=USD","Period=FQ","BEST_FPERIOD_OVERRIDE=FQ","FILING_STATUS=MR","SCALING_FORMAT=MLN","Sort=A","Dates=H","DateFormat=P","Fill=—","Direction=H","UseDPDF=Y")</f>
        <v>148.86099999999999</v>
      </c>
      <c r="T38" s="19">
        <f>_xll.BDH("BLUE US Equity","ARD_TOTAL_CURRENT_LIABILITIES","FQ3 2022","FQ3 2022","Currency=USD","Period=FQ","BEST_FPERIOD_OVERRIDE=FQ","FILING_STATUS=MR","SCALING_FORMAT=MLN","Sort=A","Dates=H","DateFormat=P","Fill=—","Direction=H","UseDPDF=Y")</f>
        <v>126.727</v>
      </c>
      <c r="U38" s="19">
        <f>_xll.BDH("BLUE US Equity","ARD_TOTAL_CURRENT_LIABILITIES","FQ4 2022","FQ4 2022","Currency=USD","Period=FQ","BEST_FPERIOD_OVERRIDE=FQ","FILING_STATUS=MR","SCALING_FORMAT=MLN","Sort=A","Dates=H","DateFormat=P","Fill=—","Direction=H","UseDPDF=Y")</f>
        <v>128.23699999999999</v>
      </c>
      <c r="V38" s="19">
        <f>_xll.BDH("BLUE US Equity","ARD_TOTAL_CURRENT_LIABILITIES","FQ1 2023","FQ1 2023","Currency=USD","Period=FQ","BEST_FPERIOD_OVERRIDE=FQ","FILING_STATUS=MR","SCALING_FORMAT=MLN","Sort=A","Dates=H","DateFormat=P","Fill=—","Direction=H","UseDPDF=Y")</f>
        <v>115.93300000000001</v>
      </c>
      <c r="W38" s="19">
        <f>_xll.BDH("BLUE US Equity","ARD_TOTAL_CURRENT_LIABILITIES","FQ2 2023","FQ2 2023","Currency=USD","Period=FQ","BEST_FPERIOD_OVERRIDE=FQ","FILING_STATUS=MR","SCALING_FORMAT=MLN","Sort=A","Dates=H","DateFormat=P","Fill=—","Direction=H","UseDPDF=Y")</f>
        <v>135.01599999999999</v>
      </c>
      <c r="X38" s="19">
        <f>_xll.BDH("BLUE US Equity","ARD_TOTAL_CURRENT_LIABILITIES","FQ3 2023","FQ3 2023","Currency=USD","Period=FQ","BEST_FPERIOD_OVERRIDE=FQ","FILING_STATUS=MR","SCALING_FORMAT=MLN","Sort=A","Dates=H","DateFormat=P","Fill=—","Direction=H","UseDPDF=Y")</f>
        <v>158.95699999999999</v>
      </c>
      <c r="Y38" s="19">
        <f>_xll.BDH("BLUE US Equity","ARD_TOTAL_CURRENT_LIABILITIES","FQ1 2024","FQ1 2024","Currency=USD","Period=FQ","BEST_FPERIOD_OVERRIDE=FQ","FILING_STATUS=MR","SCALING_FORMAT=MLN","Sort=A","Dates=H","DateFormat=P","Fill=—","Direction=H","UseDPDF=Y")</f>
        <v>293.57299999999998</v>
      </c>
      <c r="Z38" s="19">
        <f>_xll.BDH("BLUE US Equity","ARD_TOTAL_CURRENT_LIABILITIES","FQ2 2024","FQ2 2024","Currency=USD","Period=FQ","BEST_FPERIOD_OVERRIDE=FQ","FILING_STATUS=MR","SCALING_FORMAT=MLN","Sort=A","Dates=H","DateFormat=P","Fill=—","Direction=H","UseDPDF=Y")</f>
        <v>297.93</v>
      </c>
      <c r="AA38" s="19">
        <f>_xll.BDH("BLUE US Equity","ARD_TOTAL_CURRENT_LIABILITIES","FQ3 2024","FQ3 2024","Currency=USD","Period=FQ","BEST_FPERIOD_OVERRIDE=FQ","FILING_STATUS=MR","SCALING_FORMAT=MLN","Sort=A","Dates=H","DateFormat=P","Fill=—","Direction=H","UseDPDF=Y")</f>
        <v>296.03199999999998</v>
      </c>
    </row>
    <row r="39" spans="1:27" x14ac:dyDescent="0.25">
      <c r="A39" s="10" t="s">
        <v>809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0" t="s">
        <v>706</v>
      </c>
      <c r="B40" s="10" t="s">
        <v>810</v>
      </c>
      <c r="C40" s="13" t="str">
        <f>_xll.BDH("BLUE US Equity","ARD_TOT_NONCURRENT_LIABILITIES","FQ2 2018","FQ2 2018","Currency=USD","Period=FQ","BEST_FPERIOD_OVERRIDE=FQ","FILING_STATUS=MR","SCALING_FORMAT=MLN","Sort=A","Dates=H","DateFormat=P","Fill=—","Direction=H","UseDPDF=Y")</f>
        <v>—</v>
      </c>
      <c r="D40" s="13" t="str">
        <f>_xll.BDH("BLUE US Equity","ARD_TOT_NONCURRENT_LIABILITIES","FQ3 2018","FQ3 2018","Currency=USD","Period=FQ","BEST_FPERIOD_OVERRIDE=FQ","FILING_STATUS=MR","SCALING_FORMAT=MLN","Sort=A","Dates=H","DateFormat=P","Fill=—","Direction=H","UseDPDF=Y")</f>
        <v>—</v>
      </c>
      <c r="E40" s="13" t="str">
        <f>_xll.BDH("BLUE US Equity","ARD_TOT_NONCURRENT_LIABILITIES","FQ4 2018","FQ4 2018","Currency=USD","Period=FQ","BEST_FPERIOD_OVERRIDE=FQ","FILING_STATUS=MR","SCALING_FORMAT=MLN","Sort=A","Dates=H","DateFormat=P","Fill=—","Direction=H","UseDPDF=Y")</f>
        <v>—</v>
      </c>
      <c r="F40" s="13" t="str">
        <f>_xll.BDH("BLUE US Equity","ARD_TOT_NONCURRENT_LIABILITIES","FQ1 2019","FQ1 2019","Currency=USD","Period=FQ","BEST_FPERIOD_OVERRIDE=FQ","FILING_STATUS=MR","SCALING_FORMAT=MLN","Sort=A","Dates=H","DateFormat=P","Fill=—","Direction=H","UseDPDF=Y")</f>
        <v>—</v>
      </c>
      <c r="G40" s="13" t="str">
        <f>_xll.BDH("BLUE US Equity","ARD_TOT_NONCURRENT_LIABILITIES","FQ2 2019","FQ2 2019","Currency=USD","Period=FQ","BEST_FPERIOD_OVERRIDE=FQ","FILING_STATUS=MR","SCALING_FORMAT=MLN","Sort=A","Dates=H","DateFormat=P","Fill=—","Direction=H","UseDPDF=Y")</f>
        <v>—</v>
      </c>
      <c r="H40" s="13" t="str">
        <f>_xll.BDH("BLUE US Equity","ARD_TOT_NONCURRENT_LIABILITIES","FQ3 2019","FQ3 2019","Currency=USD","Period=FQ","BEST_FPERIOD_OVERRIDE=FQ","FILING_STATUS=MR","SCALING_FORMAT=MLN","Sort=A","Dates=H","DateFormat=P","Fill=—","Direction=H","UseDPDF=Y")</f>
        <v>—</v>
      </c>
      <c r="I40" s="13" t="str">
        <f>_xll.BDH("BLUE US Equity","ARD_TOT_NONCURRENT_LIABILITIES","FQ4 2019","FQ4 2019","Currency=USD","Period=FQ","BEST_FPERIOD_OVERRIDE=FQ","FILING_STATUS=MR","SCALING_FORMAT=MLN","Sort=A","Dates=H","DateFormat=P","Fill=—","Direction=H","UseDPDF=Y")</f>
        <v>—</v>
      </c>
      <c r="J40" s="13" t="str">
        <f>_xll.BDH("BLUE US Equity","ARD_TOT_NONCURRENT_LIABILITIES","FQ1 2020","FQ1 2020","Currency=USD","Period=FQ","BEST_FPERIOD_OVERRIDE=FQ","FILING_STATUS=MR","SCALING_FORMAT=MLN","Sort=A","Dates=H","DateFormat=P","Fill=—","Direction=H","UseDPDF=Y")</f>
        <v>—</v>
      </c>
      <c r="K40" s="13" t="str">
        <f>_xll.BDH("BLUE US Equity","ARD_TOT_NONCURRENT_LIABILITIES","FQ2 2020","FQ2 2020","Currency=USD","Period=FQ","BEST_FPERIOD_OVERRIDE=FQ","FILING_STATUS=MR","SCALING_FORMAT=MLN","Sort=A","Dates=H","DateFormat=P","Fill=—","Direction=H","UseDPDF=Y")</f>
        <v>—</v>
      </c>
      <c r="L40" s="13" t="str">
        <f>_xll.BDH("BLUE US Equity","ARD_TOT_NONCURRENT_LIABILITIES","FQ3 2020","FQ3 2020","Currency=USD","Period=FQ","BEST_FPERIOD_OVERRIDE=FQ","FILING_STATUS=MR","SCALING_FORMAT=MLN","Sort=A","Dates=H","DateFormat=P","Fill=—","Direction=H","UseDPDF=Y")</f>
        <v>—</v>
      </c>
      <c r="M40" s="13" t="str">
        <f>_xll.BDH("BLUE US Equity","ARD_TOT_NONCURRENT_LIABILITIES","FQ4 2020","FQ4 2020","Currency=USD","Period=FQ","BEST_FPERIOD_OVERRIDE=FQ","FILING_STATUS=MR","SCALING_FORMAT=MLN","Sort=A","Dates=H","DateFormat=P","Fill=—","Direction=H","UseDPDF=Y")</f>
        <v>—</v>
      </c>
      <c r="N40" s="13">
        <f>_xll.BDH("BLUE US Equity","ARD_TOT_NONCURRENT_LIABILITIES","FQ1 2021","FQ1 2021","Currency=USD","Period=FQ","BEST_FPERIOD_OVERRIDE=FQ","FILING_STATUS=MR","SCALING_FORMAT=MLN","Sort=A","Dates=H","DateFormat=P","Fill=—","Direction=H","UseDPDF=Y")</f>
        <v>230.631</v>
      </c>
      <c r="O40" s="13" t="str">
        <f>_xll.BDH("BLUE US Equity","ARD_TOT_NONCURRENT_LIABILITIES","FQ2 2021","FQ2 2021","Currency=USD","Period=FQ","BEST_FPERIOD_OVERRIDE=FQ","FILING_STATUS=MR","SCALING_FORMAT=MLN","Sort=A","Dates=H","DateFormat=P","Fill=—","Direction=H","UseDPDF=Y")</f>
        <v>—</v>
      </c>
      <c r="P40" s="13">
        <f>_xll.BDH("BLUE US Equity","ARD_TOT_NONCURRENT_LIABILITIES","FQ3 2021","FQ3 2021","Currency=USD","Period=FQ","BEST_FPERIOD_OVERRIDE=FQ","FILING_STATUS=MR","SCALING_FORMAT=MLN","Sort=A","Dates=H","DateFormat=P","Fill=—","Direction=H","UseDPDF=Y")</f>
        <v>194.654</v>
      </c>
      <c r="Q40" s="13" t="str">
        <f>_xll.BDH("BLUE US Equity","ARD_TOT_NONCURRENT_LIABILITIES","FQ4 2021","FQ4 2021","Currency=USD","Period=FQ","BEST_FPERIOD_OVERRIDE=FQ","FILING_STATUS=MR","SCALING_FORMAT=MLN","Sort=A","Dates=H","DateFormat=P","Fill=—","Direction=H","UseDPDF=Y")</f>
        <v>—</v>
      </c>
      <c r="R40" s="13">
        <f>_xll.BDH("BLUE US Equity","ARD_TOT_NONCURRENT_LIABILITIES","FQ1 2022","FQ1 2022","Currency=USD","Period=FQ","BEST_FPERIOD_OVERRIDE=FQ","FILING_STATUS=MR","SCALING_FORMAT=MLN","Sort=A","Dates=H","DateFormat=P","Fill=—","Direction=H","UseDPDF=Y")</f>
        <v>84.92</v>
      </c>
      <c r="S40" s="13">
        <f>_xll.BDH("BLUE US Equity","ARD_TOT_NONCURRENT_LIABILITIES","FQ2 2022","FQ2 2022","Currency=USD","Period=FQ","BEST_FPERIOD_OVERRIDE=FQ","FILING_STATUS=MR","SCALING_FORMAT=MLN","Sort=A","Dates=H","DateFormat=P","Fill=—","Direction=H","UseDPDF=Y")</f>
        <v>244.61500000000001</v>
      </c>
      <c r="T40" s="13">
        <f>_xll.BDH("BLUE US Equity","ARD_TOT_NONCURRENT_LIABILITIES","FQ3 2022","FQ3 2022","Currency=USD","Period=FQ","BEST_FPERIOD_OVERRIDE=FQ","FILING_STATUS=MR","SCALING_FORMAT=MLN","Sort=A","Dates=H","DateFormat=P","Fill=—","Direction=H","UseDPDF=Y")</f>
        <v>234.51400000000001</v>
      </c>
      <c r="U40" s="13">
        <f>_xll.BDH("BLUE US Equity","ARD_TOT_NONCURRENT_LIABILITIES","FQ4 2022","FQ4 2022","Currency=USD","Period=FQ","BEST_FPERIOD_OVERRIDE=FQ","FILING_STATUS=MR","SCALING_FORMAT=MLN","Sort=A","Dates=H","DateFormat=P","Fill=—","Direction=H","UseDPDF=Y")</f>
        <v>230.322</v>
      </c>
      <c r="V40" s="13">
        <f>_xll.BDH("BLUE US Equity","ARD_TOT_NONCURRENT_LIABILITIES","FQ1 2023","FQ1 2023","Currency=USD","Period=FQ","BEST_FPERIOD_OVERRIDE=FQ","FILING_STATUS=MR","SCALING_FORMAT=MLN","Sort=A","Dates=H","DateFormat=P","Fill=—","Direction=H","UseDPDF=Y")</f>
        <v>222.06299999999999</v>
      </c>
      <c r="W40" s="13" t="str">
        <f>_xll.BDH("BLUE US Equity","ARD_TOT_NONCURRENT_LIABILITIES","FQ2 2023","FQ2 2023","Currency=USD","Period=FQ","BEST_FPERIOD_OVERRIDE=FQ","FILING_STATUS=MR","SCALING_FORMAT=MLN","Sort=A","Dates=H","DateFormat=P","Fill=—","Direction=H","UseDPDF=Y")</f>
        <v>—</v>
      </c>
      <c r="X40" s="13">
        <f>_xll.BDH("BLUE US Equity","ARD_TOT_NONCURRENT_LIABILITIES","FQ3 2023","FQ3 2023","Currency=USD","Period=FQ","BEST_FPERIOD_OVERRIDE=FQ","FILING_STATUS=MR","SCALING_FORMAT=MLN","Sort=A","Dates=H","DateFormat=P","Fill=—","Direction=H","UseDPDF=Y")</f>
        <v>232.11500000000001</v>
      </c>
      <c r="Y40" s="13" t="str">
        <f>_xll.BDH("BLUE US Equity","ARD_TOT_NONCURRENT_LIABILITIES","FQ1 2024","FQ1 2024","Currency=USD","Period=FQ","BEST_FPERIOD_OVERRIDE=FQ","FILING_STATUS=MR","SCALING_FORMAT=MLN","Sort=A","Dates=H","DateFormat=P","Fill=—","Direction=H","UseDPDF=Y")</f>
        <v>—</v>
      </c>
      <c r="Z40" s="13" t="str">
        <f>_xll.BDH("BLUE US Equity","ARD_TOT_NONCURRENT_LIABILITIES","FQ2 2024","FQ2 2024","Currency=USD","Period=FQ","BEST_FPERIOD_OVERRIDE=FQ","FILING_STATUS=MR","SCALING_FORMAT=MLN","Sort=A","Dates=H","DateFormat=P","Fill=—","Direction=H","UseDPDF=Y")</f>
        <v>—</v>
      </c>
      <c r="AA40" s="13" t="str">
        <f>_xll.BDH("BLUE US Equity","ARD_TOT_NONCURRENT_LIABILITIES","FQ3 2024","FQ3 2024","Currency=USD","Period=FQ","BEST_FPERIOD_OVERRIDE=FQ","FILING_STATUS=MR","SCALING_FORMAT=MLN","Sort=A","Dates=H","DateFormat=P","Fill=—","Direction=H","UseDPDF=Y")</f>
        <v>—</v>
      </c>
    </row>
    <row r="41" spans="1:27" x14ac:dyDescent="0.25">
      <c r="A41" s="10" t="s">
        <v>811</v>
      </c>
      <c r="B41" s="10" t="s">
        <v>812</v>
      </c>
      <c r="C41" s="13">
        <f>_xll.BDH("BLUE US Equity","ARD_LT_CAP_LEASE_OBLIGATIONS","FQ2 2018","FQ2 2018","Currency=USD","Period=FQ","BEST_FPERIOD_OVERRIDE=FQ","FILING_STATUS=MR","SCALING_FORMAT=MLN","Sort=A","Dates=H","DateFormat=P","Fill=—","Direction=H","UseDPDF=Y")</f>
        <v>154.10300000000001</v>
      </c>
      <c r="D41" s="13">
        <f>_xll.BDH("BLUE US Equity","ARD_LT_CAP_LEASE_OBLIGATIONS","FQ3 2018","FQ3 2018","Currency=USD","Period=FQ","BEST_FPERIOD_OVERRIDE=FQ","FILING_STATUS=MR","SCALING_FORMAT=MLN","Sort=A","Dates=H","DateFormat=P","Fill=—","Direction=H","UseDPDF=Y")</f>
        <v>153.71600000000001</v>
      </c>
      <c r="E41" s="13">
        <f>_xll.BDH("BLUE US Equity","ARD_LT_CAP_LEASE_OBLIGATIONS","FQ4 2018","FQ4 2018","Currency=USD","Period=FQ","BEST_FPERIOD_OVERRIDE=FQ","FILING_STATUS=MR","SCALING_FORMAT=MLN","Sort=A","Dates=H","DateFormat=P","Fill=—","Direction=H","UseDPDF=Y")</f>
        <v>153.31899999999999</v>
      </c>
      <c r="F41" s="13">
        <f>_xll.BDH("BLUE US Equity","ARD_LT_CAP_LEASE_OBLIGATIONS","FQ1 2019","FQ1 2019","Currency=USD","Period=FQ","BEST_FPERIOD_OVERRIDE=FQ","FILING_STATUS=MR","SCALING_FORMAT=MLN","Sort=A","Dates=H","DateFormat=P","Fill=—","Direction=H","UseDPDF=Y")</f>
        <v>0</v>
      </c>
      <c r="G41" s="13">
        <f>_xll.BDH("BLUE US Equity","ARD_LT_CAP_LEASE_OBLIGATIONS","FQ2 2019","FQ2 2019","Currency=USD","Period=FQ","BEST_FPERIOD_OVERRIDE=FQ","FILING_STATUS=MR","SCALING_FORMAT=MLN","Sort=A","Dates=H","DateFormat=P","Fill=—","Direction=H","UseDPDF=Y")</f>
        <v>0</v>
      </c>
      <c r="H41" s="13">
        <f>_xll.BDH("BLUE US Equity","ARD_LT_CAP_LEASE_OBLIGATIONS","FQ3 2019","FQ3 2019","Currency=USD","Period=FQ","BEST_FPERIOD_OVERRIDE=FQ","FILING_STATUS=MR","SCALING_FORMAT=MLN","Sort=A","Dates=H","DateFormat=P","Fill=—","Direction=H","UseDPDF=Y")</f>
        <v>0</v>
      </c>
      <c r="I41" s="13">
        <f>_xll.BDH("BLUE US Equity","ARD_LT_CAP_LEASE_OBLIGATIONS","FQ4 2019","FQ4 2019","Currency=USD","Period=FQ","BEST_FPERIOD_OVERRIDE=FQ","FILING_STATUS=MR","SCALING_FORMAT=MLN","Sort=A","Dates=H","DateFormat=P","Fill=—","Direction=H","UseDPDF=Y")</f>
        <v>0</v>
      </c>
      <c r="J41" s="13" t="str">
        <f>_xll.BDH("BLUE US Equity","ARD_LT_CAP_LEASE_OBLIGATIONS","FQ1 2020","FQ1 2020","Currency=USD","Period=FQ","BEST_FPERIOD_OVERRIDE=FQ","FILING_STATUS=MR","SCALING_FORMAT=MLN","Sort=A","Dates=H","DateFormat=P","Fill=—","Direction=H","UseDPDF=Y")</f>
        <v>—</v>
      </c>
      <c r="K41" s="13" t="str">
        <f>_xll.BDH("BLUE US Equity","ARD_LT_CAP_LEASE_OBLIGATIONS","FQ2 2020","FQ2 2020","Currency=USD","Period=FQ","BEST_FPERIOD_OVERRIDE=FQ","FILING_STATUS=MR","SCALING_FORMAT=MLN","Sort=A","Dates=H","DateFormat=P","Fill=—","Direction=H","UseDPDF=Y")</f>
        <v>—</v>
      </c>
      <c r="L41" s="13" t="str">
        <f>_xll.BDH("BLUE US Equity","ARD_LT_CAP_LEASE_OBLIGATIONS","FQ3 2020","FQ3 2020","Currency=USD","Period=FQ","BEST_FPERIOD_OVERRIDE=FQ","FILING_STATUS=MR","SCALING_FORMAT=MLN","Sort=A","Dates=H","DateFormat=P","Fill=—","Direction=H","UseDPDF=Y")</f>
        <v>—</v>
      </c>
      <c r="M41" s="13" t="str">
        <f>_xll.BDH("BLUE US Equity","ARD_LT_CAP_LEASE_OBLIGATIONS","FQ4 2020","FQ4 2020","Currency=USD","Period=FQ","BEST_FPERIOD_OVERRIDE=FQ","FILING_STATUS=MR","SCALING_FORMAT=MLN","Sort=A","Dates=H","DateFormat=P","Fill=—","Direction=H","UseDPDF=Y")</f>
        <v>—</v>
      </c>
      <c r="N41" s="13" t="str">
        <f>_xll.BDH("BLUE US Equity","ARD_LT_CAP_LEASE_OBLIGATIONS","FQ1 2021","FQ1 2021","Currency=USD","Period=FQ","BEST_FPERIOD_OVERRIDE=FQ","FILING_STATUS=MR","SCALING_FORMAT=MLN","Sort=A","Dates=H","DateFormat=P","Fill=—","Direction=H","UseDPDF=Y")</f>
        <v>—</v>
      </c>
      <c r="O41" s="13" t="str">
        <f>_xll.BDH("BLUE US Equity","ARD_LT_CAP_LEASE_OBLIGATIONS","FQ2 2021","FQ2 2021","Currency=USD","Period=FQ","BEST_FPERIOD_OVERRIDE=FQ","FILING_STATUS=MR","SCALING_FORMAT=MLN","Sort=A","Dates=H","DateFormat=P","Fill=—","Direction=H","UseDPDF=Y")</f>
        <v>—</v>
      </c>
      <c r="P41" s="13" t="str">
        <f>_xll.BDH("BLUE US Equity","ARD_LT_CAP_LEASE_OBLIGATIONS","FQ3 2021","FQ3 2021","Currency=USD","Period=FQ","BEST_FPERIOD_OVERRIDE=FQ","FILING_STATUS=MR","SCALING_FORMAT=MLN","Sort=A","Dates=H","DateFormat=P","Fill=—","Direction=H","UseDPDF=Y")</f>
        <v>—</v>
      </c>
      <c r="Q41" s="13" t="str">
        <f>_xll.BDH("BLUE US Equity","ARD_LT_CAP_LEASE_OBLIGATIONS","FQ4 2021","FQ4 2021","Currency=USD","Period=FQ","BEST_FPERIOD_OVERRIDE=FQ","FILING_STATUS=MR","SCALING_FORMAT=MLN","Sort=A","Dates=H","DateFormat=P","Fill=—","Direction=H","UseDPDF=Y")</f>
        <v>—</v>
      </c>
      <c r="R41" s="13" t="str">
        <f>_xll.BDH("BLUE US Equity","ARD_LT_CAP_LEASE_OBLIGATIONS","FQ1 2022","FQ1 2022","Currency=USD","Period=FQ","BEST_FPERIOD_OVERRIDE=FQ","FILING_STATUS=MR","SCALING_FORMAT=MLN","Sort=A","Dates=H","DateFormat=P","Fill=—","Direction=H","UseDPDF=Y")</f>
        <v>—</v>
      </c>
      <c r="S41" s="13" t="str">
        <f>_xll.BDH("BLUE US Equity","ARD_LT_CAP_LEASE_OBLIGATIONS","FQ2 2022","FQ2 2022","Currency=USD","Period=FQ","BEST_FPERIOD_OVERRIDE=FQ","FILING_STATUS=MR","SCALING_FORMAT=MLN","Sort=A","Dates=H","DateFormat=P","Fill=—","Direction=H","UseDPDF=Y")</f>
        <v>—</v>
      </c>
      <c r="T41" s="13" t="str">
        <f>_xll.BDH("BLUE US Equity","ARD_LT_CAP_LEASE_OBLIGATIONS","FQ3 2022","FQ3 2022","Currency=USD","Period=FQ","BEST_FPERIOD_OVERRIDE=FQ","FILING_STATUS=MR","SCALING_FORMAT=MLN","Sort=A","Dates=H","DateFormat=P","Fill=—","Direction=H","UseDPDF=Y")</f>
        <v>—</v>
      </c>
      <c r="U41" s="13" t="str">
        <f>_xll.BDH("BLUE US Equity","ARD_LT_CAP_LEASE_OBLIGATIONS","FQ4 2022","FQ4 2022","Currency=USD","Period=FQ","BEST_FPERIOD_OVERRIDE=FQ","FILING_STATUS=MR","SCALING_FORMAT=MLN","Sort=A","Dates=H","DateFormat=P","Fill=—","Direction=H","UseDPDF=Y")</f>
        <v>—</v>
      </c>
      <c r="V41" s="13" t="str">
        <f>_xll.BDH("BLUE US Equity","ARD_LT_CAP_LEASE_OBLIGATIONS","FQ1 2023","FQ1 2023","Currency=USD","Period=FQ","BEST_FPERIOD_OVERRIDE=FQ","FILING_STATUS=MR","SCALING_FORMAT=MLN","Sort=A","Dates=H","DateFormat=P","Fill=—","Direction=H","UseDPDF=Y")</f>
        <v>—</v>
      </c>
      <c r="W41" s="13" t="str">
        <f>_xll.BDH("BLUE US Equity","ARD_LT_CAP_LEASE_OBLIGATIONS","FQ2 2023","FQ2 2023","Currency=USD","Period=FQ","BEST_FPERIOD_OVERRIDE=FQ","FILING_STATUS=MR","SCALING_FORMAT=MLN","Sort=A","Dates=H","DateFormat=P","Fill=—","Direction=H","UseDPDF=Y")</f>
        <v>—</v>
      </c>
      <c r="X41" s="13" t="str">
        <f>_xll.BDH("BLUE US Equity","ARD_LT_CAP_LEASE_OBLIGATIONS","FQ3 2023","FQ3 2023","Currency=USD","Period=FQ","BEST_FPERIOD_OVERRIDE=FQ","FILING_STATUS=MR","SCALING_FORMAT=MLN","Sort=A","Dates=H","DateFormat=P","Fill=—","Direction=H","UseDPDF=Y")</f>
        <v>—</v>
      </c>
      <c r="Y41" s="13">
        <f>_xll.BDH("BLUE US Equity","ARD_LT_CAP_LEASE_OBLIGATIONS","FQ1 2024","FQ1 2024","Currency=USD","Period=FQ","BEST_FPERIOD_OVERRIDE=FQ","FILING_STATUS=MR","SCALING_FORMAT=MLN","Sort=A","Dates=H","DateFormat=P","Fill=—","Direction=H","UseDPDF=Y")</f>
        <v>26.088999999999999</v>
      </c>
      <c r="Z41" s="13">
        <f>_xll.BDH("BLUE US Equity","ARD_LT_CAP_LEASE_OBLIGATIONS","FQ2 2024","FQ2 2024","Currency=USD","Period=FQ","BEST_FPERIOD_OVERRIDE=FQ","FILING_STATUS=MR","SCALING_FORMAT=MLN","Sort=A","Dates=H","DateFormat=P","Fill=—","Direction=H","UseDPDF=Y")</f>
        <v>19.655000000000001</v>
      </c>
      <c r="AA41" s="13">
        <f>_xll.BDH("BLUE US Equity","ARD_LT_CAP_LEASE_OBLIGATIONS","FQ3 2024","FQ3 2024","Currency=USD","Period=FQ","BEST_FPERIOD_OVERRIDE=FQ","FILING_STATUS=MR","SCALING_FORMAT=MLN","Sort=A","Dates=H","DateFormat=P","Fill=—","Direction=H","UseDPDF=Y")</f>
        <v>5.6749999999999998</v>
      </c>
    </row>
    <row r="42" spans="1:27" x14ac:dyDescent="0.25">
      <c r="A42" s="10" t="s">
        <v>813</v>
      </c>
      <c r="B42" s="10" t="s">
        <v>814</v>
      </c>
      <c r="C42" s="13">
        <f>_xll.BDH("BLUE US Equity","ARD_DEFERRED_UNEARNED_REV_LT","FQ2 2018","FQ2 2018","Currency=USD","Period=FQ","BEST_FPERIOD_OVERRIDE=FQ","FILING_STATUS=MR","SCALING_FORMAT=MLN","Sort=A","Dates=H","DateFormat=P","Fill=—","Direction=H","UseDPDF=Y")</f>
        <v>27.9</v>
      </c>
      <c r="D42" s="13">
        <f>_xll.BDH("BLUE US Equity","ARD_DEFERRED_UNEARNED_REV_LT","FQ3 2018","FQ3 2018","Currency=USD","Period=FQ","BEST_FPERIOD_OVERRIDE=FQ","FILING_STATUS=MR","SCALING_FORMAT=MLN","Sort=A","Dates=H","DateFormat=P","Fill=—","Direction=H","UseDPDF=Y")</f>
        <v>22.256</v>
      </c>
      <c r="E42" s="13">
        <f>_xll.BDH("BLUE US Equity","ARD_DEFERRED_UNEARNED_REV_LT","FQ4 2018","FQ4 2018","Currency=USD","Period=FQ","BEST_FPERIOD_OVERRIDE=FQ","FILING_STATUS=MR","SCALING_FORMAT=MLN","Sort=A","Dates=H","DateFormat=P","Fill=—","Direction=H","UseDPDF=Y")</f>
        <v>16.338000000000001</v>
      </c>
      <c r="F42" s="13">
        <f>_xll.BDH("BLUE US Equity","ARD_DEFERRED_UNEARNED_REV_LT","FQ1 2019","FQ1 2019","Currency=USD","Period=FQ","BEST_FPERIOD_OVERRIDE=FQ","FILING_STATUS=MR","SCALING_FORMAT=MLN","Sort=A","Dates=H","DateFormat=P","Fill=—","Direction=H","UseDPDF=Y")</f>
        <v>14.776999999999999</v>
      </c>
      <c r="G42" s="13">
        <f>_xll.BDH("BLUE US Equity","ARD_DEFERRED_UNEARNED_REV_LT","FQ2 2019","FQ2 2019","Currency=USD","Period=FQ","BEST_FPERIOD_OVERRIDE=FQ","FILING_STATUS=MR","SCALING_FORMAT=MLN","Sort=A","Dates=H","DateFormat=P","Fill=—","Direction=H","UseDPDF=Y")</f>
        <v>13.739000000000001</v>
      </c>
      <c r="H42" s="13">
        <f>_xll.BDH("BLUE US Equity","ARD_DEFERRED_UNEARNED_REV_LT","FQ3 2019","FQ3 2019","Currency=USD","Period=FQ","BEST_FPERIOD_OVERRIDE=FQ","FILING_STATUS=MR","SCALING_FORMAT=MLN","Sort=A","Dates=H","DateFormat=P","Fill=—","Direction=H","UseDPDF=Y")</f>
        <v>11.91</v>
      </c>
      <c r="I42" s="13">
        <f>_xll.BDH("BLUE US Equity","ARD_DEFERRED_UNEARNED_REV_LT","FQ4 2019","FQ4 2019","Currency=USD","Period=FQ","BEST_FPERIOD_OVERRIDE=FQ","FILING_STATUS=MR","SCALING_FORMAT=MLN","Sort=A","Dates=H","DateFormat=P","Fill=—","Direction=H","UseDPDF=Y")</f>
        <v>9.7910000000000004</v>
      </c>
      <c r="J42" s="13">
        <f>_xll.BDH("BLUE US Equity","ARD_DEFERRED_UNEARNED_REV_LT","FQ1 2020","FQ1 2020","Currency=USD","Period=FQ","BEST_FPERIOD_OVERRIDE=FQ","FILING_STATUS=MR","SCALING_FORMAT=MLN","Sort=A","Dates=H","DateFormat=P","Fill=—","Direction=H","UseDPDF=Y")</f>
        <v>9.7910000000000004</v>
      </c>
      <c r="K42" s="13">
        <f>_xll.BDH("BLUE US Equity","ARD_DEFERRED_UNEARNED_REV_LT","FQ2 2020","FQ2 2020","Currency=USD","Period=FQ","BEST_FPERIOD_OVERRIDE=FQ","FILING_STATUS=MR","SCALING_FORMAT=MLN","Sort=A","Dates=H","DateFormat=P","Fill=—","Direction=H","UseDPDF=Y")</f>
        <v>25.762</v>
      </c>
      <c r="L42" s="13">
        <f>_xll.BDH("BLUE US Equity","ARD_DEFERRED_UNEARNED_REV_LT","FQ3 2020","FQ3 2020","Currency=USD","Period=FQ","BEST_FPERIOD_OVERRIDE=FQ","FILING_STATUS=MR","SCALING_FORMAT=MLN","Sort=A","Dates=H","DateFormat=P","Fill=—","Direction=H","UseDPDF=Y")</f>
        <v>25.762</v>
      </c>
      <c r="M42" s="13" t="str">
        <f>_xll.BDH("BLUE US Equity","ARD_DEFERRED_UNEARNED_REV_LT","FQ4 2020","FQ4 2020","Currency=USD","Period=FQ","BEST_FPERIOD_OVERRIDE=FQ","FILING_STATUS=MR","SCALING_FORMAT=MLN","Sort=A","Dates=H","DateFormat=P","Fill=—","Direction=H","UseDPDF=Y")</f>
        <v>—</v>
      </c>
      <c r="N42" s="13">
        <f>_xll.BDH("BLUE US Equity","ARD_DEFERRED_UNEARNED_REV_LT","FQ1 2021","FQ1 2021","Currency=USD","Period=FQ","BEST_FPERIOD_OVERRIDE=FQ","FILING_STATUS=MR","SCALING_FORMAT=MLN","Sort=A","Dates=H","DateFormat=P","Fill=—","Direction=H","UseDPDF=Y")</f>
        <v>25.762</v>
      </c>
      <c r="O42" s="13">
        <f>_xll.BDH("BLUE US Equity","ARD_DEFERRED_UNEARNED_REV_LT","FQ2 2021","FQ2 2021","Currency=USD","Period=FQ","BEST_FPERIOD_OVERRIDE=FQ","FILING_STATUS=MR","SCALING_FORMAT=MLN","Sort=A","Dates=H","DateFormat=P","Fill=—","Direction=H","UseDPDF=Y")</f>
        <v>25.762</v>
      </c>
      <c r="P42" s="13">
        <f>_xll.BDH("BLUE US Equity","ARD_DEFERRED_UNEARNED_REV_LT","FQ3 2021","FQ3 2021","Currency=USD","Period=FQ","BEST_FPERIOD_OVERRIDE=FQ","FILING_STATUS=MR","SCALING_FORMAT=MLN","Sort=A","Dates=H","DateFormat=P","Fill=—","Direction=H","UseDPDF=Y")</f>
        <v>25.760999999999999</v>
      </c>
      <c r="Q42" s="13" t="str">
        <f>_xll.BDH("BLUE US Equity","ARD_DEFERRED_UNEARNED_REV_LT","FQ4 2021","FQ4 2021","Currency=USD","Period=FQ","BEST_FPERIOD_OVERRIDE=FQ","FILING_STATUS=MR","SCALING_FORMAT=MLN","Sort=A","Dates=H","DateFormat=P","Fill=—","Direction=H","UseDPDF=Y")</f>
        <v>—</v>
      </c>
      <c r="R42" s="13" t="str">
        <f>_xll.BDH("BLUE US Equity","ARD_DEFERRED_UNEARNED_REV_LT","FQ1 2022","FQ1 2022","Currency=USD","Period=FQ","BEST_FPERIOD_OVERRIDE=FQ","FILING_STATUS=MR","SCALING_FORMAT=MLN","Sort=A","Dates=H","DateFormat=P","Fill=—","Direction=H","UseDPDF=Y")</f>
        <v>—</v>
      </c>
      <c r="S42" s="13" t="str">
        <f>_xll.BDH("BLUE US Equity","ARD_DEFERRED_UNEARNED_REV_LT","FQ2 2022","FQ2 2022","Currency=USD","Period=FQ","BEST_FPERIOD_OVERRIDE=FQ","FILING_STATUS=MR","SCALING_FORMAT=MLN","Sort=A","Dates=H","DateFormat=P","Fill=—","Direction=H","UseDPDF=Y")</f>
        <v>—</v>
      </c>
      <c r="T42" s="13" t="str">
        <f>_xll.BDH("BLUE US Equity","ARD_DEFERRED_UNEARNED_REV_LT","FQ3 2022","FQ3 2022","Currency=USD","Period=FQ","BEST_FPERIOD_OVERRIDE=FQ","FILING_STATUS=MR","SCALING_FORMAT=MLN","Sort=A","Dates=H","DateFormat=P","Fill=—","Direction=H","UseDPDF=Y")</f>
        <v>—</v>
      </c>
      <c r="U42" s="13" t="str">
        <f>_xll.BDH("BLUE US Equity","ARD_DEFERRED_UNEARNED_REV_LT","FQ4 2022","FQ4 2022","Currency=USD","Period=FQ","BEST_FPERIOD_OVERRIDE=FQ","FILING_STATUS=MR","SCALING_FORMAT=MLN","Sort=A","Dates=H","DateFormat=P","Fill=—","Direction=H","UseDPDF=Y")</f>
        <v>—</v>
      </c>
      <c r="V42" s="13" t="str">
        <f>_xll.BDH("BLUE US Equity","ARD_DEFERRED_UNEARNED_REV_LT","FQ1 2023","FQ1 2023","Currency=USD","Period=FQ","BEST_FPERIOD_OVERRIDE=FQ","FILING_STATUS=MR","SCALING_FORMAT=MLN","Sort=A","Dates=H","DateFormat=P","Fill=—","Direction=H","UseDPDF=Y")</f>
        <v>—</v>
      </c>
      <c r="W42" s="13" t="str">
        <f>_xll.BDH("BLUE US Equity","ARD_DEFERRED_UNEARNED_REV_LT","FQ2 2023","FQ2 2023","Currency=USD","Period=FQ","BEST_FPERIOD_OVERRIDE=FQ","FILING_STATUS=MR","SCALING_FORMAT=MLN","Sort=A","Dates=H","DateFormat=P","Fill=—","Direction=H","UseDPDF=Y")</f>
        <v>—</v>
      </c>
      <c r="X42" s="13" t="str">
        <f>_xll.BDH("BLUE US Equity","ARD_DEFERRED_UNEARNED_REV_LT","FQ3 2023","FQ3 2023","Currency=USD","Period=FQ","BEST_FPERIOD_OVERRIDE=FQ","FILING_STATUS=MR","SCALING_FORMAT=MLN","Sort=A","Dates=H","DateFormat=P","Fill=—","Direction=H","UseDPDF=Y")</f>
        <v>—</v>
      </c>
      <c r="Y42" s="13" t="str">
        <f>_xll.BDH("BLUE US Equity","ARD_DEFERRED_UNEARNED_REV_LT","FQ1 2024","FQ1 2024","Currency=USD","Period=FQ","BEST_FPERIOD_OVERRIDE=FQ","FILING_STATUS=MR","SCALING_FORMAT=MLN","Sort=A","Dates=H","DateFormat=P","Fill=—","Direction=H","UseDPDF=Y")</f>
        <v>—</v>
      </c>
      <c r="Z42" s="13" t="str">
        <f>_xll.BDH("BLUE US Equity","ARD_DEFERRED_UNEARNED_REV_LT","FQ2 2024","FQ2 2024","Currency=USD","Period=FQ","BEST_FPERIOD_OVERRIDE=FQ","FILING_STATUS=MR","SCALING_FORMAT=MLN","Sort=A","Dates=H","DateFormat=P","Fill=—","Direction=H","UseDPDF=Y")</f>
        <v>—</v>
      </c>
      <c r="AA42" s="13" t="str">
        <f>_xll.BDH("BLUE US Equity","ARD_DEFERRED_UNEARNED_REV_LT","FQ3 2024","FQ3 2024","Currency=USD","Period=FQ","BEST_FPERIOD_OVERRIDE=FQ","FILING_STATUS=MR","SCALING_FORMAT=MLN","Sort=A","Dates=H","DateFormat=P","Fill=—","Direction=H","UseDPDF=Y")</f>
        <v>—</v>
      </c>
    </row>
    <row r="43" spans="1:27" x14ac:dyDescent="0.25">
      <c r="A43" s="10" t="s">
        <v>815</v>
      </c>
      <c r="B43" s="10" t="s">
        <v>816</v>
      </c>
      <c r="C43" s="13">
        <f>_xll.BDH("BLUE US Equity","ARD_OTH_NONCURRENT_LIABILITIES","FQ2 2018","FQ2 2018","Currency=USD","Period=FQ","BEST_FPERIOD_OVERRIDE=FQ","FILING_STATUS=MR","SCALING_FORMAT=MLN","Sort=A","Dates=H","DateFormat=P","Fill=—","Direction=H","UseDPDF=Y")</f>
        <v>2.6850000000000001</v>
      </c>
      <c r="D43" s="13">
        <f>_xll.BDH("BLUE US Equity","ARD_OTH_NONCURRENT_LIABILITIES","FQ3 2018","FQ3 2018","Currency=USD","Period=FQ","BEST_FPERIOD_OVERRIDE=FQ","FILING_STATUS=MR","SCALING_FORMAT=MLN","Sort=A","Dates=H","DateFormat=P","Fill=—","Direction=H","UseDPDF=Y")</f>
        <v>2.6339999999999999</v>
      </c>
      <c r="E43" s="13">
        <f>_xll.BDH("BLUE US Equity","ARD_OTH_NONCURRENT_LIABILITIES","FQ4 2018","FQ4 2018","Currency=USD","Period=FQ","BEST_FPERIOD_OVERRIDE=FQ","FILING_STATUS=MR","SCALING_FORMAT=MLN","Sort=A","Dates=H","DateFormat=P","Fill=—","Direction=H","UseDPDF=Y")</f>
        <v>3.1070000000000002</v>
      </c>
      <c r="F43" s="13">
        <f>_xll.BDH("BLUE US Equity","ARD_OTH_NONCURRENT_LIABILITIES","FQ1 2019","FQ1 2019","Currency=USD","Period=FQ","BEST_FPERIOD_OVERRIDE=FQ","FILING_STATUS=MR","SCALING_FORMAT=MLN","Sort=A","Dates=H","DateFormat=P","Fill=—","Direction=H","UseDPDF=Y")</f>
        <v>0.57599999999999996</v>
      </c>
      <c r="G43" s="13">
        <f>_xll.BDH("BLUE US Equity","ARD_OTH_NONCURRENT_LIABILITIES","FQ2 2019","FQ2 2019","Currency=USD","Period=FQ","BEST_FPERIOD_OVERRIDE=FQ","FILING_STATUS=MR","SCALING_FORMAT=MLN","Sort=A","Dates=H","DateFormat=P","Fill=—","Direction=H","UseDPDF=Y")</f>
        <v>1.6990000000000001</v>
      </c>
      <c r="H43" s="13">
        <f>_xll.BDH("BLUE US Equity","ARD_OTH_NONCURRENT_LIABILITIES","FQ3 2019","FQ3 2019","Currency=USD","Period=FQ","BEST_FPERIOD_OVERRIDE=FQ","FILING_STATUS=MR","SCALING_FORMAT=MLN","Sort=A","Dates=H","DateFormat=P","Fill=—","Direction=H","UseDPDF=Y")</f>
        <v>3.726</v>
      </c>
      <c r="I43" s="13">
        <f>_xll.BDH("BLUE US Equity","ARD_OTH_NONCURRENT_LIABILITIES","FQ4 2019","FQ4 2019","Currency=USD","Period=FQ","BEST_FPERIOD_OVERRIDE=FQ","FILING_STATUS=MR","SCALING_FORMAT=MLN","Sort=A","Dates=H","DateFormat=P","Fill=—","Direction=H","UseDPDF=Y")</f>
        <v>2.4369999999999998</v>
      </c>
      <c r="J43" s="13">
        <f>_xll.BDH("BLUE US Equity","ARD_OTH_NONCURRENT_LIABILITIES","FQ1 2020","FQ1 2020","Currency=USD","Period=FQ","BEST_FPERIOD_OVERRIDE=FQ","FILING_STATUS=MR","SCALING_FORMAT=MLN","Sort=A","Dates=H","DateFormat=P","Fill=—","Direction=H","UseDPDF=Y")</f>
        <v>2.7839999999999998</v>
      </c>
      <c r="K43" s="13">
        <f>_xll.BDH("BLUE US Equity","ARD_OTH_NONCURRENT_LIABILITIES","FQ2 2020","FQ2 2020","Currency=USD","Period=FQ","BEST_FPERIOD_OVERRIDE=FQ","FILING_STATUS=MR","SCALING_FORMAT=MLN","Sort=A","Dates=H","DateFormat=P","Fill=—","Direction=H","UseDPDF=Y")</f>
        <v>4.335</v>
      </c>
      <c r="L43" s="13">
        <f>_xll.BDH("BLUE US Equity","ARD_OTH_NONCURRENT_LIABILITIES","FQ3 2020","FQ3 2020","Currency=USD","Period=FQ","BEST_FPERIOD_OVERRIDE=FQ","FILING_STATUS=MR","SCALING_FORMAT=MLN","Sort=A","Dates=H","DateFormat=P","Fill=—","Direction=H","UseDPDF=Y")</f>
        <v>4.7510000000000003</v>
      </c>
      <c r="M43" s="13">
        <f>_xll.BDH("BLUE US Equity","ARD_OTH_NONCURRENT_LIABILITIES","FQ4 2020","FQ4 2020","Currency=USD","Period=FQ","BEST_FPERIOD_OVERRIDE=FQ","FILING_STATUS=MR","SCALING_FORMAT=MLN","Sort=A","Dates=H","DateFormat=P","Fill=—","Direction=H","UseDPDF=Y")</f>
        <v>5.7590000000000003</v>
      </c>
      <c r="N43" s="13">
        <f>_xll.BDH("BLUE US Equity","ARD_OTH_NONCURRENT_LIABILITIES","FQ1 2021","FQ1 2021","Currency=USD","Period=FQ","BEST_FPERIOD_OVERRIDE=FQ","FILING_STATUS=MR","SCALING_FORMAT=MLN","Sort=A","Dates=H","DateFormat=P","Fill=—","Direction=H","UseDPDF=Y")</f>
        <v>7.7679999999999998</v>
      </c>
      <c r="O43" s="13">
        <f>_xll.BDH("BLUE US Equity","ARD_OTH_NONCURRENT_LIABILITIES","FQ2 2021","FQ2 2021","Currency=USD","Period=FQ","BEST_FPERIOD_OVERRIDE=FQ","FILING_STATUS=MR","SCALING_FORMAT=MLN","Sort=A","Dates=H","DateFormat=P","Fill=—","Direction=H","UseDPDF=Y")</f>
        <v>7.891</v>
      </c>
      <c r="P43" s="13">
        <f>_xll.BDH("BLUE US Equity","ARD_OTH_NONCURRENT_LIABILITIES","FQ3 2021","FQ3 2021","Currency=USD","Period=FQ","BEST_FPERIOD_OVERRIDE=FQ","FILING_STATUS=MR","SCALING_FORMAT=MLN","Sort=A","Dates=H","DateFormat=P","Fill=—","Direction=H","UseDPDF=Y")</f>
        <v>7.9039999999999999</v>
      </c>
      <c r="Q43" s="13">
        <f>_xll.BDH("BLUE US Equity","ARD_OTH_NONCURRENT_LIABILITIES","FQ4 2021","FQ4 2021","Currency=USD","Period=FQ","BEST_FPERIOD_OVERRIDE=FQ","FILING_STATUS=MR","SCALING_FORMAT=MLN","Sort=A","Dates=H","DateFormat=P","Fill=—","Direction=H","UseDPDF=Y")</f>
        <v>9.2999999999999999E-2</v>
      </c>
      <c r="R43" s="13">
        <f>_xll.BDH("BLUE US Equity","ARD_OTH_NONCURRENT_LIABILITIES","FQ1 2022","FQ1 2022","Currency=USD","Period=FQ","BEST_FPERIOD_OVERRIDE=FQ","FILING_STATUS=MR","SCALING_FORMAT=MLN","Sort=A","Dates=H","DateFormat=P","Fill=—","Direction=H","UseDPDF=Y")</f>
        <v>9.1999999999999998E-2</v>
      </c>
      <c r="S43" s="13">
        <f>_xll.BDH("BLUE US Equity","ARD_OTH_NONCURRENT_LIABILITIES","FQ2 2022","FQ2 2022","Currency=USD","Period=FQ","BEST_FPERIOD_OVERRIDE=FQ","FILING_STATUS=MR","SCALING_FORMAT=MLN","Sort=A","Dates=H","DateFormat=P","Fill=—","Direction=H","UseDPDF=Y")</f>
        <v>9.2999999999999999E-2</v>
      </c>
      <c r="T43" s="13">
        <f>_xll.BDH("BLUE US Equity","ARD_OTH_NONCURRENT_LIABILITIES","FQ3 2022","FQ3 2022","Currency=USD","Period=FQ","BEST_FPERIOD_OVERRIDE=FQ","FILING_STATUS=MR","SCALING_FORMAT=MLN","Sort=A","Dates=H","DateFormat=P","Fill=—","Direction=H","UseDPDF=Y")</f>
        <v>9.1999999999999998E-2</v>
      </c>
      <c r="U43" s="13">
        <f>_xll.BDH("BLUE US Equity","ARD_OTH_NONCURRENT_LIABILITIES","FQ4 2022","FQ4 2022","Currency=USD","Period=FQ","BEST_FPERIOD_OVERRIDE=FQ","FILING_STATUS=MR","SCALING_FORMAT=MLN","Sort=A","Dates=H","DateFormat=P","Fill=—","Direction=H","UseDPDF=Y")</f>
        <v>9.1999999999999998E-2</v>
      </c>
      <c r="V43" s="13">
        <f>_xll.BDH("BLUE US Equity","ARD_OTH_NONCURRENT_LIABILITIES","FQ1 2023","FQ1 2023","Currency=USD","Period=FQ","BEST_FPERIOD_OVERRIDE=FQ","FILING_STATUS=MR","SCALING_FORMAT=MLN","Sort=A","Dates=H","DateFormat=P","Fill=—","Direction=H","UseDPDF=Y")</f>
        <v>9.1999999999999998E-2</v>
      </c>
      <c r="W43" s="13">
        <f>_xll.BDH("BLUE US Equity","ARD_OTH_NONCURRENT_LIABILITIES","FQ2 2023","FQ2 2023","Currency=USD","Period=FQ","BEST_FPERIOD_OVERRIDE=FQ","FILING_STATUS=MR","SCALING_FORMAT=MLN","Sort=A","Dates=H","DateFormat=P","Fill=—","Direction=H","UseDPDF=Y")</f>
        <v>9.1999999999999998E-2</v>
      </c>
      <c r="X43" s="13">
        <f>_xll.BDH("BLUE US Equity","ARD_OTH_NONCURRENT_LIABILITIES","FQ3 2023","FQ3 2023","Currency=USD","Period=FQ","BEST_FPERIOD_OVERRIDE=FQ","FILING_STATUS=MR","SCALING_FORMAT=MLN","Sort=A","Dates=H","DateFormat=P","Fill=—","Direction=H","UseDPDF=Y")</f>
        <v>9.1999999999999998E-2</v>
      </c>
      <c r="Y43" s="13">
        <f>_xll.BDH("BLUE US Equity","ARD_OTH_NONCURRENT_LIABILITIES","FQ1 2024","FQ1 2024","Currency=USD","Period=FQ","BEST_FPERIOD_OVERRIDE=FQ","FILING_STATUS=MR","SCALING_FORMAT=MLN","Sort=A","Dates=H","DateFormat=P","Fill=—","Direction=H","UseDPDF=Y")</f>
        <v>9.1999999999999998E-2</v>
      </c>
      <c r="Z43" s="13">
        <f>_xll.BDH("BLUE US Equity","ARD_OTH_NONCURRENT_LIABILITIES","FQ2 2024","FQ2 2024","Currency=USD","Period=FQ","BEST_FPERIOD_OVERRIDE=FQ","FILING_STATUS=MR","SCALING_FORMAT=MLN","Sort=A","Dates=H","DateFormat=P","Fill=—","Direction=H","UseDPDF=Y")</f>
        <v>9.1999999999999998E-2</v>
      </c>
      <c r="AA43" s="13">
        <f>_xll.BDH("BLUE US Equity","ARD_OTH_NONCURRENT_LIABILITIES","FQ3 2024","FQ3 2024","Currency=USD","Period=FQ","BEST_FPERIOD_OVERRIDE=FQ","FILING_STATUS=MR","SCALING_FORMAT=MLN","Sort=A","Dates=H","DateFormat=P","Fill=—","Direction=H","UseDPDF=Y")</f>
        <v>1.079</v>
      </c>
    </row>
    <row r="44" spans="1:27" x14ac:dyDescent="0.25">
      <c r="A44" s="10" t="s">
        <v>817</v>
      </c>
      <c r="B44" s="10" t="s">
        <v>818</v>
      </c>
      <c r="C44" s="13" t="str">
        <f>_xll.BDH("BLUE US Equity","ARD_LT_OPERATING_LEASE_LIABS","FQ2 2018","FQ2 2018","Currency=USD","Period=FQ","BEST_FPERIOD_OVERRIDE=FQ","FILING_STATUS=MR","Sort=A","Dates=H","DateFormat=P","Fill=—","Direction=H","UseDPDF=Y")</f>
        <v>—</v>
      </c>
      <c r="D44" s="13" t="str">
        <f>_xll.BDH("BLUE US Equity","ARD_LT_OPERATING_LEASE_LIABS","FQ3 2018","FQ3 2018","Currency=USD","Period=FQ","BEST_FPERIOD_OVERRIDE=FQ","FILING_STATUS=MR","Sort=A","Dates=H","DateFormat=P","Fill=—","Direction=H","UseDPDF=Y")</f>
        <v>—</v>
      </c>
      <c r="E44" s="13" t="str">
        <f>_xll.BDH("BLUE US Equity","ARD_LT_OPERATING_LEASE_LIABS","FQ4 2018","FQ4 2018","Currency=USD","Period=FQ","BEST_FPERIOD_OVERRIDE=FQ","FILING_STATUS=MR","Sort=A","Dates=H","DateFormat=P","Fill=—","Direction=H","UseDPDF=Y")</f>
        <v>—</v>
      </c>
      <c r="F44" s="13">
        <f>_xll.BDH("BLUE US Equity","ARD_LT_OPERATING_LEASE_LIABS","FQ1 2019","FQ1 2019","Currency=USD","Period=FQ","BEST_FPERIOD_OVERRIDE=FQ","FILING_STATUS=MR","Sort=A","Dates=H","DateFormat=P","Fill=—","Direction=H","UseDPDF=Y")</f>
        <v>168.2</v>
      </c>
      <c r="G44" s="13">
        <f>_xll.BDH("BLUE US Equity","ARD_LT_OPERATING_LEASE_LIABS","FQ2 2019","FQ2 2019","Currency=USD","Period=FQ","BEST_FPERIOD_OVERRIDE=FQ","FILING_STATUS=MR","Sort=A","Dates=H","DateFormat=P","Fill=—","Direction=H","UseDPDF=Y")</f>
        <v>175.35</v>
      </c>
      <c r="H44" s="13">
        <f>_xll.BDH("BLUE US Equity","ARD_LT_OPERATING_LEASE_LIABS","FQ3 2019","FQ3 2019","Currency=USD","Period=FQ","BEST_FPERIOD_OVERRIDE=FQ","FILING_STATUS=MR","Sort=A","Dates=H","DateFormat=P","Fill=—","Direction=H","UseDPDF=Y")</f>
        <v>176.02600000000001</v>
      </c>
      <c r="I44" s="13">
        <f>_xll.BDH("BLUE US Equity","ARD_LT_OPERATING_LEASE_LIABS","FQ4 2019","FQ4 2019","Currency=USD","Period=FQ","BEST_FPERIOD_OVERRIDE=FQ","FILING_STATUS=MR","Sort=A","Dates=H","DateFormat=P","Fill=—","Direction=H","UseDPDF=Y")</f>
        <v>170.81200000000001</v>
      </c>
      <c r="J44" s="13">
        <f>_xll.BDH("BLUE US Equity","ARD_LT_OPERATING_LEASE_LIABS","FQ1 2020","FQ1 2020","Currency=USD","Period=FQ","BEST_FPERIOD_OVERRIDE=FQ","FILING_STATUS=MR","Sort=A","Dates=H","DateFormat=P","Fill=—","Direction=H","UseDPDF=Y")</f>
        <v>179.96199999999999</v>
      </c>
      <c r="K44" s="13">
        <f>_xll.BDH("BLUE US Equity","ARD_LT_OPERATING_LEASE_LIABS","FQ2 2020","FQ2 2020","Currency=USD","Period=FQ","BEST_FPERIOD_OVERRIDE=FQ","FILING_STATUS=MR","Sort=A","Dates=H","DateFormat=P","Fill=—","Direction=H","UseDPDF=Y")</f>
        <v>174.56399999999999</v>
      </c>
      <c r="L44" s="13">
        <f>_xll.BDH("BLUE US Equity","ARD_LT_OPERATING_LEASE_LIABS","FQ3 2020","FQ3 2020","Currency=USD","Period=FQ","BEST_FPERIOD_OVERRIDE=FQ","FILING_STATUS=MR","Sort=A","Dates=H","DateFormat=P","Fill=—","Direction=H","UseDPDF=Y")</f>
        <v>173.07499999999999</v>
      </c>
      <c r="M44" s="13">
        <f>_xll.BDH("BLUE US Equity","ARD_LT_OPERATING_LEASE_LIABS","FQ4 2020","FQ4 2020","Currency=USD","Period=FQ","BEST_FPERIOD_OVERRIDE=FQ","FILING_STATUS=MR","Sort=A","Dates=H","DateFormat=P","Fill=—","Direction=H","UseDPDF=Y")</f>
        <v>55.707000000000001</v>
      </c>
      <c r="N44" s="13">
        <f>_xll.BDH("BLUE US Equity","ARD_LT_OPERATING_LEASE_LIABS","FQ1 2021","FQ1 2021","Currency=USD","Period=FQ","BEST_FPERIOD_OVERRIDE=FQ","FILING_STATUS=MR","Sort=A","Dates=H","DateFormat=P","Fill=—","Direction=H","UseDPDF=Y")</f>
        <v>177.702</v>
      </c>
      <c r="O44" s="13">
        <f>_xll.BDH("BLUE US Equity","ARD_LT_OPERATING_LEASE_LIABS","FQ2 2021","FQ2 2021","Currency=USD","Period=FQ","BEST_FPERIOD_OVERRIDE=FQ","FILING_STATUS=MR","Sort=A","Dates=H","DateFormat=P","Fill=—","Direction=H","UseDPDF=Y")</f>
        <v>169.93299999999999</v>
      </c>
      <c r="P44" s="13">
        <f>_xll.BDH("BLUE US Equity","ARD_LT_OPERATING_LEASE_LIABS","FQ3 2021","FQ3 2021","Currency=USD","Period=FQ","BEST_FPERIOD_OVERRIDE=FQ","FILING_STATUS=MR","Sort=A","Dates=H","DateFormat=P","Fill=—","Direction=H","UseDPDF=Y")</f>
        <v>152.126</v>
      </c>
      <c r="Q44" s="13">
        <f>_xll.BDH("BLUE US Equity","ARD_LT_OPERATING_LEASE_LIABS","FQ4 2021","FQ4 2021","Currency=USD","Period=FQ","BEST_FPERIOD_OVERRIDE=FQ","FILING_STATUS=MR","Sort=A","Dates=H","DateFormat=P","Fill=—","Direction=H","UseDPDF=Y")</f>
        <v>66.432000000000002</v>
      </c>
      <c r="R44" s="13">
        <f>_xll.BDH("BLUE US Equity","ARD_LT_OPERATING_LEASE_LIABS","FQ1 2022","FQ1 2022","Currency=USD","Period=FQ","BEST_FPERIOD_OVERRIDE=FQ","FILING_STATUS=MR","Sort=A","Dates=H","DateFormat=P","Fill=—","Direction=H","UseDPDF=Y")</f>
        <v>84.828000000000003</v>
      </c>
      <c r="S44" s="13">
        <f>_xll.BDH("BLUE US Equity","ARD_LT_OPERATING_LEASE_LIABS","FQ2 2022","FQ2 2022","Currency=USD","Period=FQ","BEST_FPERIOD_OVERRIDE=FQ","FILING_STATUS=MR","Sort=A","Dates=H","DateFormat=P","Fill=—","Direction=H","UseDPDF=Y")</f>
        <v>244.52199999999999</v>
      </c>
      <c r="T44" s="13">
        <f>_xll.BDH("BLUE US Equity","ARD_LT_OPERATING_LEASE_LIABS","FQ3 2022","FQ3 2022","Currency=USD","Period=FQ","BEST_FPERIOD_OVERRIDE=FQ","FILING_STATUS=MR","Sort=A","Dates=H","DateFormat=P","Fill=—","Direction=H","UseDPDF=Y")</f>
        <v>234.422</v>
      </c>
      <c r="U44" s="13">
        <f>_xll.BDH("BLUE US Equity","ARD_LT_OPERATING_LEASE_LIABS","FQ4 2022","FQ4 2022","Currency=USD","Period=FQ","BEST_FPERIOD_OVERRIDE=FQ","FILING_STATUS=MR","Sort=A","Dates=H","DateFormat=P","Fill=—","Direction=H","UseDPDF=Y")</f>
        <v>230.23</v>
      </c>
      <c r="V44" s="13">
        <f>_xll.BDH("BLUE US Equity","ARD_LT_OPERATING_LEASE_LIABS","FQ1 2023","FQ1 2023","Currency=USD","Period=FQ","BEST_FPERIOD_OVERRIDE=FQ","FILING_STATUS=MR","Sort=A","Dates=H","DateFormat=P","Fill=—","Direction=H","UseDPDF=Y")</f>
        <v>221.971</v>
      </c>
      <c r="W44" s="13">
        <f>_xll.BDH("BLUE US Equity","ARD_LT_OPERATING_LEASE_LIABS","FQ2 2023","FQ2 2023","Currency=USD","Period=FQ","BEST_FPERIOD_OVERRIDE=FQ","FILING_STATUS=MR","Sort=A","Dates=H","DateFormat=P","Fill=—","Direction=H","UseDPDF=Y")</f>
        <v>239.26599999999999</v>
      </c>
      <c r="X44" s="13">
        <f>_xll.BDH("BLUE US Equity","ARD_LT_OPERATING_LEASE_LIABS","FQ3 2023","FQ3 2023","Currency=USD","Period=FQ","BEST_FPERIOD_OVERRIDE=FQ","FILING_STATUS=MR","Sort=A","Dates=H","DateFormat=P","Fill=—","Direction=H","UseDPDF=Y")</f>
        <v>232.023</v>
      </c>
      <c r="Y44" s="13">
        <f>_xll.BDH("BLUE US Equity","ARD_LT_OPERATING_LEASE_LIABS","FQ1 2024","FQ1 2024","Currency=USD","Period=FQ","BEST_FPERIOD_OVERRIDE=FQ","FILING_STATUS=MR","Sort=A","Dates=H","DateFormat=P","Fill=—","Direction=H","UseDPDF=Y")</f>
        <v>180.68299999999999</v>
      </c>
      <c r="Z44" s="13">
        <f>_xll.BDH("BLUE US Equity","ARD_LT_OPERATING_LEASE_LIABS","FQ2 2024","FQ2 2024","Currency=USD","Period=FQ","BEST_FPERIOD_OVERRIDE=FQ","FILING_STATUS=MR","Sort=A","Dates=H","DateFormat=P","Fill=—","Direction=H","UseDPDF=Y")</f>
        <v>174.535</v>
      </c>
      <c r="AA44" s="13">
        <f>_xll.BDH("BLUE US Equity","ARD_LT_OPERATING_LEASE_LIABS","FQ3 2024","FQ3 2024","Currency=USD","Period=FQ","BEST_FPERIOD_OVERRIDE=FQ","FILING_STATUS=MR","Sort=A","Dates=H","DateFormat=P","Fill=—","Direction=H","UseDPDF=Y")</f>
        <v>168.05600000000001</v>
      </c>
    </row>
    <row r="45" spans="1:27" x14ac:dyDescent="0.25">
      <c r="A45" s="10" t="s">
        <v>819</v>
      </c>
      <c r="B45" s="10" t="s">
        <v>820</v>
      </c>
      <c r="C45" s="13" t="str">
        <f>_xll.BDH("BLUE US Equity","ARD_LIAB_FROM_DISC_OPS_LT","FQ2 2018","FQ2 2018","Currency=USD","Period=FQ","BEST_FPERIOD_OVERRIDE=FQ","FILING_STATUS=MR","SCALING_FORMAT=MLN","Sort=A","Dates=H","DateFormat=P","Fill=—","Direction=H","UseDPDF=Y")</f>
        <v>—</v>
      </c>
      <c r="D45" s="13" t="str">
        <f>_xll.BDH("BLUE US Equity","ARD_LIAB_FROM_DISC_OPS_LT","FQ3 2018","FQ3 2018","Currency=USD","Period=FQ","BEST_FPERIOD_OVERRIDE=FQ","FILING_STATUS=MR","SCALING_FORMAT=MLN","Sort=A","Dates=H","DateFormat=P","Fill=—","Direction=H","UseDPDF=Y")</f>
        <v>—</v>
      </c>
      <c r="E45" s="13" t="str">
        <f>_xll.BDH("BLUE US Equity","ARD_LIAB_FROM_DISC_OPS_LT","FQ4 2018","FQ4 2018","Currency=USD","Period=FQ","BEST_FPERIOD_OVERRIDE=FQ","FILING_STATUS=MR","SCALING_FORMAT=MLN","Sort=A","Dates=H","DateFormat=P","Fill=—","Direction=H","UseDPDF=Y")</f>
        <v>—</v>
      </c>
      <c r="F45" s="13" t="str">
        <f>_xll.BDH("BLUE US Equity","ARD_LIAB_FROM_DISC_OPS_LT","FQ1 2019","FQ1 2019","Currency=USD","Period=FQ","BEST_FPERIOD_OVERRIDE=FQ","FILING_STATUS=MR","SCALING_FORMAT=MLN","Sort=A","Dates=H","DateFormat=P","Fill=—","Direction=H","UseDPDF=Y")</f>
        <v>—</v>
      </c>
      <c r="G45" s="13" t="str">
        <f>_xll.BDH("BLUE US Equity","ARD_LIAB_FROM_DISC_OPS_LT","FQ2 2019","FQ2 2019","Currency=USD","Period=FQ","BEST_FPERIOD_OVERRIDE=FQ","FILING_STATUS=MR","SCALING_FORMAT=MLN","Sort=A","Dates=H","DateFormat=P","Fill=—","Direction=H","UseDPDF=Y")</f>
        <v>—</v>
      </c>
      <c r="H45" s="13" t="str">
        <f>_xll.BDH("BLUE US Equity","ARD_LIAB_FROM_DISC_OPS_LT","FQ3 2019","FQ3 2019","Currency=USD","Period=FQ","BEST_FPERIOD_OVERRIDE=FQ","FILING_STATUS=MR","SCALING_FORMAT=MLN","Sort=A","Dates=H","DateFormat=P","Fill=—","Direction=H","UseDPDF=Y")</f>
        <v>—</v>
      </c>
      <c r="I45" s="13" t="str">
        <f>_xll.BDH("BLUE US Equity","ARD_LIAB_FROM_DISC_OPS_LT","FQ4 2019","FQ4 2019","Currency=USD","Period=FQ","BEST_FPERIOD_OVERRIDE=FQ","FILING_STATUS=MR","SCALING_FORMAT=MLN","Sort=A","Dates=H","DateFormat=P","Fill=—","Direction=H","UseDPDF=Y")</f>
        <v>—</v>
      </c>
      <c r="J45" s="13" t="str">
        <f>_xll.BDH("BLUE US Equity","ARD_LIAB_FROM_DISC_OPS_LT","FQ1 2020","FQ1 2020","Currency=USD","Period=FQ","BEST_FPERIOD_OVERRIDE=FQ","FILING_STATUS=MR","SCALING_FORMAT=MLN","Sort=A","Dates=H","DateFormat=P","Fill=—","Direction=H","UseDPDF=Y")</f>
        <v>—</v>
      </c>
      <c r="K45" s="13" t="str">
        <f>_xll.BDH("BLUE US Equity","ARD_LIAB_FROM_DISC_OPS_LT","FQ2 2020","FQ2 2020","Currency=USD","Period=FQ","BEST_FPERIOD_OVERRIDE=FQ","FILING_STATUS=MR","SCALING_FORMAT=MLN","Sort=A","Dates=H","DateFormat=P","Fill=—","Direction=H","UseDPDF=Y")</f>
        <v>—</v>
      </c>
      <c r="L45" s="13" t="str">
        <f>_xll.BDH("BLUE US Equity","ARD_LIAB_FROM_DISC_OPS_LT","FQ3 2020","FQ3 2020","Currency=USD","Period=FQ","BEST_FPERIOD_OVERRIDE=FQ","FILING_STATUS=MR","SCALING_FORMAT=MLN","Sort=A","Dates=H","DateFormat=P","Fill=—","Direction=H","UseDPDF=Y")</f>
        <v>—</v>
      </c>
      <c r="M45" s="13">
        <f>_xll.BDH("BLUE US Equity","ARD_LIAB_FROM_DISC_OPS_LT","FQ4 2020","FQ4 2020","Currency=USD","Period=FQ","BEST_FPERIOD_OVERRIDE=FQ","FILING_STATUS=MR","SCALING_FORMAT=MLN","Sort=A","Dates=H","DateFormat=P","Fill=—","Direction=H","UseDPDF=Y")</f>
        <v>161.142</v>
      </c>
      <c r="N45" s="13" t="str">
        <f>_xll.BDH("BLUE US Equity","ARD_LIAB_FROM_DISC_OPS_LT","FQ1 2021","FQ1 2021","Currency=USD","Period=FQ","BEST_FPERIOD_OVERRIDE=FQ","FILING_STATUS=MR","SCALING_FORMAT=MLN","Sort=A","Dates=H","DateFormat=P","Fill=—","Direction=H","UseDPDF=Y")</f>
        <v>—</v>
      </c>
      <c r="O45" s="13" t="str">
        <f>_xll.BDH("BLUE US Equity","ARD_LIAB_FROM_DISC_OPS_LT","FQ2 2021","FQ2 2021","Currency=USD","Period=FQ","BEST_FPERIOD_OVERRIDE=FQ","FILING_STATUS=MR","SCALING_FORMAT=MLN","Sort=A","Dates=H","DateFormat=P","Fill=—","Direction=H","UseDPDF=Y")</f>
        <v>—</v>
      </c>
      <c r="P45" s="13" t="str">
        <f>_xll.BDH("BLUE US Equity","ARD_LIAB_FROM_DISC_OPS_LT","FQ3 2021","FQ3 2021","Currency=USD","Period=FQ","BEST_FPERIOD_OVERRIDE=FQ","FILING_STATUS=MR","SCALING_FORMAT=MLN","Sort=A","Dates=H","DateFormat=P","Fill=—","Direction=H","UseDPDF=Y")</f>
        <v>—</v>
      </c>
      <c r="Q45" s="13">
        <f>_xll.BDH("BLUE US Equity","ARD_LIAB_FROM_DISC_OPS_LT","FQ4 2021","FQ4 2021","Currency=USD","Period=FQ","BEST_FPERIOD_OVERRIDE=FQ","FILING_STATUS=MR","SCALING_FORMAT=MLN","Sort=A","Dates=H","DateFormat=P","Fill=—","Direction=H","UseDPDF=Y")</f>
        <v>0</v>
      </c>
      <c r="R45" s="13" t="str">
        <f>_xll.BDH("BLUE US Equity","ARD_LIAB_FROM_DISC_OPS_LT","FQ1 2022","FQ1 2022","Currency=USD","Period=FQ","BEST_FPERIOD_OVERRIDE=FQ","FILING_STATUS=MR","SCALING_FORMAT=MLN","Sort=A","Dates=H","DateFormat=P","Fill=—","Direction=H","UseDPDF=Y")</f>
        <v>—</v>
      </c>
      <c r="S45" s="13" t="str">
        <f>_xll.BDH("BLUE US Equity","ARD_LIAB_FROM_DISC_OPS_LT","FQ2 2022","FQ2 2022","Currency=USD","Period=FQ","BEST_FPERIOD_OVERRIDE=FQ","FILING_STATUS=MR","SCALING_FORMAT=MLN","Sort=A","Dates=H","DateFormat=P","Fill=—","Direction=H","UseDPDF=Y")</f>
        <v>—</v>
      </c>
      <c r="T45" s="13" t="str">
        <f>_xll.BDH("BLUE US Equity","ARD_LIAB_FROM_DISC_OPS_LT","FQ3 2022","FQ3 2022","Currency=USD","Period=FQ","BEST_FPERIOD_OVERRIDE=FQ","FILING_STATUS=MR","SCALING_FORMAT=MLN","Sort=A","Dates=H","DateFormat=P","Fill=—","Direction=H","UseDPDF=Y")</f>
        <v>—</v>
      </c>
      <c r="U45" s="13" t="str">
        <f>_xll.BDH("BLUE US Equity","ARD_LIAB_FROM_DISC_OPS_LT","FQ4 2022","FQ4 2022","Currency=USD","Period=FQ","BEST_FPERIOD_OVERRIDE=FQ","FILING_STATUS=MR","SCALING_FORMAT=MLN","Sort=A","Dates=H","DateFormat=P","Fill=—","Direction=H","UseDPDF=Y")</f>
        <v>—</v>
      </c>
      <c r="V45" s="13" t="str">
        <f>_xll.BDH("BLUE US Equity","ARD_LIAB_FROM_DISC_OPS_LT","FQ1 2023","FQ1 2023","Currency=USD","Period=FQ","BEST_FPERIOD_OVERRIDE=FQ","FILING_STATUS=MR","SCALING_FORMAT=MLN","Sort=A","Dates=H","DateFormat=P","Fill=—","Direction=H","UseDPDF=Y")</f>
        <v>—</v>
      </c>
      <c r="W45" s="13" t="str">
        <f>_xll.BDH("BLUE US Equity","ARD_LIAB_FROM_DISC_OPS_LT","FQ2 2023","FQ2 2023","Currency=USD","Period=FQ","BEST_FPERIOD_OVERRIDE=FQ","FILING_STATUS=MR","SCALING_FORMAT=MLN","Sort=A","Dates=H","DateFormat=P","Fill=—","Direction=H","UseDPDF=Y")</f>
        <v>—</v>
      </c>
      <c r="X45" s="13" t="str">
        <f>_xll.BDH("BLUE US Equity","ARD_LIAB_FROM_DISC_OPS_LT","FQ3 2023","FQ3 2023","Currency=USD","Period=FQ","BEST_FPERIOD_OVERRIDE=FQ","FILING_STATUS=MR","SCALING_FORMAT=MLN","Sort=A","Dates=H","DateFormat=P","Fill=—","Direction=H","UseDPDF=Y")</f>
        <v>—</v>
      </c>
      <c r="Y45" s="13" t="str">
        <f>_xll.BDH("BLUE US Equity","ARD_LIAB_FROM_DISC_OPS_LT","FQ1 2024","FQ1 2024","Currency=USD","Period=FQ","BEST_FPERIOD_OVERRIDE=FQ","FILING_STATUS=MR","SCALING_FORMAT=MLN","Sort=A","Dates=H","DateFormat=P","Fill=—","Direction=H","UseDPDF=Y")</f>
        <v>—</v>
      </c>
      <c r="Z45" s="13" t="str">
        <f>_xll.BDH("BLUE US Equity","ARD_LIAB_FROM_DISC_OPS_LT","FQ2 2024","FQ2 2024","Currency=USD","Period=FQ","BEST_FPERIOD_OVERRIDE=FQ","FILING_STATUS=MR","SCALING_FORMAT=MLN","Sort=A","Dates=H","DateFormat=P","Fill=—","Direction=H","UseDPDF=Y")</f>
        <v>—</v>
      </c>
      <c r="AA45" s="13" t="str">
        <f>_xll.BDH("BLUE US Equity","ARD_LIAB_FROM_DISC_OPS_LT","FQ3 2024","FQ3 2024","Currency=USD","Period=FQ","BEST_FPERIOD_OVERRIDE=FQ","FILING_STATUS=MR","SCALING_FORMAT=MLN","Sort=A","Dates=H","DateFormat=P","Fill=—","Direction=H","UseDPDF=Y")</f>
        <v>—</v>
      </c>
    </row>
    <row r="46" spans="1:27" x14ac:dyDescent="0.25">
      <c r="A46" s="6" t="s">
        <v>116</v>
      </c>
      <c r="B46" s="6" t="s">
        <v>821</v>
      </c>
      <c r="C46" s="19">
        <f>_xll.BDH("BLUE US Equity","ARD_TOT_LIABILITIES","FQ2 2018","FQ2 2018","Currency=USD","Period=FQ","BEST_FPERIOD_OVERRIDE=FQ","FILING_STATUS=MR","SCALING_FORMAT=MLN","Sort=A","Dates=H","DateFormat=P","Fill=—","Direction=H","UseDPDF=Y")</f>
        <v>303.97699999999998</v>
      </c>
      <c r="D46" s="19">
        <f>_xll.BDH("BLUE US Equity","ARD_TOT_LIABILITIES","FQ3 2018","FQ3 2018","Currency=USD","Period=FQ","BEST_FPERIOD_OVERRIDE=FQ","FILING_STATUS=MR","SCALING_FORMAT=MLN","Sort=A","Dates=H","DateFormat=P","Fill=—","Direction=H","UseDPDF=Y")</f>
        <v>350.99900000000002</v>
      </c>
      <c r="E46" s="19">
        <f>_xll.BDH("BLUE US Equity","ARD_TOT_LIABILITIES","FQ4 2018","FQ4 2018","Currency=USD","Period=FQ","BEST_FPERIOD_OVERRIDE=FQ","FILING_STATUS=MR","SCALING_FORMAT=MLN","Sort=A","Dates=H","DateFormat=P","Fill=—","Direction=H","UseDPDF=Y")</f>
        <v>357.774</v>
      </c>
      <c r="F46" s="19">
        <f>_xll.BDH("BLUE US Equity","ARD_TOT_LIABILITIES","FQ1 2019","FQ1 2019","Currency=USD","Period=FQ","BEST_FPERIOD_OVERRIDE=FQ","FILING_STATUS=MR","SCALING_FORMAT=MLN","Sort=A","Dates=H","DateFormat=P","Fill=—","Direction=H","UseDPDF=Y")</f>
        <v>366.51600000000002</v>
      </c>
      <c r="G46" s="19">
        <f>_xll.BDH("BLUE US Equity","ARD_TOT_LIABILITIES","FQ2 2019","FQ2 2019","Currency=USD","Period=FQ","BEST_FPERIOD_OVERRIDE=FQ","FILING_STATUS=MR","SCALING_FORMAT=MLN","Sort=A","Dates=H","DateFormat=P","Fill=—","Direction=H","UseDPDF=Y")</f>
        <v>386.97</v>
      </c>
      <c r="H46" s="19">
        <f>_xll.BDH("BLUE US Equity","ARD_TOT_LIABILITIES","FQ3 2019","FQ3 2019","Currency=USD","Period=FQ","BEST_FPERIOD_OVERRIDE=FQ","FILING_STATUS=MR","SCALING_FORMAT=MLN","Sort=A","Dates=H","DateFormat=P","Fill=—","Direction=H","UseDPDF=Y")</f>
        <v>420.50799999999998</v>
      </c>
      <c r="I46" s="19">
        <f>_xll.BDH("BLUE US Equity","ARD_TOT_LIABILITIES","FQ4 2019","FQ4 2019","Currency=USD","Period=FQ","BEST_FPERIOD_OVERRIDE=FQ","FILING_STATUS=MR","SCALING_FORMAT=MLN","Sort=A","Dates=H","DateFormat=P","Fill=—","Direction=H","UseDPDF=Y")</f>
        <v>442.43099999999998</v>
      </c>
      <c r="J46" s="19">
        <f>_xll.BDH("BLUE US Equity","ARD_TOT_LIABILITIES","FQ1 2020","FQ1 2020","Currency=USD","Period=FQ","BEST_FPERIOD_OVERRIDE=FQ","FILING_STATUS=MR","SCALING_FORMAT=MLN","Sort=A","Dates=H","DateFormat=P","Fill=—","Direction=H","UseDPDF=Y")</f>
        <v>408.67099999999999</v>
      </c>
      <c r="K46" s="19">
        <f>_xll.BDH("BLUE US Equity","ARD_TOT_LIABILITIES","FQ2 2020","FQ2 2020","Currency=USD","Period=FQ","BEST_FPERIOD_OVERRIDE=FQ","FILING_STATUS=MR","SCALING_FORMAT=MLN","Sort=A","Dates=H","DateFormat=P","Fill=—","Direction=H","UseDPDF=Y")</f>
        <v>425.75900000000001</v>
      </c>
      <c r="L46" s="19">
        <f>_xll.BDH("BLUE US Equity","ARD_TOT_LIABILITIES","FQ3 2020","FQ3 2020","Currency=USD","Period=FQ","BEST_FPERIOD_OVERRIDE=FQ","FILING_STATUS=MR","SCALING_FORMAT=MLN","Sort=A","Dates=H","DateFormat=P","Fill=—","Direction=H","UseDPDF=Y")</f>
        <v>422.46300000000002</v>
      </c>
      <c r="M46" s="19">
        <f>_xll.BDH("BLUE US Equity","ARD_TOT_LIABILITIES","FQ4 2020","FQ4 2020","Currency=USD","Period=FQ","BEST_FPERIOD_OVERRIDE=FQ","FILING_STATUS=MR","SCALING_FORMAT=MLN","Sort=A","Dates=H","DateFormat=P","Fill=—","Direction=H","UseDPDF=Y")</f>
        <v>426.19600000000003</v>
      </c>
      <c r="N46" s="19">
        <f>_xll.BDH("BLUE US Equity","ARD_TOT_LIABILITIES","FQ1 2021","FQ1 2021","Currency=USD","Period=FQ","BEST_FPERIOD_OVERRIDE=FQ","FILING_STATUS=MR","SCALING_FORMAT=MLN","Sort=A","Dates=H","DateFormat=P","Fill=—","Direction=H","UseDPDF=Y")</f>
        <v>436.94600000000003</v>
      </c>
      <c r="O46" s="19">
        <f>_xll.BDH("BLUE US Equity","ARD_TOT_LIABILITIES","FQ2 2021","FQ2 2021","Currency=USD","Period=FQ","BEST_FPERIOD_OVERRIDE=FQ","FILING_STATUS=MR","SCALING_FORMAT=MLN","Sort=A","Dates=H","DateFormat=P","Fill=—","Direction=H","UseDPDF=Y")</f>
        <v>469.89800000000002</v>
      </c>
      <c r="P46" s="19">
        <f>_xll.BDH("BLUE US Equity","ARD_TOT_LIABILITIES","FQ3 2021","FQ3 2021","Currency=USD","Period=FQ","BEST_FPERIOD_OVERRIDE=FQ","FILING_STATUS=MR","SCALING_FORMAT=MLN","Sort=A","Dates=H","DateFormat=P","Fill=—","Direction=H","UseDPDF=Y")</f>
        <v>469.11700000000002</v>
      </c>
      <c r="Q46" s="19">
        <f>_xll.BDH("BLUE US Equity","ARD_TOT_LIABILITIES","FQ4 2021","FQ4 2021","Currency=USD","Period=FQ","BEST_FPERIOD_OVERRIDE=FQ","FILING_STATUS=MR","SCALING_FORMAT=MLN","Sort=A","Dates=H","DateFormat=P","Fill=—","Direction=H","UseDPDF=Y")</f>
        <v>219.518</v>
      </c>
      <c r="R46" s="19">
        <f>_xll.BDH("BLUE US Equity","ARD_TOT_LIABILITIES","FQ1 2022","FQ1 2022","Currency=USD","Period=FQ","BEST_FPERIOD_OVERRIDE=FQ","FILING_STATUS=MR","SCALING_FORMAT=MLN","Sort=A","Dates=H","DateFormat=P","Fill=—","Direction=H","UseDPDF=Y")</f>
        <v>227.81200000000001</v>
      </c>
      <c r="S46" s="19">
        <f>_xll.BDH("BLUE US Equity","ARD_TOT_LIABILITIES","FQ2 2022","FQ2 2022","Currency=USD","Period=FQ","BEST_FPERIOD_OVERRIDE=FQ","FILING_STATUS=MR","SCALING_FORMAT=MLN","Sort=A","Dates=H","DateFormat=P","Fill=—","Direction=H","UseDPDF=Y")</f>
        <v>393.476</v>
      </c>
      <c r="T46" s="19">
        <f>_xll.BDH("BLUE US Equity","ARD_TOT_LIABILITIES","FQ3 2022","FQ3 2022","Currency=USD","Period=FQ","BEST_FPERIOD_OVERRIDE=FQ","FILING_STATUS=MR","SCALING_FORMAT=MLN","Sort=A","Dates=H","DateFormat=P","Fill=—","Direction=H","UseDPDF=Y")</f>
        <v>361.24099999999999</v>
      </c>
      <c r="U46" s="19">
        <f>_xll.BDH("BLUE US Equity","ARD_TOT_LIABILITIES","FQ4 2022","FQ4 2022","Currency=USD","Period=FQ","BEST_FPERIOD_OVERRIDE=FQ","FILING_STATUS=MR","SCALING_FORMAT=MLN","Sort=A","Dates=H","DateFormat=P","Fill=—","Direction=H","UseDPDF=Y")</f>
        <v>358.55900000000003</v>
      </c>
      <c r="V46" s="19">
        <f>_xll.BDH("BLUE US Equity","ARD_TOT_LIABILITIES","FQ1 2023","FQ1 2023","Currency=USD","Period=FQ","BEST_FPERIOD_OVERRIDE=FQ","FILING_STATUS=MR","SCALING_FORMAT=MLN","Sort=A","Dates=H","DateFormat=P","Fill=—","Direction=H","UseDPDF=Y")</f>
        <v>337.99599999999998</v>
      </c>
      <c r="W46" s="19">
        <f>_xll.BDH("BLUE US Equity","ARD_TOT_LIABILITIES","FQ2 2023","FQ2 2023","Currency=USD","Period=FQ","BEST_FPERIOD_OVERRIDE=FQ","FILING_STATUS=MR","SCALING_FORMAT=MLN","Sort=A","Dates=H","DateFormat=P","Fill=—","Direction=H","UseDPDF=Y")</f>
        <v>374.37400000000002</v>
      </c>
      <c r="X46" s="19">
        <f>_xll.BDH("BLUE US Equity","ARD_TOT_LIABILITIES","FQ3 2023","FQ3 2023","Currency=USD","Period=FQ","BEST_FPERIOD_OVERRIDE=FQ","FILING_STATUS=MR","SCALING_FORMAT=MLN","Sort=A","Dates=H","DateFormat=P","Fill=—","Direction=H","UseDPDF=Y")</f>
        <v>391.072</v>
      </c>
      <c r="Y46" s="19">
        <f>_xll.BDH("BLUE US Equity","ARD_TOT_LIABILITIES","FQ1 2024","FQ1 2024","Currency=USD","Period=FQ","BEST_FPERIOD_OVERRIDE=FQ","FILING_STATUS=MR","SCALING_FORMAT=MLN","Sort=A","Dates=H","DateFormat=P","Fill=—","Direction=H","UseDPDF=Y")</f>
        <v>500.43700000000001</v>
      </c>
      <c r="Z46" s="19">
        <f>_xll.BDH("BLUE US Equity","ARD_TOT_LIABILITIES","FQ2 2024","FQ2 2024","Currency=USD","Period=FQ","BEST_FPERIOD_OVERRIDE=FQ","FILING_STATUS=MR","SCALING_FORMAT=MLN","Sort=A","Dates=H","DateFormat=P","Fill=—","Direction=H","UseDPDF=Y")</f>
        <v>492.21199999999999</v>
      </c>
      <c r="AA46" s="19">
        <f>_xll.BDH("BLUE US Equity","ARD_TOT_LIABILITIES","FQ3 2024","FQ3 2024","Currency=USD","Period=FQ","BEST_FPERIOD_OVERRIDE=FQ","FILING_STATUS=MR","SCALING_FORMAT=MLN","Sort=A","Dates=H","DateFormat=P","Fill=—","Direction=H","UseDPDF=Y")</f>
        <v>470.84199999999998</v>
      </c>
    </row>
    <row r="47" spans="1:27" x14ac:dyDescent="0.25">
      <c r="A47" s="10" t="s">
        <v>822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10" t="s">
        <v>823</v>
      </c>
      <c r="B48" s="10" t="s">
        <v>824</v>
      </c>
      <c r="C48" s="13">
        <f>_xll.BDH("BLUE US Equity","ARD_PREFERRED_STOCK","FQ2 2018","FQ2 2018","Currency=USD","Period=FQ","BEST_FPERIOD_OVERRIDE=FQ","FILING_STATUS=MR","SCALING_FORMAT=MLN","Sort=A","Dates=H","DateFormat=P","Fill=—","Direction=H","UseDPDF=Y")</f>
        <v>0</v>
      </c>
      <c r="D48" s="13">
        <f>_xll.BDH("BLUE US Equity","ARD_PREFERRED_STOCK","FQ3 2018","FQ3 2018","Currency=USD","Period=FQ","BEST_FPERIOD_OVERRIDE=FQ","FILING_STATUS=MR","SCALING_FORMAT=MLN","Sort=A","Dates=H","DateFormat=P","Fill=—","Direction=H","UseDPDF=Y")</f>
        <v>0</v>
      </c>
      <c r="E48" s="13">
        <f>_xll.BDH("BLUE US Equity","ARD_PREFERRED_STOCK","FQ4 2018","FQ4 2018","Currency=USD","Period=FQ","BEST_FPERIOD_OVERRIDE=FQ","FILING_STATUS=MR","SCALING_FORMAT=MLN","Sort=A","Dates=H","DateFormat=P","Fill=—","Direction=H","UseDPDF=Y")</f>
        <v>0</v>
      </c>
      <c r="F48" s="13">
        <f>_xll.BDH("BLUE US Equity","ARD_PREFERRED_STOCK","FQ1 2019","FQ1 2019","Currency=USD","Period=FQ","BEST_FPERIOD_OVERRIDE=FQ","FILING_STATUS=MR","SCALING_FORMAT=MLN","Sort=A","Dates=H","DateFormat=P","Fill=—","Direction=H","UseDPDF=Y")</f>
        <v>0</v>
      </c>
      <c r="G48" s="13">
        <f>_xll.BDH("BLUE US Equity","ARD_PREFERRED_STOCK","FQ2 2019","FQ2 2019","Currency=USD","Period=FQ","BEST_FPERIOD_OVERRIDE=FQ","FILING_STATUS=MR","SCALING_FORMAT=MLN","Sort=A","Dates=H","DateFormat=P","Fill=—","Direction=H","UseDPDF=Y")</f>
        <v>0</v>
      </c>
      <c r="H48" s="13">
        <f>_xll.BDH("BLUE US Equity","ARD_PREFERRED_STOCK","FQ3 2019","FQ3 2019","Currency=USD","Period=FQ","BEST_FPERIOD_OVERRIDE=FQ","FILING_STATUS=MR","SCALING_FORMAT=MLN","Sort=A","Dates=H","DateFormat=P","Fill=—","Direction=H","UseDPDF=Y")</f>
        <v>0</v>
      </c>
      <c r="I48" s="13">
        <f>_xll.BDH("BLUE US Equity","ARD_PREFERRED_STOCK","FQ4 2019","FQ4 2019","Currency=USD","Period=FQ","BEST_FPERIOD_OVERRIDE=FQ","FILING_STATUS=MR","SCALING_FORMAT=MLN","Sort=A","Dates=H","DateFormat=P","Fill=—","Direction=H","UseDPDF=Y")</f>
        <v>0</v>
      </c>
      <c r="J48" s="13">
        <f>_xll.BDH("BLUE US Equity","ARD_PREFERRED_STOCK","FQ1 2020","FQ1 2020","Currency=USD","Period=FQ","BEST_FPERIOD_OVERRIDE=FQ","FILING_STATUS=MR","SCALING_FORMAT=MLN","Sort=A","Dates=H","DateFormat=P","Fill=—","Direction=H","UseDPDF=Y")</f>
        <v>0</v>
      </c>
      <c r="K48" s="13">
        <f>_xll.BDH("BLUE US Equity","ARD_PREFERRED_STOCK","FQ2 2020","FQ2 2020","Currency=USD","Period=FQ","BEST_FPERIOD_OVERRIDE=FQ","FILING_STATUS=MR","SCALING_FORMAT=MLN","Sort=A","Dates=H","DateFormat=P","Fill=—","Direction=H","UseDPDF=Y")</f>
        <v>0</v>
      </c>
      <c r="L48" s="13">
        <f>_xll.BDH("BLUE US Equity","ARD_PREFERRED_STOCK","FQ3 2020","FQ3 2020","Currency=USD","Period=FQ","BEST_FPERIOD_OVERRIDE=FQ","FILING_STATUS=MR","SCALING_FORMAT=MLN","Sort=A","Dates=H","DateFormat=P","Fill=—","Direction=H","UseDPDF=Y")</f>
        <v>0</v>
      </c>
      <c r="M48" s="13">
        <f>_xll.BDH("BLUE US Equity","ARD_PREFERRED_STOCK","FQ4 2020","FQ4 2020","Currency=USD","Period=FQ","BEST_FPERIOD_OVERRIDE=FQ","FILING_STATUS=MR","SCALING_FORMAT=MLN","Sort=A","Dates=H","DateFormat=P","Fill=—","Direction=H","UseDPDF=Y")</f>
        <v>0</v>
      </c>
      <c r="N48" s="13">
        <f>_xll.BDH("BLUE US Equity","ARD_PREFERRED_STOCK","FQ1 2021","FQ1 2021","Currency=USD","Period=FQ","BEST_FPERIOD_OVERRIDE=FQ","FILING_STATUS=MR","SCALING_FORMAT=MLN","Sort=A","Dates=H","DateFormat=P","Fill=—","Direction=H","UseDPDF=Y")</f>
        <v>0</v>
      </c>
      <c r="O48" s="13">
        <f>_xll.BDH("BLUE US Equity","ARD_PREFERRED_STOCK","FQ2 2021","FQ2 2021","Currency=USD","Period=FQ","BEST_FPERIOD_OVERRIDE=FQ","FILING_STATUS=MR","SCALING_FORMAT=MLN","Sort=A","Dates=H","DateFormat=P","Fill=—","Direction=H","UseDPDF=Y")</f>
        <v>0</v>
      </c>
      <c r="P48" s="13">
        <f>_xll.BDH("BLUE US Equity","ARD_PREFERRED_STOCK","FQ3 2021","FQ3 2021","Currency=USD","Period=FQ","BEST_FPERIOD_OVERRIDE=FQ","FILING_STATUS=MR","SCALING_FORMAT=MLN","Sort=A","Dates=H","DateFormat=P","Fill=—","Direction=H","UseDPDF=Y")</f>
        <v>0</v>
      </c>
      <c r="Q48" s="13">
        <f>_xll.BDH("BLUE US Equity","ARD_PREFERRED_STOCK","FQ4 2021","FQ4 2021","Currency=USD","Period=FQ","BEST_FPERIOD_OVERRIDE=FQ","FILING_STATUS=MR","SCALING_FORMAT=MLN","Sort=A","Dates=H","DateFormat=P","Fill=—","Direction=H","UseDPDF=Y")</f>
        <v>0</v>
      </c>
      <c r="R48" s="13">
        <f>_xll.BDH("BLUE US Equity","ARD_PREFERRED_STOCK","FQ1 2022","FQ1 2022","Currency=USD","Period=FQ","BEST_FPERIOD_OVERRIDE=FQ","FILING_STATUS=MR","SCALING_FORMAT=MLN","Sort=A","Dates=H","DateFormat=P","Fill=—","Direction=H","UseDPDF=Y")</f>
        <v>0</v>
      </c>
      <c r="S48" s="13">
        <f>_xll.BDH("BLUE US Equity","ARD_PREFERRED_STOCK","FQ2 2022","FQ2 2022","Currency=USD","Period=FQ","BEST_FPERIOD_OVERRIDE=FQ","FILING_STATUS=MR","SCALING_FORMAT=MLN","Sort=A","Dates=H","DateFormat=P","Fill=—","Direction=H","UseDPDF=Y")</f>
        <v>0</v>
      </c>
      <c r="T48" s="13">
        <f>_xll.BDH("BLUE US Equity","ARD_PREFERRED_STOCK","FQ3 2022","FQ3 2022","Currency=USD","Period=FQ","BEST_FPERIOD_OVERRIDE=FQ","FILING_STATUS=MR","SCALING_FORMAT=MLN","Sort=A","Dates=H","DateFormat=P","Fill=—","Direction=H","UseDPDF=Y")</f>
        <v>0</v>
      </c>
      <c r="U48" s="13">
        <f>_xll.BDH("BLUE US Equity","ARD_PREFERRED_STOCK","FQ4 2022","FQ4 2022","Currency=USD","Period=FQ","BEST_FPERIOD_OVERRIDE=FQ","FILING_STATUS=MR","SCALING_FORMAT=MLN","Sort=A","Dates=H","DateFormat=P","Fill=—","Direction=H","UseDPDF=Y")</f>
        <v>0</v>
      </c>
      <c r="V48" s="13">
        <f>_xll.BDH("BLUE US Equity","ARD_PREFERRED_STOCK","FQ1 2023","FQ1 2023","Currency=USD","Period=FQ","BEST_FPERIOD_OVERRIDE=FQ","FILING_STATUS=MR","SCALING_FORMAT=MLN","Sort=A","Dates=H","DateFormat=P","Fill=—","Direction=H","UseDPDF=Y")</f>
        <v>0</v>
      </c>
      <c r="W48" s="13">
        <f>_xll.BDH("BLUE US Equity","ARD_PREFERRED_STOCK","FQ2 2023","FQ2 2023","Currency=USD","Period=FQ","BEST_FPERIOD_OVERRIDE=FQ","FILING_STATUS=MR","SCALING_FORMAT=MLN","Sort=A","Dates=H","DateFormat=P","Fill=—","Direction=H","UseDPDF=Y")</f>
        <v>0</v>
      </c>
      <c r="X48" s="13">
        <f>_xll.BDH("BLUE US Equity","ARD_PREFERRED_STOCK","FQ3 2023","FQ3 2023","Currency=USD","Period=FQ","BEST_FPERIOD_OVERRIDE=FQ","FILING_STATUS=MR","SCALING_FORMAT=MLN","Sort=A","Dates=H","DateFormat=P","Fill=—","Direction=H","UseDPDF=Y")</f>
        <v>0</v>
      </c>
      <c r="Y48" s="13">
        <f>_xll.BDH("BLUE US Equity","ARD_PREFERRED_STOCK","FQ1 2024","FQ1 2024","Currency=USD","Period=FQ","BEST_FPERIOD_OVERRIDE=FQ","FILING_STATUS=MR","SCALING_FORMAT=MLN","Sort=A","Dates=H","DateFormat=P","Fill=—","Direction=H","UseDPDF=Y")</f>
        <v>0</v>
      </c>
      <c r="Z48" s="13">
        <f>_xll.BDH("BLUE US Equity","ARD_PREFERRED_STOCK","FQ2 2024","FQ2 2024","Currency=USD","Period=FQ","BEST_FPERIOD_OVERRIDE=FQ","FILING_STATUS=MR","SCALING_FORMAT=MLN","Sort=A","Dates=H","DateFormat=P","Fill=—","Direction=H","UseDPDF=Y")</f>
        <v>0</v>
      </c>
      <c r="AA48" s="13">
        <f>_xll.BDH("BLUE US Equity","ARD_PREFERRED_STOCK","FQ3 2024","FQ3 2024","Currency=USD","Period=FQ","BEST_FPERIOD_OVERRIDE=FQ","FILING_STATUS=MR","SCALING_FORMAT=MLN","Sort=A","Dates=H","DateFormat=P","Fill=—","Direction=H","UseDPDF=Y")</f>
        <v>0</v>
      </c>
    </row>
    <row r="49" spans="1:27" x14ac:dyDescent="0.25">
      <c r="A49" s="10" t="s">
        <v>825</v>
      </c>
      <c r="B49" s="10" t="s">
        <v>826</v>
      </c>
      <c r="C49" s="13">
        <f>_xll.BDH("BLUE US Equity","ARD_COMMON_STOCK","FQ2 2018","FQ2 2018","Currency=USD","Period=FQ","BEST_FPERIOD_OVERRIDE=FQ","FILING_STATUS=MR","SCALING_FORMAT=MLN","Sort=A","Dates=H","DateFormat=P","Fill=—","Direction=H","UseDPDF=Y")</f>
        <v>0.502</v>
      </c>
      <c r="D49" s="13">
        <f>_xll.BDH("BLUE US Equity","ARD_COMMON_STOCK","FQ3 2018","FQ3 2018","Currency=USD","Period=FQ","BEST_FPERIOD_OVERRIDE=FQ","FILING_STATUS=MR","SCALING_FORMAT=MLN","Sort=A","Dates=H","DateFormat=P","Fill=—","Direction=H","UseDPDF=Y")</f>
        <v>0.54700000000000004</v>
      </c>
      <c r="E49" s="13">
        <f>_xll.BDH("BLUE US Equity","ARD_COMMON_STOCK","FQ4 2018","FQ4 2018","Currency=USD","Period=FQ","BEST_FPERIOD_OVERRIDE=FQ","FILING_STATUS=MR","SCALING_FORMAT=MLN","Sort=A","Dates=H","DateFormat=P","Fill=—","Direction=H","UseDPDF=Y")</f>
        <v>0.54700000000000004</v>
      </c>
      <c r="F49" s="13">
        <f>_xll.BDH("BLUE US Equity","ARD_COMMON_STOCK","FQ1 2019","FQ1 2019","Currency=USD","Period=FQ","BEST_FPERIOD_OVERRIDE=FQ","FILING_STATUS=MR","SCALING_FORMAT=MLN","Sort=A","Dates=H","DateFormat=P","Fill=—","Direction=H","UseDPDF=Y")</f>
        <v>0.55100000000000005</v>
      </c>
      <c r="G49" s="13">
        <f>_xll.BDH("BLUE US Equity","ARD_COMMON_STOCK","FQ2 2019","FQ2 2019","Currency=USD","Period=FQ","BEST_FPERIOD_OVERRIDE=FQ","FILING_STATUS=MR","SCALING_FORMAT=MLN","Sort=A","Dates=H","DateFormat=P","Fill=—","Direction=H","UseDPDF=Y")</f>
        <v>0.55300000000000005</v>
      </c>
      <c r="H49" s="13">
        <f>_xll.BDH("BLUE US Equity","ARD_COMMON_STOCK","FQ3 2019","FQ3 2019","Currency=USD","Period=FQ","BEST_FPERIOD_OVERRIDE=FQ","FILING_STATUS=MR","SCALING_FORMAT=MLN","Sort=A","Dates=H","DateFormat=P","Fill=—","Direction=H","UseDPDF=Y")</f>
        <v>0.55300000000000005</v>
      </c>
      <c r="I49" s="13">
        <f>_xll.BDH("BLUE US Equity","ARD_COMMON_STOCK","FQ4 2019","FQ4 2019","Currency=USD","Period=FQ","BEST_FPERIOD_OVERRIDE=FQ","FILING_STATUS=MR","SCALING_FORMAT=MLN","Sort=A","Dates=H","DateFormat=P","Fill=—","Direction=H","UseDPDF=Y")</f>
        <v>0.55400000000000005</v>
      </c>
      <c r="J49" s="13">
        <f>_xll.BDH("BLUE US Equity","ARD_COMMON_STOCK","FQ1 2020","FQ1 2020","Currency=USD","Period=FQ","BEST_FPERIOD_OVERRIDE=FQ","FILING_STATUS=MR","SCALING_FORMAT=MLN","Sort=A","Dates=H","DateFormat=P","Fill=—","Direction=H","UseDPDF=Y")</f>
        <v>0.55600000000000005</v>
      </c>
      <c r="K49" s="13">
        <f>_xll.BDH("BLUE US Equity","ARD_COMMON_STOCK","FQ2 2020","FQ2 2020","Currency=USD","Period=FQ","BEST_FPERIOD_OVERRIDE=FQ","FILING_STATUS=MR","SCALING_FORMAT=MLN","Sort=A","Dates=H","DateFormat=P","Fill=—","Direction=H","UseDPDF=Y")</f>
        <v>0.66200000000000003</v>
      </c>
      <c r="L49" s="13">
        <f>_xll.BDH("BLUE US Equity","ARD_COMMON_STOCK","FQ3 2020","FQ3 2020","Currency=USD","Period=FQ","BEST_FPERIOD_OVERRIDE=FQ","FILING_STATUS=MR","SCALING_FORMAT=MLN","Sort=A","Dates=H","DateFormat=P","Fill=—","Direction=H","UseDPDF=Y")</f>
        <v>0.66300000000000003</v>
      </c>
      <c r="M49" s="13">
        <f>_xll.BDH("BLUE US Equity","ARD_COMMON_STOCK","FQ4 2020","FQ4 2020","Currency=USD","Period=FQ","BEST_FPERIOD_OVERRIDE=FQ","FILING_STATUS=MR","SCALING_FORMAT=MLN","Sort=A","Dates=H","DateFormat=P","Fill=—","Direction=H","UseDPDF=Y")</f>
        <v>0.66500000000000004</v>
      </c>
      <c r="N49" s="13">
        <f>_xll.BDH("BLUE US Equity","ARD_COMMON_STOCK","FQ1 2021","FQ1 2021","Currency=USD","Period=FQ","BEST_FPERIOD_OVERRIDE=FQ","FILING_STATUS=MR","SCALING_FORMAT=MLN","Sort=A","Dates=H","DateFormat=P","Fill=—","Direction=H","UseDPDF=Y")</f>
        <v>0.67500000000000004</v>
      </c>
      <c r="O49" s="13">
        <f>_xll.BDH("BLUE US Equity","ARD_COMMON_STOCK","FQ2 2021","FQ2 2021","Currency=USD","Period=FQ","BEST_FPERIOD_OVERRIDE=FQ","FILING_STATUS=MR","SCALING_FORMAT=MLN","Sort=A","Dates=H","DateFormat=P","Fill=—","Direction=H","UseDPDF=Y")</f>
        <v>0.67600000000000005</v>
      </c>
      <c r="P49" s="13">
        <f>_xll.BDH("BLUE US Equity","ARD_COMMON_STOCK","FQ3 2021","FQ3 2021","Currency=USD","Period=FQ","BEST_FPERIOD_OVERRIDE=FQ","FILING_STATUS=MR","SCALING_FORMAT=MLN","Sort=A","Dates=H","DateFormat=P","Fill=—","Direction=H","UseDPDF=Y")</f>
        <v>0.70099999999999996</v>
      </c>
      <c r="Q49" s="13">
        <f>_xll.BDH("BLUE US Equity","ARD_COMMON_STOCK","FQ4 2021","FQ4 2021","Currency=USD","Period=FQ","BEST_FPERIOD_OVERRIDE=FQ","FILING_STATUS=MR","SCALING_FORMAT=MLN","Sort=A","Dates=H","DateFormat=P","Fill=—","Direction=H","UseDPDF=Y")</f>
        <v>0.71099999999999997</v>
      </c>
      <c r="R49" s="13">
        <f>_xll.BDH("BLUE US Equity","ARD_COMMON_STOCK","FQ1 2022","FQ1 2022","Currency=USD","Period=FQ","BEST_FPERIOD_OVERRIDE=FQ","FILING_STATUS=MR","SCALING_FORMAT=MLN","Sort=A","Dates=H","DateFormat=P","Fill=—","Direction=H","UseDPDF=Y")</f>
        <v>0.71399999999999997</v>
      </c>
      <c r="S49" s="13">
        <f>_xll.BDH("BLUE US Equity","ARD_COMMON_STOCK","FQ2 2022","FQ2 2022","Currency=USD","Period=FQ","BEST_FPERIOD_OVERRIDE=FQ","FILING_STATUS=MR","SCALING_FORMAT=MLN","Sort=A","Dates=H","DateFormat=P","Fill=—","Direction=H","UseDPDF=Y")</f>
        <v>0.73499999999999999</v>
      </c>
      <c r="T49" s="13">
        <f>_xll.BDH("BLUE US Equity","ARD_COMMON_STOCK","FQ3 2022","FQ3 2022","Currency=USD","Period=FQ","BEST_FPERIOD_OVERRIDE=FQ","FILING_STATUS=MR","SCALING_FORMAT=MLN","Sort=A","Dates=H","DateFormat=P","Fill=—","Direction=H","UseDPDF=Y")</f>
        <v>0.82899999999999996</v>
      </c>
      <c r="U49" s="13">
        <f>_xll.BDH("BLUE US Equity","ARD_COMMON_STOCK","FQ4 2022","FQ4 2022","Currency=USD","Period=FQ","BEST_FPERIOD_OVERRIDE=FQ","FILING_STATUS=MR","SCALING_FORMAT=MLN","Sort=A","Dates=H","DateFormat=P","Fill=—","Direction=H","UseDPDF=Y")</f>
        <v>0.83</v>
      </c>
      <c r="V49" s="13">
        <f>_xll.BDH("BLUE US Equity","ARD_COMMON_STOCK","FQ1 2023","FQ1 2023","Currency=USD","Period=FQ","BEST_FPERIOD_OVERRIDE=FQ","FILING_STATUS=MR","SCALING_FORMAT=MLN","Sort=A","Dates=H","DateFormat=P","Fill=—","Direction=H","UseDPDF=Y")</f>
        <v>1.0640000000000001</v>
      </c>
      <c r="W49" s="13">
        <f>_xll.BDH("BLUE US Equity","ARD_COMMON_STOCK","FQ2 2023","FQ2 2023","Currency=USD","Period=FQ","BEST_FPERIOD_OVERRIDE=FQ","FILING_STATUS=MR","SCALING_FORMAT=MLN","Sort=A","Dates=H","DateFormat=P","Fill=—","Direction=H","UseDPDF=Y")</f>
        <v>1.0649999999999999</v>
      </c>
      <c r="X49" s="13">
        <f>_xll.BDH("BLUE US Equity","ARD_COMMON_STOCK","FQ3 2023","FQ3 2023","Currency=USD","Period=FQ","BEST_FPERIOD_OVERRIDE=FQ","FILING_STATUS=MR","SCALING_FORMAT=MLN","Sort=A","Dates=H","DateFormat=P","Fill=—","Direction=H","UseDPDF=Y")</f>
        <v>1.071</v>
      </c>
      <c r="Y49" s="13">
        <f>_xll.BDH("BLUE US Equity","ARD_COMMON_STOCK","FQ1 2024","FQ1 2024","Currency=USD","Period=FQ","BEST_FPERIOD_OVERRIDE=FQ","FILING_STATUS=MR","SCALING_FORMAT=MLN","Sort=A","Dates=H","DateFormat=P","Fill=—","Direction=H","UseDPDF=Y")</f>
        <v>1.913</v>
      </c>
      <c r="Z49" s="13">
        <f>_xll.BDH("BLUE US Equity","ARD_COMMON_STOCK","FQ2 2024","FQ2 2024","Currency=USD","Period=FQ","BEST_FPERIOD_OVERRIDE=FQ","FILING_STATUS=MR","SCALING_FORMAT=MLN","Sort=A","Dates=H","DateFormat=P","Fill=—","Direction=H","UseDPDF=Y")</f>
        <v>1.9159999999999999</v>
      </c>
      <c r="AA49" s="13">
        <f>_xll.BDH("BLUE US Equity","ARD_COMMON_STOCK","FQ3 2024","FQ3 2024","Currency=USD","Period=FQ","BEST_FPERIOD_OVERRIDE=FQ","FILING_STATUS=MR","SCALING_FORMAT=MLN","Sort=A","Dates=H","DateFormat=P","Fill=—","Direction=H","UseDPDF=Y")</f>
        <v>1.917</v>
      </c>
    </row>
    <row r="50" spans="1:27" x14ac:dyDescent="0.25">
      <c r="A50" s="10" t="s">
        <v>827</v>
      </c>
      <c r="B50" s="10" t="s">
        <v>828</v>
      </c>
      <c r="C50" s="13">
        <f>_xll.BDH("BLUE US Equity","ARD_ADDITIONAL_PAID_IN_CAPITAL","FQ2 2018","FQ2 2018","Currency=USD","Period=FQ","BEST_FPERIOD_OVERRIDE=FQ","FILING_STATUS=MR","SCALING_FORMAT=MLN","Sort=A","Dates=H","DateFormat=P","Fill=—","Direction=H","UseDPDF=Y")</f>
        <v>2666.7289999999998</v>
      </c>
      <c r="D50" s="13">
        <f>_xll.BDH("BLUE US Equity","ARD_ADDITIONAL_PAID_IN_CAPITAL","FQ3 2018","FQ3 2018","Currency=USD","Period=FQ","BEST_FPERIOD_OVERRIDE=FQ","FILING_STATUS=MR","SCALING_FORMAT=MLN","Sort=A","Dates=H","DateFormat=P","Fill=—","Direction=H","UseDPDF=Y")</f>
        <v>3355.491</v>
      </c>
      <c r="E50" s="13">
        <f>_xll.BDH("BLUE US Equity","ARD_ADDITIONAL_PAID_IN_CAPITAL","FQ4 2018","FQ4 2018","Currency=USD","Period=FQ","BEST_FPERIOD_OVERRIDE=FQ","FILING_STATUS=MR","SCALING_FORMAT=MLN","Sort=A","Dates=H","DateFormat=P","Fill=—","Direction=H","UseDPDF=Y")</f>
        <v>3386.9580000000001</v>
      </c>
      <c r="F50" s="13">
        <f>_xll.BDH("BLUE US Equity","ARD_ADDITIONAL_PAID_IN_CAPITAL","FQ1 2019","FQ1 2019","Currency=USD","Period=FQ","BEST_FPERIOD_OVERRIDE=FQ","FILING_STATUS=MR","SCALING_FORMAT=MLN","Sort=A","Dates=H","DateFormat=P","Fill=—","Direction=H","UseDPDF=Y")</f>
        <v>3430.03</v>
      </c>
      <c r="G50" s="13">
        <f>_xll.BDH("BLUE US Equity","ARD_ADDITIONAL_PAID_IN_CAPITAL","FQ2 2019","FQ2 2019","Currency=USD","Period=FQ","BEST_FPERIOD_OVERRIDE=FQ","FILING_STATUS=MR","SCALING_FORMAT=MLN","Sort=A","Dates=H","DateFormat=P","Fill=—","Direction=H","UseDPDF=Y")</f>
        <v>3489.1120000000001</v>
      </c>
      <c r="H50" s="13">
        <f>_xll.BDH("BLUE US Equity","ARD_ADDITIONAL_PAID_IN_CAPITAL","FQ3 2019","FQ3 2019","Currency=USD","Period=FQ","BEST_FPERIOD_OVERRIDE=FQ","FILING_STATUS=MR","SCALING_FORMAT=MLN","Sort=A","Dates=H","DateFormat=P","Fill=—","Direction=H","UseDPDF=Y")</f>
        <v>3532.5129999999999</v>
      </c>
      <c r="I50" s="13">
        <f>_xll.BDH("BLUE US Equity","ARD_ADDITIONAL_PAID_IN_CAPITAL","FQ4 2019","FQ4 2019","Currency=USD","Period=FQ","BEST_FPERIOD_OVERRIDE=FQ","FILING_STATUS=MR","SCALING_FORMAT=MLN","Sort=A","Dates=H","DateFormat=P","Fill=—","Direction=H","UseDPDF=Y")</f>
        <v>3568.1840000000002</v>
      </c>
      <c r="J50" s="13">
        <f>_xll.BDH("BLUE US Equity","ARD_ADDITIONAL_PAID_IN_CAPITAL","FQ1 2020","FQ1 2020","Currency=USD","Period=FQ","BEST_FPERIOD_OVERRIDE=FQ","FILING_STATUS=MR","SCALING_FORMAT=MLN","Sort=A","Dates=H","DateFormat=P","Fill=—","Direction=H","UseDPDF=Y")</f>
        <v>3607.1390000000001</v>
      </c>
      <c r="K50" s="13">
        <f>_xll.BDH("BLUE US Equity","ARD_ADDITIONAL_PAID_IN_CAPITAL","FQ2 2020","FQ2 2020","Currency=USD","Period=FQ","BEST_FPERIOD_OVERRIDE=FQ","FILING_STATUS=MR","SCALING_FORMAT=MLN","Sort=A","Dates=H","DateFormat=P","Fill=—","Direction=H","UseDPDF=Y")</f>
        <v>4189.6970000000001</v>
      </c>
      <c r="L50" s="13">
        <f>_xll.BDH("BLUE US Equity","ARD_ADDITIONAL_PAID_IN_CAPITAL","FQ3 2020","FQ3 2020","Currency=USD","Period=FQ","BEST_FPERIOD_OVERRIDE=FQ","FILING_STATUS=MR","SCALING_FORMAT=MLN","Sort=A","Dates=H","DateFormat=P","Fill=—","Direction=H","UseDPDF=Y")</f>
        <v>4227.2539999999999</v>
      </c>
      <c r="M50" s="13">
        <f>_xll.BDH("BLUE US Equity","ARD_ADDITIONAL_PAID_IN_CAPITAL","FQ4 2020","FQ4 2020","Currency=USD","Period=FQ","BEST_FPERIOD_OVERRIDE=FQ","FILING_STATUS=MR","SCALING_FORMAT=MLN","Sort=A","Dates=H","DateFormat=P","Fill=—","Direction=H","UseDPDF=Y")</f>
        <v>4260.4430000000002</v>
      </c>
      <c r="N50" s="13">
        <f>_xll.BDH("BLUE US Equity","ARD_ADDITIONAL_PAID_IN_CAPITAL","FQ1 2021","FQ1 2021","Currency=USD","Period=FQ","BEST_FPERIOD_OVERRIDE=FQ","FILING_STATUS=MR","SCALING_FORMAT=MLN","Sort=A","Dates=H","DateFormat=P","Fill=—","Direction=H","UseDPDF=Y")</f>
        <v>4311.4620000000004</v>
      </c>
      <c r="O50" s="13">
        <f>_xll.BDH("BLUE US Equity","ARD_ADDITIONAL_PAID_IN_CAPITAL","FQ2 2021","FQ2 2021","Currency=USD","Period=FQ","BEST_FPERIOD_OVERRIDE=FQ","FILING_STATUS=MR","SCALING_FORMAT=MLN","Sort=A","Dates=H","DateFormat=P","Fill=—","Direction=H","UseDPDF=Y")</f>
        <v>4337.7190000000001</v>
      </c>
      <c r="P50" s="13">
        <f>_xll.BDH("BLUE US Equity","ARD_ADDITIONAL_PAID_IN_CAPITAL","FQ3 2021","FQ3 2021","Currency=USD","Period=FQ","BEST_FPERIOD_OVERRIDE=FQ","FILING_STATUS=MR","SCALING_FORMAT=MLN","Sort=A","Dates=H","DateFormat=P","Fill=—","Direction=H","UseDPDF=Y")</f>
        <v>4440.6049999999996</v>
      </c>
      <c r="Q50" s="13">
        <f>_xll.BDH("BLUE US Equity","ARD_ADDITIONAL_PAID_IN_CAPITAL","FQ4 2021","FQ4 2021","Currency=USD","Period=FQ","BEST_FPERIOD_OVERRIDE=FQ","FILING_STATUS=MR","SCALING_FORMAT=MLN","Sort=A","Dates=H","DateFormat=P","Fill=—","Direction=H","UseDPDF=Y")</f>
        <v>4096.402</v>
      </c>
      <c r="R50" s="13">
        <f>_xll.BDH("BLUE US Equity","ARD_ADDITIONAL_PAID_IN_CAPITAL","FQ1 2022","FQ1 2022","Currency=USD","Period=FQ","BEST_FPERIOD_OVERRIDE=FQ","FILING_STATUS=MR","SCALING_FORMAT=MLN","Sort=A","Dates=H","DateFormat=P","Fill=—","Direction=H","UseDPDF=Y")</f>
        <v>4109.0810000000001</v>
      </c>
      <c r="S50" s="13">
        <f>_xll.BDH("BLUE US Equity","ARD_ADDITIONAL_PAID_IN_CAPITAL","FQ2 2022","FQ2 2022","Currency=USD","Period=FQ","BEST_FPERIOD_OVERRIDE=FQ","FILING_STATUS=MR","SCALING_FORMAT=MLN","Sort=A","Dates=H","DateFormat=P","Fill=—","Direction=H","UseDPDF=Y")</f>
        <v>4126.0119999999997</v>
      </c>
      <c r="T50" s="13">
        <f>_xll.BDH("BLUE US Equity","ARD_ADDITIONAL_PAID_IN_CAPITAL","FQ3 2022","FQ3 2022","Currency=USD","Period=FQ","BEST_FPERIOD_OVERRIDE=FQ","FILING_STATUS=MR","SCALING_FORMAT=MLN","Sort=A","Dates=H","DateFormat=P","Fill=—","Direction=H","UseDPDF=Y")</f>
        <v>4181.393</v>
      </c>
      <c r="U50" s="13">
        <f>_xll.BDH("BLUE US Equity","ARD_ADDITIONAL_PAID_IN_CAPITAL","FQ4 2022","FQ4 2022","Currency=USD","Period=FQ","BEST_FPERIOD_OVERRIDE=FQ","FILING_STATUS=MR","SCALING_FORMAT=MLN","Sort=A","Dates=H","DateFormat=P","Fill=—","Direction=H","UseDPDF=Y")</f>
        <v>4186.0860000000002</v>
      </c>
      <c r="V50" s="13">
        <f>_xll.BDH("BLUE US Equity","ARD_ADDITIONAL_PAID_IN_CAPITAL","FQ1 2023","FQ1 2023","Currency=USD","Period=FQ","BEST_FPERIOD_OVERRIDE=FQ","FILING_STATUS=MR","SCALING_FORMAT=MLN","Sort=A","Dates=H","DateFormat=P","Fill=—","Direction=H","UseDPDF=Y")</f>
        <v>4322.0249999999996</v>
      </c>
      <c r="W50" s="13">
        <f>_xll.BDH("BLUE US Equity","ARD_ADDITIONAL_PAID_IN_CAPITAL","FQ2 2023","FQ2 2023","Currency=USD","Period=FQ","BEST_FPERIOD_OVERRIDE=FQ","FILING_STATUS=MR","SCALING_FORMAT=MLN","Sort=A","Dates=H","DateFormat=P","Fill=—","Direction=H","UseDPDF=Y")</f>
        <v>4328.4889999999996</v>
      </c>
      <c r="X50" s="13">
        <f>_xll.BDH("BLUE US Equity","ARD_ADDITIONAL_PAID_IN_CAPITAL","FQ3 2023","FQ3 2023","Currency=USD","Period=FQ","BEST_FPERIOD_OVERRIDE=FQ","FILING_STATUS=MR","SCALING_FORMAT=MLN","Sort=A","Dates=H","DateFormat=P","Fill=—","Direction=H","UseDPDF=Y")</f>
        <v>4333.5940000000001</v>
      </c>
      <c r="Y50" s="13">
        <f>_xll.BDH("BLUE US Equity","ARD_ADDITIONAL_PAID_IN_CAPITAL","FQ1 2024","FQ1 2024","Currency=USD","Period=FQ","BEST_FPERIOD_OVERRIDE=FQ","FILING_STATUS=MR","SCALING_FORMAT=MLN","Sort=A","Dates=H","DateFormat=P","Fill=—","Direction=H","UseDPDF=Y")</f>
        <v>4461.3729999999996</v>
      </c>
      <c r="Z50" s="13">
        <f>_xll.BDH("BLUE US Equity","ARD_ADDITIONAL_PAID_IN_CAPITAL","FQ2 2024","FQ2 2024","Currency=USD","Period=FQ","BEST_FPERIOD_OVERRIDE=FQ","FILING_STATUS=MR","SCALING_FORMAT=MLN","Sort=A","Dates=H","DateFormat=P","Fill=—","Direction=H","UseDPDF=Y")</f>
        <v>4464.7120000000004</v>
      </c>
      <c r="AA50" s="13">
        <f>_xll.BDH("BLUE US Equity","ARD_ADDITIONAL_PAID_IN_CAPITAL","FQ3 2024","FQ3 2024","Currency=USD","Period=FQ","BEST_FPERIOD_OVERRIDE=FQ","FILING_STATUS=MR","SCALING_FORMAT=MLN","Sort=A","Dates=H","DateFormat=P","Fill=—","Direction=H","UseDPDF=Y")</f>
        <v>4466.1409999999996</v>
      </c>
    </row>
    <row r="51" spans="1:27" x14ac:dyDescent="0.25">
      <c r="A51" s="10" t="s">
        <v>829</v>
      </c>
      <c r="B51" s="10" t="s">
        <v>830</v>
      </c>
      <c r="C51" s="13">
        <f>_xll.BDH("BLUE US Equity","ARD_ACC_OTH_COMPREHENSIVE_INC","FQ2 2018","FQ2 2018","Currency=USD","Period=FQ","BEST_FPERIOD_OVERRIDE=FQ","FILING_STATUS=MR","SCALING_FORMAT=MLN","Sort=A","Dates=H","DateFormat=P","Fill=—","Direction=H","UseDPDF=Y")</f>
        <v>-5.3940000000000001</v>
      </c>
      <c r="D51" s="13">
        <f>_xll.BDH("BLUE US Equity","ARD_ACC_OTH_COMPREHENSIVE_INC","FQ3 2018","FQ3 2018","Currency=USD","Period=FQ","BEST_FPERIOD_OVERRIDE=FQ","FILING_STATUS=MR","SCALING_FORMAT=MLN","Sort=A","Dates=H","DateFormat=P","Fill=—","Direction=H","UseDPDF=Y")</f>
        <v>-5.4630000000000001</v>
      </c>
      <c r="E51" s="13">
        <f>_xll.BDH("BLUE US Equity","ARD_ACC_OTH_COMPREHENSIVE_INC","FQ4 2018","FQ4 2018","Currency=USD","Period=FQ","BEST_FPERIOD_OVERRIDE=FQ","FILING_STATUS=MR","SCALING_FORMAT=MLN","Sort=A","Dates=H","DateFormat=P","Fill=—","Direction=H","UseDPDF=Y")</f>
        <v>-3.6269999999999998</v>
      </c>
      <c r="F51" s="13">
        <f>_xll.BDH("BLUE US Equity","ARD_ACC_OTH_COMPREHENSIVE_INC","FQ1 2019","FQ1 2019","Currency=USD","Period=FQ","BEST_FPERIOD_OVERRIDE=FQ","FILING_STATUS=MR","SCALING_FORMAT=MLN","Sort=A","Dates=H","DateFormat=P","Fill=—","Direction=H","UseDPDF=Y")</f>
        <v>-1.792</v>
      </c>
      <c r="G51" s="13">
        <f>_xll.BDH("BLUE US Equity","ARD_ACC_OTH_COMPREHENSIVE_INC","FQ2 2019","FQ2 2019","Currency=USD","Period=FQ","BEST_FPERIOD_OVERRIDE=FQ","FILING_STATUS=MR","SCALING_FORMAT=MLN","Sort=A","Dates=H","DateFormat=P","Fill=—","Direction=H","UseDPDF=Y")</f>
        <v>-0.81899999999999995</v>
      </c>
      <c r="H51" s="13">
        <f>_xll.BDH("BLUE US Equity","ARD_ACC_OTH_COMPREHENSIVE_INC","FQ3 2019","FQ3 2019","Currency=USD","Period=FQ","BEST_FPERIOD_OVERRIDE=FQ","FILING_STATUS=MR","SCALING_FORMAT=MLN","Sort=A","Dates=H","DateFormat=P","Fill=—","Direction=H","UseDPDF=Y")</f>
        <v>-2.851</v>
      </c>
      <c r="I51" s="13">
        <f>_xll.BDH("BLUE US Equity","ARD_ACC_OTH_COMPREHENSIVE_INC","FQ4 2019","FQ4 2019","Currency=USD","Period=FQ","BEST_FPERIOD_OVERRIDE=FQ","FILING_STATUS=MR","SCALING_FORMAT=MLN","Sort=A","Dates=H","DateFormat=P","Fill=—","Direction=H","UseDPDF=Y")</f>
        <v>-1.893</v>
      </c>
      <c r="J51" s="13">
        <f>_xll.BDH("BLUE US Equity","ARD_ACC_OTH_COMPREHENSIVE_INC","FQ1 2020","FQ1 2020","Currency=USD","Period=FQ","BEST_FPERIOD_OVERRIDE=FQ","FILING_STATUS=MR","SCALING_FORMAT=MLN","Sort=A","Dates=H","DateFormat=P","Fill=—","Direction=H","UseDPDF=Y")</f>
        <v>-2.7989999999999999</v>
      </c>
      <c r="K51" s="13">
        <f>_xll.BDH("BLUE US Equity","ARD_ACC_OTH_COMPREHENSIVE_INC","FQ2 2020","FQ2 2020","Currency=USD","Period=FQ","BEST_FPERIOD_OVERRIDE=FQ","FILING_STATUS=MR","SCALING_FORMAT=MLN","Sort=A","Dates=H","DateFormat=P","Fill=—","Direction=H","UseDPDF=Y")</f>
        <v>-2.4</v>
      </c>
      <c r="L51" s="13">
        <f>_xll.BDH("BLUE US Equity","ARD_ACC_OTH_COMPREHENSIVE_INC","FQ3 2020","FQ3 2020","Currency=USD","Period=FQ","BEST_FPERIOD_OVERRIDE=FQ","FILING_STATUS=MR","SCALING_FORMAT=MLN","Sort=A","Dates=H","DateFormat=P","Fill=—","Direction=H","UseDPDF=Y")</f>
        <v>-4.2229999999999999</v>
      </c>
      <c r="M51" s="13">
        <f>_xll.BDH("BLUE US Equity","ARD_ACC_OTH_COMPREHENSIVE_INC","FQ4 2020","FQ4 2020","Currency=USD","Period=FQ","BEST_FPERIOD_OVERRIDE=FQ","FILING_STATUS=MR","SCALING_FORMAT=MLN","Sort=A","Dates=H","DateFormat=P","Fill=—","Direction=H","UseDPDF=Y")</f>
        <v>-5.5049999999999999</v>
      </c>
      <c r="N51" s="13">
        <f>_xll.BDH("BLUE US Equity","ARD_ACC_OTH_COMPREHENSIVE_INC","FQ1 2021","FQ1 2021","Currency=USD","Period=FQ","BEST_FPERIOD_OVERRIDE=FQ","FILING_STATUS=MR","SCALING_FORMAT=MLN","Sort=A","Dates=H","DateFormat=P","Fill=—","Direction=H","UseDPDF=Y")</f>
        <v>-5.4489999999999998</v>
      </c>
      <c r="O51" s="13">
        <f>_xll.BDH("BLUE US Equity","ARD_ACC_OTH_COMPREHENSIVE_INC","FQ2 2021","FQ2 2021","Currency=USD","Period=FQ","BEST_FPERIOD_OVERRIDE=FQ","FILING_STATUS=MR","SCALING_FORMAT=MLN","Sort=A","Dates=H","DateFormat=P","Fill=—","Direction=H","UseDPDF=Y")</f>
        <v>-5.7770000000000001</v>
      </c>
      <c r="P51" s="13">
        <f>_xll.BDH("BLUE US Equity","ARD_ACC_OTH_COMPREHENSIVE_INC","FQ3 2021","FQ3 2021","Currency=USD","Period=FQ","BEST_FPERIOD_OVERRIDE=FQ","FILING_STATUS=MR","SCALING_FORMAT=MLN","Sort=A","Dates=H","DateFormat=P","Fill=—","Direction=H","UseDPDF=Y")</f>
        <v>-5.9059999999999997</v>
      </c>
      <c r="Q51" s="13">
        <f>_xll.BDH("BLUE US Equity","ARD_ACC_OTH_COMPREHENSIVE_INC","FQ4 2021","FQ4 2021","Currency=USD","Period=FQ","BEST_FPERIOD_OVERRIDE=FQ","FILING_STATUS=MR","SCALING_FORMAT=MLN","Sort=A","Dates=H","DateFormat=P","Fill=—","Direction=H","UseDPDF=Y")</f>
        <v>-2.911</v>
      </c>
      <c r="R51" s="13">
        <f>_xll.BDH("BLUE US Equity","ARD_ACC_OTH_COMPREHENSIVE_INC","FQ1 2022","FQ1 2022","Currency=USD","Period=FQ","BEST_FPERIOD_OVERRIDE=FQ","FILING_STATUS=MR","SCALING_FORMAT=MLN","Sort=A","Dates=H","DateFormat=P","Fill=—","Direction=H","UseDPDF=Y")</f>
        <v>-4.4589999999999996</v>
      </c>
      <c r="S51" s="13">
        <f>_xll.BDH("BLUE US Equity","ARD_ACC_OTH_COMPREHENSIVE_INC","FQ2 2022","FQ2 2022","Currency=USD","Period=FQ","BEST_FPERIOD_OVERRIDE=FQ","FILING_STATUS=MR","SCALING_FORMAT=MLN","Sort=A","Dates=H","DateFormat=P","Fill=—","Direction=H","UseDPDF=Y")</f>
        <v>-4.4160000000000004</v>
      </c>
      <c r="T51" s="13">
        <f>_xll.BDH("BLUE US Equity","ARD_ACC_OTH_COMPREHENSIVE_INC","FQ3 2022","FQ3 2022","Currency=USD","Period=FQ","BEST_FPERIOD_OVERRIDE=FQ","FILING_STATUS=MR","SCALING_FORMAT=MLN","Sort=A","Dates=H","DateFormat=P","Fill=—","Direction=H","UseDPDF=Y")</f>
        <v>-4.63</v>
      </c>
      <c r="U51" s="13">
        <f>_xll.BDH("BLUE US Equity","ARD_ACC_OTH_COMPREHENSIVE_INC","FQ4 2022","FQ4 2022","Currency=USD","Period=FQ","BEST_FPERIOD_OVERRIDE=FQ","FILING_STATUS=MR","SCALING_FORMAT=MLN","Sort=A","Dates=H","DateFormat=P","Fill=—","Direction=H","UseDPDF=Y")</f>
        <v>-4.07</v>
      </c>
      <c r="V51" s="13">
        <f>_xll.BDH("BLUE US Equity","ARD_ACC_OTH_COMPREHENSIVE_INC","FQ1 2023","FQ1 2023","Currency=USD","Period=FQ","BEST_FPERIOD_OVERRIDE=FQ","FILING_STATUS=MR","SCALING_FORMAT=MLN","Sort=A","Dates=H","DateFormat=P","Fill=—","Direction=H","UseDPDF=Y")</f>
        <v>-3.0859999999999999</v>
      </c>
      <c r="W51" s="13">
        <f>_xll.BDH("BLUE US Equity","ARD_ACC_OTH_COMPREHENSIVE_INC","FQ2 2023","FQ2 2023","Currency=USD","Period=FQ","BEST_FPERIOD_OVERRIDE=FQ","FILING_STATUS=MR","SCALING_FORMAT=MLN","Sort=A","Dates=H","DateFormat=P","Fill=—","Direction=H","UseDPDF=Y")</f>
        <v>-2.3639999999999999</v>
      </c>
      <c r="X51" s="13">
        <f>_xll.BDH("BLUE US Equity","ARD_ACC_OTH_COMPREHENSIVE_INC","FQ3 2023","FQ3 2023","Currency=USD","Period=FQ","BEST_FPERIOD_OVERRIDE=FQ","FILING_STATUS=MR","SCALING_FORMAT=MLN","Sort=A","Dates=H","DateFormat=P","Fill=—","Direction=H","UseDPDF=Y")</f>
        <v>-2.2269999999999999</v>
      </c>
      <c r="Y51" s="13">
        <f>_xll.BDH("BLUE US Equity","ARD_ACC_OTH_COMPREHENSIVE_INC","FQ1 2024","FQ1 2024","Currency=USD","Period=FQ","BEST_FPERIOD_OVERRIDE=FQ","FILING_STATUS=MR","SCALING_FORMAT=MLN","Sort=A","Dates=H","DateFormat=P","Fill=—","Direction=H","UseDPDF=Y")</f>
        <v>-2.1080000000000001</v>
      </c>
      <c r="Z51" s="13">
        <f>_xll.BDH("BLUE US Equity","ARD_ACC_OTH_COMPREHENSIVE_INC","FQ2 2024","FQ2 2024","Currency=USD","Period=FQ","BEST_FPERIOD_OVERRIDE=FQ","FILING_STATUS=MR","SCALING_FORMAT=MLN","Sort=A","Dates=H","DateFormat=P","Fill=—","Direction=H","UseDPDF=Y")</f>
        <v>-2.1219999999999999</v>
      </c>
      <c r="AA51" s="13">
        <f>_xll.BDH("BLUE US Equity","ARD_ACC_OTH_COMPREHENSIVE_INC","FQ3 2024","FQ3 2024","Currency=USD","Period=FQ","BEST_FPERIOD_OVERRIDE=FQ","FILING_STATUS=MR","SCALING_FORMAT=MLN","Sort=A","Dates=H","DateFormat=P","Fill=—","Direction=H","UseDPDF=Y")</f>
        <v>-1.5109999999999999</v>
      </c>
    </row>
    <row r="52" spans="1:27" x14ac:dyDescent="0.25">
      <c r="A52" s="10" t="s">
        <v>831</v>
      </c>
      <c r="B52" s="10" t="s">
        <v>832</v>
      </c>
      <c r="C52" s="13">
        <f>_xll.BDH("BLUE US Equity","ARD_RETAINED_EARN_ACC_DEFICIT","FQ2 2018","FQ2 2018","Currency=USD","Period=FQ","BEST_FPERIOD_OVERRIDE=FQ","FILING_STATUS=MR","SCALING_FORMAT=MLN","Sort=A","Dates=H","DateFormat=P","Fill=—","Direction=H","UseDPDF=Y")</f>
        <v>-1204.3030000000001</v>
      </c>
      <c r="D52" s="13">
        <f>_xll.BDH("BLUE US Equity","ARD_RETAINED_EARN_ACC_DEFICIT","FQ3 2018","FQ3 2018","Currency=USD","Period=FQ","BEST_FPERIOD_OVERRIDE=FQ","FILING_STATUS=MR","SCALING_FORMAT=MLN","Sort=A","Dates=H","DateFormat=P","Fill=—","Direction=H","UseDPDF=Y")</f>
        <v>-1349.7850000000001</v>
      </c>
      <c r="E52" s="13">
        <f>_xll.BDH("BLUE US Equity","ARD_RETAINED_EARN_ACC_DEFICIT","FQ4 2018","FQ4 2018","Currency=USD","Period=FQ","BEST_FPERIOD_OVERRIDE=FQ","FILING_STATUS=MR","SCALING_FORMAT=MLN","Sort=A","Dates=H","DateFormat=P","Fill=—","Direction=H","UseDPDF=Y")</f>
        <v>-1498.808</v>
      </c>
      <c r="F52" s="13">
        <f>_xll.BDH("BLUE US Equity","ARD_RETAINED_EARN_ACC_DEFICIT","FQ1 2019","FQ1 2019","Currency=USD","Period=FQ","BEST_FPERIOD_OVERRIDE=FQ","FILING_STATUS=MR","SCALING_FORMAT=MLN","Sort=A","Dates=H","DateFormat=P","Fill=—","Direction=H","UseDPDF=Y")</f>
        <v>-1656.69</v>
      </c>
      <c r="G52" s="13">
        <f>_xll.BDH("BLUE US Equity","ARD_RETAINED_EARN_ACC_DEFICIT","FQ2 2019","FQ2 2019","Currency=USD","Period=FQ","BEST_FPERIOD_OVERRIDE=FQ","FILING_STATUS=MR","SCALING_FORMAT=MLN","Sort=A","Dates=H","DateFormat=P","Fill=—","Direction=H","UseDPDF=Y")</f>
        <v>-1852.472</v>
      </c>
      <c r="H52" s="13">
        <f>_xll.BDH("BLUE US Equity","ARD_RETAINED_EARN_ACC_DEFICIT","FQ3 2019","FQ3 2019","Currency=USD","Period=FQ","BEST_FPERIOD_OVERRIDE=FQ","FILING_STATUS=MR","SCALING_FORMAT=MLN","Sort=A","Dates=H","DateFormat=P","Fill=—","Direction=H","UseDPDF=Y")</f>
        <v>-2058.5050000000001</v>
      </c>
      <c r="I52" s="13">
        <f>_xll.BDH("BLUE US Equity","ARD_RETAINED_EARN_ACC_DEFICIT","FQ4 2019","FQ4 2019","Currency=USD","Period=FQ","BEST_FPERIOD_OVERRIDE=FQ","FILING_STATUS=MR","SCALING_FORMAT=MLN","Sort=A","Dates=H","DateFormat=P","Fill=—","Direction=H","UseDPDF=Y")</f>
        <v>-2281.8519999999999</v>
      </c>
      <c r="J52" s="13">
        <f>_xll.BDH("BLUE US Equity","ARD_RETAINED_EARN_ACC_DEFICIT","FQ1 2020","FQ1 2020","Currency=USD","Period=FQ","BEST_FPERIOD_OVERRIDE=FQ","FILING_STATUS=MR","SCALING_FORMAT=MLN","Sort=A","Dates=H","DateFormat=P","Fill=—","Direction=H","UseDPDF=Y")</f>
        <v>-2484.4630000000002</v>
      </c>
      <c r="K52" s="13">
        <f>_xll.BDH("BLUE US Equity","ARD_RETAINED_EARN_ACC_DEFICIT","FQ2 2020","FQ2 2020","Currency=USD","Period=FQ","BEST_FPERIOD_OVERRIDE=FQ","FILING_STATUS=MR","SCALING_FORMAT=MLN","Sort=A","Dates=H","DateFormat=P","Fill=—","Direction=H","UseDPDF=Y")</f>
        <v>-2505.9279999999999</v>
      </c>
      <c r="L52" s="13">
        <f>_xll.BDH("BLUE US Equity","ARD_RETAINED_EARN_ACC_DEFICIT","FQ3 2020","FQ3 2020","Currency=USD","Period=FQ","BEST_FPERIOD_OVERRIDE=FQ","FILING_STATUS=MR","SCALING_FORMAT=MLN","Sort=A","Dates=H","DateFormat=P","Fill=—","Direction=H","UseDPDF=Y")</f>
        <v>-2700.6729999999998</v>
      </c>
      <c r="M52" s="13">
        <f>_xll.BDH("BLUE US Equity","ARD_RETAINED_EARN_ACC_DEFICIT","FQ4 2020","FQ4 2020","Currency=USD","Period=FQ","BEST_FPERIOD_OVERRIDE=FQ","FILING_STATUS=MR","SCALING_FORMAT=MLN","Sort=A","Dates=H","DateFormat=P","Fill=—","Direction=H","UseDPDF=Y")</f>
        <v>-2900.547</v>
      </c>
      <c r="N52" s="13">
        <f>_xll.BDH("BLUE US Equity","ARD_RETAINED_EARN_ACC_DEFICIT","FQ1 2021","FQ1 2021","Currency=USD","Period=FQ","BEST_FPERIOD_OVERRIDE=FQ","FILING_STATUS=MR","SCALING_FORMAT=MLN","Sort=A","Dates=H","DateFormat=P","Fill=—","Direction=H","UseDPDF=Y")</f>
        <v>-3106.355</v>
      </c>
      <c r="O52" s="13">
        <f>_xll.BDH("BLUE US Equity","ARD_RETAINED_EARN_ACC_DEFICIT","FQ2 2021","FQ2 2021","Currency=USD","Period=FQ","BEST_FPERIOD_OVERRIDE=FQ","FILING_STATUS=MR","SCALING_FORMAT=MLN","Sort=A","Dates=H","DateFormat=P","Fill=—","Direction=H","UseDPDF=Y")</f>
        <v>-3348.0569999999998</v>
      </c>
      <c r="P52" s="13">
        <f>_xll.BDH("BLUE US Equity","ARD_RETAINED_EARN_ACC_DEFICIT","FQ3 2021","FQ3 2021","Currency=USD","Period=FQ","BEST_FPERIOD_OVERRIDE=FQ","FILING_STATUS=MR","SCALING_FORMAT=MLN","Sort=A","Dates=H","DateFormat=P","Fill=—","Direction=H","UseDPDF=Y")</f>
        <v>-3564.873</v>
      </c>
      <c r="Q52" s="13">
        <f>_xll.BDH("BLUE US Equity","ARD_RETAINED_EARN_ACC_DEFICIT","FQ4 2021","FQ4 2021","Currency=USD","Period=FQ","BEST_FPERIOD_OVERRIDE=FQ","FILING_STATUS=MR","SCALING_FORMAT=MLN","Sort=A","Dates=H","DateFormat=P","Fill=—","Direction=H","UseDPDF=Y")</f>
        <v>-3719.9250000000002</v>
      </c>
      <c r="R52" s="13">
        <f>_xll.BDH("BLUE US Equity","ARD_RETAINED_EARN_ACC_DEFICIT","FQ1 2022","FQ1 2022","Currency=USD","Period=FQ","BEST_FPERIOD_OVERRIDE=FQ","FILING_STATUS=MR","SCALING_FORMAT=MLN","Sort=A","Dates=H","DateFormat=P","Fill=—","Direction=H","UseDPDF=Y")</f>
        <v>-3842.0770000000002</v>
      </c>
      <c r="S52" s="13">
        <f>_xll.BDH("BLUE US Equity","ARD_RETAINED_EARN_ACC_DEFICIT","FQ2 2022","FQ2 2022","Currency=USD","Period=FQ","BEST_FPERIOD_OVERRIDE=FQ","FILING_STATUS=MR","SCALING_FORMAT=MLN","Sort=A","Dates=H","DateFormat=P","Fill=—","Direction=H","UseDPDF=Y")</f>
        <v>-3942.2150000000001</v>
      </c>
      <c r="T52" s="13">
        <f>_xll.BDH("BLUE US Equity","ARD_RETAINED_EARN_ACC_DEFICIT","FQ3 2022","FQ3 2022","Currency=USD","Period=FQ","BEST_FPERIOD_OVERRIDE=FQ","FILING_STATUS=MR","SCALING_FORMAT=MLN","Sort=A","Dates=H","DateFormat=P","Fill=—","Direction=H","UseDPDF=Y")</f>
        <v>-4018.7350000000001</v>
      </c>
      <c r="U52" s="13">
        <f>_xll.BDH("BLUE US Equity","ARD_RETAINED_EARN_ACC_DEFICIT","FQ4 2022","FQ4 2022","Currency=USD","Period=FQ","BEST_FPERIOD_OVERRIDE=FQ","FILING_STATUS=MR","SCALING_FORMAT=MLN","Sort=A","Dates=H","DateFormat=P","Fill=—","Direction=H","UseDPDF=Y")</f>
        <v>-3986.5030000000002</v>
      </c>
      <c r="V52" s="13">
        <f>_xll.BDH("BLUE US Equity","ARD_RETAINED_EARN_ACC_DEFICIT","FQ1 2023","FQ1 2023","Currency=USD","Period=FQ","BEST_FPERIOD_OVERRIDE=FQ","FILING_STATUS=MR","SCALING_FORMAT=MLN","Sort=A","Dates=H","DateFormat=P","Fill=—","Direction=H","UseDPDF=Y")</f>
        <v>-3965.2629999999999</v>
      </c>
      <c r="W52" s="13">
        <f>_xll.BDH("BLUE US Equity","ARD_RETAINED_EARN_ACC_DEFICIT","FQ2 2023","FQ2 2023","Currency=USD","Period=FQ","BEST_FPERIOD_OVERRIDE=FQ","FILING_STATUS=MR","SCALING_FORMAT=MLN","Sort=A","Dates=H","DateFormat=P","Fill=—","Direction=H","UseDPDF=Y")</f>
        <v>-4038.1709999999998</v>
      </c>
      <c r="X52" s="13">
        <f>_xll.BDH("BLUE US Equity","ARD_RETAINED_EARN_ACC_DEFICIT","FQ3 2023","FQ3 2023","Currency=USD","Period=FQ","BEST_FPERIOD_OVERRIDE=FQ","FILING_STATUS=MR","SCALING_FORMAT=MLN","Sort=A","Dates=H","DateFormat=P","Fill=—","Direction=H","UseDPDF=Y")</f>
        <v>-4109.902</v>
      </c>
      <c r="Y52" s="13">
        <f>_xll.BDH("BLUE US Equity","ARD_RETAINED_EARN_ACC_DEFICIT","FQ1 2024","FQ1 2024","Currency=USD","Period=FQ","BEST_FPERIOD_OVERRIDE=FQ","FILING_STATUS=MR","SCALING_FORMAT=MLN","Sort=A","Dates=H","DateFormat=P","Fill=—","Direction=H","UseDPDF=Y")</f>
        <v>-4330.1319999999996</v>
      </c>
      <c r="Z52" s="13">
        <f>_xll.BDH("BLUE US Equity","ARD_RETAINED_EARN_ACC_DEFICIT","FQ2 2024","FQ2 2024","Currency=USD","Period=FQ","BEST_FPERIOD_OVERRIDE=FQ","FILING_STATUS=MR","SCALING_FORMAT=MLN","Sort=A","Dates=H","DateFormat=P","Fill=—","Direction=H","UseDPDF=Y")</f>
        <v>-4411.5249999999996</v>
      </c>
      <c r="AA52" s="13">
        <f>_xll.BDH("BLUE US Equity","ARD_RETAINED_EARN_ACC_DEFICIT","FQ3 2024","FQ3 2024","Currency=USD","Period=FQ","BEST_FPERIOD_OVERRIDE=FQ","FILING_STATUS=MR","SCALING_FORMAT=MLN","Sort=A","Dates=H","DateFormat=P","Fill=—","Direction=H","UseDPDF=Y")</f>
        <v>-4472.3329999999996</v>
      </c>
    </row>
    <row r="53" spans="1:27" x14ac:dyDescent="0.25">
      <c r="A53" s="10" t="s">
        <v>726</v>
      </c>
      <c r="B53" s="10" t="s">
        <v>833</v>
      </c>
      <c r="C53" s="13">
        <f>_xll.BDH("BLUE US Equity","ARD_SHARES_OUTSTANDING","FQ2 2018","FQ2 2018","Currency=USD","Period=FQ","BEST_FPERIOD_OVERRIDE=FQ","FILING_STATUS=MR","Sort=A","Dates=H","DateFormat=P","Fill=—","Direction=H","UseDPDF=Y")</f>
        <v>50.225000000000001</v>
      </c>
      <c r="D53" s="13">
        <f>_xll.BDH("BLUE US Equity","ARD_SHARES_OUTSTANDING","FQ3 2018","FQ3 2018","Currency=USD","Period=FQ","BEST_FPERIOD_OVERRIDE=FQ","FILING_STATUS=MR","Sort=A","Dates=H","DateFormat=P","Fill=—","Direction=H","UseDPDF=Y")</f>
        <v>54.677999999999997</v>
      </c>
      <c r="E53" s="13">
        <f>_xll.BDH("BLUE US Equity","ARD_SHARES_OUTSTANDING","FQ4 2018","FQ4 2018","Currency=USD","Period=FQ","BEST_FPERIOD_OVERRIDE=FQ","FILING_STATUS=MR","Sort=A","Dates=H","DateFormat=P","Fill=—","Direction=H","UseDPDF=Y")</f>
        <v>54.738</v>
      </c>
      <c r="F53" s="13">
        <f>_xll.BDH("BLUE US Equity","ARD_SHARES_OUTSTANDING","FQ1 2019","FQ1 2019","Currency=USD","Period=FQ","BEST_FPERIOD_OVERRIDE=FQ","FILING_STATUS=MR","Sort=A","Dates=H","DateFormat=P","Fill=—","Direction=H","UseDPDF=Y")</f>
        <v>55.069000000000003</v>
      </c>
      <c r="G53" s="13">
        <f>_xll.BDH("BLUE US Equity","ARD_SHARES_OUTSTANDING","FQ2 2019","FQ2 2019","Currency=USD","Period=FQ","BEST_FPERIOD_OVERRIDE=FQ","FILING_STATUS=MR","Sort=A","Dates=H","DateFormat=P","Fill=—","Direction=H","UseDPDF=Y")</f>
        <v>55.228000000000002</v>
      </c>
      <c r="H53" s="13">
        <f>_xll.BDH("BLUE US Equity","ARD_SHARES_OUTSTANDING","FQ3 2019","FQ3 2019","Currency=USD","Period=FQ","BEST_FPERIOD_OVERRIDE=FQ","FILING_STATUS=MR","Sort=A","Dates=H","DateFormat=P","Fill=—","Direction=H","UseDPDF=Y")</f>
        <v>55.32</v>
      </c>
      <c r="I53" s="13">
        <f>_xll.BDH("BLUE US Equity","ARD_SHARES_OUTSTANDING","FQ4 2019","FQ4 2019","Currency=USD","Period=FQ","BEST_FPERIOD_OVERRIDE=FQ","FILING_STATUS=MR","Sort=A","Dates=H","DateFormat=P","Fill=—","Direction=H","UseDPDF=Y")</f>
        <v>55.368000000000002</v>
      </c>
      <c r="J53" s="13">
        <f>_xll.BDH("BLUE US Equity","ARD_SHARES_OUTSTANDING","FQ1 2020","FQ1 2020","Currency=USD","Period=FQ","BEST_FPERIOD_OVERRIDE=FQ","FILING_STATUS=MR","Sort=A","Dates=H","DateFormat=P","Fill=—","Direction=H","UseDPDF=Y")</f>
        <v>55.62</v>
      </c>
      <c r="K53" s="13">
        <f>_xll.BDH("BLUE US Equity","ARD_SHARES_OUTSTANDING","FQ2 2020","FQ2 2020","Currency=USD","Period=FQ","BEST_FPERIOD_OVERRIDE=FQ","FILING_STATUS=MR","Sort=A","Dates=H","DateFormat=P","Fill=—","Direction=H","UseDPDF=Y")</f>
        <v>66.195999999999998</v>
      </c>
      <c r="L53" s="13">
        <f>_xll.BDH("BLUE US Equity","ARD_SHARES_OUTSTANDING","FQ3 2020","FQ3 2020","Currency=USD","Period=FQ","BEST_FPERIOD_OVERRIDE=FQ","FILING_STATUS=MR","Sort=A","Dates=H","DateFormat=P","Fill=—","Direction=H","UseDPDF=Y")</f>
        <v>66.338999999999999</v>
      </c>
      <c r="M53" s="13">
        <f>_xll.BDH("BLUE US Equity","ARD_SHARES_OUTSTANDING","FQ4 2020","FQ4 2020","Currency=USD","Period=FQ","BEST_FPERIOD_OVERRIDE=FQ","FILING_STATUS=MR","Sort=A","Dates=H","DateFormat=P","Fill=—","Direction=H","UseDPDF=Y")</f>
        <v>66.432000000000002</v>
      </c>
      <c r="N53" s="13">
        <f>_xll.BDH("BLUE US Equity","ARD_SHARES_OUTSTANDING","FQ1 2021","FQ1 2021","Currency=USD","Period=FQ","BEST_FPERIOD_OVERRIDE=FQ","FILING_STATUS=MR","Sort=A","Dates=H","DateFormat=P","Fill=—","Direction=H","UseDPDF=Y")</f>
        <v>67.421999999999997</v>
      </c>
      <c r="O53" s="13">
        <f>_xll.BDH("BLUE US Equity","ARD_SHARES_OUTSTANDING","FQ2 2021","FQ2 2021","Currency=USD","Period=FQ","BEST_FPERIOD_OVERRIDE=FQ","FILING_STATUS=MR","Sort=A","Dates=H","DateFormat=P","Fill=—","Direction=H","UseDPDF=Y")</f>
        <v>67.551000000000002</v>
      </c>
      <c r="P53" s="13">
        <f>_xll.BDH("BLUE US Equity","ARD_SHARES_OUTSTANDING","FQ3 2021","FQ3 2021","Currency=USD","Period=FQ","BEST_FPERIOD_OVERRIDE=FQ","FILING_STATUS=MR","Sort=A","Dates=H","DateFormat=P","Fill=—","Direction=H","UseDPDF=Y")</f>
        <v>70.096999999999994</v>
      </c>
      <c r="Q53" s="13">
        <f>_xll.BDH("BLUE US Equity","ARD_SHARES_OUTSTANDING","FQ4 2021","FQ4 2021","Currency=USD","Period=FQ","BEST_FPERIOD_OVERRIDE=FQ","FILING_STATUS=MR","Sort=A","Dates=H","DateFormat=P","Fill=—","Direction=H","UseDPDF=Y")</f>
        <v>71.114999999999995</v>
      </c>
      <c r="R53" s="13">
        <f>_xll.BDH("BLUE US Equity","ARD_SHARES_OUTSTANDING","FQ1 2022","FQ1 2022","Currency=USD","Period=FQ","BEST_FPERIOD_OVERRIDE=FQ","FILING_STATUS=MR","Sort=A","Dates=H","DateFormat=P","Fill=—","Direction=H","UseDPDF=Y")</f>
        <v>71.438000000000002</v>
      </c>
      <c r="S53" s="13">
        <f>_xll.BDH("BLUE US Equity","ARD_SHARES_OUTSTANDING","FQ2 2022","FQ2 2022","Currency=USD","Period=FQ","BEST_FPERIOD_OVERRIDE=FQ","FILING_STATUS=MR","Sort=A","Dates=H","DateFormat=P","Fill=—","Direction=H","UseDPDF=Y")</f>
        <v>73.551000000000002</v>
      </c>
      <c r="T53" s="13">
        <f>_xll.BDH("BLUE US Equity","ARD_SHARES_OUTSTANDING","FQ3 2022","FQ3 2022","Currency=USD","Period=FQ","BEST_FPERIOD_OVERRIDE=FQ","FILING_STATUS=MR","Sort=A","Dates=H","DateFormat=P","Fill=—","Direction=H","UseDPDF=Y")</f>
        <v>82.88</v>
      </c>
      <c r="U53" s="13">
        <f>_xll.BDH("BLUE US Equity","ARD_SHARES_OUTSTANDING","FQ4 2022","FQ4 2022","Currency=USD","Period=FQ","BEST_FPERIOD_OVERRIDE=FQ","FILING_STATUS=MR","Sort=A","Dates=H","DateFormat=P","Fill=—","Direction=H","UseDPDF=Y")</f>
        <v>82.923000000000002</v>
      </c>
      <c r="V53" s="13">
        <f>_xll.BDH("BLUE US Equity","ARD_SHARES_OUTSTANDING","FQ1 2023","FQ1 2023","Currency=USD","Period=FQ","BEST_FPERIOD_OVERRIDE=FQ","FILING_STATUS=MR","Sort=A","Dates=H","DateFormat=P","Fill=—","Direction=H","UseDPDF=Y")</f>
        <v>106.37</v>
      </c>
      <c r="W53" s="13">
        <f>_xll.BDH("BLUE US Equity","ARD_SHARES_OUTSTANDING","FQ2 2023","FQ2 2023","Currency=USD","Period=FQ","BEST_FPERIOD_OVERRIDE=FQ","FILING_STATUS=MR","Sort=A","Dates=H","DateFormat=P","Fill=—","Direction=H","UseDPDF=Y")</f>
        <v>106.45399999999999</v>
      </c>
      <c r="X53" s="13">
        <f>_xll.BDH("BLUE US Equity","ARD_SHARES_OUTSTANDING","FQ3 2023","FQ3 2023","Currency=USD","Period=FQ","BEST_FPERIOD_OVERRIDE=FQ","FILING_STATUS=MR","Sort=A","Dates=H","DateFormat=P","Fill=—","Direction=H","UseDPDF=Y")</f>
        <v>107.02200000000001</v>
      </c>
      <c r="Y53" s="13">
        <f>_xll.BDH("BLUE US Equity","ARD_SHARES_OUTSTANDING","FQ1 2024","FQ1 2024","Currency=USD","Period=FQ","BEST_FPERIOD_OVERRIDE=FQ","FILING_STATUS=MR","Sort=A","Dates=H","DateFormat=P","Fill=—","Direction=H","UseDPDF=Y")</f>
        <v>193.583</v>
      </c>
      <c r="Z53" s="13">
        <f>_xll.BDH("BLUE US Equity","ARD_SHARES_OUTSTANDING","FQ2 2024","FQ2 2024","Currency=USD","Period=FQ","BEST_FPERIOD_OVERRIDE=FQ","FILING_STATUS=MR","Sort=A","Dates=H","DateFormat=P","Fill=—","Direction=H","UseDPDF=Y")</f>
        <v>193.85599999999999</v>
      </c>
      <c r="AA53" s="13">
        <f>_xll.BDH("BLUE US Equity","ARD_SHARES_OUTSTANDING","FQ3 2024","FQ3 2024","Currency=USD","Period=FQ","BEST_FPERIOD_OVERRIDE=FQ","FILING_STATUS=MR","Sort=A","Dates=H","DateFormat=P","Fill=—","Direction=H","UseDPDF=Y")</f>
        <v>193.917</v>
      </c>
    </row>
    <row r="54" spans="1:27" x14ac:dyDescent="0.25">
      <c r="A54" s="10" t="s">
        <v>834</v>
      </c>
      <c r="B54" s="10" t="s">
        <v>835</v>
      </c>
      <c r="C54" s="14">
        <f>_xll.BDH("BLUE US Equity","ARD_PAR_VALUE","FQ2 2018","FQ2 2018","Currency=USD","Period=FQ","BEST_FPERIOD_OVERRIDE=FQ","FILING_STATUS=MR","Sort=A","Dates=H","DateFormat=P","Fill=—","Direction=H","UseDPDF=Y")</f>
        <v>0.01</v>
      </c>
      <c r="D54" s="14">
        <f>_xll.BDH("BLUE US Equity","ARD_PAR_VALUE","FQ3 2018","FQ3 2018","Currency=USD","Period=FQ","BEST_FPERIOD_OVERRIDE=FQ","FILING_STATUS=MR","Sort=A","Dates=H","DateFormat=P","Fill=—","Direction=H","UseDPDF=Y")</f>
        <v>0.01</v>
      </c>
      <c r="E54" s="14">
        <f>_xll.BDH("BLUE US Equity","ARD_PAR_VALUE","FQ4 2018","FQ4 2018","Currency=USD","Period=FQ","BEST_FPERIOD_OVERRIDE=FQ","FILING_STATUS=MR","Sort=A","Dates=H","DateFormat=P","Fill=—","Direction=H","UseDPDF=Y")</f>
        <v>0.01</v>
      </c>
      <c r="F54" s="14">
        <f>_xll.BDH("BLUE US Equity","ARD_PAR_VALUE","FQ1 2019","FQ1 2019","Currency=USD","Period=FQ","BEST_FPERIOD_OVERRIDE=FQ","FILING_STATUS=MR","Sort=A","Dates=H","DateFormat=P","Fill=—","Direction=H","UseDPDF=Y")</f>
        <v>0.01</v>
      </c>
      <c r="G54" s="14">
        <f>_xll.BDH("BLUE US Equity","ARD_PAR_VALUE","FQ2 2019","FQ2 2019","Currency=USD","Period=FQ","BEST_FPERIOD_OVERRIDE=FQ","FILING_STATUS=MR","Sort=A","Dates=H","DateFormat=P","Fill=—","Direction=H","UseDPDF=Y")</f>
        <v>0.01</v>
      </c>
      <c r="H54" s="14">
        <f>_xll.BDH("BLUE US Equity","ARD_PAR_VALUE","FQ3 2019","FQ3 2019","Currency=USD","Period=FQ","BEST_FPERIOD_OVERRIDE=FQ","FILING_STATUS=MR","Sort=A","Dates=H","DateFormat=P","Fill=—","Direction=H","UseDPDF=Y")</f>
        <v>0.01</v>
      </c>
      <c r="I54" s="14">
        <f>_xll.BDH("BLUE US Equity","ARD_PAR_VALUE","FQ4 2019","FQ4 2019","Currency=USD","Period=FQ","BEST_FPERIOD_OVERRIDE=FQ","FILING_STATUS=MR","Sort=A","Dates=H","DateFormat=P","Fill=—","Direction=H","UseDPDF=Y")</f>
        <v>0.01</v>
      </c>
      <c r="J54" s="14">
        <f>_xll.BDH("BLUE US Equity","ARD_PAR_VALUE","FQ1 2020","FQ1 2020","Currency=USD","Period=FQ","BEST_FPERIOD_OVERRIDE=FQ","FILING_STATUS=MR","Sort=A","Dates=H","DateFormat=P","Fill=—","Direction=H","UseDPDF=Y")</f>
        <v>0.01</v>
      </c>
      <c r="K54" s="14">
        <f>_xll.BDH("BLUE US Equity","ARD_PAR_VALUE","FQ2 2020","FQ2 2020","Currency=USD","Period=FQ","BEST_FPERIOD_OVERRIDE=FQ","FILING_STATUS=MR","Sort=A","Dates=H","DateFormat=P","Fill=—","Direction=H","UseDPDF=Y")</f>
        <v>0.01</v>
      </c>
      <c r="L54" s="14">
        <f>_xll.BDH("BLUE US Equity","ARD_PAR_VALUE","FQ3 2020","FQ3 2020","Currency=USD","Period=FQ","BEST_FPERIOD_OVERRIDE=FQ","FILING_STATUS=MR","Sort=A","Dates=H","DateFormat=P","Fill=—","Direction=H","UseDPDF=Y")</f>
        <v>0.01</v>
      </c>
      <c r="M54" s="14">
        <f>_xll.BDH("BLUE US Equity","ARD_PAR_VALUE","FQ4 2020","FQ4 2020","Currency=USD","Period=FQ","BEST_FPERIOD_OVERRIDE=FQ","FILING_STATUS=MR","Sort=A","Dates=H","DateFormat=P","Fill=—","Direction=H","UseDPDF=Y")</f>
        <v>0.01</v>
      </c>
      <c r="N54" s="14">
        <f>_xll.BDH("BLUE US Equity","ARD_PAR_VALUE","FQ1 2021","FQ1 2021","Currency=USD","Period=FQ","BEST_FPERIOD_OVERRIDE=FQ","FILING_STATUS=MR","Sort=A","Dates=H","DateFormat=P","Fill=—","Direction=H","UseDPDF=Y")</f>
        <v>0.01</v>
      </c>
      <c r="O54" s="14">
        <f>_xll.BDH("BLUE US Equity","ARD_PAR_VALUE","FQ2 2021","FQ2 2021","Currency=USD","Period=FQ","BEST_FPERIOD_OVERRIDE=FQ","FILING_STATUS=MR","Sort=A","Dates=H","DateFormat=P","Fill=—","Direction=H","UseDPDF=Y")</f>
        <v>0.01</v>
      </c>
      <c r="P54" s="14">
        <f>_xll.BDH("BLUE US Equity","ARD_PAR_VALUE","FQ3 2021","FQ3 2021","Currency=USD","Period=FQ","BEST_FPERIOD_OVERRIDE=FQ","FILING_STATUS=MR","Sort=A","Dates=H","DateFormat=P","Fill=—","Direction=H","UseDPDF=Y")</f>
        <v>0.01</v>
      </c>
      <c r="Q54" s="14">
        <f>_xll.BDH("BLUE US Equity","ARD_PAR_VALUE","FQ4 2021","FQ4 2021","Currency=USD","Period=FQ","BEST_FPERIOD_OVERRIDE=FQ","FILING_STATUS=MR","Sort=A","Dates=H","DateFormat=P","Fill=—","Direction=H","UseDPDF=Y")</f>
        <v>0.01</v>
      </c>
      <c r="R54" s="14">
        <f>_xll.BDH("BLUE US Equity","ARD_PAR_VALUE","FQ1 2022","FQ1 2022","Currency=USD","Period=FQ","BEST_FPERIOD_OVERRIDE=FQ","FILING_STATUS=MR","Sort=A","Dates=H","DateFormat=P","Fill=—","Direction=H","UseDPDF=Y")</f>
        <v>0.01</v>
      </c>
      <c r="S54" s="14">
        <f>_xll.BDH("BLUE US Equity","ARD_PAR_VALUE","FQ2 2022","FQ2 2022","Currency=USD","Period=FQ","BEST_FPERIOD_OVERRIDE=FQ","FILING_STATUS=MR","Sort=A","Dates=H","DateFormat=P","Fill=—","Direction=H","UseDPDF=Y")</f>
        <v>0.01</v>
      </c>
      <c r="T54" s="14">
        <f>_xll.BDH("BLUE US Equity","ARD_PAR_VALUE","FQ3 2022","FQ3 2022","Currency=USD","Period=FQ","BEST_FPERIOD_OVERRIDE=FQ","FILING_STATUS=MR","Sort=A","Dates=H","DateFormat=P","Fill=—","Direction=H","UseDPDF=Y")</f>
        <v>0.01</v>
      </c>
      <c r="U54" s="14">
        <f>_xll.BDH("BLUE US Equity","ARD_PAR_VALUE","FQ4 2022","FQ4 2022","Currency=USD","Period=FQ","BEST_FPERIOD_OVERRIDE=FQ","FILING_STATUS=MR","Sort=A","Dates=H","DateFormat=P","Fill=—","Direction=H","UseDPDF=Y")</f>
        <v>0.01</v>
      </c>
      <c r="V54" s="14">
        <f>_xll.BDH("BLUE US Equity","ARD_PAR_VALUE","FQ1 2023","FQ1 2023","Currency=USD","Period=FQ","BEST_FPERIOD_OVERRIDE=FQ","FILING_STATUS=MR","Sort=A","Dates=H","DateFormat=P","Fill=—","Direction=H","UseDPDF=Y")</f>
        <v>0.01</v>
      </c>
      <c r="W54" s="14">
        <f>_xll.BDH("BLUE US Equity","ARD_PAR_VALUE","FQ2 2023","FQ2 2023","Currency=USD","Period=FQ","BEST_FPERIOD_OVERRIDE=FQ","FILING_STATUS=MR","Sort=A","Dates=H","DateFormat=P","Fill=—","Direction=H","UseDPDF=Y")</f>
        <v>0.01</v>
      </c>
      <c r="X54" s="14">
        <f>_xll.BDH("BLUE US Equity","ARD_PAR_VALUE","FQ3 2023","FQ3 2023","Currency=USD","Period=FQ","BEST_FPERIOD_OVERRIDE=FQ","FILING_STATUS=MR","Sort=A","Dates=H","DateFormat=P","Fill=—","Direction=H","UseDPDF=Y")</f>
        <v>0.01</v>
      </c>
      <c r="Y54" s="14">
        <f>_xll.BDH("BLUE US Equity","ARD_PAR_VALUE","FQ1 2024","FQ1 2024","Currency=USD","Period=FQ","BEST_FPERIOD_OVERRIDE=FQ","FILING_STATUS=MR","Sort=A","Dates=H","DateFormat=P","Fill=—","Direction=H","UseDPDF=Y")</f>
        <v>0.01</v>
      </c>
      <c r="Z54" s="14">
        <f>_xll.BDH("BLUE US Equity","ARD_PAR_VALUE","FQ2 2024","FQ2 2024","Currency=USD","Period=FQ","BEST_FPERIOD_OVERRIDE=FQ","FILING_STATUS=MR","Sort=A","Dates=H","DateFormat=P","Fill=—","Direction=H","UseDPDF=Y")</f>
        <v>0.01</v>
      </c>
      <c r="AA54" s="14">
        <f>_xll.BDH("BLUE US Equity","ARD_PAR_VALUE","FQ3 2024","FQ3 2024","Currency=USD","Period=FQ","BEST_FPERIOD_OVERRIDE=FQ","FILING_STATUS=MR","Sort=A","Dates=H","DateFormat=P","Fill=—","Direction=H","UseDPDF=Y")</f>
        <v>0.01</v>
      </c>
    </row>
    <row r="55" spans="1:27" x14ac:dyDescent="0.25">
      <c r="A55" s="10" t="s">
        <v>836</v>
      </c>
      <c r="B55" s="10" t="s">
        <v>837</v>
      </c>
      <c r="C55" s="13" t="str">
        <f>_xll.BDH("BLUE US Equity","ARD_SHARES_ISSUED","FQ2 2018","FQ2 2018","Currency=USD","Period=FQ","BEST_FPERIOD_OVERRIDE=FQ","FILING_STATUS=MR","Sort=A","Dates=H","DateFormat=P","Fill=—","Direction=H","UseDPDF=Y")</f>
        <v>—</v>
      </c>
      <c r="D55" s="13" t="str">
        <f>_xll.BDH("BLUE US Equity","ARD_SHARES_ISSUED","FQ3 2018","FQ3 2018","Currency=USD","Period=FQ","BEST_FPERIOD_OVERRIDE=FQ","FILING_STATUS=MR","Sort=A","Dates=H","DateFormat=P","Fill=—","Direction=H","UseDPDF=Y")</f>
        <v>—</v>
      </c>
      <c r="E55" s="13" t="str">
        <f>_xll.BDH("BLUE US Equity","ARD_SHARES_ISSUED","FQ4 2018","FQ4 2018","Currency=USD","Period=FQ","BEST_FPERIOD_OVERRIDE=FQ","FILING_STATUS=MR","Sort=A","Dates=H","DateFormat=P","Fill=—","Direction=H","UseDPDF=Y")</f>
        <v>—</v>
      </c>
      <c r="F55" s="13" t="str">
        <f>_xll.BDH("BLUE US Equity","ARD_SHARES_ISSUED","FQ1 2019","FQ1 2019","Currency=USD","Period=FQ","BEST_FPERIOD_OVERRIDE=FQ","FILING_STATUS=MR","Sort=A","Dates=H","DateFormat=P","Fill=—","Direction=H","UseDPDF=Y")</f>
        <v>—</v>
      </c>
      <c r="G55" s="13" t="str">
        <f>_xll.BDH("BLUE US Equity","ARD_SHARES_ISSUED","FQ2 2019","FQ2 2019","Currency=USD","Period=FQ","BEST_FPERIOD_OVERRIDE=FQ","FILING_STATUS=MR","Sort=A","Dates=H","DateFormat=P","Fill=—","Direction=H","UseDPDF=Y")</f>
        <v>—</v>
      </c>
      <c r="H55" s="13" t="str">
        <f>_xll.BDH("BLUE US Equity","ARD_SHARES_ISSUED","FQ3 2019","FQ3 2019","Currency=USD","Period=FQ","BEST_FPERIOD_OVERRIDE=FQ","FILING_STATUS=MR","Sort=A","Dates=H","DateFormat=P","Fill=—","Direction=H","UseDPDF=Y")</f>
        <v>—</v>
      </c>
      <c r="I55" s="13" t="str">
        <f>_xll.BDH("BLUE US Equity","ARD_SHARES_ISSUED","FQ4 2019","FQ4 2019","Currency=USD","Period=FQ","BEST_FPERIOD_OVERRIDE=FQ","FILING_STATUS=MR","Sort=A","Dates=H","DateFormat=P","Fill=—","Direction=H","UseDPDF=Y")</f>
        <v>—</v>
      </c>
      <c r="J55" s="13" t="str">
        <f>_xll.BDH("BLUE US Equity","ARD_SHARES_ISSUED","FQ1 2020","FQ1 2020","Currency=USD","Period=FQ","BEST_FPERIOD_OVERRIDE=FQ","FILING_STATUS=MR","Sort=A","Dates=H","DateFormat=P","Fill=—","Direction=H","UseDPDF=Y")</f>
        <v>—</v>
      </c>
      <c r="K55" s="13" t="str">
        <f>_xll.BDH("BLUE US Equity","ARD_SHARES_ISSUED","FQ2 2020","FQ2 2020","Currency=USD","Period=FQ","BEST_FPERIOD_OVERRIDE=FQ","FILING_STATUS=MR","Sort=A","Dates=H","DateFormat=P","Fill=—","Direction=H","UseDPDF=Y")</f>
        <v>—</v>
      </c>
      <c r="L55" s="13" t="str">
        <f>_xll.BDH("BLUE US Equity","ARD_SHARES_ISSUED","FQ3 2020","FQ3 2020","Currency=USD","Period=FQ","BEST_FPERIOD_OVERRIDE=FQ","FILING_STATUS=MR","Sort=A","Dates=H","DateFormat=P","Fill=—","Direction=H","UseDPDF=Y")</f>
        <v>—</v>
      </c>
      <c r="M55" s="13">
        <f>_xll.BDH("BLUE US Equity","ARD_SHARES_ISSUED","FQ4 2020","FQ4 2020","Currency=USD","Period=FQ","BEST_FPERIOD_OVERRIDE=FQ","FILING_STATUS=MR","Sort=A","Dates=H","DateFormat=P","Fill=—","Direction=H","UseDPDF=Y")</f>
        <v>66.432000000000002</v>
      </c>
      <c r="N55" s="13">
        <f>_xll.BDH("BLUE US Equity","ARD_SHARES_ISSUED","FQ1 2021","FQ1 2021","Currency=USD","Period=FQ","BEST_FPERIOD_OVERRIDE=FQ","FILING_STATUS=MR","Sort=A","Dates=H","DateFormat=P","Fill=—","Direction=H","UseDPDF=Y")</f>
        <v>67.421999999999997</v>
      </c>
      <c r="O55" s="13" t="str">
        <f>_xll.BDH("BLUE US Equity","ARD_SHARES_ISSUED","FQ2 2021","FQ2 2021","Currency=USD","Period=FQ","BEST_FPERIOD_OVERRIDE=FQ","FILING_STATUS=MR","Sort=A","Dates=H","DateFormat=P","Fill=—","Direction=H","UseDPDF=Y")</f>
        <v>—</v>
      </c>
      <c r="P55" s="13">
        <f>_xll.BDH("BLUE US Equity","ARD_SHARES_ISSUED","FQ3 2021","FQ3 2021","Currency=USD","Period=FQ","BEST_FPERIOD_OVERRIDE=FQ","FILING_STATUS=MR","Sort=A","Dates=H","DateFormat=P","Fill=—","Direction=H","UseDPDF=Y")</f>
        <v>70.096999999999994</v>
      </c>
      <c r="Q55" s="13">
        <f>_xll.BDH("BLUE US Equity","ARD_SHARES_ISSUED","FQ4 2021","FQ4 2021","Currency=USD","Period=FQ","BEST_FPERIOD_OVERRIDE=FQ","FILING_STATUS=MR","Sort=A","Dates=H","DateFormat=P","Fill=—","Direction=H","UseDPDF=Y")</f>
        <v>71.114999999999995</v>
      </c>
      <c r="R55" s="13">
        <f>_xll.BDH("BLUE US Equity","ARD_SHARES_ISSUED","FQ1 2022","FQ1 2022","Currency=USD","Period=FQ","BEST_FPERIOD_OVERRIDE=FQ","FILING_STATUS=MR","Sort=A","Dates=H","DateFormat=P","Fill=—","Direction=H","UseDPDF=Y")</f>
        <v>71.438000000000002</v>
      </c>
      <c r="S55" s="13">
        <f>_xll.BDH("BLUE US Equity","ARD_SHARES_ISSUED","FQ2 2022","FQ2 2022","Currency=USD","Period=FQ","BEST_FPERIOD_OVERRIDE=FQ","FILING_STATUS=MR","Sort=A","Dates=H","DateFormat=P","Fill=—","Direction=H","UseDPDF=Y")</f>
        <v>73.551000000000002</v>
      </c>
      <c r="T55" s="13">
        <f>_xll.BDH("BLUE US Equity","ARD_SHARES_ISSUED","FQ3 2022","FQ3 2022","Currency=USD","Period=FQ","BEST_FPERIOD_OVERRIDE=FQ","FILING_STATUS=MR","Sort=A","Dates=H","DateFormat=P","Fill=—","Direction=H","UseDPDF=Y")</f>
        <v>82.88</v>
      </c>
      <c r="U55" s="13">
        <f>_xll.BDH("BLUE US Equity","ARD_SHARES_ISSUED","FQ4 2022","FQ4 2022","Currency=USD","Period=FQ","BEST_FPERIOD_OVERRIDE=FQ","FILING_STATUS=MR","Sort=A","Dates=H","DateFormat=P","Fill=—","Direction=H","UseDPDF=Y")</f>
        <v>82.923000000000002</v>
      </c>
      <c r="V55" s="13">
        <f>_xll.BDH("BLUE US Equity","ARD_SHARES_ISSUED","FQ1 2023","FQ1 2023","Currency=USD","Period=FQ","BEST_FPERIOD_OVERRIDE=FQ","FILING_STATUS=MR","Sort=A","Dates=H","DateFormat=P","Fill=—","Direction=H","UseDPDF=Y")</f>
        <v>106.37</v>
      </c>
      <c r="W55" s="13">
        <f>_xll.BDH("BLUE US Equity","ARD_SHARES_ISSUED","FQ2 2023","FQ2 2023","Currency=USD","Period=FQ","BEST_FPERIOD_OVERRIDE=FQ","FILING_STATUS=MR","Sort=A","Dates=H","DateFormat=P","Fill=—","Direction=H","UseDPDF=Y")</f>
        <v>106.45399999999999</v>
      </c>
      <c r="X55" s="13">
        <f>_xll.BDH("BLUE US Equity","ARD_SHARES_ISSUED","FQ3 2023","FQ3 2023","Currency=USD","Period=FQ","BEST_FPERIOD_OVERRIDE=FQ","FILING_STATUS=MR","Sort=A","Dates=H","DateFormat=P","Fill=—","Direction=H","UseDPDF=Y")</f>
        <v>107.02200000000001</v>
      </c>
      <c r="Y55" s="13">
        <f>_xll.BDH("BLUE US Equity","ARD_SHARES_ISSUED","FQ1 2024","FQ1 2024","Currency=USD","Period=FQ","BEST_FPERIOD_OVERRIDE=FQ","FILING_STATUS=MR","Sort=A","Dates=H","DateFormat=P","Fill=—","Direction=H","UseDPDF=Y")</f>
        <v>193.583</v>
      </c>
      <c r="Z55" s="13">
        <f>_xll.BDH("BLUE US Equity","ARD_SHARES_ISSUED","FQ2 2024","FQ2 2024","Currency=USD","Period=FQ","BEST_FPERIOD_OVERRIDE=FQ","FILING_STATUS=MR","Sort=A","Dates=H","DateFormat=P","Fill=—","Direction=H","UseDPDF=Y")</f>
        <v>193.85599999999999</v>
      </c>
      <c r="AA55" s="13">
        <f>_xll.BDH("BLUE US Equity","ARD_SHARES_ISSUED","FQ3 2024","FQ3 2024","Currency=USD","Period=FQ","BEST_FPERIOD_OVERRIDE=FQ","FILING_STATUS=MR","Sort=A","Dates=H","DateFormat=P","Fill=—","Direction=H","UseDPDF=Y")</f>
        <v>193.917</v>
      </c>
    </row>
    <row r="56" spans="1:27" x14ac:dyDescent="0.25">
      <c r="A56" s="10" t="s">
        <v>838</v>
      </c>
      <c r="B56" s="10" t="s">
        <v>839</v>
      </c>
      <c r="C56" s="13">
        <f>_xll.BDH("BLUE US Equity","ARD_TOTAL_SHAREHOLDERS_EQUITY","FQ2 2018","FQ2 2018","Currency=USD","Period=FQ","BEST_FPERIOD_OVERRIDE=FQ","FILING_STATUS=MR","SCALING_FORMAT=MLN","Sort=A","Dates=H","DateFormat=P","Fill=—","Direction=H","UseDPDF=Y")</f>
        <v>1457.5340000000001</v>
      </c>
      <c r="D56" s="13">
        <f>_xll.BDH("BLUE US Equity","ARD_TOTAL_SHAREHOLDERS_EQUITY","FQ3 2018","FQ3 2018","Currency=USD","Period=FQ","BEST_FPERIOD_OVERRIDE=FQ","FILING_STATUS=MR","SCALING_FORMAT=MLN","Sort=A","Dates=H","DateFormat=P","Fill=—","Direction=H","UseDPDF=Y")</f>
        <v>2000.79</v>
      </c>
      <c r="E56" s="13">
        <f>_xll.BDH("BLUE US Equity","ARD_TOTAL_SHAREHOLDERS_EQUITY","FQ4 2018","FQ4 2018","Currency=USD","Period=FQ","BEST_FPERIOD_OVERRIDE=FQ","FILING_STATUS=MR","SCALING_FORMAT=MLN","Sort=A","Dates=H","DateFormat=P","Fill=—","Direction=H","UseDPDF=Y")</f>
        <v>1885.07</v>
      </c>
      <c r="F56" s="13">
        <f>_xll.BDH("BLUE US Equity","ARD_TOTAL_SHAREHOLDERS_EQUITY","FQ1 2019","FQ1 2019","Currency=USD","Period=FQ","BEST_FPERIOD_OVERRIDE=FQ","FILING_STATUS=MR","SCALING_FORMAT=MLN","Sort=A","Dates=H","DateFormat=P","Fill=—","Direction=H","UseDPDF=Y")</f>
        <v>1772.0989999999999</v>
      </c>
      <c r="G56" s="13">
        <f>_xll.BDH("BLUE US Equity","ARD_TOTAL_SHAREHOLDERS_EQUITY","FQ2 2019","FQ2 2019","Currency=USD","Period=FQ","BEST_FPERIOD_OVERRIDE=FQ","FILING_STATUS=MR","SCALING_FORMAT=MLN","Sort=A","Dates=H","DateFormat=P","Fill=—","Direction=H","UseDPDF=Y")</f>
        <v>1636.374</v>
      </c>
      <c r="H56" s="13">
        <f>_xll.BDH("BLUE US Equity","ARD_TOTAL_SHAREHOLDERS_EQUITY","FQ3 2019","FQ3 2019","Currency=USD","Period=FQ","BEST_FPERIOD_OVERRIDE=FQ","FILING_STATUS=MR","SCALING_FORMAT=MLN","Sort=A","Dates=H","DateFormat=P","Fill=—","Direction=H","UseDPDF=Y")</f>
        <v>1471.71</v>
      </c>
      <c r="I56" s="13">
        <f>_xll.BDH("BLUE US Equity","ARD_TOTAL_SHAREHOLDERS_EQUITY","FQ4 2019","FQ4 2019","Currency=USD","Period=FQ","BEST_FPERIOD_OVERRIDE=FQ","FILING_STATUS=MR","SCALING_FORMAT=MLN","Sort=A","Dates=H","DateFormat=P","Fill=—","Direction=H","UseDPDF=Y")</f>
        <v>1284.9929999999999</v>
      </c>
      <c r="J56" s="13">
        <f>_xll.BDH("BLUE US Equity","ARD_TOTAL_SHAREHOLDERS_EQUITY","FQ1 2020","FQ1 2020","Currency=USD","Period=FQ","BEST_FPERIOD_OVERRIDE=FQ","FILING_STATUS=MR","SCALING_FORMAT=MLN","Sort=A","Dates=H","DateFormat=P","Fill=—","Direction=H","UseDPDF=Y")</f>
        <v>1120.433</v>
      </c>
      <c r="K56" s="13">
        <f>_xll.BDH("BLUE US Equity","ARD_TOTAL_SHAREHOLDERS_EQUITY","FQ2 2020","FQ2 2020","Currency=USD","Period=FQ","BEST_FPERIOD_OVERRIDE=FQ","FILING_STATUS=MR","SCALING_FORMAT=MLN","Sort=A","Dates=H","DateFormat=P","Fill=—","Direction=H","UseDPDF=Y")</f>
        <v>1682.0309999999999</v>
      </c>
      <c r="L56" s="13">
        <f>_xll.BDH("BLUE US Equity","ARD_TOTAL_SHAREHOLDERS_EQUITY","FQ3 2020","FQ3 2020","Currency=USD","Period=FQ","BEST_FPERIOD_OVERRIDE=FQ","FILING_STATUS=MR","SCALING_FORMAT=MLN","Sort=A","Dates=H","DateFormat=P","Fill=—","Direction=H","UseDPDF=Y")</f>
        <v>1523.021</v>
      </c>
      <c r="M56" s="13">
        <f>_xll.BDH("BLUE US Equity","ARD_TOTAL_SHAREHOLDERS_EQUITY","FQ4 2020","FQ4 2020","Currency=USD","Period=FQ","BEST_FPERIOD_OVERRIDE=FQ","FILING_STATUS=MR","SCALING_FORMAT=MLN","Sort=A","Dates=H","DateFormat=P","Fill=—","Direction=H","UseDPDF=Y")</f>
        <v>1355.056</v>
      </c>
      <c r="N56" s="13">
        <f>_xll.BDH("BLUE US Equity","ARD_TOTAL_SHAREHOLDERS_EQUITY","FQ1 2021","FQ1 2021","Currency=USD","Period=FQ","BEST_FPERIOD_OVERRIDE=FQ","FILING_STATUS=MR","SCALING_FORMAT=MLN","Sort=A","Dates=H","DateFormat=P","Fill=—","Direction=H","UseDPDF=Y")</f>
        <v>1200.3330000000001</v>
      </c>
      <c r="O56" s="13">
        <f>_xll.BDH("BLUE US Equity","ARD_TOTAL_SHAREHOLDERS_EQUITY","FQ2 2021","FQ2 2021","Currency=USD","Period=FQ","BEST_FPERIOD_OVERRIDE=FQ","FILING_STATUS=MR","SCALING_FORMAT=MLN","Sort=A","Dates=H","DateFormat=P","Fill=—","Direction=H","UseDPDF=Y")</f>
        <v>984.56100000000004</v>
      </c>
      <c r="P56" s="13">
        <f>_xll.BDH("BLUE US Equity","ARD_TOTAL_SHAREHOLDERS_EQUITY","FQ3 2021","FQ3 2021","Currency=USD","Period=FQ","BEST_FPERIOD_OVERRIDE=FQ","FILING_STATUS=MR","SCALING_FORMAT=MLN","Sort=A","Dates=H","DateFormat=P","Fill=—","Direction=H","UseDPDF=Y")</f>
        <v>870.52700000000004</v>
      </c>
      <c r="Q56" s="13">
        <f>_xll.BDH("BLUE US Equity","ARD_TOTAL_SHAREHOLDERS_EQUITY","FQ4 2021","FQ4 2021","Currency=USD","Period=FQ","BEST_FPERIOD_OVERRIDE=FQ","FILING_STATUS=MR","SCALING_FORMAT=MLN","Sort=A","Dates=H","DateFormat=P","Fill=—","Direction=H","UseDPDF=Y")</f>
        <v>374.27699999999999</v>
      </c>
      <c r="R56" s="13">
        <f>_xll.BDH("BLUE US Equity","ARD_TOTAL_SHAREHOLDERS_EQUITY","FQ1 2022","FQ1 2022","Currency=USD","Period=FQ","BEST_FPERIOD_OVERRIDE=FQ","FILING_STATUS=MR","SCALING_FORMAT=MLN","Sort=A","Dates=H","DateFormat=P","Fill=—","Direction=H","UseDPDF=Y")</f>
        <v>263.25900000000001</v>
      </c>
      <c r="S56" s="13">
        <f>_xll.BDH("BLUE US Equity","ARD_TOTAL_SHAREHOLDERS_EQUITY","FQ2 2022","FQ2 2022","Currency=USD","Period=FQ","BEST_FPERIOD_OVERRIDE=FQ","FILING_STATUS=MR","SCALING_FORMAT=MLN","Sort=A","Dates=H","DateFormat=P","Fill=—","Direction=H","UseDPDF=Y")</f>
        <v>180.11600000000001</v>
      </c>
      <c r="T56" s="13">
        <f>_xll.BDH("BLUE US Equity","ARD_TOTAL_SHAREHOLDERS_EQUITY","FQ3 2022","FQ3 2022","Currency=USD","Period=FQ","BEST_FPERIOD_OVERRIDE=FQ","FILING_STATUS=MR","SCALING_FORMAT=MLN","Sort=A","Dates=H","DateFormat=P","Fill=—","Direction=H","UseDPDF=Y")</f>
        <v>158.857</v>
      </c>
      <c r="U56" s="13">
        <f>_xll.BDH("BLUE US Equity","ARD_TOTAL_SHAREHOLDERS_EQUITY","FQ4 2022","FQ4 2022","Currency=USD","Period=FQ","BEST_FPERIOD_OVERRIDE=FQ","FILING_STATUS=MR","SCALING_FORMAT=MLN","Sort=A","Dates=H","DateFormat=P","Fill=—","Direction=H","UseDPDF=Y")</f>
        <v>196.34299999999999</v>
      </c>
      <c r="V56" s="13">
        <f>_xll.BDH("BLUE US Equity","ARD_TOTAL_SHAREHOLDERS_EQUITY","FQ1 2023","FQ1 2023","Currency=USD","Period=FQ","BEST_FPERIOD_OVERRIDE=FQ","FILING_STATUS=MR","SCALING_FORMAT=MLN","Sort=A","Dates=H","DateFormat=P","Fill=—","Direction=H","UseDPDF=Y")</f>
        <v>354.74</v>
      </c>
      <c r="W56" s="13">
        <f>_xll.BDH("BLUE US Equity","ARD_TOTAL_SHAREHOLDERS_EQUITY","FQ2 2023","FQ2 2023","Currency=USD","Period=FQ","BEST_FPERIOD_OVERRIDE=FQ","FILING_STATUS=MR","SCALING_FORMAT=MLN","Sort=A","Dates=H","DateFormat=P","Fill=—","Direction=H","UseDPDF=Y")</f>
        <v>289.01900000000001</v>
      </c>
      <c r="X56" s="13">
        <f>_xll.BDH("BLUE US Equity","ARD_TOTAL_SHAREHOLDERS_EQUITY","FQ3 2023","FQ3 2023","Currency=USD","Period=FQ","BEST_FPERIOD_OVERRIDE=FQ","FILING_STATUS=MR","SCALING_FORMAT=MLN","Sort=A","Dates=H","DateFormat=P","Fill=—","Direction=H","UseDPDF=Y")</f>
        <v>222.536</v>
      </c>
      <c r="Y56" s="13">
        <f>_xll.BDH("BLUE US Equity","ARD_TOTAL_SHAREHOLDERS_EQUITY","FQ1 2024","FQ1 2024","Currency=USD","Period=FQ","BEST_FPERIOD_OVERRIDE=FQ","FILING_STATUS=MR","SCALING_FORMAT=MLN","Sort=A","Dates=H","DateFormat=P","Fill=—","Direction=H","UseDPDF=Y")</f>
        <v>131.04599999999999</v>
      </c>
      <c r="Z56" s="13">
        <f>_xll.BDH("BLUE US Equity","ARD_TOTAL_SHAREHOLDERS_EQUITY","FQ2 2024","FQ2 2024","Currency=USD","Period=FQ","BEST_FPERIOD_OVERRIDE=FQ","FILING_STATUS=MR","SCALING_FORMAT=MLN","Sort=A","Dates=H","DateFormat=P","Fill=—","Direction=H","UseDPDF=Y")</f>
        <v>52.981000000000002</v>
      </c>
      <c r="AA56" s="13">
        <f>_xll.BDH("BLUE US Equity","ARD_TOTAL_SHAREHOLDERS_EQUITY","FQ3 2024","FQ3 2024","Currency=USD","Period=FQ","BEST_FPERIOD_OVERRIDE=FQ","FILING_STATUS=MR","SCALING_FORMAT=MLN","Sort=A","Dates=H","DateFormat=P","Fill=—","Direction=H","UseDPDF=Y")</f>
        <v>-5.7859999999999996</v>
      </c>
    </row>
    <row r="57" spans="1:27" x14ac:dyDescent="0.25">
      <c r="A57" s="10" t="s">
        <v>840</v>
      </c>
      <c r="B57" s="10" t="s">
        <v>841</v>
      </c>
      <c r="C57" s="13">
        <f>_xll.BDH("BLUE US Equity","ARD_SHARES_AUTHORIZED","FQ2 2018","FQ2 2018","Currency=USD","Period=FQ","BEST_FPERIOD_OVERRIDE=FQ","FILING_STATUS=MR","SCALING_FORMAT=MLN","Sort=A","Dates=H","DateFormat=P","Fill=—","Direction=H","UseDPDF=Y")</f>
        <v>125</v>
      </c>
      <c r="D57" s="13">
        <f>_xll.BDH("BLUE US Equity","ARD_SHARES_AUTHORIZED","FQ3 2018","FQ3 2018","Currency=USD","Period=FQ","BEST_FPERIOD_OVERRIDE=FQ","FILING_STATUS=MR","SCALING_FORMAT=MLN","Sort=A","Dates=H","DateFormat=P","Fill=—","Direction=H","UseDPDF=Y")</f>
        <v>125</v>
      </c>
      <c r="E57" s="13">
        <f>_xll.BDH("BLUE US Equity","ARD_SHARES_AUTHORIZED","FQ4 2018","FQ4 2018","Currency=USD","Period=FQ","BEST_FPERIOD_OVERRIDE=FQ","FILING_STATUS=MR","SCALING_FORMAT=MLN","Sort=A","Dates=H","DateFormat=P","Fill=—","Direction=H","UseDPDF=Y")</f>
        <v>125</v>
      </c>
      <c r="F57" s="13">
        <f>_xll.BDH("BLUE US Equity","ARD_SHARES_AUTHORIZED","FQ1 2019","FQ1 2019","Currency=USD","Period=FQ","BEST_FPERIOD_OVERRIDE=FQ","FILING_STATUS=MR","SCALING_FORMAT=MLN","Sort=A","Dates=H","DateFormat=P","Fill=—","Direction=H","UseDPDF=Y")</f>
        <v>125</v>
      </c>
      <c r="G57" s="13">
        <f>_xll.BDH("BLUE US Equity","ARD_SHARES_AUTHORIZED","FQ2 2019","FQ2 2019","Currency=USD","Period=FQ","BEST_FPERIOD_OVERRIDE=FQ","FILING_STATUS=MR","SCALING_FORMAT=MLN","Sort=A","Dates=H","DateFormat=P","Fill=—","Direction=H","UseDPDF=Y")</f>
        <v>125</v>
      </c>
      <c r="H57" s="13">
        <f>_xll.BDH("BLUE US Equity","ARD_SHARES_AUTHORIZED","FQ3 2019","FQ3 2019","Currency=USD","Period=FQ","BEST_FPERIOD_OVERRIDE=FQ","FILING_STATUS=MR","SCALING_FORMAT=MLN","Sort=A","Dates=H","DateFormat=P","Fill=—","Direction=H","UseDPDF=Y")</f>
        <v>125</v>
      </c>
      <c r="I57" s="13">
        <f>_xll.BDH("BLUE US Equity","ARD_SHARES_AUTHORIZED","FQ4 2019","FQ4 2019","Currency=USD","Period=FQ","BEST_FPERIOD_OVERRIDE=FQ","FILING_STATUS=MR","SCALING_FORMAT=MLN","Sort=A","Dates=H","DateFormat=P","Fill=—","Direction=H","UseDPDF=Y")</f>
        <v>125</v>
      </c>
      <c r="J57" s="13">
        <f>_xll.BDH("BLUE US Equity","ARD_SHARES_AUTHORIZED","FQ1 2020","FQ1 2020","Currency=USD","Period=FQ","BEST_FPERIOD_OVERRIDE=FQ","FILING_STATUS=MR","SCALING_FORMAT=MLN","Sort=A","Dates=H","DateFormat=P","Fill=—","Direction=H","UseDPDF=Y")</f>
        <v>125</v>
      </c>
      <c r="K57" s="13">
        <f>_xll.BDH("BLUE US Equity","ARD_SHARES_AUTHORIZED","FQ2 2020","FQ2 2020","Currency=USD","Period=FQ","BEST_FPERIOD_OVERRIDE=FQ","FILING_STATUS=MR","SCALING_FORMAT=MLN","Sort=A","Dates=H","DateFormat=P","Fill=—","Direction=H","UseDPDF=Y")</f>
        <v>125</v>
      </c>
      <c r="L57" s="13">
        <f>_xll.BDH("BLUE US Equity","ARD_SHARES_AUTHORIZED","FQ3 2020","FQ3 2020","Currency=USD","Period=FQ","BEST_FPERIOD_OVERRIDE=FQ","FILING_STATUS=MR","SCALING_FORMAT=MLN","Sort=A","Dates=H","DateFormat=P","Fill=—","Direction=H","UseDPDF=Y")</f>
        <v>125</v>
      </c>
      <c r="M57" s="13">
        <f>_xll.BDH("BLUE US Equity","ARD_SHARES_AUTHORIZED","FQ4 2020","FQ4 2020","Currency=USD","Period=FQ","BEST_FPERIOD_OVERRIDE=FQ","FILING_STATUS=MR","SCALING_FORMAT=MLN","Sort=A","Dates=H","DateFormat=P","Fill=—","Direction=H","UseDPDF=Y")</f>
        <v>125</v>
      </c>
      <c r="N57" s="13">
        <f>_xll.BDH("BLUE US Equity","ARD_SHARES_AUTHORIZED","FQ1 2021","FQ1 2021","Currency=USD","Period=FQ","BEST_FPERIOD_OVERRIDE=FQ","FILING_STATUS=MR","SCALING_FORMAT=MLN","Sort=A","Dates=H","DateFormat=P","Fill=—","Direction=H","UseDPDF=Y")</f>
        <v>125</v>
      </c>
      <c r="O57" s="13">
        <f>_xll.BDH("BLUE US Equity","ARD_SHARES_AUTHORIZED","FQ2 2021","FQ2 2021","Currency=USD","Period=FQ","BEST_FPERIOD_OVERRIDE=FQ","FILING_STATUS=MR","SCALING_FORMAT=MLN","Sort=A","Dates=H","DateFormat=P","Fill=—","Direction=H","UseDPDF=Y")</f>
        <v>125</v>
      </c>
      <c r="P57" s="13">
        <f>_xll.BDH("BLUE US Equity","ARD_SHARES_AUTHORIZED","FQ3 2021","FQ3 2021","Currency=USD","Period=FQ","BEST_FPERIOD_OVERRIDE=FQ","FILING_STATUS=MR","SCALING_FORMAT=MLN","Sort=A","Dates=H","DateFormat=P","Fill=—","Direction=H","UseDPDF=Y")</f>
        <v>125</v>
      </c>
      <c r="Q57" s="13">
        <f>_xll.BDH("BLUE US Equity","ARD_SHARES_AUTHORIZED","FQ4 2021","FQ4 2021","Currency=USD","Period=FQ","BEST_FPERIOD_OVERRIDE=FQ","FILING_STATUS=MR","SCALING_FORMAT=MLN","Sort=A","Dates=H","DateFormat=P","Fill=—","Direction=H","UseDPDF=Y")</f>
        <v>125</v>
      </c>
      <c r="R57" s="13">
        <f>_xll.BDH("BLUE US Equity","ARD_SHARES_AUTHORIZED","FQ1 2022","FQ1 2022","Currency=USD","Period=FQ","BEST_FPERIOD_OVERRIDE=FQ","FILING_STATUS=MR","SCALING_FORMAT=MLN","Sort=A","Dates=H","DateFormat=P","Fill=—","Direction=H","UseDPDF=Y")</f>
        <v>125</v>
      </c>
      <c r="S57" s="13">
        <f>_xll.BDH("BLUE US Equity","ARD_SHARES_AUTHORIZED","FQ2 2022","FQ2 2022","Currency=USD","Period=FQ","BEST_FPERIOD_OVERRIDE=FQ","FILING_STATUS=MR","SCALING_FORMAT=MLN","Sort=A","Dates=H","DateFormat=P","Fill=—","Direction=H","UseDPDF=Y")</f>
        <v>125</v>
      </c>
      <c r="T57" s="13">
        <f>_xll.BDH("BLUE US Equity","ARD_SHARES_AUTHORIZED","FQ3 2022","FQ3 2022","Currency=USD","Period=FQ","BEST_FPERIOD_OVERRIDE=FQ","FILING_STATUS=MR","SCALING_FORMAT=MLN","Sort=A","Dates=H","DateFormat=P","Fill=—","Direction=H","UseDPDF=Y")</f>
        <v>125</v>
      </c>
      <c r="U57" s="13">
        <f>_xll.BDH("BLUE US Equity","ARD_SHARES_AUTHORIZED","FQ4 2022","FQ4 2022","Currency=USD","Period=FQ","BEST_FPERIOD_OVERRIDE=FQ","FILING_STATUS=MR","SCALING_FORMAT=MLN","Sort=A","Dates=H","DateFormat=P","Fill=—","Direction=H","UseDPDF=Y")</f>
        <v>125</v>
      </c>
      <c r="V57" s="13">
        <f>_xll.BDH("BLUE US Equity","ARD_SHARES_AUTHORIZED","FQ1 2023","FQ1 2023","Currency=USD","Period=FQ","BEST_FPERIOD_OVERRIDE=FQ","FILING_STATUS=MR","SCALING_FORMAT=MLN","Sort=A","Dates=H","DateFormat=P","Fill=—","Direction=H","UseDPDF=Y")</f>
        <v>125</v>
      </c>
      <c r="W57" s="13">
        <f>_xll.BDH("BLUE US Equity","ARD_SHARES_AUTHORIZED","FQ2 2023","FQ2 2023","Currency=USD","Period=FQ","BEST_FPERIOD_OVERRIDE=FQ","FILING_STATUS=MR","SCALING_FORMAT=MLN","Sort=A","Dates=H","DateFormat=P","Fill=—","Direction=H","UseDPDF=Y")</f>
        <v>250</v>
      </c>
      <c r="X57" s="13">
        <f>_xll.BDH("BLUE US Equity","ARD_SHARES_AUTHORIZED","FQ3 2023","FQ3 2023","Currency=USD","Period=FQ","BEST_FPERIOD_OVERRIDE=FQ","FILING_STATUS=MR","SCALING_FORMAT=MLN","Sort=A","Dates=H","DateFormat=P","Fill=—","Direction=H","UseDPDF=Y")</f>
        <v>250</v>
      </c>
      <c r="Y57" s="13">
        <f>_xll.BDH("BLUE US Equity","ARD_SHARES_AUTHORIZED","FQ1 2024","FQ1 2024","Currency=USD","Period=FQ","BEST_FPERIOD_OVERRIDE=FQ","FILING_STATUS=MR","SCALING_FORMAT=MLN","Sort=A","Dates=H","DateFormat=P","Fill=—","Direction=H","UseDPDF=Y")</f>
        <v>250</v>
      </c>
      <c r="Z57" s="13">
        <f>_xll.BDH("BLUE US Equity","ARD_SHARES_AUTHORIZED","FQ2 2024","FQ2 2024","Currency=USD","Period=FQ","BEST_FPERIOD_OVERRIDE=FQ","FILING_STATUS=MR","SCALING_FORMAT=MLN","Sort=A","Dates=H","DateFormat=P","Fill=—","Direction=H","UseDPDF=Y")</f>
        <v>250</v>
      </c>
      <c r="AA57" s="13">
        <f>_xll.BDH("BLUE US Equity","ARD_SHARES_AUTHORIZED","FQ3 2024","FQ3 2024","Currency=USD","Period=FQ","BEST_FPERIOD_OVERRIDE=FQ","FILING_STATUS=MR","SCALING_FORMAT=MLN","Sort=A","Dates=H","DateFormat=P","Fill=—","Direction=H","UseDPDF=Y")</f>
        <v>250</v>
      </c>
    </row>
    <row r="58" spans="1:27" x14ac:dyDescent="0.25">
      <c r="A58" s="10" t="s">
        <v>842</v>
      </c>
      <c r="B58" s="10" t="s">
        <v>843</v>
      </c>
      <c r="C58" s="13" t="str">
        <f>_xll.BDH("BLUE US Equity","ARD_PREFERRED_STOCK_SHARES_OUT","FQ2 2018","FQ2 2018","Currency=USD","Period=FQ","BEST_FPERIOD_OVERRIDE=FQ","FILING_STATUS=MR","Sort=A","Dates=H","DateFormat=P","Fill=—","Direction=H","UseDPDF=Y")</f>
        <v>—</v>
      </c>
      <c r="D58" s="13" t="str">
        <f>_xll.BDH("BLUE US Equity","ARD_PREFERRED_STOCK_SHARES_OUT","FQ3 2018","FQ3 2018","Currency=USD","Period=FQ","BEST_FPERIOD_OVERRIDE=FQ","FILING_STATUS=MR","Sort=A","Dates=H","DateFormat=P","Fill=—","Direction=H","UseDPDF=Y")</f>
        <v>—</v>
      </c>
      <c r="E58" s="13" t="str">
        <f>_xll.BDH("BLUE US Equity","ARD_PREFERRED_STOCK_SHARES_OUT","FQ4 2018","FQ4 2018","Currency=USD","Period=FQ","BEST_FPERIOD_OVERRIDE=FQ","FILING_STATUS=MR","Sort=A","Dates=H","DateFormat=P","Fill=—","Direction=H","UseDPDF=Y")</f>
        <v>—</v>
      </c>
      <c r="F58" s="13" t="str">
        <f>_xll.BDH("BLUE US Equity","ARD_PREFERRED_STOCK_SHARES_OUT","FQ1 2019","FQ1 2019","Currency=USD","Period=FQ","BEST_FPERIOD_OVERRIDE=FQ","FILING_STATUS=MR","Sort=A","Dates=H","DateFormat=P","Fill=—","Direction=H","UseDPDF=Y")</f>
        <v>—</v>
      </c>
      <c r="G58" s="13" t="str">
        <f>_xll.BDH("BLUE US Equity","ARD_PREFERRED_STOCK_SHARES_OUT","FQ2 2019","FQ2 2019","Currency=USD","Period=FQ","BEST_FPERIOD_OVERRIDE=FQ","FILING_STATUS=MR","Sort=A","Dates=H","DateFormat=P","Fill=—","Direction=H","UseDPDF=Y")</f>
        <v>—</v>
      </c>
      <c r="H58" s="13" t="str">
        <f>_xll.BDH("BLUE US Equity","ARD_PREFERRED_STOCK_SHARES_OUT","FQ3 2019","FQ3 2019","Currency=USD","Period=FQ","BEST_FPERIOD_OVERRIDE=FQ","FILING_STATUS=MR","Sort=A","Dates=H","DateFormat=P","Fill=—","Direction=H","UseDPDF=Y")</f>
        <v>—</v>
      </c>
      <c r="I58" s="13">
        <f>_xll.BDH("BLUE US Equity","ARD_PREFERRED_STOCK_SHARES_OUT","FQ4 2019","FQ4 2019","Currency=USD","Period=FQ","BEST_FPERIOD_OVERRIDE=FQ","FILING_STATUS=MR","Sort=A","Dates=H","DateFormat=P","Fill=—","Direction=H","UseDPDF=Y")</f>
        <v>0</v>
      </c>
      <c r="J58" s="13" t="str">
        <f>_xll.BDH("BLUE US Equity","ARD_PREFERRED_STOCK_SHARES_OUT","FQ1 2020","FQ1 2020","Currency=USD","Period=FQ","BEST_FPERIOD_OVERRIDE=FQ","FILING_STATUS=MR","Sort=A","Dates=H","DateFormat=P","Fill=—","Direction=H","UseDPDF=Y")</f>
        <v>—</v>
      </c>
      <c r="K58" s="13" t="str">
        <f>_xll.BDH("BLUE US Equity","ARD_PREFERRED_STOCK_SHARES_OUT","FQ2 2020","FQ2 2020","Currency=USD","Period=FQ","BEST_FPERIOD_OVERRIDE=FQ","FILING_STATUS=MR","Sort=A","Dates=H","DateFormat=P","Fill=—","Direction=H","UseDPDF=Y")</f>
        <v>—</v>
      </c>
      <c r="L58" s="13" t="str">
        <f>_xll.BDH("BLUE US Equity","ARD_PREFERRED_STOCK_SHARES_OUT","FQ3 2020","FQ3 2020","Currency=USD","Period=FQ","BEST_FPERIOD_OVERRIDE=FQ","FILING_STATUS=MR","Sort=A","Dates=H","DateFormat=P","Fill=—","Direction=H","UseDPDF=Y")</f>
        <v>—</v>
      </c>
      <c r="M58" s="13">
        <f>_xll.BDH("BLUE US Equity","ARD_PREFERRED_STOCK_SHARES_OUT","FQ4 2020","FQ4 2020","Currency=USD","Period=FQ","BEST_FPERIOD_OVERRIDE=FQ","FILING_STATUS=MR","Sort=A","Dates=H","DateFormat=P","Fill=—","Direction=H","UseDPDF=Y")</f>
        <v>0</v>
      </c>
      <c r="N58" s="13">
        <f>_xll.BDH("BLUE US Equity","ARD_PREFERRED_STOCK_SHARES_OUT","FQ1 2021","FQ1 2021","Currency=USD","Period=FQ","BEST_FPERIOD_OVERRIDE=FQ","FILING_STATUS=MR","Sort=A","Dates=H","DateFormat=P","Fill=—","Direction=H","UseDPDF=Y")</f>
        <v>0</v>
      </c>
      <c r="O58" s="13" t="str">
        <f>_xll.BDH("BLUE US Equity","ARD_PREFERRED_STOCK_SHARES_OUT","FQ2 2021","FQ2 2021","Currency=USD","Period=FQ","BEST_FPERIOD_OVERRIDE=FQ","FILING_STATUS=MR","Sort=A","Dates=H","DateFormat=P","Fill=—","Direction=H","UseDPDF=Y")</f>
        <v>—</v>
      </c>
      <c r="P58" s="13">
        <f>_xll.BDH("BLUE US Equity","ARD_PREFERRED_STOCK_SHARES_OUT","FQ3 2021","FQ3 2021","Currency=USD","Period=FQ","BEST_FPERIOD_OVERRIDE=FQ","FILING_STATUS=MR","Sort=A","Dates=H","DateFormat=P","Fill=—","Direction=H","UseDPDF=Y")</f>
        <v>0</v>
      </c>
      <c r="Q58" s="13">
        <f>_xll.BDH("BLUE US Equity","ARD_PREFERRED_STOCK_SHARES_OUT","FQ4 2021","FQ4 2021","Currency=USD","Period=FQ","BEST_FPERIOD_OVERRIDE=FQ","FILING_STATUS=MR","Sort=A","Dates=H","DateFormat=P","Fill=—","Direction=H","UseDPDF=Y")</f>
        <v>0</v>
      </c>
      <c r="R58" s="13">
        <f>_xll.BDH("BLUE US Equity","ARD_PREFERRED_STOCK_SHARES_OUT","FQ1 2022","FQ1 2022","Currency=USD","Period=FQ","BEST_FPERIOD_OVERRIDE=FQ","FILING_STATUS=MR","Sort=A","Dates=H","DateFormat=P","Fill=—","Direction=H","UseDPDF=Y")</f>
        <v>0</v>
      </c>
      <c r="S58" s="13" t="str">
        <f>_xll.BDH("BLUE US Equity","ARD_PREFERRED_STOCK_SHARES_OUT","FQ2 2022","FQ2 2022","Currency=USD","Period=FQ","BEST_FPERIOD_OVERRIDE=FQ","FILING_STATUS=MR","Sort=A","Dates=H","DateFormat=P","Fill=—","Direction=H","UseDPDF=Y")</f>
        <v>—</v>
      </c>
      <c r="T58" s="13">
        <f>_xll.BDH("BLUE US Equity","ARD_PREFERRED_STOCK_SHARES_OUT","FQ3 2022","FQ3 2022","Currency=USD","Period=FQ","BEST_FPERIOD_OVERRIDE=FQ","FILING_STATUS=MR","Sort=A","Dates=H","DateFormat=P","Fill=—","Direction=H","UseDPDF=Y")</f>
        <v>0</v>
      </c>
      <c r="U58" s="13">
        <f>_xll.BDH("BLUE US Equity","ARD_PREFERRED_STOCK_SHARES_OUT","FQ4 2022","FQ4 2022","Currency=USD","Period=FQ","BEST_FPERIOD_OVERRIDE=FQ","FILING_STATUS=MR","Sort=A","Dates=H","DateFormat=P","Fill=—","Direction=H","UseDPDF=Y")</f>
        <v>0</v>
      </c>
      <c r="V58" s="13">
        <f>_xll.BDH("BLUE US Equity","ARD_PREFERRED_STOCK_SHARES_OUT","FQ1 2023","FQ1 2023","Currency=USD","Period=FQ","BEST_FPERIOD_OVERRIDE=FQ","FILING_STATUS=MR","Sort=A","Dates=H","DateFormat=P","Fill=—","Direction=H","UseDPDF=Y")</f>
        <v>0</v>
      </c>
      <c r="W58" s="13" t="str">
        <f>_xll.BDH("BLUE US Equity","ARD_PREFERRED_STOCK_SHARES_OUT","FQ2 2023","FQ2 2023","Currency=USD","Period=FQ","BEST_FPERIOD_OVERRIDE=FQ","FILING_STATUS=MR","Sort=A","Dates=H","DateFormat=P","Fill=—","Direction=H","UseDPDF=Y")</f>
        <v>—</v>
      </c>
      <c r="X58" s="13">
        <f>_xll.BDH("BLUE US Equity","ARD_PREFERRED_STOCK_SHARES_OUT","FQ3 2023","FQ3 2023","Currency=USD","Period=FQ","BEST_FPERIOD_OVERRIDE=FQ","FILING_STATUS=MR","Sort=A","Dates=H","DateFormat=P","Fill=—","Direction=H","UseDPDF=Y")</f>
        <v>0</v>
      </c>
      <c r="Y58" s="13">
        <f>_xll.BDH("BLUE US Equity","ARD_PREFERRED_STOCK_SHARES_OUT","FQ1 2024","FQ1 2024","Currency=USD","Period=FQ","BEST_FPERIOD_OVERRIDE=FQ","FILING_STATUS=MR","Sort=A","Dates=H","DateFormat=P","Fill=—","Direction=H","UseDPDF=Y")</f>
        <v>0</v>
      </c>
      <c r="Z58" s="13">
        <f>_xll.BDH("BLUE US Equity","ARD_PREFERRED_STOCK_SHARES_OUT","FQ2 2024","FQ2 2024","Currency=USD","Period=FQ","BEST_FPERIOD_OVERRIDE=FQ","FILING_STATUS=MR","Sort=A","Dates=H","DateFormat=P","Fill=—","Direction=H","UseDPDF=Y")</f>
        <v>0</v>
      </c>
      <c r="AA58" s="13">
        <f>_xll.BDH("BLUE US Equity","ARD_PREFERRED_STOCK_SHARES_OUT","FQ3 2024","FQ3 2024","Currency=USD","Period=FQ","BEST_FPERIOD_OVERRIDE=FQ","FILING_STATUS=MR","Sort=A","Dates=H","DateFormat=P","Fill=—","Direction=H","UseDPDF=Y")</f>
        <v>0</v>
      </c>
    </row>
    <row r="59" spans="1:27" x14ac:dyDescent="0.25">
      <c r="A59" s="6" t="s">
        <v>844</v>
      </c>
      <c r="B59" s="6" t="s">
        <v>845</v>
      </c>
      <c r="C59" s="19">
        <f>_xll.BDH("BLUE US Equity","ARD_TOT_LIAB_AND_SHAREHOLDER_EQY","FQ2 2018","FQ2 2018","Currency=USD","Period=FQ","BEST_FPERIOD_OVERRIDE=FQ","FILING_STATUS=MR","SCALING_FORMAT=MLN","Sort=A","Dates=H","DateFormat=P","Fill=—","Direction=H","UseDPDF=Y")</f>
        <v>1761.511</v>
      </c>
      <c r="D59" s="19">
        <f>_xll.BDH("BLUE US Equity","ARD_TOT_LIAB_AND_SHAREHOLDER_EQY","FQ3 2018","FQ3 2018","Currency=USD","Period=FQ","BEST_FPERIOD_OVERRIDE=FQ","FILING_STATUS=MR","SCALING_FORMAT=MLN","Sort=A","Dates=H","DateFormat=P","Fill=—","Direction=H","UseDPDF=Y")</f>
        <v>2351.7890000000002</v>
      </c>
      <c r="E59" s="19">
        <f>_xll.BDH("BLUE US Equity","ARD_TOT_LIAB_AND_SHAREHOLDER_EQY","FQ4 2018","FQ4 2018","Currency=USD","Period=FQ","BEST_FPERIOD_OVERRIDE=FQ","FILING_STATUS=MR","SCALING_FORMAT=MLN","Sort=A","Dates=H","DateFormat=P","Fill=—","Direction=H","UseDPDF=Y")</f>
        <v>2242.8440000000001</v>
      </c>
      <c r="F59" s="19">
        <f>_xll.BDH("BLUE US Equity","ARD_TOT_LIAB_AND_SHAREHOLDER_EQY","FQ1 2019","FQ1 2019","Currency=USD","Period=FQ","BEST_FPERIOD_OVERRIDE=FQ","FILING_STATUS=MR","SCALING_FORMAT=MLN","Sort=A","Dates=H","DateFormat=P","Fill=—","Direction=H","UseDPDF=Y")</f>
        <v>2138.6149999999998</v>
      </c>
      <c r="G59" s="19">
        <f>_xll.BDH("BLUE US Equity","ARD_TOT_LIAB_AND_SHAREHOLDER_EQY","FQ2 2019","FQ2 2019","Currency=USD","Period=FQ","BEST_FPERIOD_OVERRIDE=FQ","FILING_STATUS=MR","SCALING_FORMAT=MLN","Sort=A","Dates=H","DateFormat=P","Fill=—","Direction=H","UseDPDF=Y")</f>
        <v>2023.3440000000001</v>
      </c>
      <c r="H59" s="19">
        <f>_xll.BDH("BLUE US Equity","ARD_TOT_LIAB_AND_SHAREHOLDER_EQY","FQ3 2019","FQ3 2019","Currency=USD","Period=FQ","BEST_FPERIOD_OVERRIDE=FQ","FILING_STATUS=MR","SCALING_FORMAT=MLN","Sort=A","Dates=H","DateFormat=P","Fill=—","Direction=H","UseDPDF=Y")</f>
        <v>1892.2180000000001</v>
      </c>
      <c r="I59" s="19">
        <f>_xll.BDH("BLUE US Equity","ARD_TOT_LIAB_AND_SHAREHOLDER_EQY","FQ4 2019","FQ4 2019","Currency=USD","Period=FQ","BEST_FPERIOD_OVERRIDE=FQ","FILING_STATUS=MR","SCALING_FORMAT=MLN","Sort=A","Dates=H","DateFormat=P","Fill=—","Direction=H","UseDPDF=Y")</f>
        <v>1727.424</v>
      </c>
      <c r="J59" s="19">
        <f>_xll.BDH("BLUE US Equity","ARD_TOT_LIAB_AND_SHAREHOLDER_EQY","FQ1 2020","FQ1 2020","Currency=USD","Period=FQ","BEST_FPERIOD_OVERRIDE=FQ","FILING_STATUS=MR","SCALING_FORMAT=MLN","Sort=A","Dates=H","DateFormat=P","Fill=—","Direction=H","UseDPDF=Y")</f>
        <v>1529.104</v>
      </c>
      <c r="K59" s="19">
        <f>_xll.BDH("BLUE US Equity","ARD_TOT_LIAB_AND_SHAREHOLDER_EQY","FQ2 2020","FQ2 2020","Currency=USD","Period=FQ","BEST_FPERIOD_OVERRIDE=FQ","FILING_STATUS=MR","SCALING_FORMAT=MLN","Sort=A","Dates=H","DateFormat=P","Fill=—","Direction=H","UseDPDF=Y")</f>
        <v>2107.79</v>
      </c>
      <c r="L59" s="19">
        <f>_xll.BDH("BLUE US Equity","ARD_TOT_LIAB_AND_SHAREHOLDER_EQY","FQ3 2020","FQ3 2020","Currency=USD","Period=FQ","BEST_FPERIOD_OVERRIDE=FQ","FILING_STATUS=MR","SCALING_FORMAT=MLN","Sort=A","Dates=H","DateFormat=P","Fill=—","Direction=H","UseDPDF=Y")</f>
        <v>1945.4839999999999</v>
      </c>
      <c r="M59" s="19">
        <f>_xll.BDH("BLUE US Equity","ARD_TOT_LIAB_AND_SHAREHOLDER_EQY","FQ4 2020","FQ4 2020","Currency=USD","Period=FQ","BEST_FPERIOD_OVERRIDE=FQ","FILING_STATUS=MR","SCALING_FORMAT=MLN","Sort=A","Dates=H","DateFormat=P","Fill=—","Direction=H","UseDPDF=Y")</f>
        <v>1781.252</v>
      </c>
      <c r="N59" s="19">
        <f>_xll.BDH("BLUE US Equity","ARD_TOT_LIAB_AND_SHAREHOLDER_EQY","FQ1 2021","FQ1 2021","Currency=USD","Period=FQ","BEST_FPERIOD_OVERRIDE=FQ","FILING_STATUS=MR","SCALING_FORMAT=MLN","Sort=A","Dates=H","DateFormat=P","Fill=—","Direction=H","UseDPDF=Y")</f>
        <v>1637.279</v>
      </c>
      <c r="O59" s="19">
        <f>_xll.BDH("BLUE US Equity","ARD_TOT_LIAB_AND_SHAREHOLDER_EQY","FQ2 2021","FQ2 2021","Currency=USD","Period=FQ","BEST_FPERIOD_OVERRIDE=FQ","FILING_STATUS=MR","SCALING_FORMAT=MLN","Sort=A","Dates=H","DateFormat=P","Fill=—","Direction=H","UseDPDF=Y")</f>
        <v>1454.4590000000001</v>
      </c>
      <c r="P59" s="19">
        <f>_xll.BDH("BLUE US Equity","ARD_TOT_LIAB_AND_SHAREHOLDER_EQY","FQ3 2021","FQ3 2021","Currency=USD","Period=FQ","BEST_FPERIOD_OVERRIDE=FQ","FILING_STATUS=MR","SCALING_FORMAT=MLN","Sort=A","Dates=H","DateFormat=P","Fill=—","Direction=H","UseDPDF=Y")</f>
        <v>1339.644</v>
      </c>
      <c r="Q59" s="19">
        <f>_xll.BDH("BLUE US Equity","ARD_TOT_LIAB_AND_SHAREHOLDER_EQY","FQ4 2021","FQ4 2021","Currency=USD","Period=FQ","BEST_FPERIOD_OVERRIDE=FQ","FILING_STATUS=MR","SCALING_FORMAT=MLN","Sort=A","Dates=H","DateFormat=P","Fill=—","Direction=H","UseDPDF=Y")</f>
        <v>593.79499999999996</v>
      </c>
      <c r="R59" s="19">
        <f>_xll.BDH("BLUE US Equity","ARD_TOT_LIAB_AND_SHAREHOLDER_EQY","FQ1 2022","FQ1 2022","Currency=USD","Period=FQ","BEST_FPERIOD_OVERRIDE=FQ","FILING_STATUS=MR","SCALING_FORMAT=MLN","Sort=A","Dates=H","DateFormat=P","Fill=—","Direction=H","UseDPDF=Y")</f>
        <v>491.07100000000003</v>
      </c>
      <c r="S59" s="19">
        <f>_xll.BDH("BLUE US Equity","ARD_TOT_LIAB_AND_SHAREHOLDER_EQY","FQ2 2022","FQ2 2022","Currency=USD","Period=FQ","BEST_FPERIOD_OVERRIDE=FQ","FILING_STATUS=MR","SCALING_FORMAT=MLN","Sort=A","Dates=H","DateFormat=P","Fill=—","Direction=H","UseDPDF=Y")</f>
        <v>573.59199999999998</v>
      </c>
      <c r="T59" s="19">
        <f>_xll.BDH("BLUE US Equity","ARD_TOT_LIAB_AND_SHAREHOLDER_EQY","FQ3 2022","FQ3 2022","Currency=USD","Period=FQ","BEST_FPERIOD_OVERRIDE=FQ","FILING_STATUS=MR","SCALING_FORMAT=MLN","Sort=A","Dates=H","DateFormat=P","Fill=—","Direction=H","UseDPDF=Y")</f>
        <v>520.09799999999996</v>
      </c>
      <c r="U59" s="19">
        <f>_xll.BDH("BLUE US Equity","ARD_TOT_LIAB_AND_SHAREHOLDER_EQY","FQ4 2022","FQ4 2022","Currency=USD","Period=FQ","BEST_FPERIOD_OVERRIDE=FQ","FILING_STATUS=MR","SCALING_FORMAT=MLN","Sort=A","Dates=H","DateFormat=P","Fill=—","Direction=H","UseDPDF=Y")</f>
        <v>554.90200000000004</v>
      </c>
      <c r="V59" s="19">
        <f>_xll.BDH("BLUE US Equity","ARD_TOT_LIAB_AND_SHAREHOLDER_EQY","FQ1 2023","FQ1 2023","Currency=USD","Period=FQ","BEST_FPERIOD_OVERRIDE=FQ","FILING_STATUS=MR","SCALING_FORMAT=MLN","Sort=A","Dates=H","DateFormat=P","Fill=—","Direction=H","UseDPDF=Y")</f>
        <v>692.73599999999999</v>
      </c>
      <c r="W59" s="19">
        <f>_xll.BDH("BLUE US Equity","ARD_TOT_LIAB_AND_SHAREHOLDER_EQY","FQ2 2023","FQ2 2023","Currency=USD","Period=FQ","BEST_FPERIOD_OVERRIDE=FQ","FILING_STATUS=MR","SCALING_FORMAT=MLN","Sort=A","Dates=H","DateFormat=P","Fill=—","Direction=H","UseDPDF=Y")</f>
        <v>663.39300000000003</v>
      </c>
      <c r="X59" s="19">
        <f>_xll.BDH("BLUE US Equity","ARD_TOT_LIAB_AND_SHAREHOLDER_EQY","FQ3 2023","FQ3 2023","Currency=USD","Period=FQ","BEST_FPERIOD_OVERRIDE=FQ","FILING_STATUS=MR","SCALING_FORMAT=MLN","Sort=A","Dates=H","DateFormat=P","Fill=—","Direction=H","UseDPDF=Y")</f>
        <v>613.60799999999995</v>
      </c>
      <c r="Y59" s="19">
        <f>_xll.BDH("BLUE US Equity","ARD_TOT_LIAB_AND_SHAREHOLDER_EQY","FQ1 2024","FQ1 2024","Currency=USD","Period=FQ","BEST_FPERIOD_OVERRIDE=FQ","FILING_STATUS=MR","SCALING_FORMAT=MLN","Sort=A","Dates=H","DateFormat=P","Fill=—","Direction=H","UseDPDF=Y")</f>
        <v>631.48299999999995</v>
      </c>
      <c r="Z59" s="19">
        <f>_xll.BDH("BLUE US Equity","ARD_TOT_LIAB_AND_SHAREHOLDER_EQY","FQ2 2024","FQ2 2024","Currency=USD","Period=FQ","BEST_FPERIOD_OVERRIDE=FQ","FILING_STATUS=MR","SCALING_FORMAT=MLN","Sort=A","Dates=H","DateFormat=P","Fill=—","Direction=H","UseDPDF=Y")</f>
        <v>545.19299999999998</v>
      </c>
      <c r="AA59" s="19">
        <f>_xll.BDH("BLUE US Equity","ARD_TOT_LIAB_AND_SHAREHOLDER_EQY","FQ3 2024","FQ3 2024","Currency=USD","Period=FQ","BEST_FPERIOD_OVERRIDE=FQ","FILING_STATUS=MR","SCALING_FORMAT=MLN","Sort=A","Dates=H","DateFormat=P","Fill=—","Direction=H","UseDPDF=Y")</f>
        <v>465.05599999999998</v>
      </c>
    </row>
    <row r="60" spans="1:27" x14ac:dyDescent="0.25">
      <c r="A60" s="10" t="s">
        <v>478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10" t="s">
        <v>846</v>
      </c>
      <c r="B61" s="10" t="s">
        <v>847</v>
      </c>
      <c r="C61" s="13" t="str">
        <f>_xll.BDH("BLUE US Equity","ARDR_NUM_OF_RSU_BEGIN_OF_PER","FQ2 2018","FQ2 2018","Currency=USD","Period=FQ","BEST_FPERIOD_OVERRIDE=FQ","FILING_STATUS=MR","Sort=A","Dates=H","DateFormat=P","Fill=—","Direction=H","UseDPDF=Y")</f>
        <v>—</v>
      </c>
      <c r="D61" s="13" t="str">
        <f>_xll.BDH("BLUE US Equity","ARDR_NUM_OF_RSU_BEGIN_OF_PER","FQ3 2018","FQ3 2018","Currency=USD","Period=FQ","BEST_FPERIOD_OVERRIDE=FQ","FILING_STATUS=MR","Sort=A","Dates=H","DateFormat=P","Fill=—","Direction=H","UseDPDF=Y")</f>
        <v>—</v>
      </c>
      <c r="E61" s="13" t="str">
        <f>_xll.BDH("BLUE US Equity","ARDR_NUM_OF_RSU_BEGIN_OF_PER","FQ4 2018","FQ4 2018","Currency=USD","Period=FQ","BEST_FPERIOD_OVERRIDE=FQ","FILING_STATUS=MR","Sort=A","Dates=H","DateFormat=P","Fill=—","Direction=H","UseDPDF=Y")</f>
        <v>—</v>
      </c>
      <c r="F61" s="13" t="str">
        <f>_xll.BDH("BLUE US Equity","ARDR_NUM_OF_RSU_BEGIN_OF_PER","FQ1 2019","FQ1 2019","Currency=USD","Period=FQ","BEST_FPERIOD_OVERRIDE=FQ","FILING_STATUS=MR","Sort=A","Dates=H","DateFormat=P","Fill=—","Direction=H","UseDPDF=Y")</f>
        <v>—</v>
      </c>
      <c r="G61" s="13" t="str">
        <f>_xll.BDH("BLUE US Equity","ARDR_NUM_OF_RSU_BEGIN_OF_PER","FQ2 2019","FQ2 2019","Currency=USD","Period=FQ","BEST_FPERIOD_OVERRIDE=FQ","FILING_STATUS=MR","Sort=A","Dates=H","DateFormat=P","Fill=—","Direction=H","UseDPDF=Y")</f>
        <v>—</v>
      </c>
      <c r="H61" s="13" t="str">
        <f>_xll.BDH("BLUE US Equity","ARDR_NUM_OF_RSU_BEGIN_OF_PER","FQ3 2019","FQ3 2019","Currency=USD","Period=FQ","BEST_FPERIOD_OVERRIDE=FQ","FILING_STATUS=MR","Sort=A","Dates=H","DateFormat=P","Fill=—","Direction=H","UseDPDF=Y")</f>
        <v>—</v>
      </c>
      <c r="I61" s="13" t="str">
        <f>_xll.BDH("BLUE US Equity","ARDR_NUM_OF_RSU_BEGIN_OF_PER","FQ4 2019","FQ4 2019","Currency=USD","Period=FQ","BEST_FPERIOD_OVERRIDE=FQ","FILING_STATUS=MR","Sort=A","Dates=H","DateFormat=P","Fill=—","Direction=H","UseDPDF=Y")</f>
        <v>—</v>
      </c>
      <c r="J61" s="13" t="str">
        <f>_xll.BDH("BLUE US Equity","ARDR_NUM_OF_RSU_BEGIN_OF_PER","FQ1 2020","FQ1 2020","Currency=USD","Period=FQ","BEST_FPERIOD_OVERRIDE=FQ","FILING_STATUS=MR","Sort=A","Dates=H","DateFormat=P","Fill=—","Direction=H","UseDPDF=Y")</f>
        <v>—</v>
      </c>
      <c r="K61" s="13" t="str">
        <f>_xll.BDH("BLUE US Equity","ARDR_NUM_OF_RSU_BEGIN_OF_PER","FQ2 2020","FQ2 2020","Currency=USD","Period=FQ","BEST_FPERIOD_OVERRIDE=FQ","FILING_STATUS=MR","Sort=A","Dates=H","DateFormat=P","Fill=—","Direction=H","UseDPDF=Y")</f>
        <v>—</v>
      </c>
      <c r="L61" s="13" t="str">
        <f>_xll.BDH("BLUE US Equity","ARDR_NUM_OF_RSU_BEGIN_OF_PER","FQ3 2020","FQ3 2020","Currency=USD","Period=FQ","BEST_FPERIOD_OVERRIDE=FQ","FILING_STATUS=MR","Sort=A","Dates=H","DateFormat=P","Fill=—","Direction=H","UseDPDF=Y")</f>
        <v>—</v>
      </c>
      <c r="M61" s="13">
        <f>_xll.BDH("BLUE US Equity","ARDR_NUM_OF_RSU_BEGIN_OF_PER","FQ4 2020","FQ4 2020","Currency=USD","Period=FQ","BEST_FPERIOD_OVERRIDE=FQ","FILING_STATUS=MR","Sort=A","Dates=H","DateFormat=P","Fill=—","Direction=H","UseDPDF=Y")</f>
        <v>1.5189999999999999</v>
      </c>
      <c r="N61" s="13">
        <f>_xll.BDH("BLUE US Equity","ARDR_NUM_OF_RSU_BEGIN_OF_PER","FQ1 2021","FQ1 2021","Currency=USD","Period=FQ","BEST_FPERIOD_OVERRIDE=FQ","FILING_STATUS=MR","Sort=A","Dates=H","DateFormat=P","Fill=—","Direction=H","UseDPDF=Y")</f>
        <v>1.4950000000000001</v>
      </c>
      <c r="O61" s="13" t="str">
        <f>_xll.BDH("BLUE US Equity","ARDR_NUM_OF_RSU_BEGIN_OF_PER","FQ2 2021","FQ2 2021","Currency=USD","Period=FQ","BEST_FPERIOD_OVERRIDE=FQ","FILING_STATUS=MR","Sort=A","Dates=H","DateFormat=P","Fill=—","Direction=H","UseDPDF=Y")</f>
        <v>—</v>
      </c>
      <c r="P61" s="13">
        <f>_xll.BDH("BLUE US Equity","ARDR_NUM_OF_RSU_BEGIN_OF_PER","FQ3 2021","FQ3 2021","Currency=USD","Period=FQ","BEST_FPERIOD_OVERRIDE=FQ","FILING_STATUS=MR","Sort=A","Dates=H","DateFormat=P","Fill=—","Direction=H","UseDPDF=Y")</f>
        <v>1.865</v>
      </c>
      <c r="Q61" s="13">
        <f>_xll.BDH("BLUE US Equity","ARDR_NUM_OF_RSU_BEGIN_OF_PER","FQ4 2021","FQ4 2021","Currency=USD","Period=FQ","BEST_FPERIOD_OVERRIDE=FQ","FILING_STATUS=MR","Sort=A","Dates=H","DateFormat=P","Fill=—","Direction=H","UseDPDF=Y")</f>
        <v>3.5379999999999998</v>
      </c>
      <c r="R61" s="13">
        <f>_xll.BDH("BLUE US Equity","ARDR_NUM_OF_RSU_BEGIN_OF_PER","FQ1 2022","FQ1 2022","Currency=USD","Period=FQ","BEST_FPERIOD_OVERRIDE=FQ","FILING_STATUS=MR","Sort=A","Dates=H","DateFormat=P","Fill=—","Direction=H","UseDPDF=Y")</f>
        <v>3.1930000000000001</v>
      </c>
      <c r="S61" s="13">
        <f>_xll.BDH("BLUE US Equity","ARDR_NUM_OF_RSU_BEGIN_OF_PER","FQ2 2022","FQ2 2022","Currency=USD","Period=FQ","BEST_FPERIOD_OVERRIDE=FQ","FILING_STATUS=MR","Sort=A","Dates=H","DateFormat=P","Fill=—","Direction=H","UseDPDF=Y")</f>
        <v>3.9060000000000001</v>
      </c>
      <c r="T61" s="13">
        <f>_xll.BDH("BLUE US Equity","ARDR_NUM_OF_RSU_BEGIN_OF_PER","FQ3 2022","FQ3 2022","Currency=USD","Period=FQ","BEST_FPERIOD_OVERRIDE=FQ","FILING_STATUS=MR","Sort=A","Dates=H","DateFormat=P","Fill=—","Direction=H","UseDPDF=Y")</f>
        <v>3.2749999999999999</v>
      </c>
      <c r="U61" s="13">
        <f>_xll.BDH("BLUE US Equity","ARDR_NUM_OF_RSU_BEGIN_OF_PER","FQ4 2022","FQ4 2022","Currency=USD","Period=FQ","BEST_FPERIOD_OVERRIDE=FQ","FILING_STATUS=MR","Sort=A","Dates=H","DateFormat=P","Fill=—","Direction=H","UseDPDF=Y")</f>
        <v>2.3519999999999999</v>
      </c>
      <c r="V61" s="13">
        <f>_xll.BDH("BLUE US Equity","ARDR_NUM_OF_RSU_BEGIN_OF_PER","FQ1 2023","FQ1 2023","Currency=USD","Period=FQ","BEST_FPERIOD_OVERRIDE=FQ","FILING_STATUS=MR","Sort=A","Dates=H","DateFormat=P","Fill=—","Direction=H","UseDPDF=Y")</f>
        <v>2.415</v>
      </c>
      <c r="W61" s="13">
        <f>_xll.BDH("BLUE US Equity","ARDR_NUM_OF_RSU_BEGIN_OF_PER","FQ2 2023","FQ2 2023","Currency=USD","Period=FQ","BEST_FPERIOD_OVERRIDE=FQ","FILING_STATUS=MR","Sort=A","Dates=H","DateFormat=P","Fill=—","Direction=H","UseDPDF=Y")</f>
        <v>4.6369999999999996</v>
      </c>
      <c r="X61" s="13">
        <f>_xll.BDH("BLUE US Equity","ARDR_NUM_OF_RSU_BEGIN_OF_PER","FQ3 2023","FQ3 2023","Currency=USD","Period=FQ","BEST_FPERIOD_OVERRIDE=FQ","FILING_STATUS=MR","Sort=A","Dates=H","DateFormat=P","Fill=—","Direction=H","UseDPDF=Y")</f>
        <v>4.6369999999999996</v>
      </c>
      <c r="Y61" s="13">
        <f>_xll.BDH("BLUE US Equity","ARDR_NUM_OF_RSU_BEGIN_OF_PER","FQ1 2024","FQ1 2024","Currency=USD","Period=FQ","BEST_FPERIOD_OVERRIDE=FQ","FILING_STATUS=MR","Sort=A","Dates=H","DateFormat=P","Fill=—","Direction=H","UseDPDF=Y")</f>
        <v>4.2069999999999999</v>
      </c>
      <c r="Z61" s="13">
        <f>_xll.BDH("BLUE US Equity","ARDR_NUM_OF_RSU_BEGIN_OF_PER","FQ2 2024","FQ2 2024","Currency=USD","Period=FQ","BEST_FPERIOD_OVERRIDE=FQ","FILING_STATUS=MR","Sort=A","Dates=H","DateFormat=P","Fill=—","Direction=H","UseDPDF=Y")</f>
        <v>5.3940000000000001</v>
      </c>
      <c r="AA61" s="13">
        <f>_xll.BDH("BLUE US Equity","ARDR_NUM_OF_RSU_BEGIN_OF_PER","FQ3 2024","FQ3 2024","Currency=USD","Period=FQ","BEST_FPERIOD_OVERRIDE=FQ","FILING_STATUS=MR","Sort=A","Dates=H","DateFormat=P","Fill=—","Direction=H","UseDPDF=Y")</f>
        <v>4.9969999999999999</v>
      </c>
    </row>
    <row r="62" spans="1:27" x14ac:dyDescent="0.25">
      <c r="A62" s="10" t="s">
        <v>848</v>
      </c>
      <c r="B62" s="10" t="s">
        <v>849</v>
      </c>
      <c r="C62" s="13" t="str">
        <f>_xll.BDH("BLUE US Equity","ARDR_NUMBER_OF_RSU_GRANTED","FQ2 2018","FQ2 2018","Currency=USD","Period=FQ","BEST_FPERIOD_OVERRIDE=FQ","FILING_STATUS=MR","Sort=A","Dates=H","DateFormat=P","Fill=—","Direction=H","UseDPDF=Y")</f>
        <v>—</v>
      </c>
      <c r="D62" s="13" t="str">
        <f>_xll.BDH("BLUE US Equity","ARDR_NUMBER_OF_RSU_GRANTED","FQ3 2018","FQ3 2018","Currency=USD","Period=FQ","BEST_FPERIOD_OVERRIDE=FQ","FILING_STATUS=MR","Sort=A","Dates=H","DateFormat=P","Fill=—","Direction=H","UseDPDF=Y")</f>
        <v>—</v>
      </c>
      <c r="E62" s="13" t="str">
        <f>_xll.BDH("BLUE US Equity","ARDR_NUMBER_OF_RSU_GRANTED","FQ4 2018","FQ4 2018","Currency=USD","Period=FQ","BEST_FPERIOD_OVERRIDE=FQ","FILING_STATUS=MR","Sort=A","Dates=H","DateFormat=P","Fill=—","Direction=H","UseDPDF=Y")</f>
        <v>—</v>
      </c>
      <c r="F62" s="13" t="str">
        <f>_xll.BDH("BLUE US Equity","ARDR_NUMBER_OF_RSU_GRANTED","FQ1 2019","FQ1 2019","Currency=USD","Period=FQ","BEST_FPERIOD_OVERRIDE=FQ","FILING_STATUS=MR","Sort=A","Dates=H","DateFormat=P","Fill=—","Direction=H","UseDPDF=Y")</f>
        <v>—</v>
      </c>
      <c r="G62" s="13" t="str">
        <f>_xll.BDH("BLUE US Equity","ARDR_NUMBER_OF_RSU_GRANTED","FQ2 2019","FQ2 2019","Currency=USD","Period=FQ","BEST_FPERIOD_OVERRIDE=FQ","FILING_STATUS=MR","Sort=A","Dates=H","DateFormat=P","Fill=—","Direction=H","UseDPDF=Y")</f>
        <v>—</v>
      </c>
      <c r="H62" s="13" t="str">
        <f>_xll.BDH("BLUE US Equity","ARDR_NUMBER_OF_RSU_GRANTED","FQ3 2019","FQ3 2019","Currency=USD","Period=FQ","BEST_FPERIOD_OVERRIDE=FQ","FILING_STATUS=MR","Sort=A","Dates=H","DateFormat=P","Fill=—","Direction=H","UseDPDF=Y")</f>
        <v>—</v>
      </c>
      <c r="I62" s="13" t="str">
        <f>_xll.BDH("BLUE US Equity","ARDR_NUMBER_OF_RSU_GRANTED","FQ4 2019","FQ4 2019","Currency=USD","Period=FQ","BEST_FPERIOD_OVERRIDE=FQ","FILING_STATUS=MR","Sort=A","Dates=H","DateFormat=P","Fill=—","Direction=H","UseDPDF=Y")</f>
        <v>—</v>
      </c>
      <c r="J62" s="13" t="str">
        <f>_xll.BDH("BLUE US Equity","ARDR_NUMBER_OF_RSU_GRANTED","FQ1 2020","FQ1 2020","Currency=USD","Period=FQ","BEST_FPERIOD_OVERRIDE=FQ","FILING_STATUS=MR","Sort=A","Dates=H","DateFormat=P","Fill=—","Direction=H","UseDPDF=Y")</f>
        <v>—</v>
      </c>
      <c r="K62" s="13" t="str">
        <f>_xll.BDH("BLUE US Equity","ARDR_NUMBER_OF_RSU_GRANTED","FQ2 2020","FQ2 2020","Currency=USD","Period=FQ","BEST_FPERIOD_OVERRIDE=FQ","FILING_STATUS=MR","Sort=A","Dates=H","DateFormat=P","Fill=—","Direction=H","UseDPDF=Y")</f>
        <v>—</v>
      </c>
      <c r="L62" s="13" t="str">
        <f>_xll.BDH("BLUE US Equity","ARDR_NUMBER_OF_RSU_GRANTED","FQ3 2020","FQ3 2020","Currency=USD","Period=FQ","BEST_FPERIOD_OVERRIDE=FQ","FILING_STATUS=MR","Sort=A","Dates=H","DateFormat=P","Fill=—","Direction=H","UseDPDF=Y")</f>
        <v>—</v>
      </c>
      <c r="M62" s="13">
        <f>_xll.BDH("BLUE US Equity","ARDR_NUMBER_OF_RSU_GRANTED","FQ4 2020","FQ4 2020","Currency=USD","Period=FQ","BEST_FPERIOD_OVERRIDE=FQ","FILING_STATUS=MR","Sort=A","Dates=H","DateFormat=P","Fill=—","Direction=H","UseDPDF=Y")</f>
        <v>8.2000000000000003E-2</v>
      </c>
      <c r="N62" s="13">
        <f>_xll.BDH("BLUE US Equity","ARDR_NUMBER_OF_RSU_GRANTED","FQ1 2021","FQ1 2021","Currency=USD","Period=FQ","BEST_FPERIOD_OVERRIDE=FQ","FILING_STATUS=MR","Sort=A","Dates=H","DateFormat=P","Fill=—","Direction=H","UseDPDF=Y")</f>
        <v>0.99</v>
      </c>
      <c r="O62" s="13" t="str">
        <f>_xll.BDH("BLUE US Equity","ARDR_NUMBER_OF_RSU_GRANTED","FQ2 2021","FQ2 2021","Currency=USD","Period=FQ","BEST_FPERIOD_OVERRIDE=FQ","FILING_STATUS=MR","Sort=A","Dates=H","DateFormat=P","Fill=—","Direction=H","UseDPDF=Y")</f>
        <v>—</v>
      </c>
      <c r="P62" s="13">
        <f>_xll.BDH("BLUE US Equity","ARDR_NUMBER_OF_RSU_GRANTED","FQ3 2021","FQ3 2021","Currency=USD","Period=FQ","BEST_FPERIOD_OVERRIDE=FQ","FILING_STATUS=MR","Sort=A","Dates=H","DateFormat=P","Fill=—","Direction=H","UseDPDF=Y")</f>
        <v>2.14</v>
      </c>
      <c r="Q62" s="13">
        <f>_xll.BDH("BLUE US Equity","ARDR_NUMBER_OF_RSU_GRANTED","FQ4 2021","FQ4 2021","Currency=USD","Period=FQ","BEST_FPERIOD_OVERRIDE=FQ","FILING_STATUS=MR","Sort=A","Dates=H","DateFormat=P","Fill=—","Direction=H","UseDPDF=Y")</f>
        <v>9.0999999999999998E-2</v>
      </c>
      <c r="R62" s="13">
        <f>_xll.BDH("BLUE US Equity","ARDR_NUMBER_OF_RSU_GRANTED","FQ1 2022","FQ1 2022","Currency=USD","Period=FQ","BEST_FPERIOD_OVERRIDE=FQ","FILING_STATUS=MR","Sort=A","Dates=H","DateFormat=P","Fill=—","Direction=H","UseDPDF=Y")</f>
        <v>1.2909999999999999</v>
      </c>
      <c r="S62" s="13">
        <f>_xll.BDH("BLUE US Equity","ARDR_NUMBER_OF_RSU_GRANTED","FQ2 2022","FQ2 2022","Currency=USD","Period=FQ","BEST_FPERIOD_OVERRIDE=FQ","FILING_STATUS=MR","Sort=A","Dates=H","DateFormat=P","Fill=—","Direction=H","UseDPDF=Y")</f>
        <v>0.16</v>
      </c>
      <c r="T62" s="13">
        <f>_xll.BDH("BLUE US Equity","ARDR_NUMBER_OF_RSU_GRANTED","FQ3 2022","FQ3 2022","Currency=USD","Period=FQ","BEST_FPERIOD_OVERRIDE=FQ","FILING_STATUS=MR","Sort=A","Dates=H","DateFormat=P","Fill=—","Direction=H","UseDPDF=Y")</f>
        <v>5.2999999999999999E-2</v>
      </c>
      <c r="U62" s="13">
        <f>_xll.BDH("BLUE US Equity","ARDR_NUMBER_OF_RSU_GRANTED","FQ4 2022","FQ4 2022","Currency=USD","Period=FQ","BEST_FPERIOD_OVERRIDE=FQ","FILING_STATUS=MR","Sort=A","Dates=H","DateFormat=P","Fill=—","Direction=H","UseDPDF=Y")</f>
        <v>0.20799999999999999</v>
      </c>
      <c r="V62" s="13">
        <f>_xll.BDH("BLUE US Equity","ARDR_NUMBER_OF_RSU_GRANTED","FQ1 2023","FQ1 2023","Currency=USD","Period=FQ","BEST_FPERIOD_OVERRIDE=FQ","FILING_STATUS=MR","Sort=A","Dates=H","DateFormat=P","Fill=—","Direction=H","UseDPDF=Y")</f>
        <v>2.5030000000000001</v>
      </c>
      <c r="W62" s="13">
        <f>_xll.BDH("BLUE US Equity","ARDR_NUMBER_OF_RSU_GRANTED","FQ2 2023","FQ2 2023","Currency=USD","Period=FQ","BEST_FPERIOD_OVERRIDE=FQ","FILING_STATUS=MR","Sort=A","Dates=H","DateFormat=P","Fill=—","Direction=H","UseDPDF=Y")</f>
        <v>0.44</v>
      </c>
      <c r="X62" s="13">
        <f>_xll.BDH("BLUE US Equity","ARDR_NUMBER_OF_RSU_GRANTED","FQ3 2023","FQ3 2023","Currency=USD","Period=FQ","BEST_FPERIOD_OVERRIDE=FQ","FILING_STATUS=MR","Sort=A","Dates=H","DateFormat=P","Fill=—","Direction=H","UseDPDF=Y")</f>
        <v>0.17399999999999999</v>
      </c>
      <c r="Y62" s="13">
        <f>_xll.BDH("BLUE US Equity","ARDR_NUMBER_OF_RSU_GRANTED","FQ1 2024","FQ1 2024","Currency=USD","Period=FQ","BEST_FPERIOD_OVERRIDE=FQ","FILING_STATUS=MR","Sort=A","Dates=H","DateFormat=P","Fill=—","Direction=H","UseDPDF=Y")</f>
        <v>2.177</v>
      </c>
      <c r="Z62" s="13">
        <f>_xll.BDH("BLUE US Equity","ARDR_NUMBER_OF_RSU_GRANTED","FQ2 2024","FQ2 2024","Currency=USD","Period=FQ","BEST_FPERIOD_OVERRIDE=FQ","FILING_STATUS=MR","Sort=A","Dates=H","DateFormat=P","Fill=—","Direction=H","UseDPDF=Y")</f>
        <v>0.16</v>
      </c>
      <c r="AA62" s="13">
        <f>_xll.BDH("BLUE US Equity","ARDR_NUMBER_OF_RSU_GRANTED","FQ3 2024","FQ3 2024","Currency=USD","Period=FQ","BEST_FPERIOD_OVERRIDE=FQ","FILING_STATUS=MR","Sort=A","Dates=H","DateFormat=P","Fill=—","Direction=H","UseDPDF=Y")</f>
        <v>1.02</v>
      </c>
    </row>
    <row r="63" spans="1:27" x14ac:dyDescent="0.25">
      <c r="A63" s="10" t="s">
        <v>850</v>
      </c>
      <c r="B63" s="10" t="s">
        <v>851</v>
      </c>
      <c r="C63" s="13" t="str">
        <f>_xll.BDH("BLUE US Equity","ARDR_NUMBER_OF_RSU_VESTED","FQ2 2018","FQ2 2018","Currency=USD","Period=FQ","BEST_FPERIOD_OVERRIDE=FQ","FILING_STATUS=MR","Sort=A","Dates=H","DateFormat=P","Fill=—","Direction=H","UseDPDF=Y")</f>
        <v>—</v>
      </c>
      <c r="D63" s="13" t="str">
        <f>_xll.BDH("BLUE US Equity","ARDR_NUMBER_OF_RSU_VESTED","FQ3 2018","FQ3 2018","Currency=USD","Period=FQ","BEST_FPERIOD_OVERRIDE=FQ","FILING_STATUS=MR","Sort=A","Dates=H","DateFormat=P","Fill=—","Direction=H","UseDPDF=Y")</f>
        <v>—</v>
      </c>
      <c r="E63" s="13" t="str">
        <f>_xll.BDH("BLUE US Equity","ARDR_NUMBER_OF_RSU_VESTED","FQ4 2018","FQ4 2018","Currency=USD","Period=FQ","BEST_FPERIOD_OVERRIDE=FQ","FILING_STATUS=MR","Sort=A","Dates=H","DateFormat=P","Fill=—","Direction=H","UseDPDF=Y")</f>
        <v>—</v>
      </c>
      <c r="F63" s="13" t="str">
        <f>_xll.BDH("BLUE US Equity","ARDR_NUMBER_OF_RSU_VESTED","FQ1 2019","FQ1 2019","Currency=USD","Period=FQ","BEST_FPERIOD_OVERRIDE=FQ","FILING_STATUS=MR","Sort=A","Dates=H","DateFormat=P","Fill=—","Direction=H","UseDPDF=Y")</f>
        <v>—</v>
      </c>
      <c r="G63" s="13" t="str">
        <f>_xll.BDH("BLUE US Equity","ARDR_NUMBER_OF_RSU_VESTED","FQ2 2019","FQ2 2019","Currency=USD","Period=FQ","BEST_FPERIOD_OVERRIDE=FQ","FILING_STATUS=MR","Sort=A","Dates=H","DateFormat=P","Fill=—","Direction=H","UseDPDF=Y")</f>
        <v>—</v>
      </c>
      <c r="H63" s="13" t="str">
        <f>_xll.BDH("BLUE US Equity","ARDR_NUMBER_OF_RSU_VESTED","FQ3 2019","FQ3 2019","Currency=USD","Period=FQ","BEST_FPERIOD_OVERRIDE=FQ","FILING_STATUS=MR","Sort=A","Dates=H","DateFormat=P","Fill=—","Direction=H","UseDPDF=Y")</f>
        <v>—</v>
      </c>
      <c r="I63" s="13" t="str">
        <f>_xll.BDH("BLUE US Equity","ARDR_NUMBER_OF_RSU_VESTED","FQ4 2019","FQ4 2019","Currency=USD","Period=FQ","BEST_FPERIOD_OVERRIDE=FQ","FILING_STATUS=MR","Sort=A","Dates=H","DateFormat=P","Fill=—","Direction=H","UseDPDF=Y")</f>
        <v>—</v>
      </c>
      <c r="J63" s="13" t="str">
        <f>_xll.BDH("BLUE US Equity","ARDR_NUMBER_OF_RSU_VESTED","FQ1 2020","FQ1 2020","Currency=USD","Period=FQ","BEST_FPERIOD_OVERRIDE=FQ","FILING_STATUS=MR","Sort=A","Dates=H","DateFormat=P","Fill=—","Direction=H","UseDPDF=Y")</f>
        <v>—</v>
      </c>
      <c r="K63" s="13" t="str">
        <f>_xll.BDH("BLUE US Equity","ARDR_NUMBER_OF_RSU_VESTED","FQ2 2020","FQ2 2020","Currency=USD","Period=FQ","BEST_FPERIOD_OVERRIDE=FQ","FILING_STATUS=MR","Sort=A","Dates=H","DateFormat=P","Fill=—","Direction=H","UseDPDF=Y")</f>
        <v>—</v>
      </c>
      <c r="L63" s="13" t="str">
        <f>_xll.BDH("BLUE US Equity","ARDR_NUMBER_OF_RSU_VESTED","FQ3 2020","FQ3 2020","Currency=USD","Period=FQ","BEST_FPERIOD_OVERRIDE=FQ","FILING_STATUS=MR","Sort=A","Dates=H","DateFormat=P","Fill=—","Direction=H","UseDPDF=Y")</f>
        <v>—</v>
      </c>
      <c r="M63" s="13">
        <f>_xll.BDH("BLUE US Equity","ARDR_NUMBER_OF_RSU_VESTED","FQ4 2020","FQ4 2020","Currency=USD","Period=FQ","BEST_FPERIOD_OVERRIDE=FQ","FILING_STATUS=MR","Sort=A","Dates=H","DateFormat=P","Fill=—","Direction=H","UseDPDF=Y")</f>
        <v>5.2999999999999999E-2</v>
      </c>
      <c r="N63" s="13">
        <f>_xll.BDH("BLUE US Equity","ARDR_NUMBER_OF_RSU_VESTED","FQ1 2021","FQ1 2021","Currency=USD","Period=FQ","BEST_FPERIOD_OVERRIDE=FQ","FILING_STATUS=MR","Sort=A","Dates=H","DateFormat=P","Fill=—","Direction=H","UseDPDF=Y")</f>
        <v>0.29399999999999998</v>
      </c>
      <c r="O63" s="13" t="str">
        <f>_xll.BDH("BLUE US Equity","ARDR_NUMBER_OF_RSU_VESTED","FQ2 2021","FQ2 2021","Currency=USD","Period=FQ","BEST_FPERIOD_OVERRIDE=FQ","FILING_STATUS=MR","Sort=A","Dates=H","DateFormat=P","Fill=—","Direction=H","UseDPDF=Y")</f>
        <v>—</v>
      </c>
      <c r="P63" s="13">
        <f>_xll.BDH("BLUE US Equity","ARDR_NUMBER_OF_RSU_VESTED","FQ3 2021","FQ3 2021","Currency=USD","Period=FQ","BEST_FPERIOD_OVERRIDE=FQ","FILING_STATUS=MR","Sort=A","Dates=H","DateFormat=P","Fill=—","Direction=H","UseDPDF=Y")</f>
        <v>0.08</v>
      </c>
      <c r="Q63" s="13">
        <f>_xll.BDH("BLUE US Equity","ARDR_NUMBER_OF_RSU_VESTED","FQ4 2021","FQ4 2021","Currency=USD","Period=FQ","BEST_FPERIOD_OVERRIDE=FQ","FILING_STATUS=MR","Sort=A","Dates=H","DateFormat=P","Fill=—","Direction=H","UseDPDF=Y")</f>
        <v>2.5000000000000001E-2</v>
      </c>
      <c r="R63" s="13">
        <f>_xll.BDH("BLUE US Equity","ARDR_NUMBER_OF_RSU_VESTED","FQ1 2022","FQ1 2022","Currency=USD","Period=FQ","BEST_FPERIOD_OVERRIDE=FQ","FILING_STATUS=MR","Sort=A","Dates=H","DateFormat=P","Fill=—","Direction=H","UseDPDF=Y")</f>
        <v>0.23799999999999999</v>
      </c>
      <c r="S63" s="13">
        <f>_xll.BDH("BLUE US Equity","ARDR_NUMBER_OF_RSU_VESTED","FQ2 2022","FQ2 2022","Currency=USD","Period=FQ","BEST_FPERIOD_OVERRIDE=FQ","FILING_STATUS=MR","Sort=A","Dates=H","DateFormat=P","Fill=—","Direction=H","UseDPDF=Y")</f>
        <v>5.5E-2</v>
      </c>
      <c r="T63" s="13">
        <f>_xll.BDH("BLUE US Equity","ARDR_NUMBER_OF_RSU_VESTED","FQ3 2022","FQ3 2022","Currency=USD","Period=FQ","BEST_FPERIOD_OVERRIDE=FQ","FILING_STATUS=MR","Sort=A","Dates=H","DateFormat=P","Fill=—","Direction=H","UseDPDF=Y")</f>
        <v>0.56699999999999995</v>
      </c>
      <c r="U63" s="13">
        <f>_xll.BDH("BLUE US Equity","ARDR_NUMBER_OF_RSU_VESTED","FQ4 2022","FQ4 2022","Currency=USD","Period=FQ","BEST_FPERIOD_OVERRIDE=FQ","FILING_STATUS=MR","Sort=A","Dates=H","DateFormat=P","Fill=—","Direction=H","UseDPDF=Y")</f>
        <v>2.7E-2</v>
      </c>
      <c r="V63" s="13">
        <f>_xll.BDH("BLUE US Equity","ARDR_NUMBER_OF_RSU_VESTED","FQ1 2023","FQ1 2023","Currency=USD","Period=FQ","BEST_FPERIOD_OVERRIDE=FQ","FILING_STATUS=MR","Sort=A","Dates=H","DateFormat=P","Fill=—","Direction=H","UseDPDF=Y")</f>
        <v>0.32600000000000001</v>
      </c>
      <c r="W63" s="13">
        <f>_xll.BDH("BLUE US Equity","ARDR_NUMBER_OF_RSU_VESTED","FQ2 2023","FQ2 2023","Currency=USD","Period=FQ","BEST_FPERIOD_OVERRIDE=FQ","FILING_STATUS=MR","Sort=A","Dates=H","DateFormat=P","Fill=—","Direction=H","UseDPDF=Y")</f>
        <v>9.4E-2</v>
      </c>
      <c r="X63" s="13">
        <f>_xll.BDH("BLUE US Equity","ARDR_NUMBER_OF_RSU_VESTED","FQ3 2023","FQ3 2023","Currency=USD","Period=FQ","BEST_FPERIOD_OVERRIDE=FQ","FILING_STATUS=MR","Sort=A","Dates=H","DateFormat=P","Fill=—","Direction=H","UseDPDF=Y")</f>
        <v>0.56699999999999995</v>
      </c>
      <c r="Y63" s="13">
        <f>_xll.BDH("BLUE US Equity","ARDR_NUMBER_OF_RSU_VESTED","FQ1 2024","FQ1 2024","Currency=USD","Period=FQ","BEST_FPERIOD_OVERRIDE=FQ","FILING_STATUS=MR","Sort=A","Dates=H","DateFormat=P","Fill=—","Direction=H","UseDPDF=Y")</f>
        <v>0.78500000000000003</v>
      </c>
      <c r="Z63" s="13">
        <f>_xll.BDH("BLUE US Equity","ARDR_NUMBER_OF_RSU_VESTED","FQ2 2024","FQ2 2024","Currency=USD","Period=FQ","BEST_FPERIOD_OVERRIDE=FQ","FILING_STATUS=MR","Sort=A","Dates=H","DateFormat=P","Fill=—","Direction=H","UseDPDF=Y")</f>
        <v>0.185</v>
      </c>
      <c r="AA63" s="13">
        <f>_xll.BDH("BLUE US Equity","ARDR_NUMBER_OF_RSU_VESTED","FQ3 2024","FQ3 2024","Currency=USD","Period=FQ","BEST_FPERIOD_OVERRIDE=FQ","FILING_STATUS=MR","Sort=A","Dates=H","DateFormat=P","Fill=—","Direction=H","UseDPDF=Y")</f>
        <v>0.113</v>
      </c>
    </row>
    <row r="64" spans="1:27" x14ac:dyDescent="0.25">
      <c r="A64" s="10" t="s">
        <v>852</v>
      </c>
      <c r="B64" s="10" t="s">
        <v>853</v>
      </c>
      <c r="C64" s="13" t="str">
        <f>_xll.BDH("BLUE US Equity","ARDR_NUMBER_OF_RSU_FORFTD_CANCLD","FQ2 2018","FQ2 2018","Currency=USD","Period=FQ","BEST_FPERIOD_OVERRIDE=FQ","FILING_STATUS=MR","Sort=A","Dates=H","DateFormat=P","Fill=—","Direction=H","UseDPDF=Y")</f>
        <v>—</v>
      </c>
      <c r="D64" s="13" t="str">
        <f>_xll.BDH("BLUE US Equity","ARDR_NUMBER_OF_RSU_FORFTD_CANCLD","FQ3 2018","FQ3 2018","Currency=USD","Period=FQ","BEST_FPERIOD_OVERRIDE=FQ","FILING_STATUS=MR","Sort=A","Dates=H","DateFormat=P","Fill=—","Direction=H","UseDPDF=Y")</f>
        <v>—</v>
      </c>
      <c r="E64" s="13" t="str">
        <f>_xll.BDH("BLUE US Equity","ARDR_NUMBER_OF_RSU_FORFTD_CANCLD","FQ4 2018","FQ4 2018","Currency=USD","Period=FQ","BEST_FPERIOD_OVERRIDE=FQ","FILING_STATUS=MR","Sort=A","Dates=H","DateFormat=P","Fill=—","Direction=H","UseDPDF=Y")</f>
        <v>—</v>
      </c>
      <c r="F64" s="13" t="str">
        <f>_xll.BDH("BLUE US Equity","ARDR_NUMBER_OF_RSU_FORFTD_CANCLD","FQ1 2019","FQ1 2019","Currency=USD","Period=FQ","BEST_FPERIOD_OVERRIDE=FQ","FILING_STATUS=MR","Sort=A","Dates=H","DateFormat=P","Fill=—","Direction=H","UseDPDF=Y")</f>
        <v>—</v>
      </c>
      <c r="G64" s="13" t="str">
        <f>_xll.BDH("BLUE US Equity","ARDR_NUMBER_OF_RSU_FORFTD_CANCLD","FQ2 2019","FQ2 2019","Currency=USD","Period=FQ","BEST_FPERIOD_OVERRIDE=FQ","FILING_STATUS=MR","Sort=A","Dates=H","DateFormat=P","Fill=—","Direction=H","UseDPDF=Y")</f>
        <v>—</v>
      </c>
      <c r="H64" s="13" t="str">
        <f>_xll.BDH("BLUE US Equity","ARDR_NUMBER_OF_RSU_FORFTD_CANCLD","FQ3 2019","FQ3 2019","Currency=USD","Period=FQ","BEST_FPERIOD_OVERRIDE=FQ","FILING_STATUS=MR","Sort=A","Dates=H","DateFormat=P","Fill=—","Direction=H","UseDPDF=Y")</f>
        <v>—</v>
      </c>
      <c r="I64" s="13" t="str">
        <f>_xll.BDH("BLUE US Equity","ARDR_NUMBER_OF_RSU_FORFTD_CANCLD","FQ4 2019","FQ4 2019","Currency=USD","Period=FQ","BEST_FPERIOD_OVERRIDE=FQ","FILING_STATUS=MR","Sort=A","Dates=H","DateFormat=P","Fill=—","Direction=H","UseDPDF=Y")</f>
        <v>—</v>
      </c>
      <c r="J64" s="13" t="str">
        <f>_xll.BDH("BLUE US Equity","ARDR_NUMBER_OF_RSU_FORFTD_CANCLD","FQ1 2020","FQ1 2020","Currency=USD","Period=FQ","BEST_FPERIOD_OVERRIDE=FQ","FILING_STATUS=MR","Sort=A","Dates=H","DateFormat=P","Fill=—","Direction=H","UseDPDF=Y")</f>
        <v>—</v>
      </c>
      <c r="K64" s="13" t="str">
        <f>_xll.BDH("BLUE US Equity","ARDR_NUMBER_OF_RSU_FORFTD_CANCLD","FQ2 2020","FQ2 2020","Currency=USD","Period=FQ","BEST_FPERIOD_OVERRIDE=FQ","FILING_STATUS=MR","Sort=A","Dates=H","DateFormat=P","Fill=—","Direction=H","UseDPDF=Y")</f>
        <v>—</v>
      </c>
      <c r="L64" s="13" t="str">
        <f>_xll.BDH("BLUE US Equity","ARDR_NUMBER_OF_RSU_FORFTD_CANCLD","FQ3 2020","FQ3 2020","Currency=USD","Period=FQ","BEST_FPERIOD_OVERRIDE=FQ","FILING_STATUS=MR","Sort=A","Dates=H","DateFormat=P","Fill=—","Direction=H","UseDPDF=Y")</f>
        <v>—</v>
      </c>
      <c r="M64" s="13">
        <f>_xll.BDH("BLUE US Equity","ARDR_NUMBER_OF_RSU_FORFTD_CANCLD","FQ4 2020","FQ4 2020","Currency=USD","Period=FQ","BEST_FPERIOD_OVERRIDE=FQ","FILING_STATUS=MR","Sort=A","Dates=H","DateFormat=P","Fill=—","Direction=H","UseDPDF=Y")</f>
        <v>5.2999999999999999E-2</v>
      </c>
      <c r="N64" s="13">
        <f>_xll.BDH("BLUE US Equity","ARDR_NUMBER_OF_RSU_FORFTD_CANCLD","FQ1 2021","FQ1 2021","Currency=USD","Period=FQ","BEST_FPERIOD_OVERRIDE=FQ","FILING_STATUS=MR","Sort=A","Dates=H","DateFormat=P","Fill=—","Direction=H","UseDPDF=Y")</f>
        <v>0.11799999999999999</v>
      </c>
      <c r="O64" s="13" t="str">
        <f>_xll.BDH("BLUE US Equity","ARDR_NUMBER_OF_RSU_FORFTD_CANCLD","FQ2 2021","FQ2 2021","Currency=USD","Period=FQ","BEST_FPERIOD_OVERRIDE=FQ","FILING_STATUS=MR","Sort=A","Dates=H","DateFormat=P","Fill=—","Direction=H","UseDPDF=Y")</f>
        <v>—</v>
      </c>
      <c r="P64" s="13">
        <f>_xll.BDH("BLUE US Equity","ARDR_NUMBER_OF_RSU_FORFTD_CANCLD","FQ3 2021","FQ3 2021","Currency=USD","Period=FQ","BEST_FPERIOD_OVERRIDE=FQ","FILING_STATUS=MR","Sort=A","Dates=H","DateFormat=P","Fill=—","Direction=H","UseDPDF=Y")</f>
        <v>0.38700000000000001</v>
      </c>
      <c r="Q64" s="13">
        <f>_xll.BDH("BLUE US Equity","ARDR_NUMBER_OF_RSU_FORFTD_CANCLD","FQ4 2021","FQ4 2021","Currency=USD","Period=FQ","BEST_FPERIOD_OVERRIDE=FQ","FILING_STATUS=MR","Sort=A","Dates=H","DateFormat=P","Fill=—","Direction=H","UseDPDF=Y")</f>
        <v>0.41099999999999998</v>
      </c>
      <c r="R64" s="13">
        <f>_xll.BDH("BLUE US Equity","ARDR_NUMBER_OF_RSU_FORFTD_CANCLD","FQ1 2022","FQ1 2022","Currency=USD","Period=FQ","BEST_FPERIOD_OVERRIDE=FQ","FILING_STATUS=MR","Sort=A","Dates=H","DateFormat=P","Fill=—","Direction=H","UseDPDF=Y")</f>
        <v>0.34</v>
      </c>
      <c r="S64" s="13">
        <f>_xll.BDH("BLUE US Equity","ARDR_NUMBER_OF_RSU_FORFTD_CANCLD","FQ2 2022","FQ2 2022","Currency=USD","Period=FQ","BEST_FPERIOD_OVERRIDE=FQ","FILING_STATUS=MR","Sort=A","Dates=H","DateFormat=P","Fill=—","Direction=H","UseDPDF=Y")</f>
        <v>0.73599999999999999</v>
      </c>
      <c r="T64" s="13">
        <f>_xll.BDH("BLUE US Equity","ARDR_NUMBER_OF_RSU_FORFTD_CANCLD","FQ3 2022","FQ3 2022","Currency=USD","Period=FQ","BEST_FPERIOD_OVERRIDE=FQ","FILING_STATUS=MR","Sort=A","Dates=H","DateFormat=P","Fill=—","Direction=H","UseDPDF=Y")</f>
        <v>0.40899999999999997</v>
      </c>
      <c r="U64" s="13">
        <f>_xll.BDH("BLUE US Equity","ARDR_NUMBER_OF_RSU_FORFTD_CANCLD","FQ4 2022","FQ4 2022","Currency=USD","Period=FQ","BEST_FPERIOD_OVERRIDE=FQ","FILING_STATUS=MR","Sort=A","Dates=H","DateFormat=P","Fill=—","Direction=H","UseDPDF=Y")</f>
        <v>0.11799999999999999</v>
      </c>
      <c r="V64" s="13">
        <f>_xll.BDH("BLUE US Equity","ARDR_NUMBER_OF_RSU_FORFTD_CANCLD","FQ1 2023","FQ1 2023","Currency=USD","Period=FQ","BEST_FPERIOD_OVERRIDE=FQ","FILING_STATUS=MR","Sort=A","Dates=H","DateFormat=P","Fill=—","Direction=H","UseDPDF=Y")</f>
        <v>0.107</v>
      </c>
      <c r="W64" s="13">
        <f>_xll.BDH("BLUE US Equity","ARDR_NUMBER_OF_RSU_FORFTD_CANCLD","FQ2 2023","FQ2 2023","Currency=USD","Period=FQ","BEST_FPERIOD_OVERRIDE=FQ","FILING_STATUS=MR","Sort=A","Dates=H","DateFormat=P","Fill=—","Direction=H","UseDPDF=Y")</f>
        <v>0.19400000000000001</v>
      </c>
      <c r="X64" s="13">
        <f>_xll.BDH("BLUE US Equity","ARDR_NUMBER_OF_RSU_FORFTD_CANCLD","FQ3 2023","FQ3 2023","Currency=USD","Period=FQ","BEST_FPERIOD_OVERRIDE=FQ","FILING_STATUS=MR","Sort=A","Dates=H","DateFormat=P","Fill=—","Direction=H","UseDPDF=Y")</f>
        <v>9.4E-2</v>
      </c>
      <c r="Y64" s="13">
        <f>_xll.BDH("BLUE US Equity","ARDR_NUMBER_OF_RSU_FORFTD_CANCLD","FQ1 2024","FQ1 2024","Currency=USD","Period=FQ","BEST_FPERIOD_OVERRIDE=FQ","FILING_STATUS=MR","Sort=A","Dates=H","DateFormat=P","Fill=—","Direction=H","UseDPDF=Y")</f>
        <v>0.20499999999999999</v>
      </c>
      <c r="Z64" s="13">
        <f>_xll.BDH("BLUE US Equity","ARDR_NUMBER_OF_RSU_FORFTD_CANCLD","FQ2 2024","FQ2 2024","Currency=USD","Period=FQ","BEST_FPERIOD_OVERRIDE=FQ","FILING_STATUS=MR","Sort=A","Dates=H","DateFormat=P","Fill=—","Direction=H","UseDPDF=Y")</f>
        <v>0.372</v>
      </c>
      <c r="AA64" s="13">
        <f>_xll.BDH("BLUE US Equity","ARDR_NUMBER_OF_RSU_FORFTD_CANCLD","FQ3 2024","FQ3 2024","Currency=USD","Period=FQ","BEST_FPERIOD_OVERRIDE=FQ","FILING_STATUS=MR","Sort=A","Dates=H","DateFormat=P","Fill=—","Direction=H","UseDPDF=Y")</f>
        <v>0.33</v>
      </c>
    </row>
    <row r="65" spans="1:27" x14ac:dyDescent="0.25">
      <c r="A65" s="10" t="s">
        <v>758</v>
      </c>
      <c r="B65" s="10" t="s">
        <v>854</v>
      </c>
      <c r="C65" s="13" t="str">
        <f>_xll.BDH("BLUE US Equity","ARDR_INVENTORY","FQ2 2018","FQ2 2018","Currency=USD","Period=FQ","BEST_FPERIOD_OVERRIDE=FQ","FILING_STATUS=MR","SCALING_FORMAT=MLN","Sort=A","Dates=H","DateFormat=P","Fill=—","Direction=H","UseDPDF=Y")</f>
        <v>—</v>
      </c>
      <c r="D65" s="13" t="str">
        <f>_xll.BDH("BLUE US Equity","ARDR_INVENTORY","FQ3 2018","FQ3 2018","Currency=USD","Period=FQ","BEST_FPERIOD_OVERRIDE=FQ","FILING_STATUS=MR","SCALING_FORMAT=MLN","Sort=A","Dates=H","DateFormat=P","Fill=—","Direction=H","UseDPDF=Y")</f>
        <v>—</v>
      </c>
      <c r="E65" s="13" t="str">
        <f>_xll.BDH("BLUE US Equity","ARDR_INVENTORY","FQ4 2018","FQ4 2018","Currency=USD","Period=FQ","BEST_FPERIOD_OVERRIDE=FQ","FILING_STATUS=MR","SCALING_FORMAT=MLN","Sort=A","Dates=H","DateFormat=P","Fill=—","Direction=H","UseDPDF=Y")</f>
        <v>—</v>
      </c>
      <c r="F65" s="13" t="str">
        <f>_xll.BDH("BLUE US Equity","ARDR_INVENTORY","FQ1 2019","FQ1 2019","Currency=USD","Period=FQ","BEST_FPERIOD_OVERRIDE=FQ","FILING_STATUS=MR","SCALING_FORMAT=MLN","Sort=A","Dates=H","DateFormat=P","Fill=—","Direction=H","UseDPDF=Y")</f>
        <v>—</v>
      </c>
      <c r="G65" s="13" t="str">
        <f>_xll.BDH("BLUE US Equity","ARDR_INVENTORY","FQ2 2019","FQ2 2019","Currency=USD","Period=FQ","BEST_FPERIOD_OVERRIDE=FQ","FILING_STATUS=MR","SCALING_FORMAT=MLN","Sort=A","Dates=H","DateFormat=P","Fill=—","Direction=H","UseDPDF=Y")</f>
        <v>—</v>
      </c>
      <c r="H65" s="13" t="str">
        <f>_xll.BDH("BLUE US Equity","ARDR_INVENTORY","FQ3 2019","FQ3 2019","Currency=USD","Period=FQ","BEST_FPERIOD_OVERRIDE=FQ","FILING_STATUS=MR","SCALING_FORMAT=MLN","Sort=A","Dates=H","DateFormat=P","Fill=—","Direction=H","UseDPDF=Y")</f>
        <v>—</v>
      </c>
      <c r="I65" s="13" t="str">
        <f>_xll.BDH("BLUE US Equity","ARDR_INVENTORY","FQ4 2019","FQ4 2019","Currency=USD","Period=FQ","BEST_FPERIOD_OVERRIDE=FQ","FILING_STATUS=MR","SCALING_FORMAT=MLN","Sort=A","Dates=H","DateFormat=P","Fill=—","Direction=H","UseDPDF=Y")</f>
        <v>—</v>
      </c>
      <c r="J65" s="13" t="str">
        <f>_xll.BDH("BLUE US Equity","ARDR_INVENTORY","FQ1 2020","FQ1 2020","Currency=USD","Period=FQ","BEST_FPERIOD_OVERRIDE=FQ","FILING_STATUS=MR","SCALING_FORMAT=MLN","Sort=A","Dates=H","DateFormat=P","Fill=—","Direction=H","UseDPDF=Y")</f>
        <v>—</v>
      </c>
      <c r="K65" s="13" t="str">
        <f>_xll.BDH("BLUE US Equity","ARDR_INVENTORY","FQ2 2020","FQ2 2020","Currency=USD","Period=FQ","BEST_FPERIOD_OVERRIDE=FQ","FILING_STATUS=MR","SCALING_FORMAT=MLN","Sort=A","Dates=H","DateFormat=P","Fill=—","Direction=H","UseDPDF=Y")</f>
        <v>—</v>
      </c>
      <c r="L65" s="13" t="str">
        <f>_xll.BDH("BLUE US Equity","ARDR_INVENTORY","FQ3 2020","FQ3 2020","Currency=USD","Period=FQ","BEST_FPERIOD_OVERRIDE=FQ","FILING_STATUS=MR","SCALING_FORMAT=MLN","Sort=A","Dates=H","DateFormat=P","Fill=—","Direction=H","UseDPDF=Y")</f>
        <v>—</v>
      </c>
      <c r="M65" s="13">
        <f>_xll.BDH("BLUE US Equity","ARDR_INVENTORY","FQ4 2020","FQ4 2020","Currency=USD","Period=FQ","BEST_FPERIOD_OVERRIDE=FQ","FILING_STATUS=MR","SCALING_FORMAT=MLN","Sort=A","Dates=H","DateFormat=P","Fill=—","Direction=H","UseDPDF=Y")</f>
        <v>10.698</v>
      </c>
      <c r="N65" s="13">
        <f>_xll.BDH("BLUE US Equity","ARDR_INVENTORY","FQ1 2021","FQ1 2021","Currency=USD","Period=FQ","BEST_FPERIOD_OVERRIDE=FQ","FILING_STATUS=MR","SCALING_FORMAT=MLN","Sort=A","Dates=H","DateFormat=P","Fill=—","Direction=H","UseDPDF=Y")</f>
        <v>18.079000000000001</v>
      </c>
      <c r="O65" s="13" t="str">
        <f>_xll.BDH("BLUE US Equity","ARDR_INVENTORY","FQ2 2021","FQ2 2021","Currency=USD","Period=FQ","BEST_FPERIOD_OVERRIDE=FQ","FILING_STATUS=MR","SCALING_FORMAT=MLN","Sort=A","Dates=H","DateFormat=P","Fill=—","Direction=H","UseDPDF=Y")</f>
        <v>—</v>
      </c>
      <c r="P65" s="13">
        <f>_xll.BDH("BLUE US Equity","ARDR_INVENTORY","FQ3 2021","FQ3 2021","Currency=USD","Period=FQ","BEST_FPERIOD_OVERRIDE=FQ","FILING_STATUS=MR","SCALING_FORMAT=MLN","Sort=A","Dates=H","DateFormat=P","Fill=—","Direction=H","UseDPDF=Y")</f>
        <v>0.76600000000000001</v>
      </c>
      <c r="Q65" s="13">
        <f>_xll.BDH("BLUE US Equity","ARDR_INVENTORY","FQ4 2021","FQ4 2021","Currency=USD","Period=FQ","BEST_FPERIOD_OVERRIDE=FQ","FILING_STATUS=MR","SCALING_FORMAT=MLN","Sort=A","Dates=H","DateFormat=P","Fill=—","Direction=H","UseDPDF=Y")</f>
        <v>0</v>
      </c>
      <c r="R65" s="13" t="str">
        <f>_xll.BDH("BLUE US Equity","ARDR_INVENTORY","FQ1 2022","FQ1 2022","Currency=USD","Period=FQ","BEST_FPERIOD_OVERRIDE=FQ","FILING_STATUS=MR","SCALING_FORMAT=MLN","Sort=A","Dates=H","DateFormat=P","Fill=—","Direction=H","UseDPDF=Y")</f>
        <v>—</v>
      </c>
      <c r="S65" s="13" t="str">
        <f>_xll.BDH("BLUE US Equity","ARDR_INVENTORY","FQ2 2022","FQ2 2022","Currency=USD","Period=FQ","BEST_FPERIOD_OVERRIDE=FQ","FILING_STATUS=MR","SCALING_FORMAT=MLN","Sort=A","Dates=H","DateFormat=P","Fill=—","Direction=H","UseDPDF=Y")</f>
        <v>—</v>
      </c>
      <c r="T65" s="13" t="str">
        <f>_xll.BDH("BLUE US Equity","ARDR_INVENTORY","FQ3 2022","FQ3 2022","Currency=USD","Period=FQ","BEST_FPERIOD_OVERRIDE=FQ","FILING_STATUS=MR","SCALING_FORMAT=MLN","Sort=A","Dates=H","DateFormat=P","Fill=—","Direction=H","UseDPDF=Y")</f>
        <v>—</v>
      </c>
      <c r="U65" s="13" t="str">
        <f>_xll.BDH("BLUE US Equity","ARDR_INVENTORY","FQ4 2022","FQ4 2022","Currency=USD","Period=FQ","BEST_FPERIOD_OVERRIDE=FQ","FILING_STATUS=MR","SCALING_FORMAT=MLN","Sort=A","Dates=H","DateFormat=P","Fill=—","Direction=H","UseDPDF=Y")</f>
        <v>—</v>
      </c>
      <c r="V65" s="13" t="str">
        <f>_xll.BDH("BLUE US Equity","ARDR_INVENTORY","FQ1 2023","FQ1 2023","Currency=USD","Period=FQ","BEST_FPERIOD_OVERRIDE=FQ","FILING_STATUS=MR","SCALING_FORMAT=MLN","Sort=A","Dates=H","DateFormat=P","Fill=—","Direction=H","UseDPDF=Y")</f>
        <v>—</v>
      </c>
      <c r="W65" s="13" t="str">
        <f>_xll.BDH("BLUE US Equity","ARDR_INVENTORY","FQ2 2023","FQ2 2023","Currency=USD","Period=FQ","BEST_FPERIOD_OVERRIDE=FQ","FILING_STATUS=MR","SCALING_FORMAT=MLN","Sort=A","Dates=H","DateFormat=P","Fill=—","Direction=H","UseDPDF=Y")</f>
        <v>—</v>
      </c>
      <c r="X65" s="13" t="str">
        <f>_xll.BDH("BLUE US Equity","ARDR_INVENTORY","FQ3 2023","FQ3 2023","Currency=USD","Period=FQ","BEST_FPERIOD_OVERRIDE=FQ","FILING_STATUS=MR","SCALING_FORMAT=MLN","Sort=A","Dates=H","DateFormat=P","Fill=—","Direction=H","UseDPDF=Y")</f>
        <v>—</v>
      </c>
      <c r="Y65" s="13">
        <f>_xll.BDH("BLUE US Equity","ARDR_INVENTORY","FQ1 2024","FQ1 2024","Currency=USD","Period=FQ","BEST_FPERIOD_OVERRIDE=FQ","FILING_STATUS=MR","SCALING_FORMAT=MLN","Sort=A","Dates=H","DateFormat=P","Fill=—","Direction=H","UseDPDF=Y")</f>
        <v>30.305</v>
      </c>
      <c r="Z65" s="13">
        <f>_xll.BDH("BLUE US Equity","ARDR_INVENTORY","FQ2 2024","FQ2 2024","Currency=USD","Period=FQ","BEST_FPERIOD_OVERRIDE=FQ","FILING_STATUS=MR","SCALING_FORMAT=MLN","Sort=A","Dates=H","DateFormat=P","Fill=—","Direction=H","UseDPDF=Y")</f>
        <v>33.33</v>
      </c>
      <c r="AA65" s="13">
        <f>_xll.BDH("BLUE US Equity","ARDR_INVENTORY","FQ3 2024","FQ3 2024","Currency=USD","Period=FQ","BEST_FPERIOD_OVERRIDE=FQ","FILING_STATUS=MR","SCALING_FORMAT=MLN","Sort=A","Dates=H","DateFormat=P","Fill=—","Direction=H","UseDPDF=Y")</f>
        <v>53.944000000000003</v>
      </c>
    </row>
    <row r="66" spans="1:27" x14ac:dyDescent="0.25">
      <c r="A66" s="10" t="s">
        <v>855</v>
      </c>
      <c r="B66" s="10" t="s">
        <v>856</v>
      </c>
      <c r="C66" s="13">
        <f>_xll.BDH("BLUE US Equity","ARDR_LAND","FQ2 2018","FQ2 2018","Currency=USD","Period=FQ","BEST_FPERIOD_OVERRIDE=FQ","FILING_STATUS=MR","SCALING_FORMAT=MLN","Sort=A","Dates=H","DateFormat=P","Fill=—","Direction=H","UseDPDF=Y")</f>
        <v>1.21</v>
      </c>
      <c r="D66" s="13">
        <f>_xll.BDH("BLUE US Equity","ARDR_LAND","FQ3 2018","FQ3 2018","Currency=USD","Period=FQ","BEST_FPERIOD_OVERRIDE=FQ","FILING_STATUS=MR","SCALING_FORMAT=MLN","Sort=A","Dates=H","DateFormat=P","Fill=—","Direction=H","UseDPDF=Y")</f>
        <v>1.21</v>
      </c>
      <c r="E66" s="13">
        <f>_xll.BDH("BLUE US Equity","ARDR_LAND","FQ4 2018","FQ4 2018","Currency=USD","Period=FQ","BEST_FPERIOD_OVERRIDE=FQ","FILING_STATUS=MR","SCALING_FORMAT=MLN","Sort=A","Dates=H","DateFormat=P","Fill=—","Direction=H","UseDPDF=Y")</f>
        <v>1.21</v>
      </c>
      <c r="F66" s="13">
        <f>_xll.BDH("BLUE US Equity","ARDR_LAND","FQ1 2019","FQ1 2019","Currency=USD","Period=FQ","BEST_FPERIOD_OVERRIDE=FQ","FILING_STATUS=MR","SCALING_FORMAT=MLN","Sort=A","Dates=H","DateFormat=P","Fill=—","Direction=H","UseDPDF=Y")</f>
        <v>1.21</v>
      </c>
      <c r="G66" s="13">
        <f>_xll.BDH("BLUE US Equity","ARDR_LAND","FQ2 2019","FQ2 2019","Currency=USD","Period=FQ","BEST_FPERIOD_OVERRIDE=FQ","FILING_STATUS=MR","SCALING_FORMAT=MLN","Sort=A","Dates=H","DateFormat=P","Fill=—","Direction=H","UseDPDF=Y")</f>
        <v>1.21</v>
      </c>
      <c r="H66" s="13">
        <f>_xll.BDH("BLUE US Equity","ARDR_LAND","FQ3 2019","FQ3 2019","Currency=USD","Period=FQ","BEST_FPERIOD_OVERRIDE=FQ","FILING_STATUS=MR","SCALING_FORMAT=MLN","Sort=A","Dates=H","DateFormat=P","Fill=—","Direction=H","UseDPDF=Y")</f>
        <v>1.21</v>
      </c>
      <c r="I66" s="13">
        <f>_xll.BDH("BLUE US Equity","ARDR_LAND","FQ4 2019","FQ4 2019","Currency=USD","Period=FQ","BEST_FPERIOD_OVERRIDE=FQ","FILING_STATUS=MR","SCALING_FORMAT=MLN","Sort=A","Dates=H","DateFormat=P","Fill=—","Direction=H","UseDPDF=Y")</f>
        <v>1.21</v>
      </c>
      <c r="J66" s="13">
        <f>_xll.BDH("BLUE US Equity","ARDR_LAND","FQ1 2020","FQ1 2020","Currency=USD","Period=FQ","BEST_FPERIOD_OVERRIDE=FQ","FILING_STATUS=MR","SCALING_FORMAT=MLN","Sort=A","Dates=H","DateFormat=P","Fill=—","Direction=H","UseDPDF=Y")</f>
        <v>1.21</v>
      </c>
      <c r="K66" s="13">
        <f>_xll.BDH("BLUE US Equity","ARDR_LAND","FQ2 2020","FQ2 2020","Currency=USD","Period=FQ","BEST_FPERIOD_OVERRIDE=FQ","FILING_STATUS=MR","SCALING_FORMAT=MLN","Sort=A","Dates=H","DateFormat=P","Fill=—","Direction=H","UseDPDF=Y")</f>
        <v>1.21</v>
      </c>
      <c r="L66" s="13">
        <f>_xll.BDH("BLUE US Equity","ARDR_LAND","FQ3 2020","FQ3 2020","Currency=USD","Period=FQ","BEST_FPERIOD_OVERRIDE=FQ","FILING_STATUS=MR","SCALING_FORMAT=MLN","Sort=A","Dates=H","DateFormat=P","Fill=—","Direction=H","UseDPDF=Y")</f>
        <v>1.21</v>
      </c>
      <c r="M66" s="13" t="str">
        <f>_xll.BDH("BLUE US Equity","ARDR_LAND","FQ4 2020","FQ4 2020","Currency=USD","Period=FQ","BEST_FPERIOD_OVERRIDE=FQ","FILING_STATUS=MR","SCALING_FORMAT=MLN","Sort=A","Dates=H","DateFormat=P","Fill=—","Direction=H","UseDPDF=Y")</f>
        <v>—</v>
      </c>
      <c r="N66" s="13">
        <f>_xll.BDH("BLUE US Equity","ARDR_LAND","FQ1 2021","FQ1 2021","Currency=USD","Period=FQ","BEST_FPERIOD_OVERRIDE=FQ","FILING_STATUS=MR","SCALING_FORMAT=MLN","Sort=A","Dates=H","DateFormat=P","Fill=—","Direction=H","UseDPDF=Y")</f>
        <v>1.21</v>
      </c>
      <c r="O66" s="13">
        <f>_xll.BDH("BLUE US Equity","ARDR_LAND","FQ2 2021","FQ2 2021","Currency=USD","Period=FQ","BEST_FPERIOD_OVERRIDE=FQ","FILING_STATUS=MR","SCALING_FORMAT=MLN","Sort=A","Dates=H","DateFormat=P","Fill=—","Direction=H","UseDPDF=Y")</f>
        <v>1.21</v>
      </c>
      <c r="P66" s="13">
        <f>_xll.BDH("BLUE US Equity","ARDR_LAND","FQ3 2021","FQ3 2021","Currency=USD","Period=FQ","BEST_FPERIOD_OVERRIDE=FQ","FILING_STATUS=MR","SCALING_FORMAT=MLN","Sort=A","Dates=H","DateFormat=P","Fill=—","Direction=H","UseDPDF=Y")</f>
        <v>0</v>
      </c>
      <c r="Q66" s="13" t="str">
        <f>_xll.BDH("BLUE US Equity","ARDR_LAND","FQ4 2021","FQ4 2021","Currency=USD","Period=FQ","BEST_FPERIOD_OVERRIDE=FQ","FILING_STATUS=MR","SCALING_FORMAT=MLN","Sort=A","Dates=H","DateFormat=P","Fill=—","Direction=H","UseDPDF=Y")</f>
        <v>—</v>
      </c>
      <c r="R66" s="13" t="str">
        <f>_xll.BDH("BLUE US Equity","ARDR_LAND","FQ1 2022","FQ1 2022","Currency=USD","Period=FQ","BEST_FPERIOD_OVERRIDE=FQ","FILING_STATUS=MR","SCALING_FORMAT=MLN","Sort=A","Dates=H","DateFormat=P","Fill=—","Direction=H","UseDPDF=Y")</f>
        <v>—</v>
      </c>
      <c r="S66" s="13" t="str">
        <f>_xll.BDH("BLUE US Equity","ARDR_LAND","FQ2 2022","FQ2 2022","Currency=USD","Period=FQ","BEST_FPERIOD_OVERRIDE=FQ","FILING_STATUS=MR","SCALING_FORMAT=MLN","Sort=A","Dates=H","DateFormat=P","Fill=—","Direction=H","UseDPDF=Y")</f>
        <v>—</v>
      </c>
      <c r="T66" s="13" t="str">
        <f>_xll.BDH("BLUE US Equity","ARDR_LAND","FQ3 2022","FQ3 2022","Currency=USD","Period=FQ","BEST_FPERIOD_OVERRIDE=FQ","FILING_STATUS=MR","SCALING_FORMAT=MLN","Sort=A","Dates=H","DateFormat=P","Fill=—","Direction=H","UseDPDF=Y")</f>
        <v>—</v>
      </c>
      <c r="U66" s="13" t="str">
        <f>_xll.BDH("BLUE US Equity","ARDR_LAND","FQ4 2022","FQ4 2022","Currency=USD","Period=FQ","BEST_FPERIOD_OVERRIDE=FQ","FILING_STATUS=MR","SCALING_FORMAT=MLN","Sort=A","Dates=H","DateFormat=P","Fill=—","Direction=H","UseDPDF=Y")</f>
        <v>—</v>
      </c>
      <c r="V66" s="13" t="str">
        <f>_xll.BDH("BLUE US Equity","ARDR_LAND","FQ1 2023","FQ1 2023","Currency=USD","Period=FQ","BEST_FPERIOD_OVERRIDE=FQ","FILING_STATUS=MR","SCALING_FORMAT=MLN","Sort=A","Dates=H","DateFormat=P","Fill=—","Direction=H","UseDPDF=Y")</f>
        <v>—</v>
      </c>
      <c r="W66" s="13" t="str">
        <f>_xll.BDH("BLUE US Equity","ARDR_LAND","FQ2 2023","FQ2 2023","Currency=USD","Period=FQ","BEST_FPERIOD_OVERRIDE=FQ","FILING_STATUS=MR","SCALING_FORMAT=MLN","Sort=A","Dates=H","DateFormat=P","Fill=—","Direction=H","UseDPDF=Y")</f>
        <v>—</v>
      </c>
      <c r="X66" s="13" t="str">
        <f>_xll.BDH("BLUE US Equity","ARDR_LAND","FQ3 2023","FQ3 2023","Currency=USD","Period=FQ","BEST_FPERIOD_OVERRIDE=FQ","FILING_STATUS=MR","SCALING_FORMAT=MLN","Sort=A","Dates=H","DateFormat=P","Fill=—","Direction=H","UseDPDF=Y")</f>
        <v>—</v>
      </c>
      <c r="Y66" s="13" t="str">
        <f>_xll.BDH("BLUE US Equity","ARDR_LAND","FQ1 2024","FQ1 2024","Currency=USD","Period=FQ","BEST_FPERIOD_OVERRIDE=FQ","FILING_STATUS=MR","SCALING_FORMAT=MLN","Sort=A","Dates=H","DateFormat=P","Fill=—","Direction=H","UseDPDF=Y")</f>
        <v>—</v>
      </c>
      <c r="Z66" s="13" t="str">
        <f>_xll.BDH("BLUE US Equity","ARDR_LAND","FQ2 2024","FQ2 2024","Currency=USD","Period=FQ","BEST_FPERIOD_OVERRIDE=FQ","FILING_STATUS=MR","SCALING_FORMAT=MLN","Sort=A","Dates=H","DateFormat=P","Fill=—","Direction=H","UseDPDF=Y")</f>
        <v>—</v>
      </c>
      <c r="AA66" s="13" t="str">
        <f>_xll.BDH("BLUE US Equity","ARDR_LAND","FQ3 2024","FQ3 2024","Currency=USD","Period=FQ","BEST_FPERIOD_OVERRIDE=FQ","FILING_STATUS=MR","SCALING_FORMAT=MLN","Sort=A","Dates=H","DateFormat=P","Fill=—","Direction=H","UseDPDF=Y")</f>
        <v>—</v>
      </c>
    </row>
    <row r="67" spans="1:27" x14ac:dyDescent="0.25">
      <c r="A67" s="10" t="s">
        <v>857</v>
      </c>
      <c r="B67" s="10" t="s">
        <v>858</v>
      </c>
      <c r="C67" s="13">
        <f>_xll.BDH("BLUE US Equity","ARDR_BUILDING","FQ2 2018","FQ2 2018","Currency=USD","Period=FQ","BEST_FPERIOD_OVERRIDE=FQ","FILING_STATUS=MR","SCALING_FORMAT=MLN","Sort=A","Dates=H","DateFormat=P","Fill=—","Direction=H","UseDPDF=Y")</f>
        <v>167.155</v>
      </c>
      <c r="D67" s="13">
        <f>_xll.BDH("BLUE US Equity","ARDR_BUILDING","FQ3 2018","FQ3 2018","Currency=USD","Period=FQ","BEST_FPERIOD_OVERRIDE=FQ","FILING_STATUS=MR","SCALING_FORMAT=MLN","Sort=A","Dates=H","DateFormat=P","Fill=—","Direction=H","UseDPDF=Y")</f>
        <v>179.75399999999999</v>
      </c>
      <c r="E67" s="13">
        <f>_xll.BDH("BLUE US Equity","ARDR_BUILDING","FQ4 2018","FQ4 2018","Currency=USD","Period=FQ","BEST_FPERIOD_OVERRIDE=FQ","FILING_STATUS=MR","SCALING_FORMAT=MLN","Sort=A","Dates=H","DateFormat=P","Fill=—","Direction=H","UseDPDF=Y")</f>
        <v>180.09399999999999</v>
      </c>
      <c r="F67" s="13">
        <f>_xll.BDH("BLUE US Equity","ARDR_BUILDING","FQ1 2019","FQ1 2019","Currency=USD","Period=FQ","BEST_FPERIOD_OVERRIDE=FQ","FILING_STATUS=MR","SCALING_FORMAT=MLN","Sort=A","Dates=H","DateFormat=P","Fill=—","Direction=H","UseDPDF=Y")</f>
        <v>14.913</v>
      </c>
      <c r="G67" s="13">
        <f>_xll.BDH("BLUE US Equity","ARDR_BUILDING","FQ2 2019","FQ2 2019","Currency=USD","Period=FQ","BEST_FPERIOD_OVERRIDE=FQ","FILING_STATUS=MR","SCALING_FORMAT=MLN","Sort=A","Dates=H","DateFormat=P","Fill=—","Direction=H","UseDPDF=Y")</f>
        <v>14.913</v>
      </c>
      <c r="H67" s="13">
        <f>_xll.BDH("BLUE US Equity","ARDR_BUILDING","FQ3 2019","FQ3 2019","Currency=USD","Period=FQ","BEST_FPERIOD_OVERRIDE=FQ","FILING_STATUS=MR","SCALING_FORMAT=MLN","Sort=A","Dates=H","DateFormat=P","Fill=—","Direction=H","UseDPDF=Y")</f>
        <v>15.31</v>
      </c>
      <c r="I67" s="13">
        <f>_xll.BDH("BLUE US Equity","ARDR_BUILDING","FQ4 2019","FQ4 2019","Currency=USD","Period=FQ","BEST_FPERIOD_OVERRIDE=FQ","FILING_STATUS=MR","SCALING_FORMAT=MLN","Sort=A","Dates=H","DateFormat=P","Fill=—","Direction=H","UseDPDF=Y")</f>
        <v>15.664</v>
      </c>
      <c r="J67" s="13">
        <f>_xll.BDH("BLUE US Equity","ARDR_BUILDING","FQ1 2020","FQ1 2020","Currency=USD","Period=FQ","BEST_FPERIOD_OVERRIDE=FQ","FILING_STATUS=MR","SCALING_FORMAT=MLN","Sort=A","Dates=H","DateFormat=P","Fill=—","Direction=H","UseDPDF=Y")</f>
        <v>15.744999999999999</v>
      </c>
      <c r="K67" s="13">
        <f>_xll.BDH("BLUE US Equity","ARDR_BUILDING","FQ2 2020","FQ2 2020","Currency=USD","Period=FQ","BEST_FPERIOD_OVERRIDE=FQ","FILING_STATUS=MR","SCALING_FORMAT=MLN","Sort=A","Dates=H","DateFormat=P","Fill=—","Direction=H","UseDPDF=Y")</f>
        <v>15.744999999999999</v>
      </c>
      <c r="L67" s="13">
        <f>_xll.BDH("BLUE US Equity","ARDR_BUILDING","FQ3 2020","FQ3 2020","Currency=USD","Period=FQ","BEST_FPERIOD_OVERRIDE=FQ","FILING_STATUS=MR","SCALING_FORMAT=MLN","Sort=A","Dates=H","DateFormat=P","Fill=—","Direction=H","UseDPDF=Y")</f>
        <v>15.744999999999999</v>
      </c>
      <c r="M67" s="13" t="str">
        <f>_xll.BDH("BLUE US Equity","ARDR_BUILDING","FQ4 2020","FQ4 2020","Currency=USD","Period=FQ","BEST_FPERIOD_OVERRIDE=FQ","FILING_STATUS=MR","SCALING_FORMAT=MLN","Sort=A","Dates=H","DateFormat=P","Fill=—","Direction=H","UseDPDF=Y")</f>
        <v>—</v>
      </c>
      <c r="N67" s="13">
        <f>_xll.BDH("BLUE US Equity","ARDR_BUILDING","FQ1 2021","FQ1 2021","Currency=USD","Period=FQ","BEST_FPERIOD_OVERRIDE=FQ","FILING_STATUS=MR","SCALING_FORMAT=MLN","Sort=A","Dates=H","DateFormat=P","Fill=—","Direction=H","UseDPDF=Y")</f>
        <v>88.590999999999994</v>
      </c>
      <c r="O67" s="13">
        <f>_xll.BDH("BLUE US Equity","ARDR_BUILDING","FQ2 2021","FQ2 2021","Currency=USD","Period=FQ","BEST_FPERIOD_OVERRIDE=FQ","FILING_STATUS=MR","SCALING_FORMAT=MLN","Sort=A","Dates=H","DateFormat=P","Fill=—","Direction=H","UseDPDF=Y")</f>
        <v>88.941999999999993</v>
      </c>
      <c r="P67" s="13">
        <f>_xll.BDH("BLUE US Equity","ARDR_BUILDING","FQ3 2021","FQ3 2021","Currency=USD","Period=FQ","BEST_FPERIOD_OVERRIDE=FQ","FILING_STATUS=MR","SCALING_FORMAT=MLN","Sort=A","Dates=H","DateFormat=P","Fill=—","Direction=H","UseDPDF=Y")</f>
        <v>0</v>
      </c>
      <c r="Q67" s="13" t="str">
        <f>_xll.BDH("BLUE US Equity","ARDR_BUILDING","FQ4 2021","FQ4 2021","Currency=USD","Period=FQ","BEST_FPERIOD_OVERRIDE=FQ","FILING_STATUS=MR","SCALING_FORMAT=MLN","Sort=A","Dates=H","DateFormat=P","Fill=—","Direction=H","UseDPDF=Y")</f>
        <v>—</v>
      </c>
      <c r="R67" s="13" t="str">
        <f>_xll.BDH("BLUE US Equity","ARDR_BUILDING","FQ1 2022","FQ1 2022","Currency=USD","Period=FQ","BEST_FPERIOD_OVERRIDE=FQ","FILING_STATUS=MR","SCALING_FORMAT=MLN","Sort=A","Dates=H","DateFormat=P","Fill=—","Direction=H","UseDPDF=Y")</f>
        <v>—</v>
      </c>
      <c r="S67" s="13" t="str">
        <f>_xll.BDH("BLUE US Equity","ARDR_BUILDING","FQ2 2022","FQ2 2022","Currency=USD","Period=FQ","BEST_FPERIOD_OVERRIDE=FQ","FILING_STATUS=MR","SCALING_FORMAT=MLN","Sort=A","Dates=H","DateFormat=P","Fill=—","Direction=H","UseDPDF=Y")</f>
        <v>—</v>
      </c>
      <c r="T67" s="13" t="str">
        <f>_xll.BDH("BLUE US Equity","ARDR_BUILDING","FQ3 2022","FQ3 2022","Currency=USD","Period=FQ","BEST_FPERIOD_OVERRIDE=FQ","FILING_STATUS=MR","SCALING_FORMAT=MLN","Sort=A","Dates=H","DateFormat=P","Fill=—","Direction=H","UseDPDF=Y")</f>
        <v>—</v>
      </c>
      <c r="U67" s="13" t="str">
        <f>_xll.BDH("BLUE US Equity","ARDR_BUILDING","FQ4 2022","FQ4 2022","Currency=USD","Period=FQ","BEST_FPERIOD_OVERRIDE=FQ","FILING_STATUS=MR","SCALING_FORMAT=MLN","Sort=A","Dates=H","DateFormat=P","Fill=—","Direction=H","UseDPDF=Y")</f>
        <v>—</v>
      </c>
      <c r="V67" s="13" t="str">
        <f>_xll.BDH("BLUE US Equity","ARDR_BUILDING","FQ1 2023","FQ1 2023","Currency=USD","Period=FQ","BEST_FPERIOD_OVERRIDE=FQ","FILING_STATUS=MR","SCALING_FORMAT=MLN","Sort=A","Dates=H","DateFormat=P","Fill=—","Direction=H","UseDPDF=Y")</f>
        <v>—</v>
      </c>
      <c r="W67" s="13" t="str">
        <f>_xll.BDH("BLUE US Equity","ARDR_BUILDING","FQ2 2023","FQ2 2023","Currency=USD","Period=FQ","BEST_FPERIOD_OVERRIDE=FQ","FILING_STATUS=MR","SCALING_FORMAT=MLN","Sort=A","Dates=H","DateFormat=P","Fill=—","Direction=H","UseDPDF=Y")</f>
        <v>—</v>
      </c>
      <c r="X67" s="13" t="str">
        <f>_xll.BDH("BLUE US Equity","ARDR_BUILDING","FQ3 2023","FQ3 2023","Currency=USD","Period=FQ","BEST_FPERIOD_OVERRIDE=FQ","FILING_STATUS=MR","SCALING_FORMAT=MLN","Sort=A","Dates=H","DateFormat=P","Fill=—","Direction=H","UseDPDF=Y")</f>
        <v>—</v>
      </c>
      <c r="Y67" s="13" t="str">
        <f>_xll.BDH("BLUE US Equity","ARDR_BUILDING","FQ1 2024","FQ1 2024","Currency=USD","Period=FQ","BEST_FPERIOD_OVERRIDE=FQ","FILING_STATUS=MR","SCALING_FORMAT=MLN","Sort=A","Dates=H","DateFormat=P","Fill=—","Direction=H","UseDPDF=Y")</f>
        <v>—</v>
      </c>
      <c r="Z67" s="13" t="str">
        <f>_xll.BDH("BLUE US Equity","ARDR_BUILDING","FQ2 2024","FQ2 2024","Currency=USD","Period=FQ","BEST_FPERIOD_OVERRIDE=FQ","FILING_STATUS=MR","SCALING_FORMAT=MLN","Sort=A","Dates=H","DateFormat=P","Fill=—","Direction=H","UseDPDF=Y")</f>
        <v>—</v>
      </c>
      <c r="AA67" s="13" t="str">
        <f>_xll.BDH("BLUE US Equity","ARDR_BUILDING","FQ3 2024","FQ3 2024","Currency=USD","Period=FQ","BEST_FPERIOD_OVERRIDE=FQ","FILING_STATUS=MR","SCALING_FORMAT=MLN","Sort=A","Dates=H","DateFormat=P","Fill=—","Direction=H","UseDPDF=Y")</f>
        <v>—</v>
      </c>
    </row>
    <row r="68" spans="1:27" x14ac:dyDescent="0.25">
      <c r="A68" s="10" t="s">
        <v>859</v>
      </c>
      <c r="B68" s="10" t="s">
        <v>860</v>
      </c>
      <c r="C68" s="13">
        <f>_xll.BDH("BLUE US Equity","ARDR_LEASEHOLD_IMPROVEMENTS","FQ2 2018","FQ2 2018","Currency=USD","Period=FQ","BEST_FPERIOD_OVERRIDE=FQ","FILING_STATUS=MR","SCALING_FORMAT=MLN","Sort=A","Dates=H","DateFormat=P","Fill=—","Direction=H","UseDPDF=Y")</f>
        <v>0.27200000000000002</v>
      </c>
      <c r="D68" s="13">
        <f>_xll.BDH("BLUE US Equity","ARDR_LEASEHOLD_IMPROVEMENTS","FQ3 2018","FQ3 2018","Currency=USD","Period=FQ","BEST_FPERIOD_OVERRIDE=FQ","FILING_STATUS=MR","SCALING_FORMAT=MLN","Sort=A","Dates=H","DateFormat=P","Fill=—","Direction=H","UseDPDF=Y")</f>
        <v>0.115</v>
      </c>
      <c r="E68" s="13">
        <f>_xll.BDH("BLUE US Equity","ARDR_LEASEHOLD_IMPROVEMENTS","FQ4 2018","FQ4 2018","Currency=USD","Period=FQ","BEST_FPERIOD_OVERRIDE=FQ","FILING_STATUS=MR","SCALING_FORMAT=MLN","Sort=A","Dates=H","DateFormat=P","Fill=—","Direction=H","UseDPDF=Y")</f>
        <v>0.183</v>
      </c>
      <c r="F68" s="13">
        <f>_xll.BDH("BLUE US Equity","ARDR_LEASEHOLD_IMPROVEMENTS","FQ1 2019","FQ1 2019","Currency=USD","Period=FQ","BEST_FPERIOD_OVERRIDE=FQ","FILING_STATUS=MR","SCALING_FORMAT=MLN","Sort=A","Dates=H","DateFormat=P","Fill=—","Direction=H","UseDPDF=Y")</f>
        <v>12.324999999999999</v>
      </c>
      <c r="G68" s="13">
        <f>_xll.BDH("BLUE US Equity","ARDR_LEASEHOLD_IMPROVEMENTS","FQ2 2019","FQ2 2019","Currency=USD","Period=FQ","BEST_FPERIOD_OVERRIDE=FQ","FILING_STATUS=MR","SCALING_FORMAT=MLN","Sort=A","Dates=H","DateFormat=P","Fill=—","Direction=H","UseDPDF=Y")</f>
        <v>21.597999999999999</v>
      </c>
      <c r="H68" s="13">
        <f>_xll.BDH("BLUE US Equity","ARDR_LEASEHOLD_IMPROVEMENTS","FQ3 2019","FQ3 2019","Currency=USD","Period=FQ","BEST_FPERIOD_OVERRIDE=FQ","FILING_STATUS=MR","SCALING_FORMAT=MLN","Sort=A","Dates=H","DateFormat=P","Fill=—","Direction=H","UseDPDF=Y")</f>
        <v>28.38</v>
      </c>
      <c r="I68" s="13">
        <f>_xll.BDH("BLUE US Equity","ARDR_LEASEHOLD_IMPROVEMENTS","FQ4 2019","FQ4 2019","Currency=USD","Period=FQ","BEST_FPERIOD_OVERRIDE=FQ","FILING_STATUS=MR","SCALING_FORMAT=MLN","Sort=A","Dates=H","DateFormat=P","Fill=—","Direction=H","UseDPDF=Y")</f>
        <v>33.787999999999997</v>
      </c>
      <c r="J68" s="13">
        <f>_xll.BDH("BLUE US Equity","ARDR_LEASEHOLD_IMPROVEMENTS","FQ1 2020","FQ1 2020","Currency=USD","Period=FQ","BEST_FPERIOD_OVERRIDE=FQ","FILING_STATUS=MR","SCALING_FORMAT=MLN","Sort=A","Dates=H","DateFormat=P","Fill=—","Direction=H","UseDPDF=Y")</f>
        <v>33.953000000000003</v>
      </c>
      <c r="K68" s="13">
        <f>_xll.BDH("BLUE US Equity","ARDR_LEASEHOLD_IMPROVEMENTS","FQ2 2020","FQ2 2020","Currency=USD","Period=FQ","BEST_FPERIOD_OVERRIDE=FQ","FILING_STATUS=MR","SCALING_FORMAT=MLN","Sort=A","Dates=H","DateFormat=P","Fill=—","Direction=H","UseDPDF=Y")</f>
        <v>34.018999999999998</v>
      </c>
      <c r="L68" s="13">
        <f>_xll.BDH("BLUE US Equity","ARDR_LEASEHOLD_IMPROVEMENTS","FQ3 2020","FQ3 2020","Currency=USD","Period=FQ","BEST_FPERIOD_OVERRIDE=FQ","FILING_STATUS=MR","SCALING_FORMAT=MLN","Sort=A","Dates=H","DateFormat=P","Fill=—","Direction=H","UseDPDF=Y")</f>
        <v>34.103999999999999</v>
      </c>
      <c r="M68" s="13">
        <f>_xll.BDH("BLUE US Equity","ARDR_LEASEHOLD_IMPROVEMENTS","FQ4 2020","FQ4 2020","Currency=USD","Period=FQ","BEST_FPERIOD_OVERRIDE=FQ","FILING_STATUS=MR","SCALING_FORMAT=MLN","Sort=A","Dates=H","DateFormat=P","Fill=—","Direction=H","UseDPDF=Y")</f>
        <v>5.9489999999999998</v>
      </c>
      <c r="N68" s="13">
        <f>_xll.BDH("BLUE US Equity","ARDR_LEASEHOLD_IMPROVEMENTS","FQ1 2021","FQ1 2021","Currency=USD","Period=FQ","BEST_FPERIOD_OVERRIDE=FQ","FILING_STATUS=MR","SCALING_FORMAT=MLN","Sort=A","Dates=H","DateFormat=P","Fill=—","Direction=H","UseDPDF=Y")</f>
        <v>34.103999999999999</v>
      </c>
      <c r="O68" s="13">
        <f>_xll.BDH("BLUE US Equity","ARDR_LEASEHOLD_IMPROVEMENTS","FQ2 2021","FQ2 2021","Currency=USD","Period=FQ","BEST_FPERIOD_OVERRIDE=FQ","FILING_STATUS=MR","SCALING_FORMAT=MLN","Sort=A","Dates=H","DateFormat=P","Fill=—","Direction=H","UseDPDF=Y")</f>
        <v>31.259</v>
      </c>
      <c r="P68" s="13">
        <f>_xll.BDH("BLUE US Equity","ARDR_LEASEHOLD_IMPROVEMENTS","FQ3 2021","FQ3 2021","Currency=USD","Period=FQ","BEST_FPERIOD_OVERRIDE=FQ","FILING_STATUS=MR","SCALING_FORMAT=MLN","Sort=A","Dates=H","DateFormat=P","Fill=—","Direction=H","UseDPDF=Y")</f>
        <v>31.579000000000001</v>
      </c>
      <c r="Q68" s="13">
        <f>_xll.BDH("BLUE US Equity","ARDR_LEASEHOLD_IMPROVEMENTS","FQ4 2021","FQ4 2021","Currency=USD","Period=FQ","BEST_FPERIOD_OVERRIDE=FQ","FILING_STATUS=MR","SCALING_FORMAT=MLN","Sort=A","Dates=H","DateFormat=P","Fill=—","Direction=H","UseDPDF=Y")</f>
        <v>1.2E-2</v>
      </c>
      <c r="R68" s="13">
        <f>_xll.BDH("BLUE US Equity","ARDR_LEASEHOLD_IMPROVEMENTS","FQ1 2022","FQ1 2022","Currency=USD","Period=FQ","BEST_FPERIOD_OVERRIDE=FQ","FILING_STATUS=MR","SCALING_FORMAT=MLN","Sort=A","Dates=H","DateFormat=P","Fill=—","Direction=H","UseDPDF=Y")</f>
        <v>1.2E-2</v>
      </c>
      <c r="S68" s="13">
        <f>_xll.BDH("BLUE US Equity","ARDR_LEASEHOLD_IMPROVEMENTS","FQ2 2022","FQ2 2022","Currency=USD","Period=FQ","BEST_FPERIOD_OVERRIDE=FQ","FILING_STATUS=MR","SCALING_FORMAT=MLN","Sort=A","Dates=H","DateFormat=P","Fill=—","Direction=H","UseDPDF=Y")</f>
        <v>0</v>
      </c>
      <c r="T68" s="13">
        <f>_xll.BDH("BLUE US Equity","ARDR_LEASEHOLD_IMPROVEMENTS","FQ3 2022","FQ3 2022","Currency=USD","Period=FQ","BEST_FPERIOD_OVERRIDE=FQ","FILING_STATUS=MR","SCALING_FORMAT=MLN","Sort=A","Dates=H","DateFormat=P","Fill=—","Direction=H","UseDPDF=Y")</f>
        <v>0</v>
      </c>
      <c r="U68" s="13">
        <f>_xll.BDH("BLUE US Equity","ARDR_LEASEHOLD_IMPROVEMENTS","FQ4 2022","FQ4 2022","Currency=USD","Period=FQ","BEST_FPERIOD_OVERRIDE=FQ","FILING_STATUS=MR","SCALING_FORMAT=MLN","Sort=A","Dates=H","DateFormat=P","Fill=—","Direction=H","UseDPDF=Y")</f>
        <v>0</v>
      </c>
      <c r="V68" s="13">
        <f>_xll.BDH("BLUE US Equity","ARDR_LEASEHOLD_IMPROVEMENTS","FQ1 2023","FQ1 2023","Currency=USD","Period=FQ","BEST_FPERIOD_OVERRIDE=FQ","FILING_STATUS=MR","SCALING_FORMAT=MLN","Sort=A","Dates=H","DateFormat=P","Fill=—","Direction=H","UseDPDF=Y")</f>
        <v>0</v>
      </c>
      <c r="W68" s="13" t="str">
        <f>_xll.BDH("BLUE US Equity","ARDR_LEASEHOLD_IMPROVEMENTS","FQ2 2023","FQ2 2023","Currency=USD","Period=FQ","BEST_FPERIOD_OVERRIDE=FQ","FILING_STATUS=MR","SCALING_FORMAT=MLN","Sort=A","Dates=H","DateFormat=P","Fill=—","Direction=H","UseDPDF=Y")</f>
        <v>—</v>
      </c>
      <c r="X68" s="13">
        <f>_xll.BDH("BLUE US Equity","ARDR_LEASEHOLD_IMPROVEMENTS","FQ3 2023","FQ3 2023","Currency=USD","Period=FQ","BEST_FPERIOD_OVERRIDE=FQ","FILING_STATUS=MR","SCALING_FORMAT=MLN","Sort=A","Dates=H","DateFormat=P","Fill=—","Direction=H","UseDPDF=Y")</f>
        <v>1.1399999999999999</v>
      </c>
      <c r="Y68" s="13" t="str">
        <f>_xll.BDH("BLUE US Equity","ARDR_LEASEHOLD_IMPROVEMENTS","FQ1 2024","FQ1 2024","Currency=USD","Period=FQ","BEST_FPERIOD_OVERRIDE=FQ","FILING_STATUS=MR","SCALING_FORMAT=MLN","Sort=A","Dates=H","DateFormat=P","Fill=—","Direction=H","UseDPDF=Y")</f>
        <v>—</v>
      </c>
      <c r="Z68" s="13" t="str">
        <f>_xll.BDH("BLUE US Equity","ARDR_LEASEHOLD_IMPROVEMENTS","FQ2 2024","FQ2 2024","Currency=USD","Period=FQ","BEST_FPERIOD_OVERRIDE=FQ","FILING_STATUS=MR","SCALING_FORMAT=MLN","Sort=A","Dates=H","DateFormat=P","Fill=—","Direction=H","UseDPDF=Y")</f>
        <v>—</v>
      </c>
      <c r="AA68" s="13" t="str">
        <f>_xll.BDH("BLUE US Equity","ARDR_LEASEHOLD_IMPROVEMENTS","FQ3 2024","FQ3 2024","Currency=USD","Period=FQ","BEST_FPERIOD_OVERRIDE=FQ","FILING_STATUS=MR","SCALING_FORMAT=MLN","Sort=A","Dates=H","DateFormat=P","Fill=—","Direction=H","UseDPDF=Y")</f>
        <v>—</v>
      </c>
    </row>
    <row r="69" spans="1:27" x14ac:dyDescent="0.25">
      <c r="A69" s="10" t="s">
        <v>861</v>
      </c>
      <c r="B69" s="10" t="s">
        <v>862</v>
      </c>
      <c r="C69" s="13">
        <f>_xll.BDH("BLUE US Equity","ARDR_CONSTRUCTION_IN_PROGRESS","FQ2 2018","FQ2 2018","Currency=USD","Period=FQ","BEST_FPERIOD_OVERRIDE=FQ","FILING_STATUS=MR","SCALING_FORMAT=MLN","Sort=A","Dates=H","DateFormat=P","Fill=—","Direction=H","UseDPDF=Y")</f>
        <v>31.876000000000001</v>
      </c>
      <c r="D69" s="13">
        <f>_xll.BDH("BLUE US Equity","ARDR_CONSTRUCTION_IN_PROGRESS","FQ3 2018","FQ3 2018","Currency=USD","Period=FQ","BEST_FPERIOD_OVERRIDE=FQ","FILING_STATUS=MR","SCALING_FORMAT=MLN","Sort=A","Dates=H","DateFormat=P","Fill=—","Direction=H","UseDPDF=Y")</f>
        <v>33.103000000000002</v>
      </c>
      <c r="E69" s="13">
        <f>_xll.BDH("BLUE US Equity","ARDR_CONSTRUCTION_IN_PROGRESS","FQ4 2018","FQ4 2018","Currency=USD","Period=FQ","BEST_FPERIOD_OVERRIDE=FQ","FILING_STATUS=MR","SCALING_FORMAT=MLN","Sort=A","Dates=H","DateFormat=P","Fill=—","Direction=H","UseDPDF=Y")</f>
        <v>46.668999999999997</v>
      </c>
      <c r="F69" s="13">
        <f>_xll.BDH("BLUE US Equity","ARDR_CONSTRUCTION_IN_PROGRESS","FQ1 2019","FQ1 2019","Currency=USD","Period=FQ","BEST_FPERIOD_OVERRIDE=FQ","FILING_STATUS=MR","SCALING_FORMAT=MLN","Sort=A","Dates=H","DateFormat=P","Fill=—","Direction=H","UseDPDF=Y")</f>
        <v>60.765999999999998</v>
      </c>
      <c r="G69" s="13">
        <f>_xll.BDH("BLUE US Equity","ARDR_CONSTRUCTION_IN_PROGRESS","FQ2 2019","FQ2 2019","Currency=USD","Period=FQ","BEST_FPERIOD_OVERRIDE=FQ","FILING_STATUS=MR","SCALING_FORMAT=MLN","Sort=A","Dates=H","DateFormat=P","Fill=—","Direction=H","UseDPDF=Y")</f>
        <v>67.47</v>
      </c>
      <c r="H69" s="13">
        <f>_xll.BDH("BLUE US Equity","ARDR_CONSTRUCTION_IN_PROGRESS","FQ3 2019","FQ3 2019","Currency=USD","Period=FQ","BEST_FPERIOD_OVERRIDE=FQ","FILING_STATUS=MR","SCALING_FORMAT=MLN","Sort=A","Dates=H","DateFormat=P","Fill=—","Direction=H","UseDPDF=Y")</f>
        <v>76.177999999999997</v>
      </c>
      <c r="I69" s="13">
        <f>_xll.BDH("BLUE US Equity","ARDR_CONSTRUCTION_IN_PROGRESS","FQ4 2019","FQ4 2019","Currency=USD","Period=FQ","BEST_FPERIOD_OVERRIDE=FQ","FILING_STATUS=MR","SCALING_FORMAT=MLN","Sort=A","Dates=H","DateFormat=P","Fill=—","Direction=H","UseDPDF=Y")</f>
        <v>77.980999999999995</v>
      </c>
      <c r="J69" s="13">
        <f>_xll.BDH("BLUE US Equity","ARDR_CONSTRUCTION_IN_PROGRESS","FQ1 2020","FQ1 2020","Currency=USD","Period=FQ","BEST_FPERIOD_OVERRIDE=FQ","FILING_STATUS=MR","SCALING_FORMAT=MLN","Sort=A","Dates=H","DateFormat=P","Fill=—","Direction=H","UseDPDF=Y")</f>
        <v>82.048000000000002</v>
      </c>
      <c r="K69" s="13">
        <f>_xll.BDH("BLUE US Equity","ARDR_CONSTRUCTION_IN_PROGRESS","FQ2 2020","FQ2 2020","Currency=USD","Period=FQ","BEST_FPERIOD_OVERRIDE=FQ","FILING_STATUS=MR","SCALING_FORMAT=MLN","Sort=A","Dates=H","DateFormat=P","Fill=—","Direction=H","UseDPDF=Y")</f>
        <v>86.26</v>
      </c>
      <c r="L69" s="13">
        <f>_xll.BDH("BLUE US Equity","ARDR_CONSTRUCTION_IN_PROGRESS","FQ3 2020","FQ3 2020","Currency=USD","Period=FQ","BEST_FPERIOD_OVERRIDE=FQ","FILING_STATUS=MR","SCALING_FORMAT=MLN","Sort=A","Dates=H","DateFormat=P","Fill=—","Direction=H","UseDPDF=Y")</f>
        <v>86.858000000000004</v>
      </c>
      <c r="M69" s="13">
        <f>_xll.BDH("BLUE US Equity","ARDR_CONSTRUCTION_IN_PROGRESS","FQ4 2020","FQ4 2020","Currency=USD","Period=FQ","BEST_FPERIOD_OVERRIDE=FQ","FILING_STATUS=MR","SCALING_FORMAT=MLN","Sort=A","Dates=H","DateFormat=P","Fill=—","Direction=H","UseDPDF=Y")</f>
        <v>0.89500000000000002</v>
      </c>
      <c r="N69" s="13">
        <f>_xll.BDH("BLUE US Equity","ARDR_CONSTRUCTION_IN_PROGRESS","FQ1 2021","FQ1 2021","Currency=USD","Period=FQ","BEST_FPERIOD_OVERRIDE=FQ","FILING_STATUS=MR","SCALING_FORMAT=MLN","Sort=A","Dates=H","DateFormat=P","Fill=—","Direction=H","UseDPDF=Y")</f>
        <v>14.939</v>
      </c>
      <c r="O69" s="13">
        <f>_xll.BDH("BLUE US Equity","ARDR_CONSTRUCTION_IN_PROGRESS","FQ2 2021","FQ2 2021","Currency=USD","Period=FQ","BEST_FPERIOD_OVERRIDE=FQ","FILING_STATUS=MR","SCALING_FORMAT=MLN","Sort=A","Dates=H","DateFormat=P","Fill=—","Direction=H","UseDPDF=Y")</f>
        <v>14.803000000000001</v>
      </c>
      <c r="P69" s="13">
        <f>_xll.BDH("BLUE US Equity","ARDR_CONSTRUCTION_IN_PROGRESS","FQ3 2021","FQ3 2021","Currency=USD","Period=FQ","BEST_FPERIOD_OVERRIDE=FQ","FILING_STATUS=MR","SCALING_FORMAT=MLN","Sort=A","Dates=H","DateFormat=P","Fill=—","Direction=H","UseDPDF=Y")</f>
        <v>0.875</v>
      </c>
      <c r="Q69" s="13">
        <f>_xll.BDH("BLUE US Equity","ARDR_CONSTRUCTION_IN_PROGRESS","FQ4 2021","FQ4 2021","Currency=USD","Period=FQ","BEST_FPERIOD_OVERRIDE=FQ","FILING_STATUS=MR","SCALING_FORMAT=MLN","Sort=A","Dates=H","DateFormat=P","Fill=—","Direction=H","UseDPDF=Y")</f>
        <v>0.501</v>
      </c>
      <c r="R69" s="13">
        <f>_xll.BDH("BLUE US Equity","ARDR_CONSTRUCTION_IN_PROGRESS","FQ1 2022","FQ1 2022","Currency=USD","Period=FQ","BEST_FPERIOD_OVERRIDE=FQ","FILING_STATUS=MR","SCALING_FORMAT=MLN","Sort=A","Dates=H","DateFormat=P","Fill=—","Direction=H","UseDPDF=Y")</f>
        <v>2.9569999999999999</v>
      </c>
      <c r="S69" s="13">
        <f>_xll.BDH("BLUE US Equity","ARDR_CONSTRUCTION_IN_PROGRESS","FQ2 2022","FQ2 2022","Currency=USD","Period=FQ","BEST_FPERIOD_OVERRIDE=FQ","FILING_STATUS=MR","SCALING_FORMAT=MLN","Sort=A","Dates=H","DateFormat=P","Fill=—","Direction=H","UseDPDF=Y")</f>
        <v>0.81699999999999995</v>
      </c>
      <c r="T69" s="13">
        <f>_xll.BDH("BLUE US Equity","ARDR_CONSTRUCTION_IN_PROGRESS","FQ3 2022","FQ3 2022","Currency=USD","Period=FQ","BEST_FPERIOD_OVERRIDE=FQ","FILING_STATUS=MR","SCALING_FORMAT=MLN","Sort=A","Dates=H","DateFormat=P","Fill=—","Direction=H","UseDPDF=Y")</f>
        <v>0.13800000000000001</v>
      </c>
      <c r="U69" s="13">
        <f>_xll.BDH("BLUE US Equity","ARDR_CONSTRUCTION_IN_PROGRESS","FQ4 2022","FQ4 2022","Currency=USD","Period=FQ","BEST_FPERIOD_OVERRIDE=FQ","FILING_STATUS=MR","SCALING_FORMAT=MLN","Sort=A","Dates=H","DateFormat=P","Fill=—","Direction=H","UseDPDF=Y")</f>
        <v>0</v>
      </c>
      <c r="V69" s="13">
        <f>_xll.BDH("BLUE US Equity","ARDR_CONSTRUCTION_IN_PROGRESS","FQ1 2023","FQ1 2023","Currency=USD","Period=FQ","BEST_FPERIOD_OVERRIDE=FQ","FILING_STATUS=MR","SCALING_FORMAT=MLN","Sort=A","Dates=H","DateFormat=P","Fill=—","Direction=H","UseDPDF=Y")</f>
        <v>0.08</v>
      </c>
      <c r="W69" s="13">
        <f>_xll.BDH("BLUE US Equity","ARDR_CONSTRUCTION_IN_PROGRESS","FQ2 2023","FQ2 2023","Currency=USD","Period=FQ","BEST_FPERIOD_OVERRIDE=FQ","FILING_STATUS=MR","SCALING_FORMAT=MLN","Sort=A","Dates=H","DateFormat=P","Fill=—","Direction=H","UseDPDF=Y")</f>
        <v>2.9049999999999998</v>
      </c>
      <c r="X69" s="13">
        <f>_xll.BDH("BLUE US Equity","ARDR_CONSTRUCTION_IN_PROGRESS","FQ3 2023","FQ3 2023","Currency=USD","Period=FQ","BEST_FPERIOD_OVERRIDE=FQ","FILING_STATUS=MR","SCALING_FORMAT=MLN","Sort=A","Dates=H","DateFormat=P","Fill=—","Direction=H","UseDPDF=Y")</f>
        <v>0.41</v>
      </c>
      <c r="Y69" s="13" t="str">
        <f>_xll.BDH("BLUE US Equity","ARDR_CONSTRUCTION_IN_PROGRESS","FQ1 2024","FQ1 2024","Currency=USD","Period=FQ","BEST_FPERIOD_OVERRIDE=FQ","FILING_STATUS=MR","SCALING_FORMAT=MLN","Sort=A","Dates=H","DateFormat=P","Fill=—","Direction=H","UseDPDF=Y")</f>
        <v>—</v>
      </c>
      <c r="Z69" s="13" t="str">
        <f>_xll.BDH("BLUE US Equity","ARDR_CONSTRUCTION_IN_PROGRESS","FQ2 2024","FQ2 2024","Currency=USD","Period=FQ","BEST_FPERIOD_OVERRIDE=FQ","FILING_STATUS=MR","SCALING_FORMAT=MLN","Sort=A","Dates=H","DateFormat=P","Fill=—","Direction=H","UseDPDF=Y")</f>
        <v>—</v>
      </c>
      <c r="AA69" s="13" t="str">
        <f>_xll.BDH("BLUE US Equity","ARDR_CONSTRUCTION_IN_PROGRESS","FQ3 2024","FQ3 2024","Currency=USD","Period=FQ","BEST_FPERIOD_OVERRIDE=FQ","FILING_STATUS=MR","SCALING_FORMAT=MLN","Sort=A","Dates=H","DateFormat=P","Fill=—","Direction=H","UseDPDF=Y")</f>
        <v>—</v>
      </c>
    </row>
    <row r="70" spans="1:27" x14ac:dyDescent="0.25">
      <c r="A70" s="10" t="s">
        <v>863</v>
      </c>
      <c r="B70" s="10" t="s">
        <v>864</v>
      </c>
      <c r="C70" s="13">
        <f>_xll.BDH("BLUE US Equity","ARDR_FURNITURE_MACHINERY_EQUIP","FQ2 2018","FQ2 2018","Currency=USD","Period=FQ","BEST_FPERIOD_OVERRIDE=FQ","FILING_STATUS=MR","SCALING_FORMAT=MLN","Sort=A","Dates=H","DateFormat=P","Fill=—","Direction=H","UseDPDF=Y")</f>
        <v>40.880000000000003</v>
      </c>
      <c r="D70" s="13">
        <f>_xll.BDH("BLUE US Equity","ARDR_FURNITURE_MACHINERY_EQUIP","FQ3 2018","FQ3 2018","Currency=USD","Period=FQ","BEST_FPERIOD_OVERRIDE=FQ","FILING_STATUS=MR","SCALING_FORMAT=MLN","Sort=A","Dates=H","DateFormat=P","Fill=—","Direction=H","UseDPDF=Y")</f>
        <v>44.32</v>
      </c>
      <c r="E70" s="13">
        <f>_xll.BDH("BLUE US Equity","ARDR_FURNITURE_MACHINERY_EQUIP","FQ4 2018","FQ4 2018","Currency=USD","Period=FQ","BEST_FPERIOD_OVERRIDE=FQ","FILING_STATUS=MR","SCALING_FORMAT=MLN","Sort=A","Dates=H","DateFormat=P","Fill=—","Direction=H","UseDPDF=Y")</f>
        <v>47.642000000000003</v>
      </c>
      <c r="F70" s="13">
        <f>_xll.BDH("BLUE US Equity","ARDR_FURNITURE_MACHINERY_EQUIP","FQ1 2019","FQ1 2019","Currency=USD","Period=FQ","BEST_FPERIOD_OVERRIDE=FQ","FILING_STATUS=MR","SCALING_FORMAT=MLN","Sort=A","Dates=H","DateFormat=P","Fill=—","Direction=H","UseDPDF=Y")</f>
        <v>51.704000000000001</v>
      </c>
      <c r="G70" s="13">
        <f>_xll.BDH("BLUE US Equity","ARDR_FURNITURE_MACHINERY_EQUIP","FQ2 2019","FQ2 2019","Currency=USD","Period=FQ","BEST_FPERIOD_OVERRIDE=FQ","FILING_STATUS=MR","SCALING_FORMAT=MLN","Sort=A","Dates=H","DateFormat=P","Fill=—","Direction=H","UseDPDF=Y")</f>
        <v>53.779000000000003</v>
      </c>
      <c r="H70" s="13">
        <f>_xll.BDH("BLUE US Equity","ARDR_FURNITURE_MACHINERY_EQUIP","FQ3 2019","FQ3 2019","Currency=USD","Period=FQ","BEST_FPERIOD_OVERRIDE=FQ","FILING_STATUS=MR","SCALING_FORMAT=MLN","Sort=A","Dates=H","DateFormat=P","Fill=—","Direction=H","UseDPDF=Y")</f>
        <v>55.594999999999999</v>
      </c>
      <c r="I70" s="13">
        <f>_xll.BDH("BLUE US Equity","ARDR_FURNITURE_MACHINERY_EQUIP","FQ4 2019","FQ4 2019","Currency=USD","Period=FQ","BEST_FPERIOD_OVERRIDE=FQ","FILING_STATUS=MR","SCALING_FORMAT=MLN","Sort=A","Dates=H","DateFormat=P","Fill=—","Direction=H","UseDPDF=Y")</f>
        <v>59.106000000000002</v>
      </c>
      <c r="J70" s="13">
        <f>_xll.BDH("BLUE US Equity","ARDR_FURNITURE_MACHINERY_EQUIP","FQ1 2020","FQ1 2020","Currency=USD","Period=FQ","BEST_FPERIOD_OVERRIDE=FQ","FILING_STATUS=MR","SCALING_FORMAT=MLN","Sort=A","Dates=H","DateFormat=P","Fill=—","Direction=H","UseDPDF=Y")</f>
        <v>61.276000000000003</v>
      </c>
      <c r="K70" s="13">
        <f>_xll.BDH("BLUE US Equity","ARDR_FURNITURE_MACHINERY_EQUIP","FQ2 2020","FQ2 2020","Currency=USD","Period=FQ","BEST_FPERIOD_OVERRIDE=FQ","FILING_STATUS=MR","SCALING_FORMAT=MLN","Sort=A","Dates=H","DateFormat=P","Fill=—","Direction=H","UseDPDF=Y")</f>
        <v>61.944000000000003</v>
      </c>
      <c r="L70" s="13">
        <f>_xll.BDH("BLUE US Equity","ARDR_FURNITURE_MACHINERY_EQUIP","FQ3 2020","FQ3 2020","Currency=USD","Period=FQ","BEST_FPERIOD_OVERRIDE=FQ","FILING_STATUS=MR","SCALING_FORMAT=MLN","Sort=A","Dates=H","DateFormat=P","Fill=—","Direction=H","UseDPDF=Y")</f>
        <v>66.837000000000003</v>
      </c>
      <c r="M70" s="13">
        <f>_xll.BDH("BLUE US Equity","ARDR_FURNITURE_MACHINERY_EQUIP","FQ4 2020","FQ4 2020","Currency=USD","Period=FQ","BEST_FPERIOD_OVERRIDE=FQ","FILING_STATUS=MR","SCALING_FORMAT=MLN","Sort=A","Dates=H","DateFormat=P","Fill=—","Direction=H","UseDPDF=Y")</f>
        <v>28.67</v>
      </c>
      <c r="N70" s="13">
        <f>_xll.BDH("BLUE US Equity","ARDR_FURNITURE_MACHINERY_EQUIP","FQ1 2021","FQ1 2021","Currency=USD","Period=FQ","BEST_FPERIOD_OVERRIDE=FQ","FILING_STATUS=MR","SCALING_FORMAT=MLN","Sort=A","Dates=H","DateFormat=P","Fill=—","Direction=H","UseDPDF=Y")</f>
        <v>81.152000000000001</v>
      </c>
      <c r="O70" s="13">
        <f>_xll.BDH("BLUE US Equity","ARDR_FURNITURE_MACHINERY_EQUIP","FQ2 2021","FQ2 2021","Currency=USD","Period=FQ","BEST_FPERIOD_OVERRIDE=FQ","FILING_STATUS=MR","SCALING_FORMAT=MLN","Sort=A","Dates=H","DateFormat=P","Fill=—","Direction=H","UseDPDF=Y")</f>
        <v>81.566999999999993</v>
      </c>
      <c r="P70" s="13">
        <f>_xll.BDH("BLUE US Equity","ARDR_FURNITURE_MACHINERY_EQUIP","FQ3 2021","FQ3 2021","Currency=USD","Period=FQ","BEST_FPERIOD_OVERRIDE=FQ","FILING_STATUS=MR","SCALING_FORMAT=MLN","Sort=A","Dates=H","DateFormat=P","Fill=—","Direction=H","UseDPDF=Y")</f>
        <v>72.058000000000007</v>
      </c>
      <c r="Q70" s="13">
        <f>_xll.BDH("BLUE US Equity","ARDR_FURNITURE_MACHINERY_EQUIP","FQ4 2021","FQ4 2021","Currency=USD","Period=FQ","BEST_FPERIOD_OVERRIDE=FQ","FILING_STATUS=MR","SCALING_FORMAT=MLN","Sort=A","Dates=H","DateFormat=P","Fill=—","Direction=H","UseDPDF=Y")</f>
        <v>29.599</v>
      </c>
      <c r="R70" s="13">
        <f>_xll.BDH("BLUE US Equity","ARDR_FURNITURE_MACHINERY_EQUIP","FQ1 2022","FQ1 2022","Currency=USD","Period=FQ","BEST_FPERIOD_OVERRIDE=FQ","FILING_STATUS=MR","SCALING_FORMAT=MLN","Sort=A","Dates=H","DateFormat=P","Fill=—","Direction=H","UseDPDF=Y")</f>
        <v>29.477</v>
      </c>
      <c r="S70" s="13">
        <f>_xll.BDH("BLUE US Equity","ARDR_FURNITURE_MACHINERY_EQUIP","FQ2 2022","FQ2 2022","Currency=USD","Period=FQ","BEST_FPERIOD_OVERRIDE=FQ","FILING_STATUS=MR","SCALING_FORMAT=MLN","Sort=A","Dates=H","DateFormat=P","Fill=—","Direction=H","UseDPDF=Y")</f>
        <v>36.25</v>
      </c>
      <c r="T70" s="13">
        <f>_xll.BDH("BLUE US Equity","ARDR_FURNITURE_MACHINERY_EQUIP","FQ3 2022","FQ3 2022","Currency=USD","Period=FQ","BEST_FPERIOD_OVERRIDE=FQ","FILING_STATUS=MR","SCALING_FORMAT=MLN","Sort=A","Dates=H","DateFormat=P","Fill=—","Direction=H","UseDPDF=Y")</f>
        <v>34.969000000000001</v>
      </c>
      <c r="U70" s="13">
        <f>_xll.BDH("BLUE US Equity","ARDR_FURNITURE_MACHINERY_EQUIP","FQ4 2022","FQ4 2022","Currency=USD","Period=FQ","BEST_FPERIOD_OVERRIDE=FQ","FILING_STATUS=MR","SCALING_FORMAT=MLN","Sort=A","Dates=H","DateFormat=P","Fill=—","Direction=H","UseDPDF=Y")</f>
        <v>31.294</v>
      </c>
      <c r="V70" s="13">
        <f>_xll.BDH("BLUE US Equity","ARDR_FURNITURE_MACHINERY_EQUIP","FQ1 2023","FQ1 2023","Currency=USD","Period=FQ","BEST_FPERIOD_OVERRIDE=FQ","FILING_STATUS=MR","SCALING_FORMAT=MLN","Sort=A","Dates=H","DateFormat=P","Fill=—","Direction=H","UseDPDF=Y")</f>
        <v>29.206</v>
      </c>
      <c r="W70" s="13">
        <f>_xll.BDH("BLUE US Equity","ARDR_FURNITURE_MACHINERY_EQUIP","FQ2 2023","FQ2 2023","Currency=USD","Period=FQ","BEST_FPERIOD_OVERRIDE=FQ","FILING_STATUS=MR","SCALING_FORMAT=MLN","Sort=A","Dates=H","DateFormat=P","Fill=—","Direction=H","UseDPDF=Y")</f>
        <v>23.398</v>
      </c>
      <c r="X70" s="13">
        <f>_xll.BDH("BLUE US Equity","ARDR_FURNITURE_MACHINERY_EQUIP","FQ3 2023","FQ3 2023","Currency=USD","Period=FQ","BEST_FPERIOD_OVERRIDE=FQ","FILING_STATUS=MR","SCALING_FORMAT=MLN","Sort=A","Dates=H","DateFormat=P","Fill=—","Direction=H","UseDPDF=Y")</f>
        <v>25.504000000000001</v>
      </c>
      <c r="Y70" s="13" t="str">
        <f>_xll.BDH("BLUE US Equity","ARDR_FURNITURE_MACHINERY_EQUIP","FQ1 2024","FQ1 2024","Currency=USD","Period=FQ","BEST_FPERIOD_OVERRIDE=FQ","FILING_STATUS=MR","SCALING_FORMAT=MLN","Sort=A","Dates=H","DateFormat=P","Fill=—","Direction=H","UseDPDF=Y")</f>
        <v>—</v>
      </c>
      <c r="Z70" s="13" t="str">
        <f>_xll.BDH("BLUE US Equity","ARDR_FURNITURE_MACHINERY_EQUIP","FQ2 2024","FQ2 2024","Currency=USD","Period=FQ","BEST_FPERIOD_OVERRIDE=FQ","FILING_STATUS=MR","SCALING_FORMAT=MLN","Sort=A","Dates=H","DateFormat=P","Fill=—","Direction=H","UseDPDF=Y")</f>
        <v>—</v>
      </c>
      <c r="AA70" s="13" t="str">
        <f>_xll.BDH("BLUE US Equity","ARDR_FURNITURE_MACHINERY_EQUIP","FQ3 2024","FQ3 2024","Currency=USD","Period=FQ","BEST_FPERIOD_OVERRIDE=FQ","FILING_STATUS=MR","SCALING_FORMAT=MLN","Sort=A","Dates=H","DateFormat=P","Fill=—","Direction=H","UseDPDF=Y")</f>
        <v>—</v>
      </c>
    </row>
    <row r="71" spans="1:27" x14ac:dyDescent="0.25">
      <c r="A71" s="10" t="s">
        <v>865</v>
      </c>
      <c r="B71" s="10" t="s">
        <v>866</v>
      </c>
      <c r="C71" s="13">
        <f>_xll.BDH("BLUE US Equity","ARDR_PROPERTY_PLANT_EQUIP_GROSS","FQ2 2018","FQ2 2018","Currency=USD","Period=FQ","BEST_FPERIOD_OVERRIDE=FQ","FILING_STATUS=MR","SCALING_FORMAT=MLN","Sort=A","Dates=H","DateFormat=P","Fill=—","Direction=H","UseDPDF=Y")</f>
        <v>241.393</v>
      </c>
      <c r="D71" s="13">
        <f>_xll.BDH("BLUE US Equity","ARDR_PROPERTY_PLANT_EQUIP_GROSS","FQ3 2018","FQ3 2018","Currency=USD","Period=FQ","BEST_FPERIOD_OVERRIDE=FQ","FILING_STATUS=MR","SCALING_FORMAT=MLN","Sort=A","Dates=H","DateFormat=P","Fill=—","Direction=H","UseDPDF=Y")</f>
        <v>258.50200000000001</v>
      </c>
      <c r="E71" s="13">
        <f>_xll.BDH("BLUE US Equity","ARDR_PROPERTY_PLANT_EQUIP_GROSS","FQ4 2018","FQ4 2018","Currency=USD","Period=FQ","BEST_FPERIOD_OVERRIDE=FQ","FILING_STATUS=MR","SCALING_FORMAT=MLN","Sort=A","Dates=H","DateFormat=P","Fill=—","Direction=H","UseDPDF=Y")</f>
        <v>275.798</v>
      </c>
      <c r="F71" s="13">
        <f>_xll.BDH("BLUE US Equity","ARDR_PROPERTY_PLANT_EQUIP_GROSS","FQ1 2019","FQ1 2019","Currency=USD","Period=FQ","BEST_FPERIOD_OVERRIDE=FQ","FILING_STATUS=MR","SCALING_FORMAT=MLN","Sort=A","Dates=H","DateFormat=P","Fill=—","Direction=H","UseDPDF=Y")</f>
        <v>140.91800000000001</v>
      </c>
      <c r="G71" s="13">
        <f>_xll.BDH("BLUE US Equity","ARDR_PROPERTY_PLANT_EQUIP_GROSS","FQ2 2019","FQ2 2019","Currency=USD","Period=FQ","BEST_FPERIOD_OVERRIDE=FQ","FILING_STATUS=MR","SCALING_FORMAT=MLN","Sort=A","Dates=H","DateFormat=P","Fill=—","Direction=H","UseDPDF=Y")</f>
        <v>158.97</v>
      </c>
      <c r="H71" s="13">
        <f>_xll.BDH("BLUE US Equity","ARDR_PROPERTY_PLANT_EQUIP_GROSS","FQ3 2019","FQ3 2019","Currency=USD","Period=FQ","BEST_FPERIOD_OVERRIDE=FQ","FILING_STATUS=MR","SCALING_FORMAT=MLN","Sort=A","Dates=H","DateFormat=P","Fill=—","Direction=H","UseDPDF=Y")</f>
        <v>176.673</v>
      </c>
      <c r="I71" s="13">
        <f>_xll.BDH("BLUE US Equity","ARDR_PROPERTY_PLANT_EQUIP_GROSS","FQ4 2019","FQ4 2019","Currency=USD","Period=FQ","BEST_FPERIOD_OVERRIDE=FQ","FILING_STATUS=MR","SCALING_FORMAT=MLN","Sort=A","Dates=H","DateFormat=P","Fill=—","Direction=H","UseDPDF=Y")</f>
        <v>187.749</v>
      </c>
      <c r="J71" s="13">
        <f>_xll.BDH("BLUE US Equity","ARDR_PROPERTY_PLANT_EQUIP_GROSS","FQ1 2020","FQ1 2020","Currency=USD","Period=FQ","BEST_FPERIOD_OVERRIDE=FQ","FILING_STATUS=MR","SCALING_FORMAT=MLN","Sort=A","Dates=H","DateFormat=P","Fill=—","Direction=H","UseDPDF=Y")</f>
        <v>194.232</v>
      </c>
      <c r="K71" s="13">
        <f>_xll.BDH("BLUE US Equity","ARDR_PROPERTY_PLANT_EQUIP_GROSS","FQ2 2020","FQ2 2020","Currency=USD","Period=FQ","BEST_FPERIOD_OVERRIDE=FQ","FILING_STATUS=MR","SCALING_FORMAT=MLN","Sort=A","Dates=H","DateFormat=P","Fill=—","Direction=H","UseDPDF=Y")</f>
        <v>199.178</v>
      </c>
      <c r="L71" s="13">
        <f>_xll.BDH("BLUE US Equity","ARDR_PROPERTY_PLANT_EQUIP_GROSS","FQ3 2020","FQ3 2020","Currency=USD","Period=FQ","BEST_FPERIOD_OVERRIDE=FQ","FILING_STATUS=MR","SCALING_FORMAT=MLN","Sort=A","Dates=H","DateFormat=P","Fill=—","Direction=H","UseDPDF=Y")</f>
        <v>204.75399999999999</v>
      </c>
      <c r="M71" s="13">
        <f>_xll.BDH("BLUE US Equity","ARDR_PROPERTY_PLANT_EQUIP_GROSS","FQ4 2020","FQ4 2020","Currency=USD","Period=FQ","BEST_FPERIOD_OVERRIDE=FQ","FILING_STATUS=MR","SCALING_FORMAT=MLN","Sort=A","Dates=H","DateFormat=P","Fill=—","Direction=H","UseDPDF=Y")</f>
        <v>35.514000000000003</v>
      </c>
      <c r="N71" s="13">
        <f>_xll.BDH("BLUE US Equity","ARDR_PROPERTY_PLANT_EQUIP_GROSS","FQ1 2021","FQ1 2021","Currency=USD","Period=FQ","BEST_FPERIOD_OVERRIDE=FQ","FILING_STATUS=MR","SCALING_FORMAT=MLN","Sort=A","Dates=H","DateFormat=P","Fill=—","Direction=H","UseDPDF=Y")</f>
        <v>219.99600000000001</v>
      </c>
      <c r="O71" s="13">
        <f>_xll.BDH("BLUE US Equity","ARDR_PROPERTY_PLANT_EQUIP_GROSS","FQ2 2021","FQ2 2021","Currency=USD","Period=FQ","BEST_FPERIOD_OVERRIDE=FQ","FILING_STATUS=MR","SCALING_FORMAT=MLN","Sort=A","Dates=H","DateFormat=P","Fill=—","Direction=H","UseDPDF=Y")</f>
        <v>217.78100000000001</v>
      </c>
      <c r="P71" s="13">
        <f>_xll.BDH("BLUE US Equity","ARDR_PROPERTY_PLANT_EQUIP_GROSS","FQ3 2021","FQ3 2021","Currency=USD","Period=FQ","BEST_FPERIOD_OVERRIDE=FQ","FILING_STATUS=MR","SCALING_FORMAT=MLN","Sort=A","Dates=H","DateFormat=P","Fill=—","Direction=H","UseDPDF=Y")</f>
        <v>104.512</v>
      </c>
      <c r="Q71" s="13">
        <f>_xll.BDH("BLUE US Equity","ARDR_PROPERTY_PLANT_EQUIP_GROSS","FQ4 2021","FQ4 2021","Currency=USD","Period=FQ","BEST_FPERIOD_OVERRIDE=FQ","FILING_STATUS=MR","SCALING_FORMAT=MLN","Sort=A","Dates=H","DateFormat=P","Fill=—","Direction=H","UseDPDF=Y")</f>
        <v>30.111999999999998</v>
      </c>
      <c r="R71" s="13">
        <f>_xll.BDH("BLUE US Equity","ARDR_PROPERTY_PLANT_EQUIP_GROSS","FQ1 2022","FQ1 2022","Currency=USD","Period=FQ","BEST_FPERIOD_OVERRIDE=FQ","FILING_STATUS=MR","SCALING_FORMAT=MLN","Sort=A","Dates=H","DateFormat=P","Fill=—","Direction=H","UseDPDF=Y")</f>
        <v>32.445999999999998</v>
      </c>
      <c r="S71" s="13">
        <f>_xll.BDH("BLUE US Equity","ARDR_PROPERTY_PLANT_EQUIP_GROSS","FQ2 2022","FQ2 2022","Currency=USD","Period=FQ","BEST_FPERIOD_OVERRIDE=FQ","FILING_STATUS=MR","SCALING_FORMAT=MLN","Sort=A","Dates=H","DateFormat=P","Fill=—","Direction=H","UseDPDF=Y")</f>
        <v>37.067</v>
      </c>
      <c r="T71" s="13">
        <f>_xll.BDH("BLUE US Equity","ARDR_PROPERTY_PLANT_EQUIP_GROSS","FQ3 2022","FQ3 2022","Currency=USD","Period=FQ","BEST_FPERIOD_OVERRIDE=FQ","FILING_STATUS=MR","SCALING_FORMAT=MLN","Sort=A","Dates=H","DateFormat=P","Fill=—","Direction=H","UseDPDF=Y")</f>
        <v>35.106999999999999</v>
      </c>
      <c r="U71" s="13">
        <f>_xll.BDH("BLUE US Equity","ARDR_PROPERTY_PLANT_EQUIP_GROSS","FQ4 2022","FQ4 2022","Currency=USD","Period=FQ","BEST_FPERIOD_OVERRIDE=FQ","FILING_STATUS=MR","SCALING_FORMAT=MLN","Sort=A","Dates=H","DateFormat=P","Fill=—","Direction=H","UseDPDF=Y")</f>
        <v>31.294</v>
      </c>
      <c r="V71" s="13">
        <f>_xll.BDH("BLUE US Equity","ARDR_PROPERTY_PLANT_EQUIP_GROSS","FQ1 2023","FQ1 2023","Currency=USD","Period=FQ","BEST_FPERIOD_OVERRIDE=FQ","FILING_STATUS=MR","SCALING_FORMAT=MLN","Sort=A","Dates=H","DateFormat=P","Fill=—","Direction=H","UseDPDF=Y")</f>
        <v>29.286000000000001</v>
      </c>
      <c r="W71" s="13">
        <f>_xll.BDH("BLUE US Equity","ARDR_PROPERTY_PLANT_EQUIP_GROSS","FQ2 2023","FQ2 2023","Currency=USD","Period=FQ","BEST_FPERIOD_OVERRIDE=FQ","FILING_STATUS=MR","SCALING_FORMAT=MLN","Sort=A","Dates=H","DateFormat=P","Fill=—","Direction=H","UseDPDF=Y")</f>
        <v>26.303000000000001</v>
      </c>
      <c r="X71" s="13">
        <f>_xll.BDH("BLUE US Equity","ARDR_PROPERTY_PLANT_EQUIP_GROSS","FQ3 2023","FQ3 2023","Currency=USD","Period=FQ","BEST_FPERIOD_OVERRIDE=FQ","FILING_STATUS=MR","SCALING_FORMAT=MLN","Sort=A","Dates=H","DateFormat=P","Fill=—","Direction=H","UseDPDF=Y")</f>
        <v>27.053999999999998</v>
      </c>
      <c r="Y71" s="13" t="str">
        <f>_xll.BDH("BLUE US Equity","ARDR_PROPERTY_PLANT_EQUIP_GROSS","FQ1 2024","FQ1 2024","Currency=USD","Period=FQ","BEST_FPERIOD_OVERRIDE=FQ","FILING_STATUS=MR","SCALING_FORMAT=MLN","Sort=A","Dates=H","DateFormat=P","Fill=—","Direction=H","UseDPDF=Y")</f>
        <v>—</v>
      </c>
      <c r="Z71" s="13" t="str">
        <f>_xll.BDH("BLUE US Equity","ARDR_PROPERTY_PLANT_EQUIP_GROSS","FQ2 2024","FQ2 2024","Currency=USD","Period=FQ","BEST_FPERIOD_OVERRIDE=FQ","FILING_STATUS=MR","SCALING_FORMAT=MLN","Sort=A","Dates=H","DateFormat=P","Fill=—","Direction=H","UseDPDF=Y")</f>
        <v>—</v>
      </c>
      <c r="AA71" s="13" t="str">
        <f>_xll.BDH("BLUE US Equity","ARDR_PROPERTY_PLANT_EQUIP_GROSS","FQ3 2024","FQ3 2024","Currency=USD","Period=FQ","BEST_FPERIOD_OVERRIDE=FQ","FILING_STATUS=MR","SCALING_FORMAT=MLN","Sort=A","Dates=H","DateFormat=P","Fill=—","Direction=H","UseDPDF=Y")</f>
        <v>—</v>
      </c>
    </row>
    <row r="72" spans="1:27" x14ac:dyDescent="0.25">
      <c r="A72" s="10" t="s">
        <v>867</v>
      </c>
      <c r="B72" s="10" t="s">
        <v>868</v>
      </c>
      <c r="C72" s="13">
        <f>_xll.BDH("BLUE US Equity","ARDR_ACCUMULATED_DEPREC","FQ2 2018","FQ2 2018","Currency=USD","Period=FQ","BEST_FPERIOD_OVERRIDE=FQ","FILING_STATUS=MR","SCALING_FORMAT=MLN","Sort=A","Dates=H","DateFormat=P","Fill=—","Direction=H","UseDPDF=Y")</f>
        <v>22.167000000000002</v>
      </c>
      <c r="D72" s="13">
        <f>_xll.BDH("BLUE US Equity","ARDR_ACCUMULATED_DEPREC","FQ3 2018","FQ3 2018","Currency=USD","Period=FQ","BEST_FPERIOD_OVERRIDE=FQ","FILING_STATUS=MR","SCALING_FORMAT=MLN","Sort=A","Dates=H","DateFormat=P","Fill=—","Direction=H","UseDPDF=Y")</f>
        <v>25.638999999999999</v>
      </c>
      <c r="E72" s="13">
        <f>_xll.BDH("BLUE US Equity","ARDR_ACCUMULATED_DEPREC","FQ4 2018","FQ4 2018","Currency=USD","Period=FQ","BEST_FPERIOD_OVERRIDE=FQ","FILING_STATUS=MR","SCALING_FORMAT=MLN","Sort=A","Dates=H","DateFormat=P","Fill=—","Direction=H","UseDPDF=Y")</f>
        <v>29.175999999999998</v>
      </c>
      <c r="F72" s="13">
        <f>_xll.BDH("BLUE US Equity","ARDR_ACCUMULATED_DEPREC","FQ1 2019","FQ1 2019","Currency=USD","Period=FQ","BEST_FPERIOD_OVERRIDE=FQ","FILING_STATUS=MR","SCALING_FORMAT=MLN","Sort=A","Dates=H","DateFormat=P","Fill=—","Direction=H","UseDPDF=Y")</f>
        <v>26.888000000000002</v>
      </c>
      <c r="G72" s="13">
        <f>_xll.BDH("BLUE US Equity","ARDR_ACCUMULATED_DEPREC","FQ2 2019","FQ2 2019","Currency=USD","Period=FQ","BEST_FPERIOD_OVERRIDE=FQ","FILING_STATUS=MR","SCALING_FORMAT=MLN","Sort=A","Dates=H","DateFormat=P","Fill=—","Direction=H","UseDPDF=Y")</f>
        <v>29.835000000000001</v>
      </c>
      <c r="H72" s="13">
        <f>_xll.BDH("BLUE US Equity","ARDR_ACCUMULATED_DEPREC","FQ3 2019","FQ3 2019","Currency=USD","Period=FQ","BEST_FPERIOD_OVERRIDE=FQ","FILING_STATUS=MR","SCALING_FORMAT=MLN","Sort=A","Dates=H","DateFormat=P","Fill=—","Direction=H","UseDPDF=Y")</f>
        <v>32.576000000000001</v>
      </c>
      <c r="I72" s="13">
        <f>_xll.BDH("BLUE US Equity","ARDR_ACCUMULATED_DEPREC","FQ4 2019","FQ4 2019","Currency=USD","Period=FQ","BEST_FPERIOD_OVERRIDE=FQ","FILING_STATUS=MR","SCALING_FORMAT=MLN","Sort=A","Dates=H","DateFormat=P","Fill=—","Direction=H","UseDPDF=Y")</f>
        <v>36.573</v>
      </c>
      <c r="J72" s="13">
        <f>_xll.BDH("BLUE US Equity","ARDR_ACCUMULATED_DEPREC","FQ1 2020","FQ1 2020","Currency=USD","Period=FQ","BEST_FPERIOD_OVERRIDE=FQ","FILING_STATUS=MR","SCALING_FORMAT=MLN","Sort=A","Dates=H","DateFormat=P","Fill=—","Direction=H","UseDPDF=Y")</f>
        <v>40.311999999999998</v>
      </c>
      <c r="K72" s="13">
        <f>_xll.BDH("BLUE US Equity","ARDR_ACCUMULATED_DEPREC","FQ2 2020","FQ2 2020","Currency=USD","Period=FQ","BEST_FPERIOD_OVERRIDE=FQ","FILING_STATUS=MR","SCALING_FORMAT=MLN","Sort=A","Dates=H","DateFormat=P","Fill=—","Direction=H","UseDPDF=Y")</f>
        <v>43.802</v>
      </c>
      <c r="L72" s="13">
        <f>_xll.BDH("BLUE US Equity","ARDR_ACCUMULATED_DEPREC","FQ3 2020","FQ3 2020","Currency=USD","Period=FQ","BEST_FPERIOD_OVERRIDE=FQ","FILING_STATUS=MR","SCALING_FORMAT=MLN","Sort=A","Dates=H","DateFormat=P","Fill=—","Direction=H","UseDPDF=Y")</f>
        <v>47.073</v>
      </c>
      <c r="M72" s="13">
        <f>_xll.BDH("BLUE US Equity","ARDR_ACCUMULATED_DEPREC","FQ4 2020","FQ4 2020","Currency=USD","Period=FQ","BEST_FPERIOD_OVERRIDE=FQ","FILING_STATUS=MR","SCALING_FORMAT=MLN","Sort=A","Dates=H","DateFormat=P","Fill=—","Direction=H","UseDPDF=Y")</f>
        <v>18.140999999999998</v>
      </c>
      <c r="N72" s="13">
        <f>_xll.BDH("BLUE US Equity","ARDR_ACCUMULATED_DEPREC","FQ1 2021","FQ1 2021","Currency=USD","Period=FQ","BEST_FPERIOD_OVERRIDE=FQ","FILING_STATUS=MR","SCALING_FORMAT=MLN","Sort=A","Dates=H","DateFormat=P","Fill=—","Direction=H","UseDPDF=Y")</f>
        <v>54.798000000000002</v>
      </c>
      <c r="O72" s="13">
        <f>_xll.BDH("BLUE US Equity","ARDR_ACCUMULATED_DEPREC","FQ2 2021","FQ2 2021","Currency=USD","Period=FQ","BEST_FPERIOD_OVERRIDE=FQ","FILING_STATUS=MR","SCALING_FORMAT=MLN","Sort=A","Dates=H","DateFormat=P","Fill=—","Direction=H","UseDPDF=Y")</f>
        <v>58.960999999999999</v>
      </c>
      <c r="P72" s="13">
        <f>_xll.BDH("BLUE US Equity","ARDR_ACCUMULATED_DEPREC","FQ3 2021","FQ3 2021","Currency=USD","Period=FQ","BEST_FPERIOD_OVERRIDE=FQ","FILING_STATUS=MR","SCALING_FORMAT=MLN","Sort=A","Dates=H","DateFormat=P","Fill=—","Direction=H","UseDPDF=Y")</f>
        <v>58.767000000000003</v>
      </c>
      <c r="Q72" s="13">
        <f>_xll.BDH("BLUE US Equity","ARDR_ACCUMULATED_DEPREC","FQ4 2021","FQ4 2021","Currency=USD","Period=FQ","BEST_FPERIOD_OVERRIDE=FQ","FILING_STATUS=MR","SCALING_FORMAT=MLN","Sort=A","Dates=H","DateFormat=P","Fill=—","Direction=H","UseDPDF=Y")</f>
        <v>20.405999999999999</v>
      </c>
      <c r="R72" s="13">
        <f>_xll.BDH("BLUE US Equity","ARDR_ACCUMULATED_DEPREC","FQ1 2022","FQ1 2022","Currency=USD","Period=FQ","BEST_FPERIOD_OVERRIDE=FQ","FILING_STATUS=MR","SCALING_FORMAT=MLN","Sort=A","Dates=H","DateFormat=P","Fill=—","Direction=H","UseDPDF=Y")</f>
        <v>21.212</v>
      </c>
      <c r="S72" s="13">
        <f>_xll.BDH("BLUE US Equity","ARDR_ACCUMULATED_DEPREC","FQ2 2022","FQ2 2022","Currency=USD","Period=FQ","BEST_FPERIOD_OVERRIDE=FQ","FILING_STATUS=MR","SCALING_FORMAT=MLN","Sort=A","Dates=H","DateFormat=P","Fill=—","Direction=H","UseDPDF=Y")</f>
        <v>22.501000000000001</v>
      </c>
      <c r="T72" s="13">
        <f>_xll.BDH("BLUE US Equity","ARDR_ACCUMULATED_DEPREC","FQ3 2022","FQ3 2022","Currency=USD","Period=FQ","BEST_FPERIOD_OVERRIDE=FQ","FILING_STATUS=MR","SCALING_FORMAT=MLN","Sort=A","Dates=H","DateFormat=P","Fill=—","Direction=H","UseDPDF=Y")</f>
        <v>23.571999999999999</v>
      </c>
      <c r="U72" s="13">
        <f>_xll.BDH("BLUE US Equity","ARDR_ACCUMULATED_DEPREC","FQ4 2022","FQ4 2022","Currency=USD","Period=FQ","BEST_FPERIOD_OVERRIDE=FQ","FILING_STATUS=MR","SCALING_FORMAT=MLN","Sort=A","Dates=H","DateFormat=P","Fill=—","Direction=H","UseDPDF=Y")</f>
        <v>21.931999999999999</v>
      </c>
      <c r="V72" s="13">
        <f>_xll.BDH("BLUE US Equity","ARDR_ACCUMULATED_DEPREC","FQ1 2023","FQ1 2023","Currency=USD","Period=FQ","BEST_FPERIOD_OVERRIDE=FQ","FILING_STATUS=MR","SCALING_FORMAT=MLN","Sort=A","Dates=H","DateFormat=P","Fill=—","Direction=H","UseDPDF=Y")</f>
        <v>20.568000000000001</v>
      </c>
      <c r="W72" s="13">
        <f>_xll.BDH("BLUE US Equity","ARDR_ACCUMULATED_DEPREC","FQ2 2023","FQ2 2023","Currency=USD","Period=FQ","BEST_FPERIOD_OVERRIDE=FQ","FILING_STATUS=MR","SCALING_FORMAT=MLN","Sort=A","Dates=H","DateFormat=P","Fill=—","Direction=H","UseDPDF=Y")</f>
        <v>16.076000000000001</v>
      </c>
      <c r="X72" s="13">
        <f>_xll.BDH("BLUE US Equity","ARDR_ACCUMULATED_DEPREC","FQ3 2023","FQ3 2023","Currency=USD","Period=FQ","BEST_FPERIOD_OVERRIDE=FQ","FILING_STATUS=MR","SCALING_FORMAT=MLN","Sort=A","Dates=H","DateFormat=P","Fill=—","Direction=H","UseDPDF=Y")</f>
        <v>17.082000000000001</v>
      </c>
      <c r="Y72" s="13" t="str">
        <f>_xll.BDH("BLUE US Equity","ARDR_ACCUMULATED_DEPREC","FQ1 2024","FQ1 2024","Currency=USD","Period=FQ","BEST_FPERIOD_OVERRIDE=FQ","FILING_STATUS=MR","SCALING_FORMAT=MLN","Sort=A","Dates=H","DateFormat=P","Fill=—","Direction=H","UseDPDF=Y")</f>
        <v>—</v>
      </c>
      <c r="Z72" s="13" t="str">
        <f>_xll.BDH("BLUE US Equity","ARDR_ACCUMULATED_DEPREC","FQ2 2024","FQ2 2024","Currency=USD","Period=FQ","BEST_FPERIOD_OVERRIDE=FQ","FILING_STATUS=MR","SCALING_FORMAT=MLN","Sort=A","Dates=H","DateFormat=P","Fill=—","Direction=H","UseDPDF=Y")</f>
        <v>—</v>
      </c>
      <c r="AA72" s="13" t="str">
        <f>_xll.BDH("BLUE US Equity","ARDR_ACCUMULATED_DEPREC","FQ3 2024","FQ3 2024","Currency=USD","Period=FQ","BEST_FPERIOD_OVERRIDE=FQ","FILING_STATUS=MR","SCALING_FORMAT=MLN","Sort=A","Dates=H","DateFormat=P","Fill=—","Direction=H","UseDPDF=Y")</f>
        <v>—</v>
      </c>
    </row>
    <row r="73" spans="1:27" x14ac:dyDescent="0.25">
      <c r="A73" s="10" t="s">
        <v>776</v>
      </c>
      <c r="B73" s="10" t="s">
        <v>869</v>
      </c>
      <c r="C73" s="13">
        <f>_xll.BDH("BLUE US Equity","ARDR_PROPERTY_PLANT_EQUIP_NET","FQ2 2018","FQ2 2018","Currency=USD","Period=FQ","BEST_FPERIOD_OVERRIDE=FQ","FILING_STATUS=MR","SCALING_FORMAT=MLN","Sort=A","Dates=H","DateFormat=P","Fill=—","Direction=H","UseDPDF=Y")</f>
        <v>219.226</v>
      </c>
      <c r="D73" s="13">
        <f>_xll.BDH("BLUE US Equity","ARDR_PROPERTY_PLANT_EQUIP_NET","FQ3 2018","FQ3 2018","Currency=USD","Period=FQ","BEST_FPERIOD_OVERRIDE=FQ","FILING_STATUS=MR","SCALING_FORMAT=MLN","Sort=A","Dates=H","DateFormat=P","Fill=—","Direction=H","UseDPDF=Y")</f>
        <v>232.863</v>
      </c>
      <c r="E73" s="13">
        <f>_xll.BDH("BLUE US Equity","ARDR_PROPERTY_PLANT_EQUIP_NET","FQ4 2018","FQ4 2018","Currency=USD","Period=FQ","BEST_FPERIOD_OVERRIDE=FQ","FILING_STATUS=MR","SCALING_FORMAT=MLN","Sort=A","Dates=H","DateFormat=P","Fill=—","Direction=H","UseDPDF=Y")</f>
        <v>246.62200000000001</v>
      </c>
      <c r="F73" s="13">
        <f>_xll.BDH("BLUE US Equity","ARDR_PROPERTY_PLANT_EQUIP_NET","FQ1 2019","FQ1 2019","Currency=USD","Period=FQ","BEST_FPERIOD_OVERRIDE=FQ","FILING_STATUS=MR","SCALING_FORMAT=MLN","Sort=A","Dates=H","DateFormat=P","Fill=—","Direction=H","UseDPDF=Y")</f>
        <v>114.03</v>
      </c>
      <c r="G73" s="13">
        <f>_xll.BDH("BLUE US Equity","ARDR_PROPERTY_PLANT_EQUIP_NET","FQ2 2019","FQ2 2019","Currency=USD","Period=FQ","BEST_FPERIOD_OVERRIDE=FQ","FILING_STATUS=MR","SCALING_FORMAT=MLN","Sort=A","Dates=H","DateFormat=P","Fill=—","Direction=H","UseDPDF=Y")</f>
        <v>129.13499999999999</v>
      </c>
      <c r="H73" s="13">
        <f>_xll.BDH("BLUE US Equity","ARDR_PROPERTY_PLANT_EQUIP_NET","FQ3 2019","FQ3 2019","Currency=USD","Period=FQ","BEST_FPERIOD_OVERRIDE=FQ","FILING_STATUS=MR","SCALING_FORMAT=MLN","Sort=A","Dates=H","DateFormat=P","Fill=—","Direction=H","UseDPDF=Y")</f>
        <v>144.09700000000001</v>
      </c>
      <c r="I73" s="13">
        <f>_xll.BDH("BLUE US Equity","ARDR_PROPERTY_PLANT_EQUIP_NET","FQ4 2019","FQ4 2019","Currency=USD","Period=FQ","BEST_FPERIOD_OVERRIDE=FQ","FILING_STATUS=MR","SCALING_FORMAT=MLN","Sort=A","Dates=H","DateFormat=P","Fill=—","Direction=H","UseDPDF=Y")</f>
        <v>151.17599999999999</v>
      </c>
      <c r="J73" s="13">
        <f>_xll.BDH("BLUE US Equity","ARDR_PROPERTY_PLANT_EQUIP_NET","FQ1 2020","FQ1 2020","Currency=USD","Period=FQ","BEST_FPERIOD_OVERRIDE=FQ","FILING_STATUS=MR","SCALING_FORMAT=MLN","Sort=A","Dates=H","DateFormat=P","Fill=—","Direction=H","UseDPDF=Y")</f>
        <v>153.91999999999999</v>
      </c>
      <c r="K73" s="13">
        <f>_xll.BDH("BLUE US Equity","ARDR_PROPERTY_PLANT_EQUIP_NET","FQ2 2020","FQ2 2020","Currency=USD","Period=FQ","BEST_FPERIOD_OVERRIDE=FQ","FILING_STATUS=MR","SCALING_FORMAT=MLN","Sort=A","Dates=H","DateFormat=P","Fill=—","Direction=H","UseDPDF=Y")</f>
        <v>155.376</v>
      </c>
      <c r="L73" s="13">
        <f>_xll.BDH("BLUE US Equity","ARDR_PROPERTY_PLANT_EQUIP_NET","FQ3 2020","FQ3 2020","Currency=USD","Period=FQ","BEST_FPERIOD_OVERRIDE=FQ","FILING_STATUS=MR","SCALING_FORMAT=MLN","Sort=A","Dates=H","DateFormat=P","Fill=—","Direction=H","UseDPDF=Y")</f>
        <v>157.68100000000001</v>
      </c>
      <c r="M73" s="13">
        <f>_xll.BDH("BLUE US Equity","ARDR_PROPERTY_PLANT_EQUIP_NET","FQ4 2020","FQ4 2020","Currency=USD","Period=FQ","BEST_FPERIOD_OVERRIDE=FQ","FILING_STATUS=MR","SCALING_FORMAT=MLN","Sort=A","Dates=H","DateFormat=P","Fill=—","Direction=H","UseDPDF=Y")</f>
        <v>17.373000000000001</v>
      </c>
      <c r="N73" s="13">
        <f>_xll.BDH("BLUE US Equity","ARDR_PROPERTY_PLANT_EQUIP_NET","FQ1 2021","FQ1 2021","Currency=USD","Period=FQ","BEST_FPERIOD_OVERRIDE=FQ","FILING_STATUS=MR","SCALING_FORMAT=MLN","Sort=A","Dates=H","DateFormat=P","Fill=—","Direction=H","UseDPDF=Y")</f>
        <v>165.19800000000001</v>
      </c>
      <c r="O73" s="13">
        <f>_xll.BDH("BLUE US Equity","ARDR_PROPERTY_PLANT_EQUIP_NET","FQ2 2021","FQ2 2021","Currency=USD","Period=FQ","BEST_FPERIOD_OVERRIDE=FQ","FILING_STATUS=MR","SCALING_FORMAT=MLN","Sort=A","Dates=H","DateFormat=P","Fill=—","Direction=H","UseDPDF=Y")</f>
        <v>158.82</v>
      </c>
      <c r="P73" s="13">
        <f>_xll.BDH("BLUE US Equity","ARDR_PROPERTY_PLANT_EQUIP_NET","FQ3 2021","FQ3 2021","Currency=USD","Period=FQ","BEST_FPERIOD_OVERRIDE=FQ","FILING_STATUS=MR","SCALING_FORMAT=MLN","Sort=A","Dates=H","DateFormat=P","Fill=—","Direction=H","UseDPDF=Y")</f>
        <v>45.744999999999997</v>
      </c>
      <c r="Q73" s="13">
        <f>_xll.BDH("BLUE US Equity","ARDR_PROPERTY_PLANT_EQUIP_NET","FQ4 2021","FQ4 2021","Currency=USD","Period=FQ","BEST_FPERIOD_OVERRIDE=FQ","FILING_STATUS=MR","SCALING_FORMAT=MLN","Sort=A","Dates=H","DateFormat=P","Fill=—","Direction=H","UseDPDF=Y")</f>
        <v>9.7059999999999995</v>
      </c>
      <c r="R73" s="13">
        <f>_xll.BDH("BLUE US Equity","ARDR_PROPERTY_PLANT_EQUIP_NET","FQ1 2022","FQ1 2022","Currency=USD","Period=FQ","BEST_FPERIOD_OVERRIDE=FQ","FILING_STATUS=MR","SCALING_FORMAT=MLN","Sort=A","Dates=H","DateFormat=P","Fill=—","Direction=H","UseDPDF=Y")</f>
        <v>11.234</v>
      </c>
      <c r="S73" s="13">
        <f>_xll.BDH("BLUE US Equity","ARDR_PROPERTY_PLANT_EQUIP_NET","FQ2 2022","FQ2 2022","Currency=USD","Period=FQ","BEST_FPERIOD_OVERRIDE=FQ","FILING_STATUS=MR","SCALING_FORMAT=MLN","Sort=A","Dates=H","DateFormat=P","Fill=—","Direction=H","UseDPDF=Y")</f>
        <v>14.566000000000001</v>
      </c>
      <c r="T73" s="13">
        <f>_xll.BDH("BLUE US Equity","ARDR_PROPERTY_PLANT_EQUIP_NET","FQ3 2022","FQ3 2022","Currency=USD","Period=FQ","BEST_FPERIOD_OVERRIDE=FQ","FILING_STATUS=MR","SCALING_FORMAT=MLN","Sort=A","Dates=H","DateFormat=P","Fill=—","Direction=H","UseDPDF=Y")</f>
        <v>11.535</v>
      </c>
      <c r="U73" s="13">
        <f>_xll.BDH("BLUE US Equity","ARDR_PROPERTY_PLANT_EQUIP_NET","FQ4 2022","FQ4 2022","Currency=USD","Period=FQ","BEST_FPERIOD_OVERRIDE=FQ","FILING_STATUS=MR","SCALING_FORMAT=MLN","Sort=A","Dates=H","DateFormat=P","Fill=—","Direction=H","UseDPDF=Y")</f>
        <v>9.3620000000000001</v>
      </c>
      <c r="V73" s="13">
        <f>_xll.BDH("BLUE US Equity","ARDR_PROPERTY_PLANT_EQUIP_NET","FQ1 2023","FQ1 2023","Currency=USD","Period=FQ","BEST_FPERIOD_OVERRIDE=FQ","FILING_STATUS=MR","SCALING_FORMAT=MLN","Sort=A","Dates=H","DateFormat=P","Fill=—","Direction=H","UseDPDF=Y")</f>
        <v>8.718</v>
      </c>
      <c r="W73" s="13">
        <f>_xll.BDH("BLUE US Equity","ARDR_PROPERTY_PLANT_EQUIP_NET","FQ2 2023","FQ2 2023","Currency=USD","Period=FQ","BEST_FPERIOD_OVERRIDE=FQ","FILING_STATUS=MR","SCALING_FORMAT=MLN","Sort=A","Dates=H","DateFormat=P","Fill=—","Direction=H","UseDPDF=Y")</f>
        <v>10.227</v>
      </c>
      <c r="X73" s="13">
        <f>_xll.BDH("BLUE US Equity","ARDR_PROPERTY_PLANT_EQUIP_NET","FQ3 2023","FQ3 2023","Currency=USD","Period=FQ","BEST_FPERIOD_OVERRIDE=FQ","FILING_STATUS=MR","SCALING_FORMAT=MLN","Sort=A","Dates=H","DateFormat=P","Fill=—","Direction=H","UseDPDF=Y")</f>
        <v>9.9719999999999995</v>
      </c>
      <c r="Y73" s="13" t="str">
        <f>_xll.BDH("BLUE US Equity","ARDR_PROPERTY_PLANT_EQUIP_NET","FQ1 2024","FQ1 2024","Currency=USD","Period=FQ","BEST_FPERIOD_OVERRIDE=FQ","FILING_STATUS=MR","SCALING_FORMAT=MLN","Sort=A","Dates=H","DateFormat=P","Fill=—","Direction=H","UseDPDF=Y")</f>
        <v>—</v>
      </c>
      <c r="Z73" s="13" t="str">
        <f>_xll.BDH("BLUE US Equity","ARDR_PROPERTY_PLANT_EQUIP_NET","FQ2 2024","FQ2 2024","Currency=USD","Period=FQ","BEST_FPERIOD_OVERRIDE=FQ","FILING_STATUS=MR","SCALING_FORMAT=MLN","Sort=A","Dates=H","DateFormat=P","Fill=—","Direction=H","UseDPDF=Y")</f>
        <v>—</v>
      </c>
      <c r="AA73" s="13" t="str">
        <f>_xll.BDH("BLUE US Equity","ARDR_PROPERTY_PLANT_EQUIP_NET","FQ3 2024","FQ3 2024","Currency=USD","Period=FQ","BEST_FPERIOD_OVERRIDE=FQ","FILING_STATUS=MR","SCALING_FORMAT=MLN","Sort=A","Dates=H","DateFormat=P","Fill=—","Direction=H","UseDPDF=Y")</f>
        <v>—</v>
      </c>
    </row>
    <row r="74" spans="1:27" x14ac:dyDescent="0.25">
      <c r="A74" s="10" t="s">
        <v>870</v>
      </c>
      <c r="B74" s="10" t="s">
        <v>871</v>
      </c>
      <c r="C74" s="13" t="str">
        <f>_xll.BDH("BLUE US Equity","ARDR_DEFERRED_INC_TAX_ASSET_LT","FQ2 2018","FQ2 2018","Currency=USD","Period=FQ","BEST_FPERIOD_OVERRIDE=FQ","FILING_STATUS=MR","SCALING_FORMAT=MLN","Sort=A","Dates=H","DateFormat=P","Fill=—","Direction=H","UseDPDF=Y")</f>
        <v>—</v>
      </c>
      <c r="D74" s="13" t="str">
        <f>_xll.BDH("BLUE US Equity","ARDR_DEFERRED_INC_TAX_ASSET_LT","FQ3 2018","FQ3 2018","Currency=USD","Period=FQ","BEST_FPERIOD_OVERRIDE=FQ","FILING_STATUS=MR","SCALING_FORMAT=MLN","Sort=A","Dates=H","DateFormat=P","Fill=—","Direction=H","UseDPDF=Y")</f>
        <v>—</v>
      </c>
      <c r="E74" s="13">
        <f>_xll.BDH("BLUE US Equity","ARDR_DEFERRED_INC_TAX_ASSET_LT","FQ4 2018","FQ4 2018","Currency=USD","Period=FQ","BEST_FPERIOD_OVERRIDE=FQ","FILING_STATUS=MR","SCALING_FORMAT=MLN","Sort=A","Dates=H","DateFormat=P","Fill=—","Direction=H","UseDPDF=Y")</f>
        <v>588.54600000000005</v>
      </c>
      <c r="F74" s="13" t="str">
        <f>_xll.BDH("BLUE US Equity","ARDR_DEFERRED_INC_TAX_ASSET_LT","FQ1 2019","FQ1 2019","Currency=USD","Period=FQ","BEST_FPERIOD_OVERRIDE=FQ","FILING_STATUS=MR","SCALING_FORMAT=MLN","Sort=A","Dates=H","DateFormat=P","Fill=—","Direction=H","UseDPDF=Y")</f>
        <v>—</v>
      </c>
      <c r="G74" s="13" t="str">
        <f>_xll.BDH("BLUE US Equity","ARDR_DEFERRED_INC_TAX_ASSET_LT","FQ2 2019","FQ2 2019","Currency=USD","Period=FQ","BEST_FPERIOD_OVERRIDE=FQ","FILING_STATUS=MR","SCALING_FORMAT=MLN","Sort=A","Dates=H","DateFormat=P","Fill=—","Direction=H","UseDPDF=Y")</f>
        <v>—</v>
      </c>
      <c r="H74" s="13" t="str">
        <f>_xll.BDH("BLUE US Equity","ARDR_DEFERRED_INC_TAX_ASSET_LT","FQ3 2019","FQ3 2019","Currency=USD","Period=FQ","BEST_FPERIOD_OVERRIDE=FQ","FILING_STATUS=MR","SCALING_FORMAT=MLN","Sort=A","Dates=H","DateFormat=P","Fill=—","Direction=H","UseDPDF=Y")</f>
        <v>—</v>
      </c>
      <c r="I74" s="13">
        <f>_xll.BDH("BLUE US Equity","ARDR_DEFERRED_INC_TAX_ASSET_LT","FQ4 2019","FQ4 2019","Currency=USD","Period=FQ","BEST_FPERIOD_OVERRIDE=FQ","FILING_STATUS=MR","SCALING_FORMAT=MLN","Sort=A","Dates=H","DateFormat=P","Fill=—","Direction=H","UseDPDF=Y")</f>
        <v>799.23699999999997</v>
      </c>
      <c r="J74" s="13" t="str">
        <f>_xll.BDH("BLUE US Equity","ARDR_DEFERRED_INC_TAX_ASSET_LT","FQ1 2020","FQ1 2020","Currency=USD","Period=FQ","BEST_FPERIOD_OVERRIDE=FQ","FILING_STATUS=MR","SCALING_FORMAT=MLN","Sort=A","Dates=H","DateFormat=P","Fill=—","Direction=H","UseDPDF=Y")</f>
        <v>—</v>
      </c>
      <c r="K74" s="13" t="str">
        <f>_xll.BDH("BLUE US Equity","ARDR_DEFERRED_INC_TAX_ASSET_LT","FQ2 2020","FQ2 2020","Currency=USD","Period=FQ","BEST_FPERIOD_OVERRIDE=FQ","FILING_STATUS=MR","SCALING_FORMAT=MLN","Sort=A","Dates=H","DateFormat=P","Fill=—","Direction=H","UseDPDF=Y")</f>
        <v>—</v>
      </c>
      <c r="L74" s="13" t="str">
        <f>_xll.BDH("BLUE US Equity","ARDR_DEFERRED_INC_TAX_ASSET_LT","FQ3 2020","FQ3 2020","Currency=USD","Period=FQ","BEST_FPERIOD_OVERRIDE=FQ","FILING_STATUS=MR","SCALING_FORMAT=MLN","Sort=A","Dates=H","DateFormat=P","Fill=—","Direction=H","UseDPDF=Y")</f>
        <v>—</v>
      </c>
      <c r="M74" s="13">
        <f>_xll.BDH("BLUE US Equity","ARDR_DEFERRED_INC_TAX_ASSET_LT","FQ4 2020","FQ4 2020","Currency=USD","Period=FQ","BEST_FPERIOD_OVERRIDE=FQ","FILING_STATUS=MR","SCALING_FORMAT=MLN","Sort=A","Dates=H","DateFormat=P","Fill=—","Direction=H","UseDPDF=Y")</f>
        <v>859.64099999999996</v>
      </c>
      <c r="N74" s="13" t="str">
        <f>_xll.BDH("BLUE US Equity","ARDR_DEFERRED_INC_TAX_ASSET_LT","FQ1 2021","FQ1 2021","Currency=USD","Period=FQ","BEST_FPERIOD_OVERRIDE=FQ","FILING_STATUS=MR","SCALING_FORMAT=MLN","Sort=A","Dates=H","DateFormat=P","Fill=—","Direction=H","UseDPDF=Y")</f>
        <v>—</v>
      </c>
      <c r="O74" s="13" t="str">
        <f>_xll.BDH("BLUE US Equity","ARDR_DEFERRED_INC_TAX_ASSET_LT","FQ2 2021","FQ2 2021","Currency=USD","Period=FQ","BEST_FPERIOD_OVERRIDE=FQ","FILING_STATUS=MR","SCALING_FORMAT=MLN","Sort=A","Dates=H","DateFormat=P","Fill=—","Direction=H","UseDPDF=Y")</f>
        <v>—</v>
      </c>
      <c r="P74" s="13" t="str">
        <f>_xll.BDH("BLUE US Equity","ARDR_DEFERRED_INC_TAX_ASSET_LT","FQ3 2021","FQ3 2021","Currency=USD","Period=FQ","BEST_FPERIOD_OVERRIDE=FQ","FILING_STATUS=MR","SCALING_FORMAT=MLN","Sort=A","Dates=H","DateFormat=P","Fill=—","Direction=H","UseDPDF=Y")</f>
        <v>—</v>
      </c>
      <c r="Q74" s="13">
        <f>_xll.BDH("BLUE US Equity","ARDR_DEFERRED_INC_TAX_ASSET_LT","FQ4 2021","FQ4 2021","Currency=USD","Period=FQ","BEST_FPERIOD_OVERRIDE=FQ","FILING_STATUS=MR","SCALING_FORMAT=MLN","Sort=A","Dates=H","DateFormat=P","Fill=—","Direction=H","UseDPDF=Y")</f>
        <v>1051.348</v>
      </c>
      <c r="R74" s="13" t="str">
        <f>_xll.BDH("BLUE US Equity","ARDR_DEFERRED_INC_TAX_ASSET_LT","FQ1 2022","FQ1 2022","Currency=USD","Period=FQ","BEST_FPERIOD_OVERRIDE=FQ","FILING_STATUS=MR","SCALING_FORMAT=MLN","Sort=A","Dates=H","DateFormat=P","Fill=—","Direction=H","UseDPDF=Y")</f>
        <v>—</v>
      </c>
      <c r="S74" s="13" t="str">
        <f>_xll.BDH("BLUE US Equity","ARDR_DEFERRED_INC_TAX_ASSET_LT","FQ2 2022","FQ2 2022","Currency=USD","Period=FQ","BEST_FPERIOD_OVERRIDE=FQ","FILING_STATUS=MR","SCALING_FORMAT=MLN","Sort=A","Dates=H","DateFormat=P","Fill=—","Direction=H","UseDPDF=Y")</f>
        <v>—</v>
      </c>
      <c r="T74" s="13" t="str">
        <f>_xll.BDH("BLUE US Equity","ARDR_DEFERRED_INC_TAX_ASSET_LT","FQ3 2022","FQ3 2022","Currency=USD","Period=FQ","BEST_FPERIOD_OVERRIDE=FQ","FILING_STATUS=MR","SCALING_FORMAT=MLN","Sort=A","Dates=H","DateFormat=P","Fill=—","Direction=H","UseDPDF=Y")</f>
        <v>—</v>
      </c>
      <c r="U74" s="13">
        <f>_xll.BDH("BLUE US Equity","ARDR_DEFERRED_INC_TAX_ASSET_LT","FQ4 2022","FQ4 2022","Currency=USD","Period=FQ","BEST_FPERIOD_OVERRIDE=FQ","FILING_STATUS=MR","SCALING_FORMAT=MLN","Sort=A","Dates=H","DateFormat=P","Fill=—","Direction=H","UseDPDF=Y")</f>
        <v>1172.7159999999999</v>
      </c>
      <c r="V74" s="13" t="str">
        <f>_xll.BDH("BLUE US Equity","ARDR_DEFERRED_INC_TAX_ASSET_LT","FQ1 2023","FQ1 2023","Currency=USD","Period=FQ","BEST_FPERIOD_OVERRIDE=FQ","FILING_STATUS=MR","SCALING_FORMAT=MLN","Sort=A","Dates=H","DateFormat=P","Fill=—","Direction=H","UseDPDF=Y")</f>
        <v>—</v>
      </c>
      <c r="W74" s="13" t="str">
        <f>_xll.BDH("BLUE US Equity","ARDR_DEFERRED_INC_TAX_ASSET_LT","FQ2 2023","FQ2 2023","Currency=USD","Period=FQ","BEST_FPERIOD_OVERRIDE=FQ","FILING_STATUS=MR","SCALING_FORMAT=MLN","Sort=A","Dates=H","DateFormat=P","Fill=—","Direction=H","UseDPDF=Y")</f>
        <v>—</v>
      </c>
      <c r="X74" s="13" t="str">
        <f>_xll.BDH("BLUE US Equity","ARDR_DEFERRED_INC_TAX_ASSET_LT","FQ3 2023","FQ3 2023","Currency=USD","Period=FQ","BEST_FPERIOD_OVERRIDE=FQ","FILING_STATUS=MR","SCALING_FORMAT=MLN","Sort=A","Dates=H","DateFormat=P","Fill=—","Direction=H","UseDPDF=Y")</f>
        <v>—</v>
      </c>
      <c r="Y74" s="13" t="str">
        <f>_xll.BDH("BLUE US Equity","ARDR_DEFERRED_INC_TAX_ASSET_LT","FQ1 2024","FQ1 2024","Currency=USD","Period=FQ","BEST_FPERIOD_OVERRIDE=FQ","FILING_STATUS=MR","SCALING_FORMAT=MLN","Sort=A","Dates=H","DateFormat=P","Fill=—","Direction=H","UseDPDF=Y")</f>
        <v>—</v>
      </c>
      <c r="Z74" s="13" t="str">
        <f>_xll.BDH("BLUE US Equity","ARDR_DEFERRED_INC_TAX_ASSET_LT","FQ2 2024","FQ2 2024","Currency=USD","Period=FQ","BEST_FPERIOD_OVERRIDE=FQ","FILING_STATUS=MR","SCALING_FORMAT=MLN","Sort=A","Dates=H","DateFormat=P","Fill=—","Direction=H","UseDPDF=Y")</f>
        <v>—</v>
      </c>
      <c r="AA74" s="13" t="str">
        <f>_xll.BDH("BLUE US Equity","ARDR_DEFERRED_INC_TAX_ASSET_LT","FQ3 2024","FQ3 2024","Currency=USD","Period=FQ","BEST_FPERIOD_OVERRIDE=FQ","FILING_STATUS=MR","SCALING_FORMAT=MLN","Sort=A","Dates=H","DateFormat=P","Fill=—","Direction=H","UseDPDF=Y")</f>
        <v>—</v>
      </c>
    </row>
    <row r="75" spans="1:27" x14ac:dyDescent="0.25">
      <c r="A75" s="10" t="s">
        <v>796</v>
      </c>
      <c r="B75" s="10" t="s">
        <v>872</v>
      </c>
      <c r="C75" s="13" t="str">
        <f>_xll.BDH("BLUE US Equity","ARDR_ST_CAP_LEASE_OBLIGATIONS","FQ2 2018","FQ2 2018","Currency=USD","Period=FQ","BEST_FPERIOD_OVERRIDE=FQ","FILING_STATUS=MR","SCALING_FORMAT=MLN","Sort=A","Dates=H","DateFormat=P","Fill=—","Direction=H","UseDPDF=Y")</f>
        <v>—</v>
      </c>
      <c r="D75" s="13" t="str">
        <f>_xll.BDH("BLUE US Equity","ARDR_ST_CAP_LEASE_OBLIGATIONS","FQ3 2018","FQ3 2018","Currency=USD","Period=FQ","BEST_FPERIOD_OVERRIDE=FQ","FILING_STATUS=MR","SCALING_FORMAT=MLN","Sort=A","Dates=H","DateFormat=P","Fill=—","Direction=H","UseDPDF=Y")</f>
        <v>—</v>
      </c>
      <c r="E75" s="13" t="str">
        <f>_xll.BDH("BLUE US Equity","ARDR_ST_CAP_LEASE_OBLIGATIONS","FQ4 2018","FQ4 2018","Currency=USD","Period=FQ","BEST_FPERIOD_OVERRIDE=FQ","FILING_STATUS=MR","SCALING_FORMAT=MLN","Sort=A","Dates=H","DateFormat=P","Fill=—","Direction=H","UseDPDF=Y")</f>
        <v>—</v>
      </c>
      <c r="F75" s="13" t="str">
        <f>_xll.BDH("BLUE US Equity","ARDR_ST_CAP_LEASE_OBLIGATIONS","FQ1 2019","FQ1 2019","Currency=USD","Period=FQ","BEST_FPERIOD_OVERRIDE=FQ","FILING_STATUS=MR","SCALING_FORMAT=MLN","Sort=A","Dates=H","DateFormat=P","Fill=—","Direction=H","UseDPDF=Y")</f>
        <v>—</v>
      </c>
      <c r="G75" s="13" t="str">
        <f>_xll.BDH("BLUE US Equity","ARDR_ST_CAP_LEASE_OBLIGATIONS","FQ2 2019","FQ2 2019","Currency=USD","Period=FQ","BEST_FPERIOD_OVERRIDE=FQ","FILING_STATUS=MR","SCALING_FORMAT=MLN","Sort=A","Dates=H","DateFormat=P","Fill=—","Direction=H","UseDPDF=Y")</f>
        <v>—</v>
      </c>
      <c r="H75" s="13" t="str">
        <f>_xll.BDH("BLUE US Equity","ARDR_ST_CAP_LEASE_OBLIGATIONS","FQ3 2019","FQ3 2019","Currency=USD","Period=FQ","BEST_FPERIOD_OVERRIDE=FQ","FILING_STATUS=MR","SCALING_FORMAT=MLN","Sort=A","Dates=H","DateFormat=P","Fill=—","Direction=H","UseDPDF=Y")</f>
        <v>—</v>
      </c>
      <c r="I75" s="13" t="str">
        <f>_xll.BDH("BLUE US Equity","ARDR_ST_CAP_LEASE_OBLIGATIONS","FQ4 2019","FQ4 2019","Currency=USD","Period=FQ","BEST_FPERIOD_OVERRIDE=FQ","FILING_STATUS=MR","SCALING_FORMAT=MLN","Sort=A","Dates=H","DateFormat=P","Fill=—","Direction=H","UseDPDF=Y")</f>
        <v>—</v>
      </c>
      <c r="J75" s="13" t="str">
        <f>_xll.BDH("BLUE US Equity","ARDR_ST_CAP_LEASE_OBLIGATIONS","FQ1 2020","FQ1 2020","Currency=USD","Period=FQ","BEST_FPERIOD_OVERRIDE=FQ","FILING_STATUS=MR","SCALING_FORMAT=MLN","Sort=A","Dates=H","DateFormat=P","Fill=—","Direction=H","UseDPDF=Y")</f>
        <v>—</v>
      </c>
      <c r="K75" s="13" t="str">
        <f>_xll.BDH("BLUE US Equity","ARDR_ST_CAP_LEASE_OBLIGATIONS","FQ2 2020","FQ2 2020","Currency=USD","Period=FQ","BEST_FPERIOD_OVERRIDE=FQ","FILING_STATUS=MR","SCALING_FORMAT=MLN","Sort=A","Dates=H","DateFormat=P","Fill=—","Direction=H","UseDPDF=Y")</f>
        <v>—</v>
      </c>
      <c r="L75" s="13" t="str">
        <f>_xll.BDH("BLUE US Equity","ARDR_ST_CAP_LEASE_OBLIGATIONS","FQ3 2020","FQ3 2020","Currency=USD","Period=FQ","BEST_FPERIOD_OVERRIDE=FQ","FILING_STATUS=MR","SCALING_FORMAT=MLN","Sort=A","Dates=H","DateFormat=P","Fill=—","Direction=H","UseDPDF=Y")</f>
        <v>—</v>
      </c>
      <c r="M75" s="13" t="str">
        <f>_xll.BDH("BLUE US Equity","ARDR_ST_CAP_LEASE_OBLIGATIONS","FQ4 2020","FQ4 2020","Currency=USD","Period=FQ","BEST_FPERIOD_OVERRIDE=FQ","FILING_STATUS=MR","SCALING_FORMAT=MLN","Sort=A","Dates=H","DateFormat=P","Fill=—","Direction=H","UseDPDF=Y")</f>
        <v>—</v>
      </c>
      <c r="N75" s="13" t="str">
        <f>_xll.BDH("BLUE US Equity","ARDR_ST_CAP_LEASE_OBLIGATIONS","FQ1 2021","FQ1 2021","Currency=USD","Period=FQ","BEST_FPERIOD_OVERRIDE=FQ","FILING_STATUS=MR","SCALING_FORMAT=MLN","Sort=A","Dates=H","DateFormat=P","Fill=—","Direction=H","UseDPDF=Y")</f>
        <v>—</v>
      </c>
      <c r="O75" s="13" t="str">
        <f>_xll.BDH("BLUE US Equity","ARDR_ST_CAP_LEASE_OBLIGATIONS","FQ2 2021","FQ2 2021","Currency=USD","Period=FQ","BEST_FPERIOD_OVERRIDE=FQ","FILING_STATUS=MR","SCALING_FORMAT=MLN","Sort=A","Dates=H","DateFormat=P","Fill=—","Direction=H","UseDPDF=Y")</f>
        <v>—</v>
      </c>
      <c r="P75" s="13" t="str">
        <f>_xll.BDH("BLUE US Equity","ARDR_ST_CAP_LEASE_OBLIGATIONS","FQ3 2021","FQ3 2021","Currency=USD","Period=FQ","BEST_FPERIOD_OVERRIDE=FQ","FILING_STATUS=MR","SCALING_FORMAT=MLN","Sort=A","Dates=H","DateFormat=P","Fill=—","Direction=H","UseDPDF=Y")</f>
        <v>—</v>
      </c>
      <c r="Q75" s="13" t="str">
        <f>_xll.BDH("BLUE US Equity","ARDR_ST_CAP_LEASE_OBLIGATIONS","FQ4 2021","FQ4 2021","Currency=USD","Period=FQ","BEST_FPERIOD_OVERRIDE=FQ","FILING_STATUS=MR","SCALING_FORMAT=MLN","Sort=A","Dates=H","DateFormat=P","Fill=—","Direction=H","UseDPDF=Y")</f>
        <v>—</v>
      </c>
      <c r="R75" s="13" t="str">
        <f>_xll.BDH("BLUE US Equity","ARDR_ST_CAP_LEASE_OBLIGATIONS","FQ1 2022","FQ1 2022","Currency=USD","Period=FQ","BEST_FPERIOD_OVERRIDE=FQ","FILING_STATUS=MR","SCALING_FORMAT=MLN","Sort=A","Dates=H","DateFormat=P","Fill=—","Direction=H","UseDPDF=Y")</f>
        <v>—</v>
      </c>
      <c r="S75" s="13" t="str">
        <f>_xll.BDH("BLUE US Equity","ARDR_ST_CAP_LEASE_OBLIGATIONS","FQ2 2022","FQ2 2022","Currency=USD","Period=FQ","BEST_FPERIOD_OVERRIDE=FQ","FILING_STATUS=MR","SCALING_FORMAT=MLN","Sort=A","Dates=H","DateFormat=P","Fill=—","Direction=H","UseDPDF=Y")</f>
        <v>—</v>
      </c>
      <c r="T75" s="13" t="str">
        <f>_xll.BDH("BLUE US Equity","ARDR_ST_CAP_LEASE_OBLIGATIONS","FQ3 2022","FQ3 2022","Currency=USD","Period=FQ","BEST_FPERIOD_OVERRIDE=FQ","FILING_STATUS=MR","SCALING_FORMAT=MLN","Sort=A","Dates=H","DateFormat=P","Fill=—","Direction=H","UseDPDF=Y")</f>
        <v>—</v>
      </c>
      <c r="U75" s="13" t="str">
        <f>_xll.BDH("BLUE US Equity","ARDR_ST_CAP_LEASE_OBLIGATIONS","FQ4 2022","FQ4 2022","Currency=USD","Period=FQ","BEST_FPERIOD_OVERRIDE=FQ","FILING_STATUS=MR","SCALING_FORMAT=MLN","Sort=A","Dates=H","DateFormat=P","Fill=—","Direction=H","UseDPDF=Y")</f>
        <v>—</v>
      </c>
      <c r="V75" s="13" t="str">
        <f>_xll.BDH("BLUE US Equity","ARDR_ST_CAP_LEASE_OBLIGATIONS","FQ1 2023","FQ1 2023","Currency=USD","Period=FQ","BEST_FPERIOD_OVERRIDE=FQ","FILING_STATUS=MR","SCALING_FORMAT=MLN","Sort=A","Dates=H","DateFormat=P","Fill=—","Direction=H","UseDPDF=Y")</f>
        <v>—</v>
      </c>
      <c r="W75" s="13" t="str">
        <f>_xll.BDH("BLUE US Equity","ARDR_ST_CAP_LEASE_OBLIGATIONS","FQ2 2023","FQ2 2023","Currency=USD","Period=FQ","BEST_FPERIOD_OVERRIDE=FQ","FILING_STATUS=MR","SCALING_FORMAT=MLN","Sort=A","Dates=H","DateFormat=P","Fill=—","Direction=H","UseDPDF=Y")</f>
        <v>—</v>
      </c>
      <c r="X75" s="13" t="str">
        <f>_xll.BDH("BLUE US Equity","ARDR_ST_CAP_LEASE_OBLIGATIONS","FQ3 2023","FQ3 2023","Currency=USD","Period=FQ","BEST_FPERIOD_OVERRIDE=FQ","FILING_STATUS=MR","SCALING_FORMAT=MLN","Sort=A","Dates=H","DateFormat=P","Fill=—","Direction=H","UseDPDF=Y")</f>
        <v>—</v>
      </c>
      <c r="Y75" s="13">
        <f>_xll.BDH("BLUE US Equity","ARDR_ST_CAP_LEASE_OBLIGATIONS","FQ1 2024","FQ1 2024","Currency=USD","Period=FQ","BEST_FPERIOD_OVERRIDE=FQ","FILING_STATUS=MR","SCALING_FORMAT=MLN","Sort=A","Dates=H","DateFormat=P","Fill=—","Direction=H","UseDPDF=Y")</f>
        <v>114.212</v>
      </c>
      <c r="Z75" s="13">
        <f>_xll.BDH("BLUE US Equity","ARDR_ST_CAP_LEASE_OBLIGATIONS","FQ2 2024","FQ2 2024","Currency=USD","Period=FQ","BEST_FPERIOD_OVERRIDE=FQ","FILING_STATUS=MR","SCALING_FORMAT=MLN","Sort=A","Dates=H","DateFormat=P","Fill=—","Direction=H","UseDPDF=Y")</f>
        <v>101.33499999999999</v>
      </c>
      <c r="AA75" s="13">
        <f>_xll.BDH("BLUE US Equity","ARDR_ST_CAP_LEASE_OBLIGATIONS","FQ3 2024","FQ3 2024","Currency=USD","Period=FQ","BEST_FPERIOD_OVERRIDE=FQ","FILING_STATUS=MR","SCALING_FORMAT=MLN","Sort=A","Dates=H","DateFormat=P","Fill=—","Direction=H","UseDPDF=Y")</f>
        <v>96.180999999999997</v>
      </c>
    </row>
    <row r="76" spans="1:27" x14ac:dyDescent="0.25">
      <c r="A76" s="10" t="s">
        <v>811</v>
      </c>
      <c r="B76" s="10" t="s">
        <v>873</v>
      </c>
      <c r="C76" s="13" t="str">
        <f>_xll.BDH("BLUE US Equity","ARDR_LT_CAP_LEASE_OBLIGATIONS","FQ2 2018","FQ2 2018","Currency=USD","Period=FQ","BEST_FPERIOD_OVERRIDE=FQ","FILING_STATUS=MR","SCALING_FORMAT=MLN","Sort=A","Dates=H","DateFormat=P","Fill=—","Direction=H","UseDPDF=Y")</f>
        <v>—</v>
      </c>
      <c r="D76" s="13" t="str">
        <f>_xll.BDH("BLUE US Equity","ARDR_LT_CAP_LEASE_OBLIGATIONS","FQ3 2018","FQ3 2018","Currency=USD","Period=FQ","BEST_FPERIOD_OVERRIDE=FQ","FILING_STATUS=MR","SCALING_FORMAT=MLN","Sort=A","Dates=H","DateFormat=P","Fill=—","Direction=H","UseDPDF=Y")</f>
        <v>—</v>
      </c>
      <c r="E76" s="13" t="str">
        <f>_xll.BDH("BLUE US Equity","ARDR_LT_CAP_LEASE_OBLIGATIONS","FQ4 2018","FQ4 2018","Currency=USD","Period=FQ","BEST_FPERIOD_OVERRIDE=FQ","FILING_STATUS=MR","SCALING_FORMAT=MLN","Sort=A","Dates=H","DateFormat=P","Fill=—","Direction=H","UseDPDF=Y")</f>
        <v>—</v>
      </c>
      <c r="F76" s="13" t="str">
        <f>_xll.BDH("BLUE US Equity","ARDR_LT_CAP_LEASE_OBLIGATIONS","FQ1 2019","FQ1 2019","Currency=USD","Period=FQ","BEST_FPERIOD_OVERRIDE=FQ","FILING_STATUS=MR","SCALING_FORMAT=MLN","Sort=A","Dates=H","DateFormat=P","Fill=—","Direction=H","UseDPDF=Y")</f>
        <v>—</v>
      </c>
      <c r="G76" s="13" t="str">
        <f>_xll.BDH("BLUE US Equity","ARDR_LT_CAP_LEASE_OBLIGATIONS","FQ2 2019","FQ2 2019","Currency=USD","Period=FQ","BEST_FPERIOD_OVERRIDE=FQ","FILING_STATUS=MR","SCALING_FORMAT=MLN","Sort=A","Dates=H","DateFormat=P","Fill=—","Direction=H","UseDPDF=Y")</f>
        <v>—</v>
      </c>
      <c r="H76" s="13" t="str">
        <f>_xll.BDH("BLUE US Equity","ARDR_LT_CAP_LEASE_OBLIGATIONS","FQ3 2019","FQ3 2019","Currency=USD","Period=FQ","BEST_FPERIOD_OVERRIDE=FQ","FILING_STATUS=MR","SCALING_FORMAT=MLN","Sort=A","Dates=H","DateFormat=P","Fill=—","Direction=H","UseDPDF=Y")</f>
        <v>—</v>
      </c>
      <c r="I76" s="13" t="str">
        <f>_xll.BDH("BLUE US Equity","ARDR_LT_CAP_LEASE_OBLIGATIONS","FQ4 2019","FQ4 2019","Currency=USD","Period=FQ","BEST_FPERIOD_OVERRIDE=FQ","FILING_STATUS=MR","SCALING_FORMAT=MLN","Sort=A","Dates=H","DateFormat=P","Fill=—","Direction=H","UseDPDF=Y")</f>
        <v>—</v>
      </c>
      <c r="J76" s="13" t="str">
        <f>_xll.BDH("BLUE US Equity","ARDR_LT_CAP_LEASE_OBLIGATIONS","FQ1 2020","FQ1 2020","Currency=USD","Period=FQ","BEST_FPERIOD_OVERRIDE=FQ","FILING_STATUS=MR","SCALING_FORMAT=MLN","Sort=A","Dates=H","DateFormat=P","Fill=—","Direction=H","UseDPDF=Y")</f>
        <v>—</v>
      </c>
      <c r="K76" s="13" t="str">
        <f>_xll.BDH("BLUE US Equity","ARDR_LT_CAP_LEASE_OBLIGATIONS","FQ2 2020","FQ2 2020","Currency=USD","Period=FQ","BEST_FPERIOD_OVERRIDE=FQ","FILING_STATUS=MR","SCALING_FORMAT=MLN","Sort=A","Dates=H","DateFormat=P","Fill=—","Direction=H","UseDPDF=Y")</f>
        <v>—</v>
      </c>
      <c r="L76" s="13" t="str">
        <f>_xll.BDH("BLUE US Equity","ARDR_LT_CAP_LEASE_OBLIGATIONS","FQ3 2020","FQ3 2020","Currency=USD","Period=FQ","BEST_FPERIOD_OVERRIDE=FQ","FILING_STATUS=MR","SCALING_FORMAT=MLN","Sort=A","Dates=H","DateFormat=P","Fill=—","Direction=H","UseDPDF=Y")</f>
        <v>—</v>
      </c>
      <c r="M76" s="13" t="str">
        <f>_xll.BDH("BLUE US Equity","ARDR_LT_CAP_LEASE_OBLIGATIONS","FQ4 2020","FQ4 2020","Currency=USD","Period=FQ","BEST_FPERIOD_OVERRIDE=FQ","FILING_STATUS=MR","SCALING_FORMAT=MLN","Sort=A","Dates=H","DateFormat=P","Fill=—","Direction=H","UseDPDF=Y")</f>
        <v>—</v>
      </c>
      <c r="N76" s="13" t="str">
        <f>_xll.BDH("BLUE US Equity","ARDR_LT_CAP_LEASE_OBLIGATIONS","FQ1 2021","FQ1 2021","Currency=USD","Period=FQ","BEST_FPERIOD_OVERRIDE=FQ","FILING_STATUS=MR","SCALING_FORMAT=MLN","Sort=A","Dates=H","DateFormat=P","Fill=—","Direction=H","UseDPDF=Y")</f>
        <v>—</v>
      </c>
      <c r="O76" s="13" t="str">
        <f>_xll.BDH("BLUE US Equity","ARDR_LT_CAP_LEASE_OBLIGATIONS","FQ2 2021","FQ2 2021","Currency=USD","Period=FQ","BEST_FPERIOD_OVERRIDE=FQ","FILING_STATUS=MR","SCALING_FORMAT=MLN","Sort=A","Dates=H","DateFormat=P","Fill=—","Direction=H","UseDPDF=Y")</f>
        <v>—</v>
      </c>
      <c r="P76" s="13" t="str">
        <f>_xll.BDH("BLUE US Equity","ARDR_LT_CAP_LEASE_OBLIGATIONS","FQ3 2021","FQ3 2021","Currency=USD","Period=FQ","BEST_FPERIOD_OVERRIDE=FQ","FILING_STATUS=MR","SCALING_FORMAT=MLN","Sort=A","Dates=H","DateFormat=P","Fill=—","Direction=H","UseDPDF=Y")</f>
        <v>—</v>
      </c>
      <c r="Q76" s="13" t="str">
        <f>_xll.BDH("BLUE US Equity","ARDR_LT_CAP_LEASE_OBLIGATIONS","FQ4 2021","FQ4 2021","Currency=USD","Period=FQ","BEST_FPERIOD_OVERRIDE=FQ","FILING_STATUS=MR","SCALING_FORMAT=MLN","Sort=A","Dates=H","DateFormat=P","Fill=—","Direction=H","UseDPDF=Y")</f>
        <v>—</v>
      </c>
      <c r="R76" s="13" t="str">
        <f>_xll.BDH("BLUE US Equity","ARDR_LT_CAP_LEASE_OBLIGATIONS","FQ1 2022","FQ1 2022","Currency=USD","Period=FQ","BEST_FPERIOD_OVERRIDE=FQ","FILING_STATUS=MR","SCALING_FORMAT=MLN","Sort=A","Dates=H","DateFormat=P","Fill=—","Direction=H","UseDPDF=Y")</f>
        <v>—</v>
      </c>
      <c r="S76" s="13" t="str">
        <f>_xll.BDH("BLUE US Equity","ARDR_LT_CAP_LEASE_OBLIGATIONS","FQ2 2022","FQ2 2022","Currency=USD","Period=FQ","BEST_FPERIOD_OVERRIDE=FQ","FILING_STATUS=MR","SCALING_FORMAT=MLN","Sort=A","Dates=H","DateFormat=P","Fill=—","Direction=H","UseDPDF=Y")</f>
        <v>—</v>
      </c>
      <c r="T76" s="13" t="str">
        <f>_xll.BDH("BLUE US Equity","ARDR_LT_CAP_LEASE_OBLIGATIONS","FQ3 2022","FQ3 2022","Currency=USD","Period=FQ","BEST_FPERIOD_OVERRIDE=FQ","FILING_STATUS=MR","SCALING_FORMAT=MLN","Sort=A","Dates=H","DateFormat=P","Fill=—","Direction=H","UseDPDF=Y")</f>
        <v>—</v>
      </c>
      <c r="U76" s="13" t="str">
        <f>_xll.BDH("BLUE US Equity","ARDR_LT_CAP_LEASE_OBLIGATIONS","FQ4 2022","FQ4 2022","Currency=USD","Period=FQ","BEST_FPERIOD_OVERRIDE=FQ","FILING_STATUS=MR","SCALING_FORMAT=MLN","Sort=A","Dates=H","DateFormat=P","Fill=—","Direction=H","UseDPDF=Y")</f>
        <v>—</v>
      </c>
      <c r="V76" s="13" t="str">
        <f>_xll.BDH("BLUE US Equity","ARDR_LT_CAP_LEASE_OBLIGATIONS","FQ1 2023","FQ1 2023","Currency=USD","Period=FQ","BEST_FPERIOD_OVERRIDE=FQ","FILING_STATUS=MR","SCALING_FORMAT=MLN","Sort=A","Dates=H","DateFormat=P","Fill=—","Direction=H","UseDPDF=Y")</f>
        <v>—</v>
      </c>
      <c r="W76" s="13" t="str">
        <f>_xll.BDH("BLUE US Equity","ARDR_LT_CAP_LEASE_OBLIGATIONS","FQ2 2023","FQ2 2023","Currency=USD","Period=FQ","BEST_FPERIOD_OVERRIDE=FQ","FILING_STATUS=MR","SCALING_FORMAT=MLN","Sort=A","Dates=H","DateFormat=P","Fill=—","Direction=H","UseDPDF=Y")</f>
        <v>—</v>
      </c>
      <c r="X76" s="13" t="str">
        <f>_xll.BDH("BLUE US Equity","ARDR_LT_CAP_LEASE_OBLIGATIONS","FQ3 2023","FQ3 2023","Currency=USD","Period=FQ","BEST_FPERIOD_OVERRIDE=FQ","FILING_STATUS=MR","SCALING_FORMAT=MLN","Sort=A","Dates=H","DateFormat=P","Fill=—","Direction=H","UseDPDF=Y")</f>
        <v>—</v>
      </c>
      <c r="Y76" s="13">
        <f>_xll.BDH("BLUE US Equity","ARDR_LT_CAP_LEASE_OBLIGATIONS","FQ1 2024","FQ1 2024","Currency=USD","Period=FQ","BEST_FPERIOD_OVERRIDE=FQ","FILING_STATUS=MR","SCALING_FORMAT=MLN","Sort=A","Dates=H","DateFormat=P","Fill=—","Direction=H","UseDPDF=Y")</f>
        <v>26.088999999999999</v>
      </c>
      <c r="Z76" s="13">
        <f>_xll.BDH("BLUE US Equity","ARDR_LT_CAP_LEASE_OBLIGATIONS","FQ2 2024","FQ2 2024","Currency=USD","Period=FQ","BEST_FPERIOD_OVERRIDE=FQ","FILING_STATUS=MR","SCALING_FORMAT=MLN","Sort=A","Dates=H","DateFormat=P","Fill=—","Direction=H","UseDPDF=Y")</f>
        <v>19.655000000000001</v>
      </c>
      <c r="AA76" s="13">
        <f>_xll.BDH("BLUE US Equity","ARDR_LT_CAP_LEASE_OBLIGATIONS","FQ3 2024","FQ3 2024","Currency=USD","Period=FQ","BEST_FPERIOD_OVERRIDE=FQ","FILING_STATUS=MR","SCALING_FORMAT=MLN","Sort=A","Dates=H","DateFormat=P","Fill=—","Direction=H","UseDPDF=Y")</f>
        <v>5.6749999999999998</v>
      </c>
    </row>
    <row r="77" spans="1:27" x14ac:dyDescent="0.25">
      <c r="A77" s="10" t="s">
        <v>825</v>
      </c>
      <c r="B77" s="10" t="s">
        <v>874</v>
      </c>
      <c r="C77" s="13" t="str">
        <f>_xll.BDH("BLUE US Equity","ARDR_COMMON_STOCK","FQ2 2018","FQ2 2018","Currency=USD","Period=FQ","BEST_FPERIOD_OVERRIDE=FQ","FILING_STATUS=MR","SCALING_FORMAT=MLN","Sort=A","Dates=H","DateFormat=P","Fill=—","Direction=H","UseDPDF=Y")</f>
        <v>—</v>
      </c>
      <c r="D77" s="13" t="str">
        <f>_xll.BDH("BLUE US Equity","ARDR_COMMON_STOCK","FQ3 2018","FQ3 2018","Currency=USD","Period=FQ","BEST_FPERIOD_OVERRIDE=FQ","FILING_STATUS=MR","SCALING_FORMAT=MLN","Sort=A","Dates=H","DateFormat=P","Fill=—","Direction=H","UseDPDF=Y")</f>
        <v>—</v>
      </c>
      <c r="E77" s="13">
        <f>_xll.BDH("BLUE US Equity","ARDR_COMMON_STOCK","FQ4 2018","FQ4 2018","Currency=USD","Period=FQ","BEST_FPERIOD_OVERRIDE=FQ","FILING_STATUS=MR","SCALING_FORMAT=MLN","Sort=A","Dates=H","DateFormat=P","Fill=—","Direction=H","UseDPDF=Y")</f>
        <v>0.54700000000000004</v>
      </c>
      <c r="F77" s="13">
        <f>_xll.BDH("BLUE US Equity","ARDR_COMMON_STOCK","FQ1 2019","FQ1 2019","Currency=USD","Period=FQ","BEST_FPERIOD_OVERRIDE=FQ","FILING_STATUS=MR","SCALING_FORMAT=MLN","Sort=A","Dates=H","DateFormat=P","Fill=—","Direction=H","UseDPDF=Y")</f>
        <v>0.55100000000000005</v>
      </c>
      <c r="G77" s="13">
        <f>_xll.BDH("BLUE US Equity","ARDR_COMMON_STOCK","FQ2 2019","FQ2 2019","Currency=USD","Period=FQ","BEST_FPERIOD_OVERRIDE=FQ","FILING_STATUS=MR","SCALING_FORMAT=MLN","Sort=A","Dates=H","DateFormat=P","Fill=—","Direction=H","UseDPDF=Y")</f>
        <v>0.55300000000000005</v>
      </c>
      <c r="H77" s="13">
        <f>_xll.BDH("BLUE US Equity","ARDR_COMMON_STOCK","FQ3 2019","FQ3 2019","Currency=USD","Period=FQ","BEST_FPERIOD_OVERRIDE=FQ","FILING_STATUS=MR","SCALING_FORMAT=MLN","Sort=A","Dates=H","DateFormat=P","Fill=—","Direction=H","UseDPDF=Y")</f>
        <v>0.55300000000000005</v>
      </c>
      <c r="I77" s="13">
        <f>_xll.BDH("BLUE US Equity","ARDR_COMMON_STOCK","FQ4 2019","FQ4 2019","Currency=USD","Period=FQ","BEST_FPERIOD_OVERRIDE=FQ","FILING_STATUS=MR","SCALING_FORMAT=MLN","Sort=A","Dates=H","DateFormat=P","Fill=—","Direction=H","UseDPDF=Y")</f>
        <v>0.55400000000000005</v>
      </c>
      <c r="J77" s="13">
        <f>_xll.BDH("BLUE US Equity","ARDR_COMMON_STOCK","FQ1 2020","FQ1 2020","Currency=USD","Period=FQ","BEST_FPERIOD_OVERRIDE=FQ","FILING_STATUS=MR","SCALING_FORMAT=MLN","Sort=A","Dates=H","DateFormat=P","Fill=—","Direction=H","UseDPDF=Y")</f>
        <v>0.55600000000000005</v>
      </c>
      <c r="K77" s="13">
        <f>_xll.BDH("BLUE US Equity","ARDR_COMMON_STOCK","FQ2 2020","FQ2 2020","Currency=USD","Period=FQ","BEST_FPERIOD_OVERRIDE=FQ","FILING_STATUS=MR","SCALING_FORMAT=MLN","Sort=A","Dates=H","DateFormat=P","Fill=—","Direction=H","UseDPDF=Y")</f>
        <v>0.66200000000000003</v>
      </c>
      <c r="L77" s="13">
        <f>_xll.BDH("BLUE US Equity","ARDR_COMMON_STOCK","FQ3 2020","FQ3 2020","Currency=USD","Period=FQ","BEST_FPERIOD_OVERRIDE=FQ","FILING_STATUS=MR","SCALING_FORMAT=MLN","Sort=A","Dates=H","DateFormat=P","Fill=—","Direction=H","UseDPDF=Y")</f>
        <v>0.66300000000000003</v>
      </c>
      <c r="M77" s="13">
        <f>_xll.BDH("BLUE US Equity","ARDR_COMMON_STOCK","FQ4 2020","FQ4 2020","Currency=USD","Period=FQ","BEST_FPERIOD_OVERRIDE=FQ","FILING_STATUS=MR","SCALING_FORMAT=MLN","Sort=A","Dates=H","DateFormat=P","Fill=—","Direction=H","UseDPDF=Y")</f>
        <v>0.66500000000000004</v>
      </c>
      <c r="N77" s="13">
        <f>_xll.BDH("BLUE US Equity","ARDR_COMMON_STOCK","FQ1 2021","FQ1 2021","Currency=USD","Period=FQ","BEST_FPERIOD_OVERRIDE=FQ","FILING_STATUS=MR","SCALING_FORMAT=MLN","Sort=A","Dates=H","DateFormat=P","Fill=—","Direction=H","UseDPDF=Y")</f>
        <v>0.67500000000000004</v>
      </c>
      <c r="O77" s="13">
        <f>_xll.BDH("BLUE US Equity","ARDR_COMMON_STOCK","FQ2 2021","FQ2 2021","Currency=USD","Period=FQ","BEST_FPERIOD_OVERRIDE=FQ","FILING_STATUS=MR","SCALING_FORMAT=MLN","Sort=A","Dates=H","DateFormat=P","Fill=—","Direction=H","UseDPDF=Y")</f>
        <v>0.67600000000000005</v>
      </c>
      <c r="P77" s="13">
        <f>_xll.BDH("BLUE US Equity","ARDR_COMMON_STOCK","FQ3 2021","FQ3 2021","Currency=USD","Period=FQ","BEST_FPERIOD_OVERRIDE=FQ","FILING_STATUS=MR","SCALING_FORMAT=MLN","Sort=A","Dates=H","DateFormat=P","Fill=—","Direction=H","UseDPDF=Y")</f>
        <v>0.70099999999999996</v>
      </c>
      <c r="Q77" s="13">
        <f>_xll.BDH("BLUE US Equity","ARDR_COMMON_STOCK","FQ4 2021","FQ4 2021","Currency=USD","Period=FQ","BEST_FPERIOD_OVERRIDE=FQ","FILING_STATUS=MR","SCALING_FORMAT=MLN","Sort=A","Dates=H","DateFormat=P","Fill=—","Direction=H","UseDPDF=Y")</f>
        <v>0.71099999999999997</v>
      </c>
      <c r="R77" s="13">
        <f>_xll.BDH("BLUE US Equity","ARDR_COMMON_STOCK","FQ1 2022","FQ1 2022","Currency=USD","Period=FQ","BEST_FPERIOD_OVERRIDE=FQ","FILING_STATUS=MR","SCALING_FORMAT=MLN","Sort=A","Dates=H","DateFormat=P","Fill=—","Direction=H","UseDPDF=Y")</f>
        <v>0.71399999999999997</v>
      </c>
      <c r="S77" s="13">
        <f>_xll.BDH("BLUE US Equity","ARDR_COMMON_STOCK","FQ2 2022","FQ2 2022","Currency=USD","Period=FQ","BEST_FPERIOD_OVERRIDE=FQ","FILING_STATUS=MR","SCALING_FORMAT=MLN","Sort=A","Dates=H","DateFormat=P","Fill=—","Direction=H","UseDPDF=Y")</f>
        <v>0.73499999999999999</v>
      </c>
      <c r="T77" s="13">
        <f>_xll.BDH("BLUE US Equity","ARDR_COMMON_STOCK","FQ3 2022","FQ3 2022","Currency=USD","Period=FQ","BEST_FPERIOD_OVERRIDE=FQ","FILING_STATUS=MR","SCALING_FORMAT=MLN","Sort=A","Dates=H","DateFormat=P","Fill=—","Direction=H","UseDPDF=Y")</f>
        <v>0.82899999999999996</v>
      </c>
      <c r="U77" s="13">
        <f>_xll.BDH("BLUE US Equity","ARDR_COMMON_STOCK","FQ4 2022","FQ4 2022","Currency=USD","Period=FQ","BEST_FPERIOD_OVERRIDE=FQ","FILING_STATUS=MR","SCALING_FORMAT=MLN","Sort=A","Dates=H","DateFormat=P","Fill=—","Direction=H","UseDPDF=Y")</f>
        <v>0.83</v>
      </c>
      <c r="V77" s="13">
        <f>_xll.BDH("BLUE US Equity","ARDR_COMMON_STOCK","FQ1 2023","FQ1 2023","Currency=USD","Period=FQ","BEST_FPERIOD_OVERRIDE=FQ","FILING_STATUS=MR","SCALING_FORMAT=MLN","Sort=A","Dates=H","DateFormat=P","Fill=—","Direction=H","UseDPDF=Y")</f>
        <v>1.0640000000000001</v>
      </c>
      <c r="W77" s="13">
        <f>_xll.BDH("BLUE US Equity","ARDR_COMMON_STOCK","FQ2 2023","FQ2 2023","Currency=USD","Period=FQ","BEST_FPERIOD_OVERRIDE=FQ","FILING_STATUS=MR","SCALING_FORMAT=MLN","Sort=A","Dates=H","DateFormat=P","Fill=—","Direction=H","UseDPDF=Y")</f>
        <v>1.0649999999999999</v>
      </c>
      <c r="X77" s="13">
        <f>_xll.BDH("BLUE US Equity","ARDR_COMMON_STOCK","FQ3 2023","FQ3 2023","Currency=USD","Period=FQ","BEST_FPERIOD_OVERRIDE=FQ","FILING_STATUS=MR","SCALING_FORMAT=MLN","Sort=A","Dates=H","DateFormat=P","Fill=—","Direction=H","UseDPDF=Y")</f>
        <v>1.071</v>
      </c>
      <c r="Y77" s="13">
        <f>_xll.BDH("BLUE US Equity","ARDR_COMMON_STOCK","FQ1 2024","FQ1 2024","Currency=USD","Period=FQ","BEST_FPERIOD_OVERRIDE=FQ","FILING_STATUS=MR","SCALING_FORMAT=MLN","Sort=A","Dates=H","DateFormat=P","Fill=—","Direction=H","UseDPDF=Y")</f>
        <v>193.583</v>
      </c>
      <c r="Z77" s="13">
        <f>_xll.BDH("BLUE US Equity","ARDR_COMMON_STOCK","FQ2 2024","FQ2 2024","Currency=USD","Period=FQ","BEST_FPERIOD_OVERRIDE=FQ","FILING_STATUS=MR","SCALING_FORMAT=MLN","Sort=A","Dates=H","DateFormat=P","Fill=—","Direction=H","UseDPDF=Y")</f>
        <v>1.9159999999999999</v>
      </c>
      <c r="AA77" s="13">
        <f>_xll.BDH("BLUE US Equity","ARDR_COMMON_STOCK","FQ3 2024","FQ3 2024","Currency=USD","Period=FQ","BEST_FPERIOD_OVERRIDE=FQ","FILING_STATUS=MR","SCALING_FORMAT=MLN","Sort=A","Dates=H","DateFormat=P","Fill=—","Direction=H","UseDPDF=Y")</f>
        <v>1.917</v>
      </c>
    </row>
    <row r="78" spans="1:27" x14ac:dyDescent="0.25">
      <c r="A78" s="10" t="s">
        <v>827</v>
      </c>
      <c r="B78" s="10" t="s">
        <v>875</v>
      </c>
      <c r="C78" s="13" t="str">
        <f>_xll.BDH("BLUE US Equity","ARDR_ADDITIONAL_PAID_IN_CAPITAL","FQ2 2018","FQ2 2018","Currency=USD","Period=FQ","BEST_FPERIOD_OVERRIDE=FQ","FILING_STATUS=MR","SCALING_FORMAT=MLN","Sort=A","Dates=H","DateFormat=P","Fill=—","Direction=H","UseDPDF=Y")</f>
        <v>—</v>
      </c>
      <c r="D78" s="13" t="str">
        <f>_xll.BDH("BLUE US Equity","ARDR_ADDITIONAL_PAID_IN_CAPITAL","FQ3 2018","FQ3 2018","Currency=USD","Period=FQ","BEST_FPERIOD_OVERRIDE=FQ","FILING_STATUS=MR","SCALING_FORMAT=MLN","Sort=A","Dates=H","DateFormat=P","Fill=—","Direction=H","UseDPDF=Y")</f>
        <v>—</v>
      </c>
      <c r="E78" s="13">
        <f>_xll.BDH("BLUE US Equity","ARDR_ADDITIONAL_PAID_IN_CAPITAL","FQ4 2018","FQ4 2018","Currency=USD","Period=FQ","BEST_FPERIOD_OVERRIDE=FQ","FILING_STATUS=MR","SCALING_FORMAT=MLN","Sort=A","Dates=H","DateFormat=P","Fill=—","Direction=H","UseDPDF=Y")</f>
        <v>3386.9580000000001</v>
      </c>
      <c r="F78" s="13">
        <f>_xll.BDH("BLUE US Equity","ARDR_ADDITIONAL_PAID_IN_CAPITAL","FQ1 2019","FQ1 2019","Currency=USD","Period=FQ","BEST_FPERIOD_OVERRIDE=FQ","FILING_STATUS=MR","SCALING_FORMAT=MLN","Sort=A","Dates=H","DateFormat=P","Fill=—","Direction=H","UseDPDF=Y")</f>
        <v>3430.03</v>
      </c>
      <c r="G78" s="13">
        <f>_xll.BDH("BLUE US Equity","ARDR_ADDITIONAL_PAID_IN_CAPITAL","FQ2 2019","FQ2 2019","Currency=USD","Period=FQ","BEST_FPERIOD_OVERRIDE=FQ","FILING_STATUS=MR","SCALING_FORMAT=MLN","Sort=A","Dates=H","DateFormat=P","Fill=—","Direction=H","UseDPDF=Y")</f>
        <v>3489.1120000000001</v>
      </c>
      <c r="H78" s="13">
        <f>_xll.BDH("BLUE US Equity","ARDR_ADDITIONAL_PAID_IN_CAPITAL","FQ3 2019","FQ3 2019","Currency=USD","Period=FQ","BEST_FPERIOD_OVERRIDE=FQ","FILING_STATUS=MR","SCALING_FORMAT=MLN","Sort=A","Dates=H","DateFormat=P","Fill=—","Direction=H","UseDPDF=Y")</f>
        <v>3532.5129999999999</v>
      </c>
      <c r="I78" s="13">
        <f>_xll.BDH("BLUE US Equity","ARDR_ADDITIONAL_PAID_IN_CAPITAL","FQ4 2019","FQ4 2019","Currency=USD","Period=FQ","BEST_FPERIOD_OVERRIDE=FQ","FILING_STATUS=MR","SCALING_FORMAT=MLN","Sort=A","Dates=H","DateFormat=P","Fill=—","Direction=H","UseDPDF=Y")</f>
        <v>3568.1840000000002</v>
      </c>
      <c r="J78" s="13">
        <f>_xll.BDH("BLUE US Equity","ARDR_ADDITIONAL_PAID_IN_CAPITAL","FQ1 2020","FQ1 2020","Currency=USD","Period=FQ","BEST_FPERIOD_OVERRIDE=FQ","FILING_STATUS=MR","SCALING_FORMAT=MLN","Sort=A","Dates=H","DateFormat=P","Fill=—","Direction=H","UseDPDF=Y")</f>
        <v>3607.1390000000001</v>
      </c>
      <c r="K78" s="13">
        <f>_xll.BDH("BLUE US Equity","ARDR_ADDITIONAL_PAID_IN_CAPITAL","FQ2 2020","FQ2 2020","Currency=USD","Period=FQ","BEST_FPERIOD_OVERRIDE=FQ","FILING_STATUS=MR","SCALING_FORMAT=MLN","Sort=A","Dates=H","DateFormat=P","Fill=—","Direction=H","UseDPDF=Y")</f>
        <v>4189.6970000000001</v>
      </c>
      <c r="L78" s="13">
        <f>_xll.BDH("BLUE US Equity","ARDR_ADDITIONAL_PAID_IN_CAPITAL","FQ3 2020","FQ3 2020","Currency=USD","Period=FQ","BEST_FPERIOD_OVERRIDE=FQ","FILING_STATUS=MR","SCALING_FORMAT=MLN","Sort=A","Dates=H","DateFormat=P","Fill=—","Direction=H","UseDPDF=Y")</f>
        <v>4227.2539999999999</v>
      </c>
      <c r="M78" s="13">
        <f>_xll.BDH("BLUE US Equity","ARDR_ADDITIONAL_PAID_IN_CAPITAL","FQ4 2020","FQ4 2020","Currency=USD","Period=FQ","BEST_FPERIOD_OVERRIDE=FQ","FILING_STATUS=MR","SCALING_FORMAT=MLN","Sort=A","Dates=H","DateFormat=P","Fill=—","Direction=H","UseDPDF=Y")</f>
        <v>4260.4430000000002</v>
      </c>
      <c r="N78" s="13">
        <f>_xll.BDH("BLUE US Equity","ARDR_ADDITIONAL_PAID_IN_CAPITAL","FQ1 2021","FQ1 2021","Currency=USD","Period=FQ","BEST_FPERIOD_OVERRIDE=FQ","FILING_STATUS=MR","SCALING_FORMAT=MLN","Sort=A","Dates=H","DateFormat=P","Fill=—","Direction=H","UseDPDF=Y")</f>
        <v>4311.4620000000004</v>
      </c>
      <c r="O78" s="13">
        <f>_xll.BDH("BLUE US Equity","ARDR_ADDITIONAL_PAID_IN_CAPITAL","FQ2 2021","FQ2 2021","Currency=USD","Period=FQ","BEST_FPERIOD_OVERRIDE=FQ","FILING_STATUS=MR","SCALING_FORMAT=MLN","Sort=A","Dates=H","DateFormat=P","Fill=—","Direction=H","UseDPDF=Y")</f>
        <v>4337.7190000000001</v>
      </c>
      <c r="P78" s="13">
        <f>_xll.BDH("BLUE US Equity","ARDR_ADDITIONAL_PAID_IN_CAPITAL","FQ3 2021","FQ3 2021","Currency=USD","Period=FQ","BEST_FPERIOD_OVERRIDE=FQ","FILING_STATUS=MR","SCALING_FORMAT=MLN","Sort=A","Dates=H","DateFormat=P","Fill=—","Direction=H","UseDPDF=Y")</f>
        <v>4440.6049999999996</v>
      </c>
      <c r="Q78" s="13">
        <f>_xll.BDH("BLUE US Equity","ARDR_ADDITIONAL_PAID_IN_CAPITAL","FQ4 2021","FQ4 2021","Currency=USD","Period=FQ","BEST_FPERIOD_OVERRIDE=FQ","FILING_STATUS=MR","SCALING_FORMAT=MLN","Sort=A","Dates=H","DateFormat=P","Fill=—","Direction=H","UseDPDF=Y")</f>
        <v>4096.402</v>
      </c>
      <c r="R78" s="13">
        <f>_xll.BDH("BLUE US Equity","ARDR_ADDITIONAL_PAID_IN_CAPITAL","FQ1 2022","FQ1 2022","Currency=USD","Period=FQ","BEST_FPERIOD_OVERRIDE=FQ","FILING_STATUS=MR","SCALING_FORMAT=MLN","Sort=A","Dates=H","DateFormat=P","Fill=—","Direction=H","UseDPDF=Y")</f>
        <v>4109.0810000000001</v>
      </c>
      <c r="S78" s="13">
        <f>_xll.BDH("BLUE US Equity","ARDR_ADDITIONAL_PAID_IN_CAPITAL","FQ2 2022","FQ2 2022","Currency=USD","Period=FQ","BEST_FPERIOD_OVERRIDE=FQ","FILING_STATUS=MR","SCALING_FORMAT=MLN","Sort=A","Dates=H","DateFormat=P","Fill=—","Direction=H","UseDPDF=Y")</f>
        <v>4126.0119999999997</v>
      </c>
      <c r="T78" s="13">
        <f>_xll.BDH("BLUE US Equity","ARDR_ADDITIONAL_PAID_IN_CAPITAL","FQ3 2022","FQ3 2022","Currency=USD","Period=FQ","BEST_FPERIOD_OVERRIDE=FQ","FILING_STATUS=MR","SCALING_FORMAT=MLN","Sort=A","Dates=H","DateFormat=P","Fill=—","Direction=H","UseDPDF=Y")</f>
        <v>4181.393</v>
      </c>
      <c r="U78" s="13">
        <f>_xll.BDH("BLUE US Equity","ARDR_ADDITIONAL_PAID_IN_CAPITAL","FQ4 2022","FQ4 2022","Currency=USD","Period=FQ","BEST_FPERIOD_OVERRIDE=FQ","FILING_STATUS=MR","SCALING_FORMAT=MLN","Sort=A","Dates=H","DateFormat=P","Fill=—","Direction=H","UseDPDF=Y")</f>
        <v>4186.0860000000002</v>
      </c>
      <c r="V78" s="13">
        <f>_xll.BDH("BLUE US Equity","ARDR_ADDITIONAL_PAID_IN_CAPITAL","FQ1 2023","FQ1 2023","Currency=USD","Period=FQ","BEST_FPERIOD_OVERRIDE=FQ","FILING_STATUS=MR","SCALING_FORMAT=MLN","Sort=A","Dates=H","DateFormat=P","Fill=—","Direction=H","UseDPDF=Y")</f>
        <v>4322.0249999999996</v>
      </c>
      <c r="W78" s="13">
        <f>_xll.BDH("BLUE US Equity","ARDR_ADDITIONAL_PAID_IN_CAPITAL","FQ2 2023","FQ2 2023","Currency=USD","Period=FQ","BEST_FPERIOD_OVERRIDE=FQ","FILING_STATUS=MR","SCALING_FORMAT=MLN","Sort=A","Dates=H","DateFormat=P","Fill=—","Direction=H","UseDPDF=Y")</f>
        <v>4328.4889999999996</v>
      </c>
      <c r="X78" s="13">
        <f>_xll.BDH("BLUE US Equity","ARDR_ADDITIONAL_PAID_IN_CAPITAL","FQ3 2023","FQ3 2023","Currency=USD","Period=FQ","BEST_FPERIOD_OVERRIDE=FQ","FILING_STATUS=MR","SCALING_FORMAT=MLN","Sort=A","Dates=H","DateFormat=P","Fill=—","Direction=H","UseDPDF=Y")</f>
        <v>4333.5940000000001</v>
      </c>
      <c r="Y78" s="13">
        <f>_xll.BDH("BLUE US Equity","ARDR_ADDITIONAL_PAID_IN_CAPITAL","FQ1 2024","FQ1 2024","Currency=USD","Period=FQ","BEST_FPERIOD_OVERRIDE=FQ","FILING_STATUS=MR","SCALING_FORMAT=MLN","Sort=A","Dates=H","DateFormat=P","Fill=—","Direction=H","UseDPDF=Y")</f>
        <v>4461.3729999999996</v>
      </c>
      <c r="Z78" s="13">
        <f>_xll.BDH("BLUE US Equity","ARDR_ADDITIONAL_PAID_IN_CAPITAL","FQ2 2024","FQ2 2024","Currency=USD","Period=FQ","BEST_FPERIOD_OVERRIDE=FQ","FILING_STATUS=MR","SCALING_FORMAT=MLN","Sort=A","Dates=H","DateFormat=P","Fill=—","Direction=H","UseDPDF=Y")</f>
        <v>4464.7120000000004</v>
      </c>
      <c r="AA78" s="13">
        <f>_xll.BDH("BLUE US Equity","ARDR_ADDITIONAL_PAID_IN_CAPITAL","FQ3 2024","FQ3 2024","Currency=USD","Period=FQ","BEST_FPERIOD_OVERRIDE=FQ","FILING_STATUS=MR","SCALING_FORMAT=MLN","Sort=A","Dates=H","DateFormat=P","Fill=—","Direction=H","UseDPDF=Y")</f>
        <v>4466.1409999999996</v>
      </c>
    </row>
    <row r="79" spans="1:27" x14ac:dyDescent="0.25">
      <c r="A79" s="10" t="s">
        <v>829</v>
      </c>
      <c r="B79" s="10" t="s">
        <v>876</v>
      </c>
      <c r="C79" s="13" t="str">
        <f>_xll.BDH("BLUE US Equity","ARDR_ACC_OTH_COMPREHENSIVE_INC","FQ2 2018","FQ2 2018","Currency=USD","Period=FQ","BEST_FPERIOD_OVERRIDE=FQ","FILING_STATUS=MR","SCALING_FORMAT=MLN","Sort=A","Dates=H","DateFormat=P","Fill=—","Direction=H","UseDPDF=Y")</f>
        <v>—</v>
      </c>
      <c r="D79" s="13" t="str">
        <f>_xll.BDH("BLUE US Equity","ARDR_ACC_OTH_COMPREHENSIVE_INC","FQ3 2018","FQ3 2018","Currency=USD","Period=FQ","BEST_FPERIOD_OVERRIDE=FQ","FILING_STATUS=MR","SCALING_FORMAT=MLN","Sort=A","Dates=H","DateFormat=P","Fill=—","Direction=H","UseDPDF=Y")</f>
        <v>—</v>
      </c>
      <c r="E79" s="13">
        <f>_xll.BDH("BLUE US Equity","ARDR_ACC_OTH_COMPREHENSIVE_INC","FQ4 2018","FQ4 2018","Currency=USD","Period=FQ","BEST_FPERIOD_OVERRIDE=FQ","FILING_STATUS=MR","SCALING_FORMAT=MLN","Sort=A","Dates=H","DateFormat=P","Fill=—","Direction=H","UseDPDF=Y")</f>
        <v>-3.6269999999999998</v>
      </c>
      <c r="F79" s="13">
        <f>_xll.BDH("BLUE US Equity","ARDR_ACC_OTH_COMPREHENSIVE_INC","FQ1 2019","FQ1 2019","Currency=USD","Period=FQ","BEST_FPERIOD_OVERRIDE=FQ","FILING_STATUS=MR","SCALING_FORMAT=MLN","Sort=A","Dates=H","DateFormat=P","Fill=—","Direction=H","UseDPDF=Y")</f>
        <v>-1.792</v>
      </c>
      <c r="G79" s="13">
        <f>_xll.BDH("BLUE US Equity","ARDR_ACC_OTH_COMPREHENSIVE_INC","FQ2 2019","FQ2 2019","Currency=USD","Period=FQ","BEST_FPERIOD_OVERRIDE=FQ","FILING_STATUS=MR","SCALING_FORMAT=MLN","Sort=A","Dates=H","DateFormat=P","Fill=—","Direction=H","UseDPDF=Y")</f>
        <v>-0.81899999999999995</v>
      </c>
      <c r="H79" s="13">
        <f>_xll.BDH("BLUE US Equity","ARDR_ACC_OTH_COMPREHENSIVE_INC","FQ3 2019","FQ3 2019","Currency=USD","Period=FQ","BEST_FPERIOD_OVERRIDE=FQ","FILING_STATUS=MR","SCALING_FORMAT=MLN","Sort=A","Dates=H","DateFormat=P","Fill=—","Direction=H","UseDPDF=Y")</f>
        <v>-2.851</v>
      </c>
      <c r="I79" s="13">
        <f>_xll.BDH("BLUE US Equity","ARDR_ACC_OTH_COMPREHENSIVE_INC","FQ4 2019","FQ4 2019","Currency=USD","Period=FQ","BEST_FPERIOD_OVERRIDE=FQ","FILING_STATUS=MR","SCALING_FORMAT=MLN","Sort=A","Dates=H","DateFormat=P","Fill=—","Direction=H","UseDPDF=Y")</f>
        <v>-1.893</v>
      </c>
      <c r="J79" s="13">
        <f>_xll.BDH("BLUE US Equity","ARDR_ACC_OTH_COMPREHENSIVE_INC","FQ1 2020","FQ1 2020","Currency=USD","Period=FQ","BEST_FPERIOD_OVERRIDE=FQ","FILING_STATUS=MR","SCALING_FORMAT=MLN","Sort=A","Dates=H","DateFormat=P","Fill=—","Direction=H","UseDPDF=Y")</f>
        <v>-2.7989999999999999</v>
      </c>
      <c r="K79" s="13">
        <f>_xll.BDH("BLUE US Equity","ARDR_ACC_OTH_COMPREHENSIVE_INC","FQ2 2020","FQ2 2020","Currency=USD","Period=FQ","BEST_FPERIOD_OVERRIDE=FQ","FILING_STATUS=MR","SCALING_FORMAT=MLN","Sort=A","Dates=H","DateFormat=P","Fill=—","Direction=H","UseDPDF=Y")</f>
        <v>-2.4</v>
      </c>
      <c r="L79" s="13">
        <f>_xll.BDH("BLUE US Equity","ARDR_ACC_OTH_COMPREHENSIVE_INC","FQ3 2020","FQ3 2020","Currency=USD","Period=FQ","BEST_FPERIOD_OVERRIDE=FQ","FILING_STATUS=MR","SCALING_FORMAT=MLN","Sort=A","Dates=H","DateFormat=P","Fill=—","Direction=H","UseDPDF=Y")</f>
        <v>-4.2229999999999999</v>
      </c>
      <c r="M79" s="13">
        <f>_xll.BDH("BLUE US Equity","ARDR_ACC_OTH_COMPREHENSIVE_INC","FQ4 2020","FQ4 2020","Currency=USD","Period=FQ","BEST_FPERIOD_OVERRIDE=FQ","FILING_STATUS=MR","SCALING_FORMAT=MLN","Sort=A","Dates=H","DateFormat=P","Fill=—","Direction=H","UseDPDF=Y")</f>
        <v>-5.5049999999999999</v>
      </c>
      <c r="N79" s="13">
        <f>_xll.BDH("BLUE US Equity","ARDR_ACC_OTH_COMPREHENSIVE_INC","FQ1 2021","FQ1 2021","Currency=USD","Period=FQ","BEST_FPERIOD_OVERRIDE=FQ","FILING_STATUS=MR","SCALING_FORMAT=MLN","Sort=A","Dates=H","DateFormat=P","Fill=—","Direction=H","UseDPDF=Y")</f>
        <v>-5.4489999999999998</v>
      </c>
      <c r="O79" s="13">
        <f>_xll.BDH("BLUE US Equity","ARDR_ACC_OTH_COMPREHENSIVE_INC","FQ2 2021","FQ2 2021","Currency=USD","Period=FQ","BEST_FPERIOD_OVERRIDE=FQ","FILING_STATUS=MR","SCALING_FORMAT=MLN","Sort=A","Dates=H","DateFormat=P","Fill=—","Direction=H","UseDPDF=Y")</f>
        <v>-5.7770000000000001</v>
      </c>
      <c r="P79" s="13">
        <f>_xll.BDH("BLUE US Equity","ARDR_ACC_OTH_COMPREHENSIVE_INC","FQ3 2021","FQ3 2021","Currency=USD","Period=FQ","BEST_FPERIOD_OVERRIDE=FQ","FILING_STATUS=MR","SCALING_FORMAT=MLN","Sort=A","Dates=H","DateFormat=P","Fill=—","Direction=H","UseDPDF=Y")</f>
        <v>-5.9059999999999997</v>
      </c>
      <c r="Q79" s="13">
        <f>_xll.BDH("BLUE US Equity","ARDR_ACC_OTH_COMPREHENSIVE_INC","FQ4 2021","FQ4 2021","Currency=USD","Period=FQ","BEST_FPERIOD_OVERRIDE=FQ","FILING_STATUS=MR","SCALING_FORMAT=MLN","Sort=A","Dates=H","DateFormat=P","Fill=—","Direction=H","UseDPDF=Y")</f>
        <v>-2.911</v>
      </c>
      <c r="R79" s="13">
        <f>_xll.BDH("BLUE US Equity","ARDR_ACC_OTH_COMPREHENSIVE_INC","FQ1 2022","FQ1 2022","Currency=USD","Period=FQ","BEST_FPERIOD_OVERRIDE=FQ","FILING_STATUS=MR","SCALING_FORMAT=MLN","Sort=A","Dates=H","DateFormat=P","Fill=—","Direction=H","UseDPDF=Y")</f>
        <v>-4.4589999999999996</v>
      </c>
      <c r="S79" s="13">
        <f>_xll.BDH("BLUE US Equity","ARDR_ACC_OTH_COMPREHENSIVE_INC","FQ2 2022","FQ2 2022","Currency=USD","Period=FQ","BEST_FPERIOD_OVERRIDE=FQ","FILING_STATUS=MR","SCALING_FORMAT=MLN","Sort=A","Dates=H","DateFormat=P","Fill=—","Direction=H","UseDPDF=Y")</f>
        <v>-4.4160000000000004</v>
      </c>
      <c r="T79" s="13">
        <f>_xll.BDH("BLUE US Equity","ARDR_ACC_OTH_COMPREHENSIVE_INC","FQ3 2022","FQ3 2022","Currency=USD","Period=FQ","BEST_FPERIOD_OVERRIDE=FQ","FILING_STATUS=MR","SCALING_FORMAT=MLN","Sort=A","Dates=H","DateFormat=P","Fill=—","Direction=H","UseDPDF=Y")</f>
        <v>-4.63</v>
      </c>
      <c r="U79" s="13">
        <f>_xll.BDH("BLUE US Equity","ARDR_ACC_OTH_COMPREHENSIVE_INC","FQ4 2022","FQ4 2022","Currency=USD","Period=FQ","BEST_FPERIOD_OVERRIDE=FQ","FILING_STATUS=MR","SCALING_FORMAT=MLN","Sort=A","Dates=H","DateFormat=P","Fill=—","Direction=H","UseDPDF=Y")</f>
        <v>-4.07</v>
      </c>
      <c r="V79" s="13">
        <f>_xll.BDH("BLUE US Equity","ARDR_ACC_OTH_COMPREHENSIVE_INC","FQ1 2023","FQ1 2023","Currency=USD","Period=FQ","BEST_FPERIOD_OVERRIDE=FQ","FILING_STATUS=MR","SCALING_FORMAT=MLN","Sort=A","Dates=H","DateFormat=P","Fill=—","Direction=H","UseDPDF=Y")</f>
        <v>-3.0859999999999999</v>
      </c>
      <c r="W79" s="13">
        <f>_xll.BDH("BLUE US Equity","ARDR_ACC_OTH_COMPREHENSIVE_INC","FQ2 2023","FQ2 2023","Currency=USD","Period=FQ","BEST_FPERIOD_OVERRIDE=FQ","FILING_STATUS=MR","SCALING_FORMAT=MLN","Sort=A","Dates=H","DateFormat=P","Fill=—","Direction=H","UseDPDF=Y")</f>
        <v>-2.3639999999999999</v>
      </c>
      <c r="X79" s="13">
        <f>_xll.BDH("BLUE US Equity","ARDR_ACC_OTH_COMPREHENSIVE_INC","FQ3 2023","FQ3 2023","Currency=USD","Period=FQ","BEST_FPERIOD_OVERRIDE=FQ","FILING_STATUS=MR","SCALING_FORMAT=MLN","Sort=A","Dates=H","DateFormat=P","Fill=—","Direction=H","UseDPDF=Y")</f>
        <v>-2.2269999999999999</v>
      </c>
      <c r="Y79" s="13">
        <f>_xll.BDH("BLUE US Equity","ARDR_ACC_OTH_COMPREHENSIVE_INC","FQ1 2024","FQ1 2024","Currency=USD","Period=FQ","BEST_FPERIOD_OVERRIDE=FQ","FILING_STATUS=MR","SCALING_FORMAT=MLN","Sort=A","Dates=H","DateFormat=P","Fill=—","Direction=H","UseDPDF=Y")</f>
        <v>-2.1080000000000001</v>
      </c>
      <c r="Z79" s="13">
        <f>_xll.BDH("BLUE US Equity","ARDR_ACC_OTH_COMPREHENSIVE_INC","FQ2 2024","FQ2 2024","Currency=USD","Period=FQ","BEST_FPERIOD_OVERRIDE=FQ","FILING_STATUS=MR","SCALING_FORMAT=MLN","Sort=A","Dates=H","DateFormat=P","Fill=—","Direction=H","UseDPDF=Y")</f>
        <v>-2.1219999999999999</v>
      </c>
      <c r="AA79" s="13">
        <f>_xll.BDH("BLUE US Equity","ARDR_ACC_OTH_COMPREHENSIVE_INC","FQ3 2024","FQ3 2024","Currency=USD","Period=FQ","BEST_FPERIOD_OVERRIDE=FQ","FILING_STATUS=MR","SCALING_FORMAT=MLN","Sort=A","Dates=H","DateFormat=P","Fill=—","Direction=H","UseDPDF=Y")</f>
        <v>-1.5109999999999999</v>
      </c>
    </row>
    <row r="80" spans="1:27" x14ac:dyDescent="0.25">
      <c r="A80" s="10" t="s">
        <v>831</v>
      </c>
      <c r="B80" s="10" t="s">
        <v>877</v>
      </c>
      <c r="C80" s="13" t="str">
        <f>_xll.BDH("BLUE US Equity","ARDR_RETAINED_EARN_ACC_DEFICIT","FQ2 2018","FQ2 2018","Currency=USD","Period=FQ","BEST_FPERIOD_OVERRIDE=FQ","FILING_STATUS=MR","SCALING_FORMAT=MLN","Sort=A","Dates=H","DateFormat=P","Fill=—","Direction=H","UseDPDF=Y")</f>
        <v>—</v>
      </c>
      <c r="D80" s="13" t="str">
        <f>_xll.BDH("BLUE US Equity","ARDR_RETAINED_EARN_ACC_DEFICIT","FQ3 2018","FQ3 2018","Currency=USD","Period=FQ","BEST_FPERIOD_OVERRIDE=FQ","FILING_STATUS=MR","SCALING_FORMAT=MLN","Sort=A","Dates=H","DateFormat=P","Fill=—","Direction=H","UseDPDF=Y")</f>
        <v>—</v>
      </c>
      <c r="E80" s="13">
        <f>_xll.BDH("BLUE US Equity","ARDR_RETAINED_EARN_ACC_DEFICIT","FQ4 2018","FQ4 2018","Currency=USD","Period=FQ","BEST_FPERIOD_OVERRIDE=FQ","FILING_STATUS=MR","SCALING_FORMAT=MLN","Sort=A","Dates=H","DateFormat=P","Fill=—","Direction=H","UseDPDF=Y")</f>
        <v>-1498.808</v>
      </c>
      <c r="F80" s="13">
        <f>_xll.BDH("BLUE US Equity","ARDR_RETAINED_EARN_ACC_DEFICIT","FQ1 2019","FQ1 2019","Currency=USD","Period=FQ","BEST_FPERIOD_OVERRIDE=FQ","FILING_STATUS=MR","SCALING_FORMAT=MLN","Sort=A","Dates=H","DateFormat=P","Fill=—","Direction=H","UseDPDF=Y")</f>
        <v>-1656.69</v>
      </c>
      <c r="G80" s="13">
        <f>_xll.BDH("BLUE US Equity","ARDR_RETAINED_EARN_ACC_DEFICIT","FQ2 2019","FQ2 2019","Currency=USD","Period=FQ","BEST_FPERIOD_OVERRIDE=FQ","FILING_STATUS=MR","SCALING_FORMAT=MLN","Sort=A","Dates=H","DateFormat=P","Fill=—","Direction=H","UseDPDF=Y")</f>
        <v>-1852.472</v>
      </c>
      <c r="H80" s="13">
        <f>_xll.BDH("BLUE US Equity","ARDR_RETAINED_EARN_ACC_DEFICIT","FQ3 2019","FQ3 2019","Currency=USD","Period=FQ","BEST_FPERIOD_OVERRIDE=FQ","FILING_STATUS=MR","SCALING_FORMAT=MLN","Sort=A","Dates=H","DateFormat=P","Fill=—","Direction=H","UseDPDF=Y")</f>
        <v>-2058.5050000000001</v>
      </c>
      <c r="I80" s="13">
        <f>_xll.BDH("BLUE US Equity","ARDR_RETAINED_EARN_ACC_DEFICIT","FQ4 2019","FQ4 2019","Currency=USD","Period=FQ","BEST_FPERIOD_OVERRIDE=FQ","FILING_STATUS=MR","SCALING_FORMAT=MLN","Sort=A","Dates=H","DateFormat=P","Fill=—","Direction=H","UseDPDF=Y")</f>
        <v>-2281.8519999999999</v>
      </c>
      <c r="J80" s="13">
        <f>_xll.BDH("BLUE US Equity","ARDR_RETAINED_EARN_ACC_DEFICIT","FQ1 2020","FQ1 2020","Currency=USD","Period=FQ","BEST_FPERIOD_OVERRIDE=FQ","FILING_STATUS=MR","SCALING_FORMAT=MLN","Sort=A","Dates=H","DateFormat=P","Fill=—","Direction=H","UseDPDF=Y")</f>
        <v>-2484.4630000000002</v>
      </c>
      <c r="K80" s="13">
        <f>_xll.BDH("BLUE US Equity","ARDR_RETAINED_EARN_ACC_DEFICIT","FQ2 2020","FQ2 2020","Currency=USD","Period=FQ","BEST_FPERIOD_OVERRIDE=FQ","FILING_STATUS=MR","SCALING_FORMAT=MLN","Sort=A","Dates=H","DateFormat=P","Fill=—","Direction=H","UseDPDF=Y")</f>
        <v>-2505.9279999999999</v>
      </c>
      <c r="L80" s="13">
        <f>_xll.BDH("BLUE US Equity","ARDR_RETAINED_EARN_ACC_DEFICIT","FQ3 2020","FQ3 2020","Currency=USD","Period=FQ","BEST_FPERIOD_OVERRIDE=FQ","FILING_STATUS=MR","SCALING_FORMAT=MLN","Sort=A","Dates=H","DateFormat=P","Fill=—","Direction=H","UseDPDF=Y")</f>
        <v>-2700.6729999999998</v>
      </c>
      <c r="M80" s="13">
        <f>_xll.BDH("BLUE US Equity","ARDR_RETAINED_EARN_ACC_DEFICIT","FQ4 2020","FQ4 2020","Currency=USD","Period=FQ","BEST_FPERIOD_OVERRIDE=FQ","FILING_STATUS=MR","SCALING_FORMAT=MLN","Sort=A","Dates=H","DateFormat=P","Fill=—","Direction=H","UseDPDF=Y")</f>
        <v>-2900.547</v>
      </c>
      <c r="N80" s="13">
        <f>_xll.BDH("BLUE US Equity","ARDR_RETAINED_EARN_ACC_DEFICIT","FQ1 2021","FQ1 2021","Currency=USD","Period=FQ","BEST_FPERIOD_OVERRIDE=FQ","FILING_STATUS=MR","SCALING_FORMAT=MLN","Sort=A","Dates=H","DateFormat=P","Fill=—","Direction=H","UseDPDF=Y")</f>
        <v>-3106.355</v>
      </c>
      <c r="O80" s="13">
        <f>_xll.BDH("BLUE US Equity","ARDR_RETAINED_EARN_ACC_DEFICIT","FQ2 2021","FQ2 2021","Currency=USD","Period=FQ","BEST_FPERIOD_OVERRIDE=FQ","FILING_STATUS=MR","SCALING_FORMAT=MLN","Sort=A","Dates=H","DateFormat=P","Fill=—","Direction=H","UseDPDF=Y")</f>
        <v>-3348.0569999999998</v>
      </c>
      <c r="P80" s="13">
        <f>_xll.BDH("BLUE US Equity","ARDR_RETAINED_EARN_ACC_DEFICIT","FQ3 2021","FQ3 2021","Currency=USD","Period=FQ","BEST_FPERIOD_OVERRIDE=FQ","FILING_STATUS=MR","SCALING_FORMAT=MLN","Sort=A","Dates=H","DateFormat=P","Fill=—","Direction=H","UseDPDF=Y")</f>
        <v>-3564.873</v>
      </c>
      <c r="Q80" s="13">
        <f>_xll.BDH("BLUE US Equity","ARDR_RETAINED_EARN_ACC_DEFICIT","FQ4 2021","FQ4 2021","Currency=USD","Period=FQ","BEST_FPERIOD_OVERRIDE=FQ","FILING_STATUS=MR","SCALING_FORMAT=MLN","Sort=A","Dates=H","DateFormat=P","Fill=—","Direction=H","UseDPDF=Y")</f>
        <v>-3719.9250000000002</v>
      </c>
      <c r="R80" s="13">
        <f>_xll.BDH("BLUE US Equity","ARDR_RETAINED_EARN_ACC_DEFICIT","FQ1 2022","FQ1 2022","Currency=USD","Period=FQ","BEST_FPERIOD_OVERRIDE=FQ","FILING_STATUS=MR","SCALING_FORMAT=MLN","Sort=A","Dates=H","DateFormat=P","Fill=—","Direction=H","UseDPDF=Y")</f>
        <v>3842.0770000000002</v>
      </c>
      <c r="S80" s="13">
        <f>_xll.BDH("BLUE US Equity","ARDR_RETAINED_EARN_ACC_DEFICIT","FQ2 2022","FQ2 2022","Currency=USD","Period=FQ","BEST_FPERIOD_OVERRIDE=FQ","FILING_STATUS=MR","SCALING_FORMAT=MLN","Sort=A","Dates=H","DateFormat=P","Fill=—","Direction=H","UseDPDF=Y")</f>
        <v>-3942.2150000000001</v>
      </c>
      <c r="T80" s="13">
        <f>_xll.BDH("BLUE US Equity","ARDR_RETAINED_EARN_ACC_DEFICIT","FQ3 2022","FQ3 2022","Currency=USD","Period=FQ","BEST_FPERIOD_OVERRIDE=FQ","FILING_STATUS=MR","SCALING_FORMAT=MLN","Sort=A","Dates=H","DateFormat=P","Fill=—","Direction=H","UseDPDF=Y")</f>
        <v>-4018.7350000000001</v>
      </c>
      <c r="U80" s="13">
        <f>_xll.BDH("BLUE US Equity","ARDR_RETAINED_EARN_ACC_DEFICIT","FQ4 2022","FQ4 2022","Currency=USD","Period=FQ","BEST_FPERIOD_OVERRIDE=FQ","FILING_STATUS=MR","SCALING_FORMAT=MLN","Sort=A","Dates=H","DateFormat=P","Fill=—","Direction=H","UseDPDF=Y")</f>
        <v>-3986.5030000000002</v>
      </c>
      <c r="V80" s="13">
        <f>_xll.BDH("BLUE US Equity","ARDR_RETAINED_EARN_ACC_DEFICIT","FQ1 2023","FQ1 2023","Currency=USD","Period=FQ","BEST_FPERIOD_OVERRIDE=FQ","FILING_STATUS=MR","SCALING_FORMAT=MLN","Sort=A","Dates=H","DateFormat=P","Fill=—","Direction=H","UseDPDF=Y")</f>
        <v>-3965.2629999999999</v>
      </c>
      <c r="W80" s="13">
        <f>_xll.BDH("BLUE US Equity","ARDR_RETAINED_EARN_ACC_DEFICIT","FQ2 2023","FQ2 2023","Currency=USD","Period=FQ","BEST_FPERIOD_OVERRIDE=FQ","FILING_STATUS=MR","SCALING_FORMAT=MLN","Sort=A","Dates=H","DateFormat=P","Fill=—","Direction=H","UseDPDF=Y")</f>
        <v>-4038.1709999999998</v>
      </c>
      <c r="X80" s="13">
        <f>_xll.BDH("BLUE US Equity","ARDR_RETAINED_EARN_ACC_DEFICIT","FQ3 2023","FQ3 2023","Currency=USD","Period=FQ","BEST_FPERIOD_OVERRIDE=FQ","FILING_STATUS=MR","SCALING_FORMAT=MLN","Sort=A","Dates=H","DateFormat=P","Fill=—","Direction=H","UseDPDF=Y")</f>
        <v>-4109.902</v>
      </c>
      <c r="Y80" s="13">
        <f>_xll.BDH("BLUE US Equity","ARDR_RETAINED_EARN_ACC_DEFICIT","FQ1 2024","FQ1 2024","Currency=USD","Period=FQ","BEST_FPERIOD_OVERRIDE=FQ","FILING_STATUS=MR","SCALING_FORMAT=MLN","Sort=A","Dates=H","DateFormat=P","Fill=—","Direction=H","UseDPDF=Y")</f>
        <v>-4330.1319999999996</v>
      </c>
      <c r="Z80" s="13">
        <f>_xll.BDH("BLUE US Equity","ARDR_RETAINED_EARN_ACC_DEFICIT","FQ2 2024","FQ2 2024","Currency=USD","Period=FQ","BEST_FPERIOD_OVERRIDE=FQ","FILING_STATUS=MR","SCALING_FORMAT=MLN","Sort=A","Dates=H","DateFormat=P","Fill=—","Direction=H","UseDPDF=Y")</f>
        <v>-4411.5249999999996</v>
      </c>
      <c r="AA80" s="13">
        <f>_xll.BDH("BLUE US Equity","ARDR_RETAINED_EARN_ACC_DEFICIT","FQ3 2024","FQ3 2024","Currency=USD","Period=FQ","BEST_FPERIOD_OVERRIDE=FQ","FILING_STATUS=MR","SCALING_FORMAT=MLN","Sort=A","Dates=H","DateFormat=P","Fill=—","Direction=H","UseDPDF=Y")</f>
        <v>-4472.3329999999996</v>
      </c>
    </row>
    <row r="81" spans="1:27" x14ac:dyDescent="0.25">
      <c r="A81" s="10" t="s">
        <v>726</v>
      </c>
      <c r="B81" s="10" t="s">
        <v>878</v>
      </c>
      <c r="C81" s="13" t="str">
        <f>_xll.BDH("BLUE US Equity","ARDR_SHARES_OUTSTANDING","FQ2 2018","FQ2 2018","Currency=USD","Period=FQ","BEST_FPERIOD_OVERRIDE=FQ","FILING_STATUS=MR","Sort=A","Dates=H","DateFormat=P","Fill=—","Direction=H","UseDPDF=Y")</f>
        <v>—</v>
      </c>
      <c r="D81" s="13" t="str">
        <f>_xll.BDH("BLUE US Equity","ARDR_SHARES_OUTSTANDING","FQ3 2018","FQ3 2018","Currency=USD","Period=FQ","BEST_FPERIOD_OVERRIDE=FQ","FILING_STATUS=MR","Sort=A","Dates=H","DateFormat=P","Fill=—","Direction=H","UseDPDF=Y")</f>
        <v>—</v>
      </c>
      <c r="E81" s="13">
        <f>_xll.BDH("BLUE US Equity","ARDR_SHARES_OUTSTANDING","FQ4 2018","FQ4 2018","Currency=USD","Period=FQ","BEST_FPERIOD_OVERRIDE=FQ","FILING_STATUS=MR","Sort=A","Dates=H","DateFormat=P","Fill=—","Direction=H","UseDPDF=Y")</f>
        <v>54.738</v>
      </c>
      <c r="F81" s="13">
        <f>_xll.BDH("BLUE US Equity","ARDR_SHARES_OUTSTANDING","FQ1 2019","FQ1 2019","Currency=USD","Period=FQ","BEST_FPERIOD_OVERRIDE=FQ","FILING_STATUS=MR","Sort=A","Dates=H","DateFormat=P","Fill=—","Direction=H","UseDPDF=Y")</f>
        <v>55.069000000000003</v>
      </c>
      <c r="G81" s="13">
        <f>_xll.BDH("BLUE US Equity","ARDR_SHARES_OUTSTANDING","FQ2 2019","FQ2 2019","Currency=USD","Period=FQ","BEST_FPERIOD_OVERRIDE=FQ","FILING_STATUS=MR","Sort=A","Dates=H","DateFormat=P","Fill=—","Direction=H","UseDPDF=Y")</f>
        <v>55.228000000000002</v>
      </c>
      <c r="H81" s="13">
        <f>_xll.BDH("BLUE US Equity","ARDR_SHARES_OUTSTANDING","FQ3 2019","FQ3 2019","Currency=USD","Period=FQ","BEST_FPERIOD_OVERRIDE=FQ","FILING_STATUS=MR","Sort=A","Dates=H","DateFormat=P","Fill=—","Direction=H","UseDPDF=Y")</f>
        <v>55.32</v>
      </c>
      <c r="I81" s="13">
        <f>_xll.BDH("BLUE US Equity","ARDR_SHARES_OUTSTANDING","FQ4 2019","FQ4 2019","Currency=USD","Period=FQ","BEST_FPERIOD_OVERRIDE=FQ","FILING_STATUS=MR","Sort=A","Dates=H","DateFormat=P","Fill=—","Direction=H","UseDPDF=Y")</f>
        <v>55.368000000000002</v>
      </c>
      <c r="J81" s="13">
        <f>_xll.BDH("BLUE US Equity","ARDR_SHARES_OUTSTANDING","FQ1 2020","FQ1 2020","Currency=USD","Period=FQ","BEST_FPERIOD_OVERRIDE=FQ","FILING_STATUS=MR","Sort=A","Dates=H","DateFormat=P","Fill=—","Direction=H","UseDPDF=Y")</f>
        <v>55.62</v>
      </c>
      <c r="K81" s="13">
        <f>_xll.BDH("BLUE US Equity","ARDR_SHARES_OUTSTANDING","FQ2 2020","FQ2 2020","Currency=USD","Period=FQ","BEST_FPERIOD_OVERRIDE=FQ","FILING_STATUS=MR","Sort=A","Dates=H","DateFormat=P","Fill=—","Direction=H","UseDPDF=Y")</f>
        <v>66.195999999999998</v>
      </c>
      <c r="L81" s="13">
        <f>_xll.BDH("BLUE US Equity","ARDR_SHARES_OUTSTANDING","FQ3 2020","FQ3 2020","Currency=USD","Period=FQ","BEST_FPERIOD_OVERRIDE=FQ","FILING_STATUS=MR","Sort=A","Dates=H","DateFormat=P","Fill=—","Direction=H","UseDPDF=Y")</f>
        <v>66.338999999999999</v>
      </c>
      <c r="M81" s="13">
        <f>_xll.BDH("BLUE US Equity","ARDR_SHARES_OUTSTANDING","FQ4 2020","FQ4 2020","Currency=USD","Period=FQ","BEST_FPERIOD_OVERRIDE=FQ","FILING_STATUS=MR","Sort=A","Dates=H","DateFormat=P","Fill=—","Direction=H","UseDPDF=Y")</f>
        <v>66.432000000000002</v>
      </c>
      <c r="N81" s="13">
        <f>_xll.BDH("BLUE US Equity","ARDR_SHARES_OUTSTANDING","FQ1 2021","FQ1 2021","Currency=USD","Period=FQ","BEST_FPERIOD_OVERRIDE=FQ","FILING_STATUS=MR","Sort=A","Dates=H","DateFormat=P","Fill=—","Direction=H","UseDPDF=Y")</f>
        <v>67.421999999999997</v>
      </c>
      <c r="O81" s="13">
        <f>_xll.BDH("BLUE US Equity","ARDR_SHARES_OUTSTANDING","FQ2 2021","FQ2 2021","Currency=USD","Period=FQ","BEST_FPERIOD_OVERRIDE=FQ","FILING_STATUS=MR","Sort=A","Dates=H","DateFormat=P","Fill=—","Direction=H","UseDPDF=Y")</f>
        <v>67.551000000000002</v>
      </c>
      <c r="P81" s="13">
        <f>_xll.BDH("BLUE US Equity","ARDR_SHARES_OUTSTANDING","FQ3 2021","FQ3 2021","Currency=USD","Period=FQ","BEST_FPERIOD_OVERRIDE=FQ","FILING_STATUS=MR","Sort=A","Dates=H","DateFormat=P","Fill=—","Direction=H","UseDPDF=Y")</f>
        <v>70.096999999999994</v>
      </c>
      <c r="Q81" s="13">
        <f>_xll.BDH("BLUE US Equity","ARDR_SHARES_OUTSTANDING","FQ4 2021","FQ4 2021","Currency=USD","Period=FQ","BEST_FPERIOD_OVERRIDE=FQ","FILING_STATUS=MR","Sort=A","Dates=H","DateFormat=P","Fill=—","Direction=H","UseDPDF=Y")</f>
        <v>71.114999999999995</v>
      </c>
      <c r="R81" s="13">
        <f>_xll.BDH("BLUE US Equity","ARDR_SHARES_OUTSTANDING","FQ1 2022","FQ1 2022","Currency=USD","Period=FQ","BEST_FPERIOD_OVERRIDE=FQ","FILING_STATUS=MR","Sort=A","Dates=H","DateFormat=P","Fill=—","Direction=H","UseDPDF=Y")</f>
        <v>71.438000000000002</v>
      </c>
      <c r="S81" s="13">
        <f>_xll.BDH("BLUE US Equity","ARDR_SHARES_OUTSTANDING","FQ2 2022","FQ2 2022","Currency=USD","Period=FQ","BEST_FPERIOD_OVERRIDE=FQ","FILING_STATUS=MR","Sort=A","Dates=H","DateFormat=P","Fill=—","Direction=H","UseDPDF=Y")</f>
        <v>73.551000000000002</v>
      </c>
      <c r="T81" s="13">
        <f>_xll.BDH("BLUE US Equity","ARDR_SHARES_OUTSTANDING","FQ3 2022","FQ3 2022","Currency=USD","Period=FQ","BEST_FPERIOD_OVERRIDE=FQ","FILING_STATUS=MR","Sort=A","Dates=H","DateFormat=P","Fill=—","Direction=H","UseDPDF=Y")</f>
        <v>82.88</v>
      </c>
      <c r="U81" s="13">
        <f>_xll.BDH("BLUE US Equity","ARDR_SHARES_OUTSTANDING","FQ4 2022","FQ4 2022","Currency=USD","Period=FQ","BEST_FPERIOD_OVERRIDE=FQ","FILING_STATUS=MR","Sort=A","Dates=H","DateFormat=P","Fill=—","Direction=H","UseDPDF=Y")</f>
        <v>82.923000000000002</v>
      </c>
      <c r="V81" s="13">
        <f>_xll.BDH("BLUE US Equity","ARDR_SHARES_OUTSTANDING","FQ1 2023","FQ1 2023","Currency=USD","Period=FQ","BEST_FPERIOD_OVERRIDE=FQ","FILING_STATUS=MR","Sort=A","Dates=H","DateFormat=P","Fill=—","Direction=H","UseDPDF=Y")</f>
        <v>106.37</v>
      </c>
      <c r="W81" s="13">
        <f>_xll.BDH("BLUE US Equity","ARDR_SHARES_OUTSTANDING","FQ2 2023","FQ2 2023","Currency=USD","Period=FQ","BEST_FPERIOD_OVERRIDE=FQ","FILING_STATUS=MR","Sort=A","Dates=H","DateFormat=P","Fill=—","Direction=H","UseDPDF=Y")</f>
        <v>106.45399999999999</v>
      </c>
      <c r="X81" s="13">
        <f>_xll.BDH("BLUE US Equity","ARDR_SHARES_OUTSTANDING","FQ3 2023","FQ3 2023","Currency=USD","Period=FQ","BEST_FPERIOD_OVERRIDE=FQ","FILING_STATUS=MR","Sort=A","Dates=H","DateFormat=P","Fill=—","Direction=H","UseDPDF=Y")</f>
        <v>107.02200000000001</v>
      </c>
      <c r="Y81" s="13">
        <f>_xll.BDH("BLUE US Equity","ARDR_SHARES_OUTSTANDING","FQ1 2024","FQ1 2024","Currency=USD","Period=FQ","BEST_FPERIOD_OVERRIDE=FQ","FILING_STATUS=MR","Sort=A","Dates=H","DateFormat=P","Fill=—","Direction=H","UseDPDF=Y")</f>
        <v>193.583</v>
      </c>
      <c r="Z81" s="13">
        <f>_xll.BDH("BLUE US Equity","ARDR_SHARES_OUTSTANDING","FQ2 2024","FQ2 2024","Currency=USD","Period=FQ","BEST_FPERIOD_OVERRIDE=FQ","FILING_STATUS=MR","Sort=A","Dates=H","DateFormat=P","Fill=—","Direction=H","UseDPDF=Y")</f>
        <v>193.85599999999999</v>
      </c>
      <c r="AA81" s="13">
        <f>_xll.BDH("BLUE US Equity","ARDR_SHARES_OUTSTANDING","FQ3 2024","FQ3 2024","Currency=USD","Period=FQ","BEST_FPERIOD_OVERRIDE=FQ","FILING_STATUS=MR","Sort=A","Dates=H","DateFormat=P","Fill=—","Direction=H","UseDPDF=Y")</f>
        <v>193.917</v>
      </c>
    </row>
    <row r="82" spans="1:27" x14ac:dyDescent="0.25">
      <c r="A82" s="10" t="s">
        <v>834</v>
      </c>
      <c r="B82" s="10" t="s">
        <v>879</v>
      </c>
      <c r="C82" s="14">
        <f>_xll.BDH("BLUE US Equity","ARDR_PAR_VALUE","FQ2 2018","FQ2 2018","Currency=USD","Period=FQ","BEST_FPERIOD_OVERRIDE=FQ","FILING_STATUS=MR","Sort=A","Dates=H","DateFormat=P","Fill=—","Direction=H","UseDPDF=Y")</f>
        <v>0.01</v>
      </c>
      <c r="D82" s="14">
        <f>_xll.BDH("BLUE US Equity","ARDR_PAR_VALUE","FQ3 2018","FQ3 2018","Currency=USD","Period=FQ","BEST_FPERIOD_OVERRIDE=FQ","FILING_STATUS=MR","Sort=A","Dates=H","DateFormat=P","Fill=—","Direction=H","UseDPDF=Y")</f>
        <v>0.01</v>
      </c>
      <c r="E82" s="14">
        <f>_xll.BDH("BLUE US Equity","ARDR_PAR_VALUE","FQ4 2018","FQ4 2018","Currency=USD","Period=FQ","BEST_FPERIOD_OVERRIDE=FQ","FILING_STATUS=MR","Sort=A","Dates=H","DateFormat=P","Fill=—","Direction=H","UseDPDF=Y")</f>
        <v>0.01</v>
      </c>
      <c r="F82" s="14">
        <f>_xll.BDH("BLUE US Equity","ARDR_PAR_VALUE","FQ1 2019","FQ1 2019","Currency=USD","Period=FQ","BEST_FPERIOD_OVERRIDE=FQ","FILING_STATUS=MR","Sort=A","Dates=H","DateFormat=P","Fill=—","Direction=H","UseDPDF=Y")</f>
        <v>0.01</v>
      </c>
      <c r="G82" s="14">
        <f>_xll.BDH("BLUE US Equity","ARDR_PAR_VALUE","FQ2 2019","FQ2 2019","Currency=USD","Period=FQ","BEST_FPERIOD_OVERRIDE=FQ","FILING_STATUS=MR","Sort=A","Dates=H","DateFormat=P","Fill=—","Direction=H","UseDPDF=Y")</f>
        <v>0.01</v>
      </c>
      <c r="H82" s="14">
        <f>_xll.BDH("BLUE US Equity","ARDR_PAR_VALUE","FQ3 2019","FQ3 2019","Currency=USD","Period=FQ","BEST_FPERIOD_OVERRIDE=FQ","FILING_STATUS=MR","Sort=A","Dates=H","DateFormat=P","Fill=—","Direction=H","UseDPDF=Y")</f>
        <v>0.01</v>
      </c>
      <c r="I82" s="14">
        <f>_xll.BDH("BLUE US Equity","ARDR_PAR_VALUE","FQ4 2019","FQ4 2019","Currency=USD","Period=FQ","BEST_FPERIOD_OVERRIDE=FQ","FILING_STATUS=MR","Sort=A","Dates=H","DateFormat=P","Fill=—","Direction=H","UseDPDF=Y")</f>
        <v>0.01</v>
      </c>
      <c r="J82" s="14">
        <f>_xll.BDH("BLUE US Equity","ARDR_PAR_VALUE","FQ1 2020","FQ1 2020","Currency=USD","Period=FQ","BEST_FPERIOD_OVERRIDE=FQ","FILING_STATUS=MR","Sort=A","Dates=H","DateFormat=P","Fill=—","Direction=H","UseDPDF=Y")</f>
        <v>0.01</v>
      </c>
      <c r="K82" s="14">
        <f>_xll.BDH("BLUE US Equity","ARDR_PAR_VALUE","FQ2 2020","FQ2 2020","Currency=USD","Period=FQ","BEST_FPERIOD_OVERRIDE=FQ","FILING_STATUS=MR","Sort=A","Dates=H","DateFormat=P","Fill=—","Direction=H","UseDPDF=Y")</f>
        <v>0.01</v>
      </c>
      <c r="L82" s="14">
        <f>_xll.BDH("BLUE US Equity","ARDR_PAR_VALUE","FQ3 2020","FQ3 2020","Currency=USD","Period=FQ","BEST_FPERIOD_OVERRIDE=FQ","FILING_STATUS=MR","Sort=A","Dates=H","DateFormat=P","Fill=—","Direction=H","UseDPDF=Y")</f>
        <v>0.01</v>
      </c>
      <c r="M82" s="14">
        <f>_xll.BDH("BLUE US Equity","ARDR_PAR_VALUE","FQ4 2020","FQ4 2020","Currency=USD","Period=FQ","BEST_FPERIOD_OVERRIDE=FQ","FILING_STATUS=MR","Sort=A","Dates=H","DateFormat=P","Fill=—","Direction=H","UseDPDF=Y")</f>
        <v>0.01</v>
      </c>
      <c r="N82" s="14">
        <f>_xll.BDH("BLUE US Equity","ARDR_PAR_VALUE","FQ1 2021","FQ1 2021","Currency=USD","Period=FQ","BEST_FPERIOD_OVERRIDE=FQ","FILING_STATUS=MR","Sort=A","Dates=H","DateFormat=P","Fill=—","Direction=H","UseDPDF=Y")</f>
        <v>0.01</v>
      </c>
      <c r="O82" s="14">
        <f>_xll.BDH("BLUE US Equity","ARDR_PAR_VALUE","FQ2 2021","FQ2 2021","Currency=USD","Period=FQ","BEST_FPERIOD_OVERRIDE=FQ","FILING_STATUS=MR","Sort=A","Dates=H","DateFormat=P","Fill=—","Direction=H","UseDPDF=Y")</f>
        <v>0.01</v>
      </c>
      <c r="P82" s="14">
        <f>_xll.BDH("BLUE US Equity","ARDR_PAR_VALUE","FQ3 2021","FQ3 2021","Currency=USD","Period=FQ","BEST_FPERIOD_OVERRIDE=FQ","FILING_STATUS=MR","Sort=A","Dates=H","DateFormat=P","Fill=—","Direction=H","UseDPDF=Y")</f>
        <v>0.01</v>
      </c>
      <c r="Q82" s="14">
        <f>_xll.BDH("BLUE US Equity","ARDR_PAR_VALUE","FQ4 2021","FQ4 2021","Currency=USD","Period=FQ","BEST_FPERIOD_OVERRIDE=FQ","FILING_STATUS=MR","Sort=A","Dates=H","DateFormat=P","Fill=—","Direction=H","UseDPDF=Y")</f>
        <v>0.01</v>
      </c>
      <c r="R82" s="14">
        <f>_xll.BDH("BLUE US Equity","ARDR_PAR_VALUE","FQ1 2022","FQ1 2022","Currency=USD","Period=FQ","BEST_FPERIOD_OVERRIDE=FQ","FILING_STATUS=MR","Sort=A","Dates=H","DateFormat=P","Fill=—","Direction=H","UseDPDF=Y")</f>
        <v>0.01</v>
      </c>
      <c r="S82" s="14">
        <f>_xll.BDH("BLUE US Equity","ARDR_PAR_VALUE","FQ2 2022","FQ2 2022","Currency=USD","Period=FQ","BEST_FPERIOD_OVERRIDE=FQ","FILING_STATUS=MR","Sort=A","Dates=H","DateFormat=P","Fill=—","Direction=H","UseDPDF=Y")</f>
        <v>0.01</v>
      </c>
      <c r="T82" s="14">
        <f>_xll.BDH("BLUE US Equity","ARDR_PAR_VALUE","FQ3 2022","FQ3 2022","Currency=USD","Period=FQ","BEST_FPERIOD_OVERRIDE=FQ","FILING_STATUS=MR","Sort=A","Dates=H","DateFormat=P","Fill=—","Direction=H","UseDPDF=Y")</f>
        <v>0.01</v>
      </c>
      <c r="U82" s="14">
        <f>_xll.BDH("BLUE US Equity","ARDR_PAR_VALUE","FQ4 2022","FQ4 2022","Currency=USD","Period=FQ","BEST_FPERIOD_OVERRIDE=FQ","FILING_STATUS=MR","Sort=A","Dates=H","DateFormat=P","Fill=—","Direction=H","UseDPDF=Y")</f>
        <v>0.01</v>
      </c>
      <c r="V82" s="14">
        <f>_xll.BDH("BLUE US Equity","ARDR_PAR_VALUE","FQ1 2023","FQ1 2023","Currency=USD","Period=FQ","BEST_FPERIOD_OVERRIDE=FQ","FILING_STATUS=MR","Sort=A","Dates=H","DateFormat=P","Fill=—","Direction=H","UseDPDF=Y")</f>
        <v>0.01</v>
      </c>
      <c r="W82" s="14">
        <f>_xll.BDH("BLUE US Equity","ARDR_PAR_VALUE","FQ2 2023","FQ2 2023","Currency=USD","Period=FQ","BEST_FPERIOD_OVERRIDE=FQ","FILING_STATUS=MR","Sort=A","Dates=H","DateFormat=P","Fill=—","Direction=H","UseDPDF=Y")</f>
        <v>0.01</v>
      </c>
      <c r="X82" s="14">
        <f>_xll.BDH("BLUE US Equity","ARDR_PAR_VALUE","FQ3 2023","FQ3 2023","Currency=USD","Period=FQ","BEST_FPERIOD_OVERRIDE=FQ","FILING_STATUS=MR","Sort=A","Dates=H","DateFormat=P","Fill=—","Direction=H","UseDPDF=Y")</f>
        <v>0.01</v>
      </c>
      <c r="Y82" s="14">
        <f>_xll.BDH("BLUE US Equity","ARDR_PAR_VALUE","FQ1 2024","FQ1 2024","Currency=USD","Period=FQ","BEST_FPERIOD_OVERRIDE=FQ","FILING_STATUS=MR","Sort=A","Dates=H","DateFormat=P","Fill=—","Direction=H","UseDPDF=Y")</f>
        <v>0.01</v>
      </c>
      <c r="Z82" s="14">
        <f>_xll.BDH("BLUE US Equity","ARDR_PAR_VALUE","FQ2 2024","FQ2 2024","Currency=USD","Period=FQ","BEST_FPERIOD_OVERRIDE=FQ","FILING_STATUS=MR","Sort=A","Dates=H","DateFormat=P","Fill=—","Direction=H","UseDPDF=Y")</f>
        <v>0.01</v>
      </c>
      <c r="AA82" s="14">
        <f>_xll.BDH("BLUE US Equity","ARDR_PAR_VALUE","FQ3 2024","FQ3 2024","Currency=USD","Period=FQ","BEST_FPERIOD_OVERRIDE=FQ","FILING_STATUS=MR","Sort=A","Dates=H","DateFormat=P","Fill=—","Direction=H","UseDPDF=Y")</f>
        <v>0.01</v>
      </c>
    </row>
    <row r="83" spans="1:27" x14ac:dyDescent="0.25">
      <c r="A83" s="10" t="s">
        <v>880</v>
      </c>
      <c r="B83" s="10" t="s">
        <v>881</v>
      </c>
      <c r="C83" s="13" t="str">
        <f>_xll.BDH("BLUE US Equity","ARDR_RAW_MATERIAL","FQ2 2018","FQ2 2018","Currency=USD","Period=FQ","BEST_FPERIOD_OVERRIDE=FQ","FILING_STATUS=MR","SCALING_FORMAT=MLN","Sort=A","Dates=H","DateFormat=P","Fill=—","Direction=H","UseDPDF=Y")</f>
        <v>—</v>
      </c>
      <c r="D83" s="13" t="str">
        <f>_xll.BDH("BLUE US Equity","ARDR_RAW_MATERIAL","FQ3 2018","FQ3 2018","Currency=USD","Period=FQ","BEST_FPERIOD_OVERRIDE=FQ","FILING_STATUS=MR","SCALING_FORMAT=MLN","Sort=A","Dates=H","DateFormat=P","Fill=—","Direction=H","UseDPDF=Y")</f>
        <v>—</v>
      </c>
      <c r="E83" s="13" t="str">
        <f>_xll.BDH("BLUE US Equity","ARDR_RAW_MATERIAL","FQ4 2018","FQ4 2018","Currency=USD","Period=FQ","BEST_FPERIOD_OVERRIDE=FQ","FILING_STATUS=MR","SCALING_FORMAT=MLN","Sort=A","Dates=H","DateFormat=P","Fill=—","Direction=H","UseDPDF=Y")</f>
        <v>—</v>
      </c>
      <c r="F83" s="13" t="str">
        <f>_xll.BDH("BLUE US Equity","ARDR_RAW_MATERIAL","FQ1 2019","FQ1 2019","Currency=USD","Period=FQ","BEST_FPERIOD_OVERRIDE=FQ","FILING_STATUS=MR","SCALING_FORMAT=MLN","Sort=A","Dates=H","DateFormat=P","Fill=—","Direction=H","UseDPDF=Y")</f>
        <v>—</v>
      </c>
      <c r="G83" s="13" t="str">
        <f>_xll.BDH("BLUE US Equity","ARDR_RAW_MATERIAL","FQ2 2019","FQ2 2019","Currency=USD","Period=FQ","BEST_FPERIOD_OVERRIDE=FQ","FILING_STATUS=MR","SCALING_FORMAT=MLN","Sort=A","Dates=H","DateFormat=P","Fill=—","Direction=H","UseDPDF=Y")</f>
        <v>—</v>
      </c>
      <c r="H83" s="13" t="str">
        <f>_xll.BDH("BLUE US Equity","ARDR_RAW_MATERIAL","FQ3 2019","FQ3 2019","Currency=USD","Period=FQ","BEST_FPERIOD_OVERRIDE=FQ","FILING_STATUS=MR","SCALING_FORMAT=MLN","Sort=A","Dates=H","DateFormat=P","Fill=—","Direction=H","UseDPDF=Y")</f>
        <v>—</v>
      </c>
      <c r="I83" s="13" t="str">
        <f>_xll.BDH("BLUE US Equity","ARDR_RAW_MATERIAL","FQ4 2019","FQ4 2019","Currency=USD","Period=FQ","BEST_FPERIOD_OVERRIDE=FQ","FILING_STATUS=MR","SCALING_FORMAT=MLN","Sort=A","Dates=H","DateFormat=P","Fill=—","Direction=H","UseDPDF=Y")</f>
        <v>—</v>
      </c>
      <c r="J83" s="13" t="str">
        <f>_xll.BDH("BLUE US Equity","ARDR_RAW_MATERIAL","FQ1 2020","FQ1 2020","Currency=USD","Period=FQ","BEST_FPERIOD_OVERRIDE=FQ","FILING_STATUS=MR","SCALING_FORMAT=MLN","Sort=A","Dates=H","DateFormat=P","Fill=—","Direction=H","UseDPDF=Y")</f>
        <v>—</v>
      </c>
      <c r="K83" s="13" t="str">
        <f>_xll.BDH("BLUE US Equity","ARDR_RAW_MATERIAL","FQ2 2020","FQ2 2020","Currency=USD","Period=FQ","BEST_FPERIOD_OVERRIDE=FQ","FILING_STATUS=MR","SCALING_FORMAT=MLN","Sort=A","Dates=H","DateFormat=P","Fill=—","Direction=H","UseDPDF=Y")</f>
        <v>—</v>
      </c>
      <c r="L83" s="13" t="str">
        <f>_xll.BDH("BLUE US Equity","ARDR_RAW_MATERIAL","FQ3 2020","FQ3 2020","Currency=USD","Period=FQ","BEST_FPERIOD_OVERRIDE=FQ","FILING_STATUS=MR","SCALING_FORMAT=MLN","Sort=A","Dates=H","DateFormat=P","Fill=—","Direction=H","UseDPDF=Y")</f>
        <v>—</v>
      </c>
      <c r="M83" s="13">
        <f>_xll.BDH("BLUE US Equity","ARDR_RAW_MATERIAL","FQ4 2020","FQ4 2020","Currency=USD","Period=FQ","BEST_FPERIOD_OVERRIDE=FQ","FILING_STATUS=MR","SCALING_FORMAT=MLN","Sort=A","Dates=H","DateFormat=P","Fill=—","Direction=H","UseDPDF=Y")</f>
        <v>8.9670000000000005</v>
      </c>
      <c r="N83" s="13">
        <f>_xll.BDH("BLUE US Equity","ARDR_RAW_MATERIAL","FQ1 2021","FQ1 2021","Currency=USD","Period=FQ","BEST_FPERIOD_OVERRIDE=FQ","FILING_STATUS=MR","SCALING_FORMAT=MLN","Sort=A","Dates=H","DateFormat=P","Fill=—","Direction=H","UseDPDF=Y")</f>
        <v>16.891999999999999</v>
      </c>
      <c r="O83" s="13" t="str">
        <f>_xll.BDH("BLUE US Equity","ARDR_RAW_MATERIAL","FQ2 2021","FQ2 2021","Currency=USD","Period=FQ","BEST_FPERIOD_OVERRIDE=FQ","FILING_STATUS=MR","SCALING_FORMAT=MLN","Sort=A","Dates=H","DateFormat=P","Fill=—","Direction=H","UseDPDF=Y")</f>
        <v>—</v>
      </c>
      <c r="P83" s="13">
        <f>_xll.BDH("BLUE US Equity","ARDR_RAW_MATERIAL","FQ3 2021","FQ3 2021","Currency=USD","Period=FQ","BEST_FPERIOD_OVERRIDE=FQ","FILING_STATUS=MR","SCALING_FORMAT=MLN","Sort=A","Dates=H","DateFormat=P","Fill=—","Direction=H","UseDPDF=Y")</f>
        <v>0</v>
      </c>
      <c r="Q83" s="13">
        <f>_xll.BDH("BLUE US Equity","ARDR_RAW_MATERIAL","FQ4 2021","FQ4 2021","Currency=USD","Period=FQ","BEST_FPERIOD_OVERRIDE=FQ","FILING_STATUS=MR","SCALING_FORMAT=MLN","Sort=A","Dates=H","DateFormat=P","Fill=—","Direction=H","UseDPDF=Y")</f>
        <v>0</v>
      </c>
      <c r="R83" s="13" t="str">
        <f>_xll.BDH("BLUE US Equity","ARDR_RAW_MATERIAL","FQ1 2022","FQ1 2022","Currency=USD","Period=FQ","BEST_FPERIOD_OVERRIDE=FQ","FILING_STATUS=MR","SCALING_FORMAT=MLN","Sort=A","Dates=H","DateFormat=P","Fill=—","Direction=H","UseDPDF=Y")</f>
        <v>—</v>
      </c>
      <c r="S83" s="13" t="str">
        <f>_xll.BDH("BLUE US Equity","ARDR_RAW_MATERIAL","FQ2 2022","FQ2 2022","Currency=USD","Period=FQ","BEST_FPERIOD_OVERRIDE=FQ","FILING_STATUS=MR","SCALING_FORMAT=MLN","Sort=A","Dates=H","DateFormat=P","Fill=—","Direction=H","UseDPDF=Y")</f>
        <v>—</v>
      </c>
      <c r="T83" s="13" t="str">
        <f>_xll.BDH("BLUE US Equity","ARDR_RAW_MATERIAL","FQ3 2022","FQ3 2022","Currency=USD","Period=FQ","BEST_FPERIOD_OVERRIDE=FQ","FILING_STATUS=MR","SCALING_FORMAT=MLN","Sort=A","Dates=H","DateFormat=P","Fill=—","Direction=H","UseDPDF=Y")</f>
        <v>—</v>
      </c>
      <c r="U83" s="13" t="str">
        <f>_xll.BDH("BLUE US Equity","ARDR_RAW_MATERIAL","FQ4 2022","FQ4 2022","Currency=USD","Period=FQ","BEST_FPERIOD_OVERRIDE=FQ","FILING_STATUS=MR","SCALING_FORMAT=MLN","Sort=A","Dates=H","DateFormat=P","Fill=—","Direction=H","UseDPDF=Y")</f>
        <v>—</v>
      </c>
      <c r="V83" s="13" t="str">
        <f>_xll.BDH("BLUE US Equity","ARDR_RAW_MATERIAL","FQ1 2023","FQ1 2023","Currency=USD","Period=FQ","BEST_FPERIOD_OVERRIDE=FQ","FILING_STATUS=MR","SCALING_FORMAT=MLN","Sort=A","Dates=H","DateFormat=P","Fill=—","Direction=H","UseDPDF=Y")</f>
        <v>—</v>
      </c>
      <c r="W83" s="13" t="str">
        <f>_xll.BDH("BLUE US Equity","ARDR_RAW_MATERIAL","FQ2 2023","FQ2 2023","Currency=USD","Period=FQ","BEST_FPERIOD_OVERRIDE=FQ","FILING_STATUS=MR","SCALING_FORMAT=MLN","Sort=A","Dates=H","DateFormat=P","Fill=—","Direction=H","UseDPDF=Y")</f>
        <v>—</v>
      </c>
      <c r="X83" s="13" t="str">
        <f>_xll.BDH("BLUE US Equity","ARDR_RAW_MATERIAL","FQ3 2023","FQ3 2023","Currency=USD","Period=FQ","BEST_FPERIOD_OVERRIDE=FQ","FILING_STATUS=MR","SCALING_FORMAT=MLN","Sort=A","Dates=H","DateFormat=P","Fill=—","Direction=H","UseDPDF=Y")</f>
        <v>—</v>
      </c>
      <c r="Y83" s="13">
        <f>_xll.BDH("BLUE US Equity","ARDR_RAW_MATERIAL","FQ1 2024","FQ1 2024","Currency=USD","Period=FQ","BEST_FPERIOD_OVERRIDE=FQ","FILING_STATUS=MR","SCALING_FORMAT=MLN","Sort=A","Dates=H","DateFormat=P","Fill=—","Direction=H","UseDPDF=Y")</f>
        <v>3.177</v>
      </c>
      <c r="Z83" s="13">
        <f>_xll.BDH("BLUE US Equity","ARDR_RAW_MATERIAL","FQ2 2024","FQ2 2024","Currency=USD","Period=FQ","BEST_FPERIOD_OVERRIDE=FQ","FILING_STATUS=MR","SCALING_FORMAT=MLN","Sort=A","Dates=H","DateFormat=P","Fill=—","Direction=H","UseDPDF=Y")</f>
        <v>3.0920000000000001</v>
      </c>
      <c r="AA83" s="13">
        <f>_xll.BDH("BLUE US Equity","ARDR_RAW_MATERIAL","FQ3 2024","FQ3 2024","Currency=USD","Period=FQ","BEST_FPERIOD_OVERRIDE=FQ","FILING_STATUS=MR","SCALING_FORMAT=MLN","Sort=A","Dates=H","DateFormat=P","Fill=—","Direction=H","UseDPDF=Y")</f>
        <v>2.9649999999999999</v>
      </c>
    </row>
    <row r="84" spans="1:27" x14ac:dyDescent="0.25">
      <c r="A84" s="10" t="s">
        <v>882</v>
      </c>
      <c r="B84" s="10" t="s">
        <v>883</v>
      </c>
      <c r="C84" s="13" t="str">
        <f>_xll.BDH("BLUE US Equity","ARDR_WORK_IN_PROGRESS","FQ2 2018","FQ2 2018","Currency=USD","Period=FQ","BEST_FPERIOD_OVERRIDE=FQ","FILING_STATUS=MR","SCALING_FORMAT=MLN","Sort=A","Dates=H","DateFormat=P","Fill=—","Direction=H","UseDPDF=Y")</f>
        <v>—</v>
      </c>
      <c r="D84" s="13" t="str">
        <f>_xll.BDH("BLUE US Equity","ARDR_WORK_IN_PROGRESS","FQ3 2018","FQ3 2018","Currency=USD","Period=FQ","BEST_FPERIOD_OVERRIDE=FQ","FILING_STATUS=MR","SCALING_FORMAT=MLN","Sort=A","Dates=H","DateFormat=P","Fill=—","Direction=H","UseDPDF=Y")</f>
        <v>—</v>
      </c>
      <c r="E84" s="13" t="str">
        <f>_xll.BDH("BLUE US Equity","ARDR_WORK_IN_PROGRESS","FQ4 2018","FQ4 2018","Currency=USD","Period=FQ","BEST_FPERIOD_OVERRIDE=FQ","FILING_STATUS=MR","SCALING_FORMAT=MLN","Sort=A","Dates=H","DateFormat=P","Fill=—","Direction=H","UseDPDF=Y")</f>
        <v>—</v>
      </c>
      <c r="F84" s="13" t="str">
        <f>_xll.BDH("BLUE US Equity","ARDR_WORK_IN_PROGRESS","FQ1 2019","FQ1 2019","Currency=USD","Period=FQ","BEST_FPERIOD_OVERRIDE=FQ","FILING_STATUS=MR","SCALING_FORMAT=MLN","Sort=A","Dates=H","DateFormat=P","Fill=—","Direction=H","UseDPDF=Y")</f>
        <v>—</v>
      </c>
      <c r="G84" s="13" t="str">
        <f>_xll.BDH("BLUE US Equity","ARDR_WORK_IN_PROGRESS","FQ2 2019","FQ2 2019","Currency=USD","Period=FQ","BEST_FPERIOD_OVERRIDE=FQ","FILING_STATUS=MR","SCALING_FORMAT=MLN","Sort=A","Dates=H","DateFormat=P","Fill=—","Direction=H","UseDPDF=Y")</f>
        <v>—</v>
      </c>
      <c r="H84" s="13" t="str">
        <f>_xll.BDH("BLUE US Equity","ARDR_WORK_IN_PROGRESS","FQ3 2019","FQ3 2019","Currency=USD","Period=FQ","BEST_FPERIOD_OVERRIDE=FQ","FILING_STATUS=MR","SCALING_FORMAT=MLN","Sort=A","Dates=H","DateFormat=P","Fill=—","Direction=H","UseDPDF=Y")</f>
        <v>—</v>
      </c>
      <c r="I84" s="13" t="str">
        <f>_xll.BDH("BLUE US Equity","ARDR_WORK_IN_PROGRESS","FQ4 2019","FQ4 2019","Currency=USD","Period=FQ","BEST_FPERIOD_OVERRIDE=FQ","FILING_STATUS=MR","SCALING_FORMAT=MLN","Sort=A","Dates=H","DateFormat=P","Fill=—","Direction=H","UseDPDF=Y")</f>
        <v>—</v>
      </c>
      <c r="J84" s="13" t="str">
        <f>_xll.BDH("BLUE US Equity","ARDR_WORK_IN_PROGRESS","FQ1 2020","FQ1 2020","Currency=USD","Period=FQ","BEST_FPERIOD_OVERRIDE=FQ","FILING_STATUS=MR","SCALING_FORMAT=MLN","Sort=A","Dates=H","DateFormat=P","Fill=—","Direction=H","UseDPDF=Y")</f>
        <v>—</v>
      </c>
      <c r="K84" s="13" t="str">
        <f>_xll.BDH("BLUE US Equity","ARDR_WORK_IN_PROGRESS","FQ2 2020","FQ2 2020","Currency=USD","Period=FQ","BEST_FPERIOD_OVERRIDE=FQ","FILING_STATUS=MR","SCALING_FORMAT=MLN","Sort=A","Dates=H","DateFormat=P","Fill=—","Direction=H","UseDPDF=Y")</f>
        <v>—</v>
      </c>
      <c r="L84" s="13" t="str">
        <f>_xll.BDH("BLUE US Equity","ARDR_WORK_IN_PROGRESS","FQ3 2020","FQ3 2020","Currency=USD","Period=FQ","BEST_FPERIOD_OVERRIDE=FQ","FILING_STATUS=MR","SCALING_FORMAT=MLN","Sort=A","Dates=H","DateFormat=P","Fill=—","Direction=H","UseDPDF=Y")</f>
        <v>—</v>
      </c>
      <c r="M84" s="13" t="str">
        <f>_xll.BDH("BLUE US Equity","ARDR_WORK_IN_PROGRESS","FQ4 2020","FQ4 2020","Currency=USD","Period=FQ","BEST_FPERIOD_OVERRIDE=FQ","FILING_STATUS=MR","SCALING_FORMAT=MLN","Sort=A","Dates=H","DateFormat=P","Fill=—","Direction=H","UseDPDF=Y")</f>
        <v>—</v>
      </c>
      <c r="N84" s="13" t="str">
        <f>_xll.BDH("BLUE US Equity","ARDR_WORK_IN_PROGRESS","FQ1 2021","FQ1 2021","Currency=USD","Period=FQ","BEST_FPERIOD_OVERRIDE=FQ","FILING_STATUS=MR","SCALING_FORMAT=MLN","Sort=A","Dates=H","DateFormat=P","Fill=—","Direction=H","UseDPDF=Y")</f>
        <v>—</v>
      </c>
      <c r="O84" s="13" t="str">
        <f>_xll.BDH("BLUE US Equity","ARDR_WORK_IN_PROGRESS","FQ2 2021","FQ2 2021","Currency=USD","Period=FQ","BEST_FPERIOD_OVERRIDE=FQ","FILING_STATUS=MR","SCALING_FORMAT=MLN","Sort=A","Dates=H","DateFormat=P","Fill=—","Direction=H","UseDPDF=Y")</f>
        <v>—</v>
      </c>
      <c r="P84" s="13" t="str">
        <f>_xll.BDH("BLUE US Equity","ARDR_WORK_IN_PROGRESS","FQ3 2021","FQ3 2021","Currency=USD","Period=FQ","BEST_FPERIOD_OVERRIDE=FQ","FILING_STATUS=MR","SCALING_FORMAT=MLN","Sort=A","Dates=H","DateFormat=P","Fill=—","Direction=H","UseDPDF=Y")</f>
        <v>—</v>
      </c>
      <c r="Q84" s="13" t="str">
        <f>_xll.BDH("BLUE US Equity","ARDR_WORK_IN_PROGRESS","FQ4 2021","FQ4 2021","Currency=USD","Period=FQ","BEST_FPERIOD_OVERRIDE=FQ","FILING_STATUS=MR","SCALING_FORMAT=MLN","Sort=A","Dates=H","DateFormat=P","Fill=—","Direction=H","UseDPDF=Y")</f>
        <v>—</v>
      </c>
      <c r="R84" s="13" t="str">
        <f>_xll.BDH("BLUE US Equity","ARDR_WORK_IN_PROGRESS","FQ1 2022","FQ1 2022","Currency=USD","Period=FQ","BEST_FPERIOD_OVERRIDE=FQ","FILING_STATUS=MR","SCALING_FORMAT=MLN","Sort=A","Dates=H","DateFormat=P","Fill=—","Direction=H","UseDPDF=Y")</f>
        <v>—</v>
      </c>
      <c r="S84" s="13" t="str">
        <f>_xll.BDH("BLUE US Equity","ARDR_WORK_IN_PROGRESS","FQ2 2022","FQ2 2022","Currency=USD","Period=FQ","BEST_FPERIOD_OVERRIDE=FQ","FILING_STATUS=MR","SCALING_FORMAT=MLN","Sort=A","Dates=H","DateFormat=P","Fill=—","Direction=H","UseDPDF=Y")</f>
        <v>—</v>
      </c>
      <c r="T84" s="13" t="str">
        <f>_xll.BDH("BLUE US Equity","ARDR_WORK_IN_PROGRESS","FQ3 2022","FQ3 2022","Currency=USD","Period=FQ","BEST_FPERIOD_OVERRIDE=FQ","FILING_STATUS=MR","SCALING_FORMAT=MLN","Sort=A","Dates=H","DateFormat=P","Fill=—","Direction=H","UseDPDF=Y")</f>
        <v>—</v>
      </c>
      <c r="U84" s="13" t="str">
        <f>_xll.BDH("BLUE US Equity","ARDR_WORK_IN_PROGRESS","FQ4 2022","FQ4 2022","Currency=USD","Period=FQ","BEST_FPERIOD_OVERRIDE=FQ","FILING_STATUS=MR","SCALING_FORMAT=MLN","Sort=A","Dates=H","DateFormat=P","Fill=—","Direction=H","UseDPDF=Y")</f>
        <v>—</v>
      </c>
      <c r="V84" s="13" t="str">
        <f>_xll.BDH("BLUE US Equity","ARDR_WORK_IN_PROGRESS","FQ1 2023","FQ1 2023","Currency=USD","Period=FQ","BEST_FPERIOD_OVERRIDE=FQ","FILING_STATUS=MR","SCALING_FORMAT=MLN","Sort=A","Dates=H","DateFormat=P","Fill=—","Direction=H","UseDPDF=Y")</f>
        <v>—</v>
      </c>
      <c r="W84" s="13" t="str">
        <f>_xll.BDH("BLUE US Equity","ARDR_WORK_IN_PROGRESS","FQ2 2023","FQ2 2023","Currency=USD","Period=FQ","BEST_FPERIOD_OVERRIDE=FQ","FILING_STATUS=MR","SCALING_FORMAT=MLN","Sort=A","Dates=H","DateFormat=P","Fill=—","Direction=H","UseDPDF=Y")</f>
        <v>—</v>
      </c>
      <c r="X84" s="13" t="str">
        <f>_xll.BDH("BLUE US Equity","ARDR_WORK_IN_PROGRESS","FQ3 2023","FQ3 2023","Currency=USD","Period=FQ","BEST_FPERIOD_OVERRIDE=FQ","FILING_STATUS=MR","SCALING_FORMAT=MLN","Sort=A","Dates=H","DateFormat=P","Fill=—","Direction=H","UseDPDF=Y")</f>
        <v>—</v>
      </c>
      <c r="Y84" s="13">
        <f>_xll.BDH("BLUE US Equity","ARDR_WORK_IN_PROGRESS","FQ1 2024","FQ1 2024","Currency=USD","Period=FQ","BEST_FPERIOD_OVERRIDE=FQ","FILING_STATUS=MR","SCALING_FORMAT=MLN","Sort=A","Dates=H","DateFormat=P","Fill=—","Direction=H","UseDPDF=Y")</f>
        <v>22.146000000000001</v>
      </c>
      <c r="Z84" s="13">
        <f>_xll.BDH("BLUE US Equity","ARDR_WORK_IN_PROGRESS","FQ2 2024","FQ2 2024","Currency=USD","Period=FQ","BEST_FPERIOD_OVERRIDE=FQ","FILING_STATUS=MR","SCALING_FORMAT=MLN","Sort=A","Dates=H","DateFormat=P","Fill=—","Direction=H","UseDPDF=Y")</f>
        <v>28.167000000000002</v>
      </c>
      <c r="AA84" s="13">
        <f>_xll.BDH("BLUE US Equity","ARDR_WORK_IN_PROGRESS","FQ3 2024","FQ3 2024","Currency=USD","Period=FQ","BEST_FPERIOD_OVERRIDE=FQ","FILING_STATUS=MR","SCALING_FORMAT=MLN","Sort=A","Dates=H","DateFormat=P","Fill=—","Direction=H","UseDPDF=Y")</f>
        <v>48.649000000000001</v>
      </c>
    </row>
    <row r="85" spans="1:27" x14ac:dyDescent="0.25">
      <c r="A85" s="10" t="s">
        <v>884</v>
      </c>
      <c r="B85" s="10" t="s">
        <v>885</v>
      </c>
      <c r="C85" s="13" t="str">
        <f>_xll.BDH("BLUE US Equity","ARDR_FINISHED_GOOD","FQ2 2018","FQ2 2018","Currency=USD","Period=FQ","BEST_FPERIOD_OVERRIDE=FQ","FILING_STATUS=MR","SCALING_FORMAT=MLN","Sort=A","Dates=H","DateFormat=P","Fill=—","Direction=H","UseDPDF=Y")</f>
        <v>—</v>
      </c>
      <c r="D85" s="13" t="str">
        <f>_xll.BDH("BLUE US Equity","ARDR_FINISHED_GOOD","FQ3 2018","FQ3 2018","Currency=USD","Period=FQ","BEST_FPERIOD_OVERRIDE=FQ","FILING_STATUS=MR","SCALING_FORMAT=MLN","Sort=A","Dates=H","DateFormat=P","Fill=—","Direction=H","UseDPDF=Y")</f>
        <v>—</v>
      </c>
      <c r="E85" s="13" t="str">
        <f>_xll.BDH("BLUE US Equity","ARDR_FINISHED_GOOD","FQ4 2018","FQ4 2018","Currency=USD","Period=FQ","BEST_FPERIOD_OVERRIDE=FQ","FILING_STATUS=MR","SCALING_FORMAT=MLN","Sort=A","Dates=H","DateFormat=P","Fill=—","Direction=H","UseDPDF=Y")</f>
        <v>—</v>
      </c>
      <c r="F85" s="13" t="str">
        <f>_xll.BDH("BLUE US Equity","ARDR_FINISHED_GOOD","FQ1 2019","FQ1 2019","Currency=USD","Period=FQ","BEST_FPERIOD_OVERRIDE=FQ","FILING_STATUS=MR","SCALING_FORMAT=MLN","Sort=A","Dates=H","DateFormat=P","Fill=—","Direction=H","UseDPDF=Y")</f>
        <v>—</v>
      </c>
      <c r="G85" s="13" t="str">
        <f>_xll.BDH("BLUE US Equity","ARDR_FINISHED_GOOD","FQ2 2019","FQ2 2019","Currency=USD","Period=FQ","BEST_FPERIOD_OVERRIDE=FQ","FILING_STATUS=MR","SCALING_FORMAT=MLN","Sort=A","Dates=H","DateFormat=P","Fill=—","Direction=H","UseDPDF=Y")</f>
        <v>—</v>
      </c>
      <c r="H85" s="13" t="str">
        <f>_xll.BDH("BLUE US Equity","ARDR_FINISHED_GOOD","FQ3 2019","FQ3 2019","Currency=USD","Period=FQ","BEST_FPERIOD_OVERRIDE=FQ","FILING_STATUS=MR","SCALING_FORMAT=MLN","Sort=A","Dates=H","DateFormat=P","Fill=—","Direction=H","UseDPDF=Y")</f>
        <v>—</v>
      </c>
      <c r="I85" s="13" t="str">
        <f>_xll.BDH("BLUE US Equity","ARDR_FINISHED_GOOD","FQ4 2019","FQ4 2019","Currency=USD","Period=FQ","BEST_FPERIOD_OVERRIDE=FQ","FILING_STATUS=MR","SCALING_FORMAT=MLN","Sort=A","Dates=H","DateFormat=P","Fill=—","Direction=H","UseDPDF=Y")</f>
        <v>—</v>
      </c>
      <c r="J85" s="13" t="str">
        <f>_xll.BDH("BLUE US Equity","ARDR_FINISHED_GOOD","FQ1 2020","FQ1 2020","Currency=USD","Period=FQ","BEST_FPERIOD_OVERRIDE=FQ","FILING_STATUS=MR","SCALING_FORMAT=MLN","Sort=A","Dates=H","DateFormat=P","Fill=—","Direction=H","UseDPDF=Y")</f>
        <v>—</v>
      </c>
      <c r="K85" s="13" t="str">
        <f>_xll.BDH("BLUE US Equity","ARDR_FINISHED_GOOD","FQ2 2020","FQ2 2020","Currency=USD","Period=FQ","BEST_FPERIOD_OVERRIDE=FQ","FILING_STATUS=MR","SCALING_FORMAT=MLN","Sort=A","Dates=H","DateFormat=P","Fill=—","Direction=H","UseDPDF=Y")</f>
        <v>—</v>
      </c>
      <c r="L85" s="13" t="str">
        <f>_xll.BDH("BLUE US Equity","ARDR_FINISHED_GOOD","FQ3 2020","FQ3 2020","Currency=USD","Period=FQ","BEST_FPERIOD_OVERRIDE=FQ","FILING_STATUS=MR","SCALING_FORMAT=MLN","Sort=A","Dates=H","DateFormat=P","Fill=—","Direction=H","UseDPDF=Y")</f>
        <v>—</v>
      </c>
      <c r="M85" s="13">
        <f>_xll.BDH("BLUE US Equity","ARDR_FINISHED_GOOD","FQ4 2020","FQ4 2020","Currency=USD","Period=FQ","BEST_FPERIOD_OVERRIDE=FQ","FILING_STATUS=MR","SCALING_FORMAT=MLN","Sort=A","Dates=H","DateFormat=P","Fill=—","Direction=H","UseDPDF=Y")</f>
        <v>1.7310000000000001</v>
      </c>
      <c r="N85" s="13">
        <f>_xll.BDH("BLUE US Equity","ARDR_FINISHED_GOOD","FQ1 2021","FQ1 2021","Currency=USD","Period=FQ","BEST_FPERIOD_OVERRIDE=FQ","FILING_STATUS=MR","SCALING_FORMAT=MLN","Sort=A","Dates=H","DateFormat=P","Fill=—","Direction=H","UseDPDF=Y")</f>
        <v>1.1870000000000001</v>
      </c>
      <c r="O85" s="13" t="str">
        <f>_xll.BDH("BLUE US Equity","ARDR_FINISHED_GOOD","FQ2 2021","FQ2 2021","Currency=USD","Period=FQ","BEST_FPERIOD_OVERRIDE=FQ","FILING_STATUS=MR","SCALING_FORMAT=MLN","Sort=A","Dates=H","DateFormat=P","Fill=—","Direction=H","UseDPDF=Y")</f>
        <v>—</v>
      </c>
      <c r="P85" s="13">
        <f>_xll.BDH("BLUE US Equity","ARDR_FINISHED_GOOD","FQ3 2021","FQ3 2021","Currency=USD","Period=FQ","BEST_FPERIOD_OVERRIDE=FQ","FILING_STATUS=MR","SCALING_FORMAT=MLN","Sort=A","Dates=H","DateFormat=P","Fill=—","Direction=H","UseDPDF=Y")</f>
        <v>0.76600000000000001</v>
      </c>
      <c r="Q85" s="13">
        <f>_xll.BDH("BLUE US Equity","ARDR_FINISHED_GOOD","FQ4 2021","FQ4 2021","Currency=USD","Period=FQ","BEST_FPERIOD_OVERRIDE=FQ","FILING_STATUS=MR","SCALING_FORMAT=MLN","Sort=A","Dates=H","DateFormat=P","Fill=—","Direction=H","UseDPDF=Y")</f>
        <v>0</v>
      </c>
      <c r="R85" s="13" t="str">
        <f>_xll.BDH("BLUE US Equity","ARDR_FINISHED_GOOD","FQ1 2022","FQ1 2022","Currency=USD","Period=FQ","BEST_FPERIOD_OVERRIDE=FQ","FILING_STATUS=MR","SCALING_FORMAT=MLN","Sort=A","Dates=H","DateFormat=P","Fill=—","Direction=H","UseDPDF=Y")</f>
        <v>—</v>
      </c>
      <c r="S85" s="13" t="str">
        <f>_xll.BDH("BLUE US Equity","ARDR_FINISHED_GOOD","FQ2 2022","FQ2 2022","Currency=USD","Period=FQ","BEST_FPERIOD_OVERRIDE=FQ","FILING_STATUS=MR","SCALING_FORMAT=MLN","Sort=A","Dates=H","DateFormat=P","Fill=—","Direction=H","UseDPDF=Y")</f>
        <v>—</v>
      </c>
      <c r="T85" s="13" t="str">
        <f>_xll.BDH("BLUE US Equity","ARDR_FINISHED_GOOD","FQ3 2022","FQ3 2022","Currency=USD","Period=FQ","BEST_FPERIOD_OVERRIDE=FQ","FILING_STATUS=MR","SCALING_FORMAT=MLN","Sort=A","Dates=H","DateFormat=P","Fill=—","Direction=H","UseDPDF=Y")</f>
        <v>—</v>
      </c>
      <c r="U85" s="13" t="str">
        <f>_xll.BDH("BLUE US Equity","ARDR_FINISHED_GOOD","FQ4 2022","FQ4 2022","Currency=USD","Period=FQ","BEST_FPERIOD_OVERRIDE=FQ","FILING_STATUS=MR","SCALING_FORMAT=MLN","Sort=A","Dates=H","DateFormat=P","Fill=—","Direction=H","UseDPDF=Y")</f>
        <v>—</v>
      </c>
      <c r="V85" s="13" t="str">
        <f>_xll.BDH("BLUE US Equity","ARDR_FINISHED_GOOD","FQ1 2023","FQ1 2023","Currency=USD","Period=FQ","BEST_FPERIOD_OVERRIDE=FQ","FILING_STATUS=MR","SCALING_FORMAT=MLN","Sort=A","Dates=H","DateFormat=P","Fill=—","Direction=H","UseDPDF=Y")</f>
        <v>—</v>
      </c>
      <c r="W85" s="13" t="str">
        <f>_xll.BDH("BLUE US Equity","ARDR_FINISHED_GOOD","FQ2 2023","FQ2 2023","Currency=USD","Period=FQ","BEST_FPERIOD_OVERRIDE=FQ","FILING_STATUS=MR","SCALING_FORMAT=MLN","Sort=A","Dates=H","DateFormat=P","Fill=—","Direction=H","UseDPDF=Y")</f>
        <v>—</v>
      </c>
      <c r="X85" s="13" t="str">
        <f>_xll.BDH("BLUE US Equity","ARDR_FINISHED_GOOD","FQ3 2023","FQ3 2023","Currency=USD","Period=FQ","BEST_FPERIOD_OVERRIDE=FQ","FILING_STATUS=MR","SCALING_FORMAT=MLN","Sort=A","Dates=H","DateFormat=P","Fill=—","Direction=H","UseDPDF=Y")</f>
        <v>—</v>
      </c>
      <c r="Y85" s="13">
        <f>_xll.BDH("BLUE US Equity","ARDR_FINISHED_GOOD","FQ1 2024","FQ1 2024","Currency=USD","Period=FQ","BEST_FPERIOD_OVERRIDE=FQ","FILING_STATUS=MR","SCALING_FORMAT=MLN","Sort=A","Dates=H","DateFormat=P","Fill=—","Direction=H","UseDPDF=Y")</f>
        <v>4.9820000000000002</v>
      </c>
      <c r="Z85" s="13">
        <f>_xll.BDH("BLUE US Equity","ARDR_FINISHED_GOOD","FQ2 2024","FQ2 2024","Currency=USD","Period=FQ","BEST_FPERIOD_OVERRIDE=FQ","FILING_STATUS=MR","SCALING_FORMAT=MLN","Sort=A","Dates=H","DateFormat=P","Fill=—","Direction=H","UseDPDF=Y")</f>
        <v>2.0710000000000002</v>
      </c>
      <c r="AA85" s="13">
        <f>_xll.BDH("BLUE US Equity","ARDR_FINISHED_GOOD","FQ3 2024","FQ3 2024","Currency=USD","Period=FQ","BEST_FPERIOD_OVERRIDE=FQ","FILING_STATUS=MR","SCALING_FORMAT=MLN","Sort=A","Dates=H","DateFormat=P","Fill=—","Direction=H","UseDPDF=Y")</f>
        <v>2.33</v>
      </c>
    </row>
    <row r="86" spans="1:27" x14ac:dyDescent="0.25">
      <c r="A86" s="10" t="s">
        <v>731</v>
      </c>
      <c r="B86" s="10" t="s">
        <v>886</v>
      </c>
      <c r="C86" s="13" t="str">
        <f>_xll.BDH("BLUE US Equity","ARDR_FUT_MIN_OPER_LEASE_OBLIG","FQ2 2018","FQ2 2018","Currency=USD","Period=FQ","BEST_FPERIOD_OVERRIDE=FQ","FILING_STATUS=MR","SCALING_FORMAT=MLN","Sort=A","Dates=H","DateFormat=P","Fill=—","Direction=H","UseDPDF=Y")</f>
        <v>—</v>
      </c>
      <c r="D86" s="13" t="str">
        <f>_xll.BDH("BLUE US Equity","ARDR_FUT_MIN_OPER_LEASE_OBLIG","FQ3 2018","FQ3 2018","Currency=USD","Period=FQ","BEST_FPERIOD_OVERRIDE=FQ","FILING_STATUS=MR","SCALING_FORMAT=MLN","Sort=A","Dates=H","DateFormat=P","Fill=—","Direction=H","UseDPDF=Y")</f>
        <v>—</v>
      </c>
      <c r="E86" s="13">
        <f>_xll.BDH("BLUE US Equity","ARDR_FUT_MIN_OPER_LEASE_OBLIG","FQ4 2018","FQ4 2018","Currency=USD","Period=FQ","BEST_FPERIOD_OVERRIDE=FQ","FILING_STATUS=MR","SCALING_FORMAT=MLN","Sort=A","Dates=H","DateFormat=P","Fill=—","Direction=H","UseDPDF=Y")</f>
        <v>277.84199999999998</v>
      </c>
      <c r="F86" s="13">
        <f>_xll.BDH("BLUE US Equity","ARDR_FUT_MIN_OPER_LEASE_OBLIG","FQ1 2019","FQ1 2019","Currency=USD","Period=FQ","BEST_FPERIOD_OVERRIDE=FQ","FILING_STATUS=MR","SCALING_FORMAT=MLN","Sort=A","Dates=H","DateFormat=P","Fill=—","Direction=H","UseDPDF=Y")</f>
        <v>239.67500000000001</v>
      </c>
      <c r="G86" s="13">
        <f>_xll.BDH("BLUE US Equity","ARDR_FUT_MIN_OPER_LEASE_OBLIG","FQ2 2019","FQ2 2019","Currency=USD","Period=FQ","BEST_FPERIOD_OVERRIDE=FQ","FILING_STATUS=MR","SCALING_FORMAT=MLN","Sort=A","Dates=H","DateFormat=P","Fill=—","Direction=H","UseDPDF=Y")</f>
        <v>252.999</v>
      </c>
      <c r="H86" s="13">
        <f>_xll.BDH("BLUE US Equity","ARDR_FUT_MIN_OPER_LEASE_OBLIG","FQ3 2019","FQ3 2019","Currency=USD","Period=FQ","BEST_FPERIOD_OVERRIDE=FQ","FILING_STATUS=MR","SCALING_FORMAT=MLN","Sort=A","Dates=H","DateFormat=P","Fill=—","Direction=H","UseDPDF=Y")</f>
        <v>259.95600000000002</v>
      </c>
      <c r="I86" s="13">
        <f>_xll.BDH("BLUE US Equity","ARDR_FUT_MIN_OPER_LEASE_OBLIG","FQ4 2019","FQ4 2019","Currency=USD","Period=FQ","BEST_FPERIOD_OVERRIDE=FQ","FILING_STATUS=MR","SCALING_FORMAT=MLN","Sort=A","Dates=H","DateFormat=P","Fill=—","Direction=H","UseDPDF=Y")</f>
        <v>251.553</v>
      </c>
      <c r="J86" s="13" t="str">
        <f>_xll.BDH("BLUE US Equity","ARDR_FUT_MIN_OPER_LEASE_OBLIG","FQ1 2020","FQ1 2020","Currency=USD","Period=FQ","BEST_FPERIOD_OVERRIDE=FQ","FILING_STATUS=MR","SCALING_FORMAT=MLN","Sort=A","Dates=H","DateFormat=P","Fill=—","Direction=H","UseDPDF=Y")</f>
        <v>—</v>
      </c>
      <c r="K86" s="13" t="str">
        <f>_xll.BDH("BLUE US Equity","ARDR_FUT_MIN_OPER_LEASE_OBLIG","FQ2 2020","FQ2 2020","Currency=USD","Period=FQ","BEST_FPERIOD_OVERRIDE=FQ","FILING_STATUS=MR","SCALING_FORMAT=MLN","Sort=A","Dates=H","DateFormat=P","Fill=—","Direction=H","UseDPDF=Y")</f>
        <v>—</v>
      </c>
      <c r="L86" s="13" t="str">
        <f>_xll.BDH("BLUE US Equity","ARDR_FUT_MIN_OPER_LEASE_OBLIG","FQ3 2020","FQ3 2020","Currency=USD","Period=FQ","BEST_FPERIOD_OVERRIDE=FQ","FILING_STATUS=MR","SCALING_FORMAT=MLN","Sort=A","Dates=H","DateFormat=P","Fill=—","Direction=H","UseDPDF=Y")</f>
        <v>—</v>
      </c>
      <c r="M86" s="13">
        <f>_xll.BDH("BLUE US Equity","ARDR_FUT_MIN_OPER_LEASE_OBLIG","FQ4 2020","FQ4 2020","Currency=USD","Period=FQ","BEST_FPERIOD_OVERRIDE=FQ","FILING_STATUS=MR","SCALING_FORMAT=MLN","Sort=A","Dates=H","DateFormat=P","Fill=—","Direction=H","UseDPDF=Y")</f>
        <v>236.291</v>
      </c>
      <c r="N86" s="13" t="str">
        <f>_xll.BDH("BLUE US Equity","ARDR_FUT_MIN_OPER_LEASE_OBLIG","FQ1 2021","FQ1 2021","Currency=USD","Period=FQ","BEST_FPERIOD_OVERRIDE=FQ","FILING_STATUS=MR","SCALING_FORMAT=MLN","Sort=A","Dates=H","DateFormat=P","Fill=—","Direction=H","UseDPDF=Y")</f>
        <v>—</v>
      </c>
      <c r="O86" s="13" t="str">
        <f>_xll.BDH("BLUE US Equity","ARDR_FUT_MIN_OPER_LEASE_OBLIG","FQ2 2021","FQ2 2021","Currency=USD","Period=FQ","BEST_FPERIOD_OVERRIDE=FQ","FILING_STATUS=MR","SCALING_FORMAT=MLN","Sort=A","Dates=H","DateFormat=P","Fill=—","Direction=H","UseDPDF=Y")</f>
        <v>—</v>
      </c>
      <c r="P86" s="13" t="str">
        <f>_xll.BDH("BLUE US Equity","ARDR_FUT_MIN_OPER_LEASE_OBLIG","FQ3 2021","FQ3 2021","Currency=USD","Period=FQ","BEST_FPERIOD_OVERRIDE=FQ","FILING_STATUS=MR","SCALING_FORMAT=MLN","Sort=A","Dates=H","DateFormat=P","Fill=—","Direction=H","UseDPDF=Y")</f>
        <v>—</v>
      </c>
      <c r="Q86" s="13">
        <f>_xll.BDH("BLUE US Equity","ARDR_FUT_MIN_OPER_LEASE_OBLIG","FQ4 2021","FQ4 2021","Currency=USD","Period=FQ","BEST_FPERIOD_OVERRIDE=FQ","FILING_STATUS=MR","SCALING_FORMAT=MLN","Sort=A","Dates=H","DateFormat=P","Fill=—","Direction=H","UseDPDF=Y")</f>
        <v>102.099</v>
      </c>
      <c r="R86" s="13" t="str">
        <f>_xll.BDH("BLUE US Equity","ARDR_FUT_MIN_OPER_LEASE_OBLIG","FQ1 2022","FQ1 2022","Currency=USD","Period=FQ","BEST_FPERIOD_OVERRIDE=FQ","FILING_STATUS=MR","SCALING_FORMAT=MLN","Sort=A","Dates=H","DateFormat=P","Fill=—","Direction=H","UseDPDF=Y")</f>
        <v>—</v>
      </c>
      <c r="S86" s="13" t="str">
        <f>_xll.BDH("BLUE US Equity","ARDR_FUT_MIN_OPER_LEASE_OBLIG","FQ2 2022","FQ2 2022","Currency=USD","Period=FQ","BEST_FPERIOD_OVERRIDE=FQ","FILING_STATUS=MR","SCALING_FORMAT=MLN","Sort=A","Dates=H","DateFormat=P","Fill=—","Direction=H","UseDPDF=Y")</f>
        <v>—</v>
      </c>
      <c r="T86" s="13" t="str">
        <f>_xll.BDH("BLUE US Equity","ARDR_FUT_MIN_OPER_LEASE_OBLIG","FQ3 2022","FQ3 2022","Currency=USD","Period=FQ","BEST_FPERIOD_OVERRIDE=FQ","FILING_STATUS=MR","SCALING_FORMAT=MLN","Sort=A","Dates=H","DateFormat=P","Fill=—","Direction=H","UseDPDF=Y")</f>
        <v>—</v>
      </c>
      <c r="U86" s="13">
        <f>_xll.BDH("BLUE US Equity","ARDR_FUT_MIN_OPER_LEASE_OBLIG","FQ4 2022","FQ4 2022","Currency=USD","Period=FQ","BEST_FPERIOD_OVERRIDE=FQ","FILING_STATUS=MR","SCALING_FORMAT=MLN","Sort=A","Dates=H","DateFormat=P","Fill=—","Direction=H","UseDPDF=Y")</f>
        <v>352.42200000000003</v>
      </c>
      <c r="V86" s="13" t="str">
        <f>_xll.BDH("BLUE US Equity","ARDR_FUT_MIN_OPER_LEASE_OBLIG","FQ1 2023","FQ1 2023","Currency=USD","Period=FQ","BEST_FPERIOD_OVERRIDE=FQ","FILING_STATUS=MR","SCALING_FORMAT=MLN","Sort=A","Dates=H","DateFormat=P","Fill=—","Direction=H","UseDPDF=Y")</f>
        <v>—</v>
      </c>
      <c r="W86" s="13" t="str">
        <f>_xll.BDH("BLUE US Equity","ARDR_FUT_MIN_OPER_LEASE_OBLIG","FQ2 2023","FQ2 2023","Currency=USD","Period=FQ","BEST_FPERIOD_OVERRIDE=FQ","FILING_STATUS=MR","SCALING_FORMAT=MLN","Sort=A","Dates=H","DateFormat=P","Fill=—","Direction=H","UseDPDF=Y")</f>
        <v>—</v>
      </c>
      <c r="X86" s="13" t="str">
        <f>_xll.BDH("BLUE US Equity","ARDR_FUT_MIN_OPER_LEASE_OBLIG","FQ3 2023","FQ3 2023","Currency=USD","Period=FQ","BEST_FPERIOD_OVERRIDE=FQ","FILING_STATUS=MR","SCALING_FORMAT=MLN","Sort=A","Dates=H","DateFormat=P","Fill=—","Direction=H","UseDPDF=Y")</f>
        <v>—</v>
      </c>
      <c r="Y86" s="13">
        <f>_xll.BDH("BLUE US Equity","ARDR_FUT_MIN_OPER_LEASE_OBLIG","FQ1 2024","FQ1 2024","Currency=USD","Period=FQ","BEST_FPERIOD_OVERRIDE=FQ","FILING_STATUS=MR","SCALING_FORMAT=MLN","Sort=A","Dates=H","DateFormat=P","Fill=—","Direction=H","UseDPDF=Y")</f>
        <v>257.81799999999998</v>
      </c>
      <c r="Z86" s="13">
        <f>_xll.BDH("BLUE US Equity","ARDR_FUT_MIN_OPER_LEASE_OBLIG","FQ2 2024","FQ2 2024","Currency=USD","Period=FQ","BEST_FPERIOD_OVERRIDE=FQ","FILING_STATUS=MR","SCALING_FORMAT=MLN","Sort=A","Dates=H","DateFormat=P","Fill=—","Direction=H","UseDPDF=Y")</f>
        <v>248.876</v>
      </c>
      <c r="AA86" s="13">
        <f>_xll.BDH("BLUE US Equity","ARDR_FUT_MIN_OPER_LEASE_OBLIG","FQ3 2024","FQ3 2024","Currency=USD","Period=FQ","BEST_FPERIOD_OVERRIDE=FQ","FILING_STATUS=MR","SCALING_FORMAT=MLN","Sort=A","Dates=H","DateFormat=P","Fill=—","Direction=H","UseDPDF=Y")</f>
        <v>238.477</v>
      </c>
    </row>
    <row r="87" spans="1:27" x14ac:dyDescent="0.25">
      <c r="A87" s="10" t="s">
        <v>887</v>
      </c>
      <c r="B87" s="10" t="s">
        <v>888</v>
      </c>
      <c r="C87" s="13" t="str">
        <f>_xll.BDH("BLUE US Equity","ARDR_RENTAL_EXP_YR1","FQ2 2018","FQ2 2018","Currency=USD","Period=FQ","BEST_FPERIOD_OVERRIDE=FQ","FILING_STATUS=MR","SCALING_FORMAT=MLN","Sort=A","Dates=H","DateFormat=P","Fill=—","Direction=H","UseDPDF=Y")</f>
        <v>—</v>
      </c>
      <c r="D87" s="13" t="str">
        <f>_xll.BDH("BLUE US Equity","ARDR_RENTAL_EXP_YR1","FQ3 2018","FQ3 2018","Currency=USD","Period=FQ","BEST_FPERIOD_OVERRIDE=FQ","FILING_STATUS=MR","SCALING_FORMAT=MLN","Sort=A","Dates=H","DateFormat=P","Fill=—","Direction=H","UseDPDF=Y")</f>
        <v>—</v>
      </c>
      <c r="E87" s="13">
        <f>_xll.BDH("BLUE US Equity","ARDR_RENTAL_EXP_YR1","FQ4 2018","FQ4 2018","Currency=USD","Period=FQ","BEST_FPERIOD_OVERRIDE=FQ","FILING_STATUS=MR","SCALING_FORMAT=MLN","Sort=A","Dates=H","DateFormat=P","Fill=—","Direction=H","UseDPDF=Y")</f>
        <v>36.484999999999999</v>
      </c>
      <c r="F87" s="13">
        <f>_xll.BDH("BLUE US Equity","ARDR_RENTAL_EXP_YR1","FQ1 2019","FQ1 2019","Currency=USD","Period=FQ","BEST_FPERIOD_OVERRIDE=FQ","FILING_STATUS=MR","SCALING_FORMAT=MLN","Sort=A","Dates=H","DateFormat=P","Fill=—","Direction=H","UseDPDF=Y")</f>
        <v>21.286000000000001</v>
      </c>
      <c r="G87" s="13">
        <f>_xll.BDH("BLUE US Equity","ARDR_RENTAL_EXP_YR1","FQ2 2019","FQ2 2019","Currency=USD","Period=FQ","BEST_FPERIOD_OVERRIDE=FQ","FILING_STATUS=MR","SCALING_FORMAT=MLN","Sort=A","Dates=H","DateFormat=P","Fill=—","Direction=H","UseDPDF=Y")</f>
        <v>17.030999999999999</v>
      </c>
      <c r="H87" s="13">
        <f>_xll.BDH("BLUE US Equity","ARDR_RENTAL_EXP_YR1","FQ3 2019","FQ3 2019","Currency=USD","Period=FQ","BEST_FPERIOD_OVERRIDE=FQ","FILING_STATUS=MR","SCALING_FORMAT=MLN","Sort=A","Dates=H","DateFormat=P","Fill=—","Direction=H","UseDPDF=Y")</f>
        <v>7.7510000000000003</v>
      </c>
      <c r="I87" s="13">
        <f>_xll.BDH("BLUE US Equity","ARDR_RENTAL_EXP_YR1","FQ4 2019","FQ4 2019","Currency=USD","Period=FQ","BEST_FPERIOD_OVERRIDE=FQ","FILING_STATUS=MR","SCALING_FORMAT=MLN","Sort=A","Dates=H","DateFormat=P","Fill=—","Direction=H","UseDPDF=Y")</f>
        <v>33.256999999999998</v>
      </c>
      <c r="J87" s="13" t="str">
        <f>_xll.BDH("BLUE US Equity","ARDR_RENTAL_EXP_YR1","FQ1 2020","FQ1 2020","Currency=USD","Period=FQ","BEST_FPERIOD_OVERRIDE=FQ","FILING_STATUS=MR","SCALING_FORMAT=MLN","Sort=A","Dates=H","DateFormat=P","Fill=—","Direction=H","UseDPDF=Y")</f>
        <v>—</v>
      </c>
      <c r="K87" s="13" t="str">
        <f>_xll.BDH("BLUE US Equity","ARDR_RENTAL_EXP_YR1","FQ2 2020","FQ2 2020","Currency=USD","Period=FQ","BEST_FPERIOD_OVERRIDE=FQ","FILING_STATUS=MR","SCALING_FORMAT=MLN","Sort=A","Dates=H","DateFormat=P","Fill=—","Direction=H","UseDPDF=Y")</f>
        <v>—</v>
      </c>
      <c r="L87" s="13" t="str">
        <f>_xll.BDH("BLUE US Equity","ARDR_RENTAL_EXP_YR1","FQ3 2020","FQ3 2020","Currency=USD","Period=FQ","BEST_FPERIOD_OVERRIDE=FQ","FILING_STATUS=MR","SCALING_FORMAT=MLN","Sort=A","Dates=H","DateFormat=P","Fill=—","Direction=H","UseDPDF=Y")</f>
        <v>—</v>
      </c>
      <c r="M87" s="13">
        <f>_xll.BDH("BLUE US Equity","ARDR_RENTAL_EXP_YR1","FQ4 2020","FQ4 2020","Currency=USD","Period=FQ","BEST_FPERIOD_OVERRIDE=FQ","FILING_STATUS=MR","SCALING_FORMAT=MLN","Sort=A","Dates=H","DateFormat=P","Fill=—","Direction=H","UseDPDF=Y")</f>
        <v>36.43</v>
      </c>
      <c r="N87" s="13" t="str">
        <f>_xll.BDH("BLUE US Equity","ARDR_RENTAL_EXP_YR1","FQ1 2021","FQ1 2021","Currency=USD","Period=FQ","BEST_FPERIOD_OVERRIDE=FQ","FILING_STATUS=MR","SCALING_FORMAT=MLN","Sort=A","Dates=H","DateFormat=P","Fill=—","Direction=H","UseDPDF=Y")</f>
        <v>—</v>
      </c>
      <c r="O87" s="13" t="str">
        <f>_xll.BDH("BLUE US Equity","ARDR_RENTAL_EXP_YR1","FQ2 2021","FQ2 2021","Currency=USD","Period=FQ","BEST_FPERIOD_OVERRIDE=FQ","FILING_STATUS=MR","SCALING_FORMAT=MLN","Sort=A","Dates=H","DateFormat=P","Fill=—","Direction=H","UseDPDF=Y")</f>
        <v>—</v>
      </c>
      <c r="P87" s="13" t="str">
        <f>_xll.BDH("BLUE US Equity","ARDR_RENTAL_EXP_YR1","FQ3 2021","FQ3 2021","Currency=USD","Period=FQ","BEST_FPERIOD_OVERRIDE=FQ","FILING_STATUS=MR","SCALING_FORMAT=MLN","Sort=A","Dates=H","DateFormat=P","Fill=—","Direction=H","UseDPDF=Y")</f>
        <v>—</v>
      </c>
      <c r="Q87" s="13">
        <f>_xll.BDH("BLUE US Equity","ARDR_RENTAL_EXP_YR1","FQ4 2021","FQ4 2021","Currency=USD","Period=FQ","BEST_FPERIOD_OVERRIDE=FQ","FILING_STATUS=MR","SCALING_FORMAT=MLN","Sort=A","Dates=H","DateFormat=P","Fill=—","Direction=H","UseDPDF=Y")</f>
        <v>27.036999999999999</v>
      </c>
      <c r="R87" s="13" t="str">
        <f>_xll.BDH("BLUE US Equity","ARDR_RENTAL_EXP_YR1","FQ1 2022","FQ1 2022","Currency=USD","Period=FQ","BEST_FPERIOD_OVERRIDE=FQ","FILING_STATUS=MR","SCALING_FORMAT=MLN","Sort=A","Dates=H","DateFormat=P","Fill=—","Direction=H","UseDPDF=Y")</f>
        <v>—</v>
      </c>
      <c r="S87" s="13" t="str">
        <f>_xll.BDH("BLUE US Equity","ARDR_RENTAL_EXP_YR1","FQ2 2022","FQ2 2022","Currency=USD","Period=FQ","BEST_FPERIOD_OVERRIDE=FQ","FILING_STATUS=MR","SCALING_FORMAT=MLN","Sort=A","Dates=H","DateFormat=P","Fill=—","Direction=H","UseDPDF=Y")</f>
        <v>—</v>
      </c>
      <c r="T87" s="13" t="str">
        <f>_xll.BDH("BLUE US Equity","ARDR_RENTAL_EXP_YR1","FQ3 2022","FQ3 2022","Currency=USD","Period=FQ","BEST_FPERIOD_OVERRIDE=FQ","FILING_STATUS=MR","SCALING_FORMAT=MLN","Sort=A","Dates=H","DateFormat=P","Fill=—","Direction=H","UseDPDF=Y")</f>
        <v>—</v>
      </c>
      <c r="U87" s="13">
        <f>_xll.BDH("BLUE US Equity","ARDR_RENTAL_EXP_YR1","FQ4 2022","FQ4 2022","Currency=USD","Period=FQ","BEST_FPERIOD_OVERRIDE=FQ","FILING_STATUS=MR","SCALING_FORMAT=MLN","Sort=A","Dates=H","DateFormat=P","Fill=—","Direction=H","UseDPDF=Y")</f>
        <v>52.311</v>
      </c>
      <c r="V87" s="13" t="str">
        <f>_xll.BDH("BLUE US Equity","ARDR_RENTAL_EXP_YR1","FQ1 2023","FQ1 2023","Currency=USD","Period=FQ","BEST_FPERIOD_OVERRIDE=FQ","FILING_STATUS=MR","SCALING_FORMAT=MLN","Sort=A","Dates=H","DateFormat=P","Fill=—","Direction=H","UseDPDF=Y")</f>
        <v>—</v>
      </c>
      <c r="W87" s="13" t="str">
        <f>_xll.BDH("BLUE US Equity","ARDR_RENTAL_EXP_YR1","FQ2 2023","FQ2 2023","Currency=USD","Period=FQ","BEST_FPERIOD_OVERRIDE=FQ","FILING_STATUS=MR","SCALING_FORMAT=MLN","Sort=A","Dates=H","DateFormat=P","Fill=—","Direction=H","UseDPDF=Y")</f>
        <v>—</v>
      </c>
      <c r="X87" s="13" t="str">
        <f>_xll.BDH("BLUE US Equity","ARDR_RENTAL_EXP_YR1","FQ3 2023","FQ3 2023","Currency=USD","Period=FQ","BEST_FPERIOD_OVERRIDE=FQ","FILING_STATUS=MR","SCALING_FORMAT=MLN","Sort=A","Dates=H","DateFormat=P","Fill=—","Direction=H","UseDPDF=Y")</f>
        <v>—</v>
      </c>
      <c r="Y87" s="13">
        <f>_xll.BDH("BLUE US Equity","ARDR_RENTAL_EXP_YR1","FQ1 2024","FQ1 2024","Currency=USD","Period=FQ","BEST_FPERIOD_OVERRIDE=FQ","FILING_STATUS=MR","SCALING_FORMAT=MLN","Sort=A","Dates=H","DateFormat=P","Fill=—","Direction=H","UseDPDF=Y")</f>
        <v>28.492000000000001</v>
      </c>
      <c r="Z87" s="13">
        <f>_xll.BDH("BLUE US Equity","ARDR_RENTAL_EXP_YR1","FQ2 2024","FQ2 2024","Currency=USD","Period=FQ","BEST_FPERIOD_OVERRIDE=FQ","FILING_STATUS=MR","SCALING_FORMAT=MLN","Sort=A","Dates=H","DateFormat=P","Fill=—","Direction=H","UseDPDF=Y")</f>
        <v>19.55</v>
      </c>
      <c r="AA87" s="13">
        <f>_xll.BDH("BLUE US Equity","ARDR_RENTAL_EXP_YR1","FQ3 2024","FQ3 2024","Currency=USD","Period=FQ","BEST_FPERIOD_OVERRIDE=FQ","FILING_STATUS=MR","SCALING_FORMAT=MLN","Sort=A","Dates=H","DateFormat=P","Fill=—","Direction=H","UseDPDF=Y")</f>
        <v>9.1509999999999998</v>
      </c>
    </row>
    <row r="88" spans="1:27" x14ac:dyDescent="0.25">
      <c r="A88" s="10" t="s">
        <v>889</v>
      </c>
      <c r="B88" s="10" t="s">
        <v>890</v>
      </c>
      <c r="C88" s="13" t="str">
        <f>_xll.BDH("BLUE US Equity","ARDR_RENTAL_EXP_YR2","FQ2 2018","FQ2 2018","Currency=USD","Period=FQ","BEST_FPERIOD_OVERRIDE=FQ","FILING_STATUS=MR","SCALING_FORMAT=MLN","Sort=A","Dates=H","DateFormat=P","Fill=—","Direction=H","UseDPDF=Y")</f>
        <v>—</v>
      </c>
      <c r="D88" s="13" t="str">
        <f>_xll.BDH("BLUE US Equity","ARDR_RENTAL_EXP_YR2","FQ3 2018","FQ3 2018","Currency=USD","Period=FQ","BEST_FPERIOD_OVERRIDE=FQ","FILING_STATUS=MR","SCALING_FORMAT=MLN","Sort=A","Dates=H","DateFormat=P","Fill=—","Direction=H","UseDPDF=Y")</f>
        <v>—</v>
      </c>
      <c r="E88" s="13">
        <f>_xll.BDH("BLUE US Equity","ARDR_RENTAL_EXP_YR2","FQ4 2018","FQ4 2018","Currency=USD","Period=FQ","BEST_FPERIOD_OVERRIDE=FQ","FILING_STATUS=MR","SCALING_FORMAT=MLN","Sort=A","Dates=H","DateFormat=P","Fill=—","Direction=H","UseDPDF=Y")</f>
        <v>38.033000000000001</v>
      </c>
      <c r="F88" s="13">
        <f>_xll.BDH("BLUE US Equity","ARDR_RENTAL_EXP_YR2","FQ1 2019","FQ1 2019","Currency=USD","Period=FQ","BEST_FPERIOD_OVERRIDE=FQ","FILING_STATUS=MR","SCALING_FORMAT=MLN","Sort=A","Dates=H","DateFormat=P","Fill=—","Direction=H","UseDPDF=Y")</f>
        <v>32.093000000000004</v>
      </c>
      <c r="G88" s="13">
        <f>_xll.BDH("BLUE US Equity","ARDR_RENTAL_EXP_YR2","FQ2 2019","FQ2 2019","Currency=USD","Period=FQ","BEST_FPERIOD_OVERRIDE=FQ","FILING_STATUS=MR","SCALING_FORMAT=MLN","Sort=A","Dates=H","DateFormat=P","Fill=—","Direction=H","UseDPDF=Y")</f>
        <v>33.78</v>
      </c>
      <c r="H88" s="13">
        <f>_xll.BDH("BLUE US Equity","ARDR_RENTAL_EXP_YR2","FQ3 2019","FQ3 2019","Currency=USD","Period=FQ","BEST_FPERIOD_OVERRIDE=FQ","FILING_STATUS=MR","SCALING_FORMAT=MLN","Sort=A","Dates=H","DateFormat=P","Fill=—","Direction=H","UseDPDF=Y")</f>
        <v>33.908999999999999</v>
      </c>
      <c r="I88" s="13">
        <f>_xll.BDH("BLUE US Equity","ARDR_RENTAL_EXP_YR2","FQ4 2019","FQ4 2019","Currency=USD","Period=FQ","BEST_FPERIOD_OVERRIDE=FQ","FILING_STATUS=MR","SCALING_FORMAT=MLN","Sort=A","Dates=H","DateFormat=P","Fill=—","Direction=H","UseDPDF=Y")</f>
        <v>35.816000000000003</v>
      </c>
      <c r="J88" s="13" t="str">
        <f>_xll.BDH("BLUE US Equity","ARDR_RENTAL_EXP_YR2","FQ1 2020","FQ1 2020","Currency=USD","Period=FQ","BEST_FPERIOD_OVERRIDE=FQ","FILING_STATUS=MR","SCALING_FORMAT=MLN","Sort=A","Dates=H","DateFormat=P","Fill=—","Direction=H","UseDPDF=Y")</f>
        <v>—</v>
      </c>
      <c r="K88" s="13" t="str">
        <f>_xll.BDH("BLUE US Equity","ARDR_RENTAL_EXP_YR2","FQ2 2020","FQ2 2020","Currency=USD","Period=FQ","BEST_FPERIOD_OVERRIDE=FQ","FILING_STATUS=MR","SCALING_FORMAT=MLN","Sort=A","Dates=H","DateFormat=P","Fill=—","Direction=H","UseDPDF=Y")</f>
        <v>—</v>
      </c>
      <c r="L88" s="13" t="str">
        <f>_xll.BDH("BLUE US Equity","ARDR_RENTAL_EXP_YR2","FQ3 2020","FQ3 2020","Currency=USD","Period=FQ","BEST_FPERIOD_OVERRIDE=FQ","FILING_STATUS=MR","SCALING_FORMAT=MLN","Sort=A","Dates=H","DateFormat=P","Fill=—","Direction=H","UseDPDF=Y")</f>
        <v>—</v>
      </c>
      <c r="M88" s="13">
        <f>_xll.BDH("BLUE US Equity","ARDR_RENTAL_EXP_YR2","FQ4 2020","FQ4 2020","Currency=USD","Period=FQ","BEST_FPERIOD_OVERRIDE=FQ","FILING_STATUS=MR","SCALING_FORMAT=MLN","Sort=A","Dates=H","DateFormat=P","Fill=—","Direction=H","UseDPDF=Y")</f>
        <v>36.899000000000001</v>
      </c>
      <c r="N88" s="13" t="str">
        <f>_xll.BDH("BLUE US Equity","ARDR_RENTAL_EXP_YR2","FQ1 2021","FQ1 2021","Currency=USD","Period=FQ","BEST_FPERIOD_OVERRIDE=FQ","FILING_STATUS=MR","SCALING_FORMAT=MLN","Sort=A","Dates=H","DateFormat=P","Fill=—","Direction=H","UseDPDF=Y")</f>
        <v>—</v>
      </c>
      <c r="O88" s="13" t="str">
        <f>_xll.BDH("BLUE US Equity","ARDR_RENTAL_EXP_YR2","FQ2 2021","FQ2 2021","Currency=USD","Period=FQ","BEST_FPERIOD_OVERRIDE=FQ","FILING_STATUS=MR","SCALING_FORMAT=MLN","Sort=A","Dates=H","DateFormat=P","Fill=—","Direction=H","UseDPDF=Y")</f>
        <v>—</v>
      </c>
      <c r="P88" s="13" t="str">
        <f>_xll.BDH("BLUE US Equity","ARDR_RENTAL_EXP_YR2","FQ3 2021","FQ3 2021","Currency=USD","Period=FQ","BEST_FPERIOD_OVERRIDE=FQ","FILING_STATUS=MR","SCALING_FORMAT=MLN","Sort=A","Dates=H","DateFormat=P","Fill=—","Direction=H","UseDPDF=Y")</f>
        <v>—</v>
      </c>
      <c r="Q88" s="13">
        <f>_xll.BDH("BLUE US Equity","ARDR_RENTAL_EXP_YR2","FQ4 2021","FQ4 2021","Currency=USD","Period=FQ","BEST_FPERIOD_OVERRIDE=FQ","FILING_STATUS=MR","SCALING_FORMAT=MLN","Sort=A","Dates=H","DateFormat=P","Fill=—","Direction=H","UseDPDF=Y")</f>
        <v>21.46</v>
      </c>
      <c r="R88" s="13" t="str">
        <f>_xll.BDH("BLUE US Equity","ARDR_RENTAL_EXP_YR2","FQ1 2022","FQ1 2022","Currency=USD","Period=FQ","BEST_FPERIOD_OVERRIDE=FQ","FILING_STATUS=MR","SCALING_FORMAT=MLN","Sort=A","Dates=H","DateFormat=P","Fill=—","Direction=H","UseDPDF=Y")</f>
        <v>—</v>
      </c>
      <c r="S88" s="13" t="str">
        <f>_xll.BDH("BLUE US Equity","ARDR_RENTAL_EXP_YR2","FQ2 2022","FQ2 2022","Currency=USD","Period=FQ","BEST_FPERIOD_OVERRIDE=FQ","FILING_STATUS=MR","SCALING_FORMAT=MLN","Sort=A","Dates=H","DateFormat=P","Fill=—","Direction=H","UseDPDF=Y")</f>
        <v>—</v>
      </c>
      <c r="T88" s="13" t="str">
        <f>_xll.BDH("BLUE US Equity","ARDR_RENTAL_EXP_YR2","FQ3 2022","FQ3 2022","Currency=USD","Period=FQ","BEST_FPERIOD_OVERRIDE=FQ","FILING_STATUS=MR","SCALING_FORMAT=MLN","Sort=A","Dates=H","DateFormat=P","Fill=—","Direction=H","UseDPDF=Y")</f>
        <v>—</v>
      </c>
      <c r="U88" s="13">
        <f>_xll.BDH("BLUE US Equity","ARDR_RENTAL_EXP_YR2","FQ4 2022","FQ4 2022","Currency=USD","Period=FQ","BEST_FPERIOD_OVERRIDE=FQ","FILING_STATUS=MR","SCALING_FORMAT=MLN","Sort=A","Dates=H","DateFormat=P","Fill=—","Direction=H","UseDPDF=Y")</f>
        <v>50.061999999999998</v>
      </c>
      <c r="V88" s="13" t="str">
        <f>_xll.BDH("BLUE US Equity","ARDR_RENTAL_EXP_YR2","FQ1 2023","FQ1 2023","Currency=USD","Period=FQ","BEST_FPERIOD_OVERRIDE=FQ","FILING_STATUS=MR","SCALING_FORMAT=MLN","Sort=A","Dates=H","DateFormat=P","Fill=—","Direction=H","UseDPDF=Y")</f>
        <v>—</v>
      </c>
      <c r="W88" s="13" t="str">
        <f>_xll.BDH("BLUE US Equity","ARDR_RENTAL_EXP_YR2","FQ2 2023","FQ2 2023","Currency=USD","Period=FQ","BEST_FPERIOD_OVERRIDE=FQ","FILING_STATUS=MR","SCALING_FORMAT=MLN","Sort=A","Dates=H","DateFormat=P","Fill=—","Direction=H","UseDPDF=Y")</f>
        <v>—</v>
      </c>
      <c r="X88" s="13" t="str">
        <f>_xll.BDH("BLUE US Equity","ARDR_RENTAL_EXP_YR2","FQ3 2023","FQ3 2023","Currency=USD","Period=FQ","BEST_FPERIOD_OVERRIDE=FQ","FILING_STATUS=MR","SCALING_FORMAT=MLN","Sort=A","Dates=H","DateFormat=P","Fill=—","Direction=H","UseDPDF=Y")</f>
        <v>—</v>
      </c>
      <c r="Y88" s="13">
        <f>_xll.BDH("BLUE US Equity","ARDR_RENTAL_EXP_YR2","FQ1 2024","FQ1 2024","Currency=USD","Period=FQ","BEST_FPERIOD_OVERRIDE=FQ","FILING_STATUS=MR","SCALING_FORMAT=MLN","Sort=A","Dates=H","DateFormat=P","Fill=—","Direction=H","UseDPDF=Y")</f>
        <v>37.084000000000003</v>
      </c>
      <c r="Z88" s="13">
        <f>_xll.BDH("BLUE US Equity","ARDR_RENTAL_EXP_YR2","FQ2 2024","FQ2 2024","Currency=USD","Period=FQ","BEST_FPERIOD_OVERRIDE=FQ","FILING_STATUS=MR","SCALING_FORMAT=MLN","Sort=A","Dates=H","DateFormat=P","Fill=—","Direction=H","UseDPDF=Y")</f>
        <v>37.084000000000003</v>
      </c>
      <c r="AA88" s="13">
        <f>_xll.BDH("BLUE US Equity","ARDR_RENTAL_EXP_YR2","FQ3 2024","FQ3 2024","Currency=USD","Period=FQ","BEST_FPERIOD_OVERRIDE=FQ","FILING_STATUS=MR","SCALING_FORMAT=MLN","Sort=A","Dates=H","DateFormat=P","Fill=—","Direction=H","UseDPDF=Y")</f>
        <v>37.084000000000003</v>
      </c>
    </row>
    <row r="89" spans="1:27" x14ac:dyDescent="0.25">
      <c r="A89" s="10" t="s">
        <v>891</v>
      </c>
      <c r="B89" s="10" t="s">
        <v>892</v>
      </c>
      <c r="C89" s="13" t="str">
        <f>_xll.BDH("BLUE US Equity","ARDR_RENTAL_EXP_YR3","FQ2 2018","FQ2 2018","Currency=USD","Period=FQ","BEST_FPERIOD_OVERRIDE=FQ","FILING_STATUS=MR","SCALING_FORMAT=MLN","Sort=A","Dates=H","DateFormat=P","Fill=—","Direction=H","UseDPDF=Y")</f>
        <v>—</v>
      </c>
      <c r="D89" s="13" t="str">
        <f>_xll.BDH("BLUE US Equity","ARDR_RENTAL_EXP_YR3","FQ3 2018","FQ3 2018","Currency=USD","Period=FQ","BEST_FPERIOD_OVERRIDE=FQ","FILING_STATUS=MR","SCALING_FORMAT=MLN","Sort=A","Dates=H","DateFormat=P","Fill=—","Direction=H","UseDPDF=Y")</f>
        <v>—</v>
      </c>
      <c r="E89" s="13">
        <f>_xll.BDH("BLUE US Equity","ARDR_RENTAL_EXP_YR3","FQ4 2018","FQ4 2018","Currency=USD","Period=FQ","BEST_FPERIOD_OVERRIDE=FQ","FILING_STATUS=MR","SCALING_FORMAT=MLN","Sort=A","Dates=H","DateFormat=P","Fill=—","Direction=H","UseDPDF=Y")</f>
        <v>38.42</v>
      </c>
      <c r="F89" s="13">
        <f>_xll.BDH("BLUE US Equity","ARDR_RENTAL_EXP_YR3","FQ1 2019","FQ1 2019","Currency=USD","Period=FQ","BEST_FPERIOD_OVERRIDE=FQ","FILING_STATUS=MR","SCALING_FORMAT=MLN","Sort=A","Dates=H","DateFormat=P","Fill=—","Direction=H","UseDPDF=Y")</f>
        <v>32.479999999999997</v>
      </c>
      <c r="G89" s="13">
        <f>_xll.BDH("BLUE US Equity","ARDR_RENTAL_EXP_YR3","FQ2 2019","FQ2 2019","Currency=USD","Period=FQ","BEST_FPERIOD_OVERRIDE=FQ","FILING_STATUS=MR","SCALING_FORMAT=MLN","Sort=A","Dates=H","DateFormat=P","Fill=—","Direction=H","UseDPDF=Y")</f>
        <v>34.215000000000003</v>
      </c>
      <c r="H89" s="13">
        <f>_xll.BDH("BLUE US Equity","ARDR_RENTAL_EXP_YR3","FQ3 2019","FQ3 2019","Currency=USD","Period=FQ","BEST_FPERIOD_OVERRIDE=FQ","FILING_STATUS=MR","SCALING_FORMAT=MLN","Sort=A","Dates=H","DateFormat=P","Fill=—","Direction=H","UseDPDF=Y")</f>
        <v>35.816000000000003</v>
      </c>
      <c r="I89" s="13">
        <f>_xll.BDH("BLUE US Equity","ARDR_RENTAL_EXP_YR3","FQ4 2019","FQ4 2019","Currency=USD","Period=FQ","BEST_FPERIOD_OVERRIDE=FQ","FILING_STATUS=MR","SCALING_FORMAT=MLN","Sort=A","Dates=H","DateFormat=P","Fill=—","Direction=H","UseDPDF=Y")</f>
        <v>31.052</v>
      </c>
      <c r="J89" s="13" t="str">
        <f>_xll.BDH("BLUE US Equity","ARDR_RENTAL_EXP_YR3","FQ1 2020","FQ1 2020","Currency=USD","Period=FQ","BEST_FPERIOD_OVERRIDE=FQ","FILING_STATUS=MR","SCALING_FORMAT=MLN","Sort=A","Dates=H","DateFormat=P","Fill=—","Direction=H","UseDPDF=Y")</f>
        <v>—</v>
      </c>
      <c r="K89" s="13" t="str">
        <f>_xll.BDH("BLUE US Equity","ARDR_RENTAL_EXP_YR3","FQ2 2020","FQ2 2020","Currency=USD","Period=FQ","BEST_FPERIOD_OVERRIDE=FQ","FILING_STATUS=MR","SCALING_FORMAT=MLN","Sort=A","Dates=H","DateFormat=P","Fill=—","Direction=H","UseDPDF=Y")</f>
        <v>—</v>
      </c>
      <c r="L89" s="13" t="str">
        <f>_xll.BDH("BLUE US Equity","ARDR_RENTAL_EXP_YR3","FQ3 2020","FQ3 2020","Currency=USD","Period=FQ","BEST_FPERIOD_OVERRIDE=FQ","FILING_STATUS=MR","SCALING_FORMAT=MLN","Sort=A","Dates=H","DateFormat=P","Fill=—","Direction=H","UseDPDF=Y")</f>
        <v>—</v>
      </c>
      <c r="M89" s="13">
        <f>_xll.BDH("BLUE US Equity","ARDR_RENTAL_EXP_YR3","FQ4 2020","FQ4 2020","Currency=USD","Period=FQ","BEST_FPERIOD_OVERRIDE=FQ","FILING_STATUS=MR","SCALING_FORMAT=MLN","Sort=A","Dates=H","DateFormat=P","Fill=—","Direction=H","UseDPDF=Y")</f>
        <v>37.387</v>
      </c>
      <c r="N89" s="13" t="str">
        <f>_xll.BDH("BLUE US Equity","ARDR_RENTAL_EXP_YR3","FQ1 2021","FQ1 2021","Currency=USD","Period=FQ","BEST_FPERIOD_OVERRIDE=FQ","FILING_STATUS=MR","SCALING_FORMAT=MLN","Sort=A","Dates=H","DateFormat=P","Fill=—","Direction=H","UseDPDF=Y")</f>
        <v>—</v>
      </c>
      <c r="O89" s="13" t="str">
        <f>_xll.BDH("BLUE US Equity","ARDR_RENTAL_EXP_YR3","FQ2 2021","FQ2 2021","Currency=USD","Period=FQ","BEST_FPERIOD_OVERRIDE=FQ","FILING_STATUS=MR","SCALING_FORMAT=MLN","Sort=A","Dates=H","DateFormat=P","Fill=—","Direction=H","UseDPDF=Y")</f>
        <v>—</v>
      </c>
      <c r="P89" s="13" t="str">
        <f>_xll.BDH("BLUE US Equity","ARDR_RENTAL_EXP_YR3","FQ3 2021","FQ3 2021","Currency=USD","Period=FQ","BEST_FPERIOD_OVERRIDE=FQ","FILING_STATUS=MR","SCALING_FORMAT=MLN","Sort=A","Dates=H","DateFormat=P","Fill=—","Direction=H","UseDPDF=Y")</f>
        <v>—</v>
      </c>
      <c r="Q89" s="13">
        <f>_xll.BDH("BLUE US Equity","ARDR_RENTAL_EXP_YR3","FQ4 2021","FQ4 2021","Currency=USD","Period=FQ","BEST_FPERIOD_OVERRIDE=FQ","FILING_STATUS=MR","SCALING_FORMAT=MLN","Sort=A","Dates=H","DateFormat=P","Fill=—","Direction=H","UseDPDF=Y")</f>
        <v>18.009</v>
      </c>
      <c r="R89" s="13" t="str">
        <f>_xll.BDH("BLUE US Equity","ARDR_RENTAL_EXP_YR3","FQ1 2022","FQ1 2022","Currency=USD","Period=FQ","BEST_FPERIOD_OVERRIDE=FQ","FILING_STATUS=MR","SCALING_FORMAT=MLN","Sort=A","Dates=H","DateFormat=P","Fill=—","Direction=H","UseDPDF=Y")</f>
        <v>—</v>
      </c>
      <c r="S89" s="13" t="str">
        <f>_xll.BDH("BLUE US Equity","ARDR_RENTAL_EXP_YR3","FQ2 2022","FQ2 2022","Currency=USD","Period=FQ","BEST_FPERIOD_OVERRIDE=FQ","FILING_STATUS=MR","SCALING_FORMAT=MLN","Sort=A","Dates=H","DateFormat=P","Fill=—","Direction=H","UseDPDF=Y")</f>
        <v>—</v>
      </c>
      <c r="T89" s="13" t="str">
        <f>_xll.BDH("BLUE US Equity","ARDR_RENTAL_EXP_YR3","FQ3 2022","FQ3 2022","Currency=USD","Period=FQ","BEST_FPERIOD_OVERRIDE=FQ","FILING_STATUS=MR","SCALING_FORMAT=MLN","Sort=A","Dates=H","DateFormat=P","Fill=—","Direction=H","UseDPDF=Y")</f>
        <v>—</v>
      </c>
      <c r="U89" s="13">
        <f>_xll.BDH("BLUE US Equity","ARDR_RENTAL_EXP_YR3","FQ4 2022","FQ4 2022","Currency=USD","Period=FQ","BEST_FPERIOD_OVERRIDE=FQ","FILING_STATUS=MR","SCALING_FORMAT=MLN","Sort=A","Dates=H","DateFormat=P","Fill=—","Direction=H","UseDPDF=Y")</f>
        <v>48.743000000000002</v>
      </c>
      <c r="V89" s="13" t="str">
        <f>_xll.BDH("BLUE US Equity","ARDR_RENTAL_EXP_YR3","FQ1 2023","FQ1 2023","Currency=USD","Period=FQ","BEST_FPERIOD_OVERRIDE=FQ","FILING_STATUS=MR","SCALING_FORMAT=MLN","Sort=A","Dates=H","DateFormat=P","Fill=—","Direction=H","UseDPDF=Y")</f>
        <v>—</v>
      </c>
      <c r="W89" s="13" t="str">
        <f>_xll.BDH("BLUE US Equity","ARDR_RENTAL_EXP_YR3","FQ2 2023","FQ2 2023","Currency=USD","Period=FQ","BEST_FPERIOD_OVERRIDE=FQ","FILING_STATUS=MR","SCALING_FORMAT=MLN","Sort=A","Dates=H","DateFormat=P","Fill=—","Direction=H","UseDPDF=Y")</f>
        <v>—</v>
      </c>
      <c r="X89" s="13" t="str">
        <f>_xll.BDH("BLUE US Equity","ARDR_RENTAL_EXP_YR3","FQ3 2023","FQ3 2023","Currency=USD","Period=FQ","BEST_FPERIOD_OVERRIDE=FQ","FILING_STATUS=MR","SCALING_FORMAT=MLN","Sort=A","Dates=H","DateFormat=P","Fill=—","Direction=H","UseDPDF=Y")</f>
        <v>—</v>
      </c>
      <c r="Y89" s="13">
        <f>_xll.BDH("BLUE US Equity","ARDR_RENTAL_EXP_YR3","FQ1 2024","FQ1 2024","Currency=USD","Period=FQ","BEST_FPERIOD_OVERRIDE=FQ","FILING_STATUS=MR","SCALING_FORMAT=MLN","Sort=A","Dates=H","DateFormat=P","Fill=—","Direction=H","UseDPDF=Y")</f>
        <v>35.719000000000001</v>
      </c>
      <c r="Z89" s="13">
        <f>_xll.BDH("BLUE US Equity","ARDR_RENTAL_EXP_YR3","FQ2 2024","FQ2 2024","Currency=USD","Period=FQ","BEST_FPERIOD_OVERRIDE=FQ","FILING_STATUS=MR","SCALING_FORMAT=MLN","Sort=A","Dates=H","DateFormat=P","Fill=—","Direction=H","UseDPDF=Y")</f>
        <v>35.719000000000001</v>
      </c>
      <c r="AA89" s="13">
        <f>_xll.BDH("BLUE US Equity","ARDR_RENTAL_EXP_YR3","FQ3 2024","FQ3 2024","Currency=USD","Period=FQ","BEST_FPERIOD_OVERRIDE=FQ","FILING_STATUS=MR","SCALING_FORMAT=MLN","Sort=A","Dates=H","DateFormat=P","Fill=—","Direction=H","UseDPDF=Y")</f>
        <v>35.719000000000001</v>
      </c>
    </row>
    <row r="90" spans="1:27" x14ac:dyDescent="0.25">
      <c r="A90" s="10" t="s">
        <v>893</v>
      </c>
      <c r="B90" s="10" t="s">
        <v>894</v>
      </c>
      <c r="C90" s="13" t="str">
        <f>_xll.BDH("BLUE US Equity","ARDR_RENTAL_EXP_YR4","FQ2 2018","FQ2 2018","Currency=USD","Period=FQ","BEST_FPERIOD_OVERRIDE=FQ","FILING_STATUS=MR","SCALING_FORMAT=MLN","Sort=A","Dates=H","DateFormat=P","Fill=—","Direction=H","UseDPDF=Y")</f>
        <v>—</v>
      </c>
      <c r="D90" s="13" t="str">
        <f>_xll.BDH("BLUE US Equity","ARDR_RENTAL_EXP_YR4","FQ3 2018","FQ3 2018","Currency=USD","Period=FQ","BEST_FPERIOD_OVERRIDE=FQ","FILING_STATUS=MR","SCALING_FORMAT=MLN","Sort=A","Dates=H","DateFormat=P","Fill=—","Direction=H","UseDPDF=Y")</f>
        <v>—</v>
      </c>
      <c r="E90" s="13">
        <f>_xll.BDH("BLUE US Equity","ARDR_RENTAL_EXP_YR4","FQ4 2018","FQ4 2018","Currency=USD","Period=FQ","BEST_FPERIOD_OVERRIDE=FQ","FILING_STATUS=MR","SCALING_FORMAT=MLN","Sort=A","Dates=H","DateFormat=P","Fill=—","Direction=H","UseDPDF=Y")</f>
        <v>33.319000000000003</v>
      </c>
      <c r="F90" s="13">
        <f>_xll.BDH("BLUE US Equity","ARDR_RENTAL_EXP_YR4","FQ1 2019","FQ1 2019","Currency=USD","Period=FQ","BEST_FPERIOD_OVERRIDE=FQ","FILING_STATUS=MR","SCALING_FORMAT=MLN","Sort=A","Dates=H","DateFormat=P","Fill=—","Direction=H","UseDPDF=Y")</f>
        <v>27.632000000000001</v>
      </c>
      <c r="G90" s="13">
        <f>_xll.BDH("BLUE US Equity","ARDR_RENTAL_EXP_YR4","FQ2 2019","FQ2 2019","Currency=USD","Period=FQ","BEST_FPERIOD_OVERRIDE=FQ","FILING_STATUS=MR","SCALING_FORMAT=MLN","Sort=A","Dates=H","DateFormat=P","Fill=—","Direction=H","UseDPDF=Y")</f>
        <v>29.417000000000002</v>
      </c>
      <c r="H90" s="13">
        <f>_xll.BDH("BLUE US Equity","ARDR_RENTAL_EXP_YR4","FQ3 2019","FQ3 2019","Currency=USD","Period=FQ","BEST_FPERIOD_OVERRIDE=FQ","FILING_STATUS=MR","SCALING_FORMAT=MLN","Sort=A","Dates=H","DateFormat=P","Fill=—","Direction=H","UseDPDF=Y")</f>
        <v>31.052</v>
      </c>
      <c r="I90" s="13">
        <f>_xll.BDH("BLUE US Equity","ARDR_RENTAL_EXP_YR4","FQ4 2019","FQ4 2019","Currency=USD","Period=FQ","BEST_FPERIOD_OVERRIDE=FQ","FILING_STATUS=MR","SCALING_FORMAT=MLN","Sort=A","Dates=H","DateFormat=P","Fill=—","Direction=H","UseDPDF=Y")</f>
        <v>31.54</v>
      </c>
      <c r="J90" s="13" t="str">
        <f>_xll.BDH("BLUE US Equity","ARDR_RENTAL_EXP_YR4","FQ1 2020","FQ1 2020","Currency=USD","Period=FQ","BEST_FPERIOD_OVERRIDE=FQ","FILING_STATUS=MR","SCALING_FORMAT=MLN","Sort=A","Dates=H","DateFormat=P","Fill=—","Direction=H","UseDPDF=Y")</f>
        <v>—</v>
      </c>
      <c r="K90" s="13" t="str">
        <f>_xll.BDH("BLUE US Equity","ARDR_RENTAL_EXP_YR4","FQ2 2020","FQ2 2020","Currency=USD","Period=FQ","BEST_FPERIOD_OVERRIDE=FQ","FILING_STATUS=MR","SCALING_FORMAT=MLN","Sort=A","Dates=H","DateFormat=P","Fill=—","Direction=H","UseDPDF=Y")</f>
        <v>—</v>
      </c>
      <c r="L90" s="13" t="str">
        <f>_xll.BDH("BLUE US Equity","ARDR_RENTAL_EXP_YR4","FQ3 2020","FQ3 2020","Currency=USD","Period=FQ","BEST_FPERIOD_OVERRIDE=FQ","FILING_STATUS=MR","SCALING_FORMAT=MLN","Sort=A","Dates=H","DateFormat=P","Fill=—","Direction=H","UseDPDF=Y")</f>
        <v>—</v>
      </c>
      <c r="M90" s="13">
        <f>_xll.BDH("BLUE US Equity","ARDR_RENTAL_EXP_YR4","FQ4 2020","FQ4 2020","Currency=USD","Period=FQ","BEST_FPERIOD_OVERRIDE=FQ","FILING_STATUS=MR","SCALING_FORMAT=MLN","Sort=A","Dates=H","DateFormat=P","Fill=—","Direction=H","UseDPDF=Y")</f>
        <v>37.398000000000003</v>
      </c>
      <c r="N90" s="13" t="str">
        <f>_xll.BDH("BLUE US Equity","ARDR_RENTAL_EXP_YR4","FQ1 2021","FQ1 2021","Currency=USD","Period=FQ","BEST_FPERIOD_OVERRIDE=FQ","FILING_STATUS=MR","SCALING_FORMAT=MLN","Sort=A","Dates=H","DateFormat=P","Fill=—","Direction=H","UseDPDF=Y")</f>
        <v>—</v>
      </c>
      <c r="O90" s="13" t="str">
        <f>_xll.BDH("BLUE US Equity","ARDR_RENTAL_EXP_YR4","FQ2 2021","FQ2 2021","Currency=USD","Period=FQ","BEST_FPERIOD_OVERRIDE=FQ","FILING_STATUS=MR","SCALING_FORMAT=MLN","Sort=A","Dates=H","DateFormat=P","Fill=—","Direction=H","UseDPDF=Y")</f>
        <v>—</v>
      </c>
      <c r="P90" s="13" t="str">
        <f>_xll.BDH("BLUE US Equity","ARDR_RENTAL_EXP_YR4","FQ3 2021","FQ3 2021","Currency=USD","Period=FQ","BEST_FPERIOD_OVERRIDE=FQ","FILING_STATUS=MR","SCALING_FORMAT=MLN","Sort=A","Dates=H","DateFormat=P","Fill=—","Direction=H","UseDPDF=Y")</f>
        <v>—</v>
      </c>
      <c r="Q90" s="13">
        <f>_xll.BDH("BLUE US Equity","ARDR_RENTAL_EXP_YR4","FQ4 2021","FQ4 2021","Currency=USD","Period=FQ","BEST_FPERIOD_OVERRIDE=FQ","FILING_STATUS=MR","SCALING_FORMAT=MLN","Sort=A","Dates=H","DateFormat=P","Fill=—","Direction=H","UseDPDF=Y")</f>
        <v>14.638999999999999</v>
      </c>
      <c r="R90" s="13" t="str">
        <f>_xll.BDH("BLUE US Equity","ARDR_RENTAL_EXP_YR4","FQ1 2022","FQ1 2022","Currency=USD","Period=FQ","BEST_FPERIOD_OVERRIDE=FQ","FILING_STATUS=MR","SCALING_FORMAT=MLN","Sort=A","Dates=H","DateFormat=P","Fill=—","Direction=H","UseDPDF=Y")</f>
        <v>—</v>
      </c>
      <c r="S90" s="13" t="str">
        <f>_xll.BDH("BLUE US Equity","ARDR_RENTAL_EXP_YR4","FQ2 2022","FQ2 2022","Currency=USD","Period=FQ","BEST_FPERIOD_OVERRIDE=FQ","FILING_STATUS=MR","SCALING_FORMAT=MLN","Sort=A","Dates=H","DateFormat=P","Fill=—","Direction=H","UseDPDF=Y")</f>
        <v>—</v>
      </c>
      <c r="T90" s="13" t="str">
        <f>_xll.BDH("BLUE US Equity","ARDR_RENTAL_EXP_YR4","FQ3 2022","FQ3 2022","Currency=USD","Period=FQ","BEST_FPERIOD_OVERRIDE=FQ","FILING_STATUS=MR","SCALING_FORMAT=MLN","Sort=A","Dates=H","DateFormat=P","Fill=—","Direction=H","UseDPDF=Y")</f>
        <v>—</v>
      </c>
      <c r="U90" s="13">
        <f>_xll.BDH("BLUE US Equity","ARDR_RENTAL_EXP_YR4","FQ4 2022","FQ4 2022","Currency=USD","Period=FQ","BEST_FPERIOD_OVERRIDE=FQ","FILING_STATUS=MR","SCALING_FORMAT=MLN","Sort=A","Dates=H","DateFormat=P","Fill=—","Direction=H","UseDPDF=Y")</f>
        <v>41.280999999999999</v>
      </c>
      <c r="V90" s="13" t="str">
        <f>_xll.BDH("BLUE US Equity","ARDR_RENTAL_EXP_YR4","FQ1 2023","FQ1 2023","Currency=USD","Period=FQ","BEST_FPERIOD_OVERRIDE=FQ","FILING_STATUS=MR","SCALING_FORMAT=MLN","Sort=A","Dates=H","DateFormat=P","Fill=—","Direction=H","UseDPDF=Y")</f>
        <v>—</v>
      </c>
      <c r="W90" s="13" t="str">
        <f>_xll.BDH("BLUE US Equity","ARDR_RENTAL_EXP_YR4","FQ2 2023","FQ2 2023","Currency=USD","Period=FQ","BEST_FPERIOD_OVERRIDE=FQ","FILING_STATUS=MR","SCALING_FORMAT=MLN","Sort=A","Dates=H","DateFormat=P","Fill=—","Direction=H","UseDPDF=Y")</f>
        <v>—</v>
      </c>
      <c r="X90" s="13" t="str">
        <f>_xll.BDH("BLUE US Equity","ARDR_RENTAL_EXP_YR4","FQ3 2023","FQ3 2023","Currency=USD","Period=FQ","BEST_FPERIOD_OVERRIDE=FQ","FILING_STATUS=MR","SCALING_FORMAT=MLN","Sort=A","Dates=H","DateFormat=P","Fill=—","Direction=H","UseDPDF=Y")</f>
        <v>—</v>
      </c>
      <c r="Y90" s="13">
        <f>_xll.BDH("BLUE US Equity","ARDR_RENTAL_EXP_YR4","FQ1 2024","FQ1 2024","Currency=USD","Period=FQ","BEST_FPERIOD_OVERRIDE=FQ","FILING_STATUS=MR","SCALING_FORMAT=MLN","Sort=A","Dates=H","DateFormat=P","Fill=—","Direction=H","UseDPDF=Y")</f>
        <v>36.741999999999997</v>
      </c>
      <c r="Z90" s="13">
        <f>_xll.BDH("BLUE US Equity","ARDR_RENTAL_EXP_YR4","FQ2 2024","FQ2 2024","Currency=USD","Period=FQ","BEST_FPERIOD_OVERRIDE=FQ","FILING_STATUS=MR","SCALING_FORMAT=MLN","Sort=A","Dates=H","DateFormat=P","Fill=—","Direction=H","UseDPDF=Y")</f>
        <v>36.741999999999997</v>
      </c>
      <c r="AA90" s="13">
        <f>_xll.BDH("BLUE US Equity","ARDR_RENTAL_EXP_YR4","FQ3 2024","FQ3 2024","Currency=USD","Period=FQ","BEST_FPERIOD_OVERRIDE=FQ","FILING_STATUS=MR","SCALING_FORMAT=MLN","Sort=A","Dates=H","DateFormat=P","Fill=—","Direction=H","UseDPDF=Y")</f>
        <v>36.741999999999997</v>
      </c>
    </row>
    <row r="91" spans="1:27" x14ac:dyDescent="0.25">
      <c r="A91" s="10" t="s">
        <v>895</v>
      </c>
      <c r="B91" s="10" t="s">
        <v>896</v>
      </c>
      <c r="C91" s="13" t="str">
        <f>_xll.BDH("BLUE US Equity","ARDR_RENTAL_EXP_YR5","FQ2 2018","FQ2 2018","Currency=USD","Period=FQ","BEST_FPERIOD_OVERRIDE=FQ","FILING_STATUS=MR","SCALING_FORMAT=MLN","Sort=A","Dates=H","DateFormat=P","Fill=—","Direction=H","UseDPDF=Y")</f>
        <v>—</v>
      </c>
      <c r="D91" s="13" t="str">
        <f>_xll.BDH("BLUE US Equity","ARDR_RENTAL_EXP_YR5","FQ3 2018","FQ3 2018","Currency=USD","Period=FQ","BEST_FPERIOD_OVERRIDE=FQ","FILING_STATUS=MR","SCALING_FORMAT=MLN","Sort=A","Dates=H","DateFormat=P","Fill=—","Direction=H","UseDPDF=Y")</f>
        <v>—</v>
      </c>
      <c r="E91" s="13">
        <f>_xll.BDH("BLUE US Equity","ARDR_RENTAL_EXP_YR5","FQ4 2018","FQ4 2018","Currency=USD","Period=FQ","BEST_FPERIOD_OVERRIDE=FQ","FILING_STATUS=MR","SCALING_FORMAT=MLN","Sort=A","Dates=H","DateFormat=P","Fill=—","Direction=H","UseDPDF=Y")</f>
        <v>33.720999999999997</v>
      </c>
      <c r="F91" s="13">
        <f>_xll.BDH("BLUE US Equity","ARDR_RENTAL_EXP_YR5","FQ1 2019","FQ1 2019","Currency=USD","Period=FQ","BEST_FPERIOD_OVERRIDE=FQ","FILING_STATUS=MR","SCALING_FORMAT=MLN","Sort=A","Dates=H","DateFormat=P","Fill=—","Direction=H","UseDPDF=Y")</f>
        <v>28.033000000000001</v>
      </c>
      <c r="G91" s="13">
        <f>_xll.BDH("BLUE US Equity","ARDR_RENTAL_EXP_YR5","FQ2 2019","FQ2 2019","Currency=USD","Period=FQ","BEST_FPERIOD_OVERRIDE=FQ","FILING_STATUS=MR","SCALING_FORMAT=MLN","Sort=A","Dates=H","DateFormat=P","Fill=—","Direction=H","UseDPDF=Y")</f>
        <v>29.869</v>
      </c>
      <c r="H91" s="13">
        <f>_xll.BDH("BLUE US Equity","ARDR_RENTAL_EXP_YR5","FQ3 2019","FQ3 2019","Currency=USD","Period=FQ","BEST_FPERIOD_OVERRIDE=FQ","FILING_STATUS=MR","SCALING_FORMAT=MLN","Sort=A","Dates=H","DateFormat=P","Fill=—","Direction=H","UseDPDF=Y")</f>
        <v>31.54</v>
      </c>
      <c r="I91" s="13">
        <f>_xll.BDH("BLUE US Equity","ARDR_RENTAL_EXP_YR5","FQ4 2019","FQ4 2019","Currency=USD","Period=FQ","BEST_FPERIOD_OVERRIDE=FQ","FILING_STATUS=MR","SCALING_FORMAT=MLN","Sort=A","Dates=H","DateFormat=P","Fill=—","Direction=H","UseDPDF=Y")</f>
        <v>31.552</v>
      </c>
      <c r="J91" s="13" t="str">
        <f>_xll.BDH("BLUE US Equity","ARDR_RENTAL_EXP_YR5","FQ1 2020","FQ1 2020","Currency=USD","Period=FQ","BEST_FPERIOD_OVERRIDE=FQ","FILING_STATUS=MR","SCALING_FORMAT=MLN","Sort=A","Dates=H","DateFormat=P","Fill=—","Direction=H","UseDPDF=Y")</f>
        <v>—</v>
      </c>
      <c r="K91" s="13" t="str">
        <f>_xll.BDH("BLUE US Equity","ARDR_RENTAL_EXP_YR5","FQ2 2020","FQ2 2020","Currency=USD","Period=FQ","BEST_FPERIOD_OVERRIDE=FQ","FILING_STATUS=MR","SCALING_FORMAT=MLN","Sort=A","Dates=H","DateFormat=P","Fill=—","Direction=H","UseDPDF=Y")</f>
        <v>—</v>
      </c>
      <c r="L91" s="13" t="str">
        <f>_xll.BDH("BLUE US Equity","ARDR_RENTAL_EXP_YR5","FQ3 2020","FQ3 2020","Currency=USD","Period=FQ","BEST_FPERIOD_OVERRIDE=FQ","FILING_STATUS=MR","SCALING_FORMAT=MLN","Sort=A","Dates=H","DateFormat=P","Fill=—","Direction=H","UseDPDF=Y")</f>
        <v>—</v>
      </c>
      <c r="M91" s="13">
        <f>_xll.BDH("BLUE US Equity","ARDR_RENTAL_EXP_YR5","FQ4 2020","FQ4 2020","Currency=USD","Period=FQ","BEST_FPERIOD_OVERRIDE=FQ","FILING_STATUS=MR","SCALING_FORMAT=MLN","Sort=A","Dates=H","DateFormat=P","Fill=—","Direction=H","UseDPDF=Y")</f>
        <v>32.082000000000001</v>
      </c>
      <c r="N91" s="13" t="str">
        <f>_xll.BDH("BLUE US Equity","ARDR_RENTAL_EXP_YR5","FQ1 2021","FQ1 2021","Currency=USD","Period=FQ","BEST_FPERIOD_OVERRIDE=FQ","FILING_STATUS=MR","SCALING_FORMAT=MLN","Sort=A","Dates=H","DateFormat=P","Fill=—","Direction=H","UseDPDF=Y")</f>
        <v>—</v>
      </c>
      <c r="O91" s="13" t="str">
        <f>_xll.BDH("BLUE US Equity","ARDR_RENTAL_EXP_YR5","FQ2 2021","FQ2 2021","Currency=USD","Period=FQ","BEST_FPERIOD_OVERRIDE=FQ","FILING_STATUS=MR","SCALING_FORMAT=MLN","Sort=A","Dates=H","DateFormat=P","Fill=—","Direction=H","UseDPDF=Y")</f>
        <v>—</v>
      </c>
      <c r="P91" s="13" t="str">
        <f>_xll.BDH("BLUE US Equity","ARDR_RENTAL_EXP_YR5","FQ3 2021","FQ3 2021","Currency=USD","Period=FQ","BEST_FPERIOD_OVERRIDE=FQ","FILING_STATUS=MR","SCALING_FORMAT=MLN","Sort=A","Dates=H","DateFormat=P","Fill=—","Direction=H","UseDPDF=Y")</f>
        <v>—</v>
      </c>
      <c r="Q91" s="13">
        <f>_xll.BDH("BLUE US Equity","ARDR_RENTAL_EXP_YR5","FQ4 2021","FQ4 2021","Currency=USD","Period=FQ","BEST_FPERIOD_OVERRIDE=FQ","FILING_STATUS=MR","SCALING_FORMAT=MLN","Sort=A","Dates=H","DateFormat=P","Fill=—","Direction=H","UseDPDF=Y")</f>
        <v>8.5980000000000008</v>
      </c>
      <c r="R91" s="13" t="str">
        <f>_xll.BDH("BLUE US Equity","ARDR_RENTAL_EXP_YR5","FQ1 2022","FQ1 2022","Currency=USD","Period=FQ","BEST_FPERIOD_OVERRIDE=FQ","FILING_STATUS=MR","SCALING_FORMAT=MLN","Sort=A","Dates=H","DateFormat=P","Fill=—","Direction=H","UseDPDF=Y")</f>
        <v>—</v>
      </c>
      <c r="S91" s="13" t="str">
        <f>_xll.BDH("BLUE US Equity","ARDR_RENTAL_EXP_YR5","FQ2 2022","FQ2 2022","Currency=USD","Period=FQ","BEST_FPERIOD_OVERRIDE=FQ","FILING_STATUS=MR","SCALING_FORMAT=MLN","Sort=A","Dates=H","DateFormat=P","Fill=—","Direction=H","UseDPDF=Y")</f>
        <v>—</v>
      </c>
      <c r="T91" s="13" t="str">
        <f>_xll.BDH("BLUE US Equity","ARDR_RENTAL_EXP_YR5","FQ3 2022","FQ3 2022","Currency=USD","Period=FQ","BEST_FPERIOD_OVERRIDE=FQ","FILING_STATUS=MR","SCALING_FORMAT=MLN","Sort=A","Dates=H","DateFormat=P","Fill=—","Direction=H","UseDPDF=Y")</f>
        <v>—</v>
      </c>
      <c r="U91" s="13">
        <f>_xll.BDH("BLUE US Equity","ARDR_RENTAL_EXP_YR5","FQ4 2022","FQ4 2022","Currency=USD","Period=FQ","BEST_FPERIOD_OVERRIDE=FQ","FILING_STATUS=MR","SCALING_FORMAT=MLN","Sort=A","Dates=H","DateFormat=P","Fill=—","Direction=H","UseDPDF=Y")</f>
        <v>40.805</v>
      </c>
      <c r="V91" s="13" t="str">
        <f>_xll.BDH("BLUE US Equity","ARDR_RENTAL_EXP_YR5","FQ1 2023","FQ1 2023","Currency=USD","Period=FQ","BEST_FPERIOD_OVERRIDE=FQ","FILING_STATUS=MR","SCALING_FORMAT=MLN","Sort=A","Dates=H","DateFormat=P","Fill=—","Direction=H","UseDPDF=Y")</f>
        <v>—</v>
      </c>
      <c r="W91" s="13" t="str">
        <f>_xll.BDH("BLUE US Equity","ARDR_RENTAL_EXP_YR5","FQ2 2023","FQ2 2023","Currency=USD","Period=FQ","BEST_FPERIOD_OVERRIDE=FQ","FILING_STATUS=MR","SCALING_FORMAT=MLN","Sort=A","Dates=H","DateFormat=P","Fill=—","Direction=H","UseDPDF=Y")</f>
        <v>—</v>
      </c>
      <c r="X91" s="13" t="str">
        <f>_xll.BDH("BLUE US Equity","ARDR_RENTAL_EXP_YR5","FQ3 2023","FQ3 2023","Currency=USD","Period=FQ","BEST_FPERIOD_OVERRIDE=FQ","FILING_STATUS=MR","SCALING_FORMAT=MLN","Sort=A","Dates=H","DateFormat=P","Fill=—","Direction=H","UseDPDF=Y")</f>
        <v>—</v>
      </c>
      <c r="Y91" s="13">
        <f>_xll.BDH("BLUE US Equity","ARDR_RENTAL_EXP_YR5","FQ1 2024","FQ1 2024","Currency=USD","Period=FQ","BEST_FPERIOD_OVERRIDE=FQ","FILING_STATUS=MR","SCALING_FORMAT=MLN","Sort=A","Dates=H","DateFormat=P","Fill=—","Direction=H","UseDPDF=Y")</f>
        <v>37.795000000000002</v>
      </c>
      <c r="Z91" s="13">
        <f>_xll.BDH("BLUE US Equity","ARDR_RENTAL_EXP_YR5","FQ2 2024","FQ2 2024","Currency=USD","Period=FQ","BEST_FPERIOD_OVERRIDE=FQ","FILING_STATUS=MR","SCALING_FORMAT=MLN","Sort=A","Dates=H","DateFormat=P","Fill=—","Direction=H","UseDPDF=Y")</f>
        <v>37.795000000000002</v>
      </c>
      <c r="AA91" s="13">
        <f>_xll.BDH("BLUE US Equity","ARDR_RENTAL_EXP_YR5","FQ3 2024","FQ3 2024","Currency=USD","Period=FQ","BEST_FPERIOD_OVERRIDE=FQ","FILING_STATUS=MR","SCALING_FORMAT=MLN","Sort=A","Dates=H","DateFormat=P","Fill=—","Direction=H","UseDPDF=Y")</f>
        <v>37.795000000000002</v>
      </c>
    </row>
    <row r="92" spans="1:27" x14ac:dyDescent="0.25">
      <c r="A92" s="10" t="s">
        <v>897</v>
      </c>
      <c r="B92" s="10" t="s">
        <v>898</v>
      </c>
      <c r="C92" s="13" t="str">
        <f>_xll.BDH("BLUE US Equity","ARDR_RENTAL_EXP_BEYOND_YR5","FQ2 2018","FQ2 2018","Currency=USD","Period=FQ","BEST_FPERIOD_OVERRIDE=FQ","FILING_STATUS=MR","SCALING_FORMAT=MLN","Sort=A","Dates=H","DateFormat=P","Fill=—","Direction=H","UseDPDF=Y")</f>
        <v>—</v>
      </c>
      <c r="D92" s="13" t="str">
        <f>_xll.BDH("BLUE US Equity","ARDR_RENTAL_EXP_BEYOND_YR5","FQ3 2018","FQ3 2018","Currency=USD","Period=FQ","BEST_FPERIOD_OVERRIDE=FQ","FILING_STATUS=MR","SCALING_FORMAT=MLN","Sort=A","Dates=H","DateFormat=P","Fill=—","Direction=H","UseDPDF=Y")</f>
        <v>—</v>
      </c>
      <c r="E92" s="13">
        <f>_xll.BDH("BLUE US Equity","ARDR_RENTAL_EXP_BEYOND_YR5","FQ4 2018","FQ4 2018","Currency=USD","Period=FQ","BEST_FPERIOD_OVERRIDE=FQ","FILING_STATUS=MR","SCALING_FORMAT=MLN","Sort=A","Dates=H","DateFormat=P","Fill=—","Direction=H","UseDPDF=Y")</f>
        <v>97.864000000000004</v>
      </c>
      <c r="F92" s="13">
        <f>_xll.BDH("BLUE US Equity","ARDR_RENTAL_EXP_BEYOND_YR5","FQ1 2019","FQ1 2019","Currency=USD","Period=FQ","BEST_FPERIOD_OVERRIDE=FQ","FILING_STATUS=MR","SCALING_FORMAT=MLN","Sort=A","Dates=H","DateFormat=P","Fill=—","Direction=H","UseDPDF=Y")</f>
        <v>98.150999999999996</v>
      </c>
      <c r="G92" s="13">
        <f>_xll.BDH("BLUE US Equity","ARDR_RENTAL_EXP_BEYOND_YR5","FQ2 2019","FQ2 2019","Currency=USD","Period=FQ","BEST_FPERIOD_OVERRIDE=FQ","FILING_STATUS=MR","SCALING_FORMAT=MLN","Sort=A","Dates=H","DateFormat=P","Fill=—","Direction=H","UseDPDF=Y")</f>
        <v>108.687</v>
      </c>
      <c r="H92" s="13">
        <f>_xll.BDH("BLUE US Equity","ARDR_RENTAL_EXP_BEYOND_YR5","FQ3 2019","FQ3 2019","Currency=USD","Period=FQ","BEST_FPERIOD_OVERRIDE=FQ","FILING_STATUS=MR","SCALING_FORMAT=MLN","Sort=A","Dates=H","DateFormat=P","Fill=—","Direction=H","UseDPDF=Y")</f>
        <v>119.88800000000001</v>
      </c>
      <c r="I92" s="13">
        <f>_xll.BDH("BLUE US Equity","ARDR_RENTAL_EXP_BEYOND_YR5","FQ4 2019","FQ4 2019","Currency=USD","Period=FQ","BEST_FPERIOD_OVERRIDE=FQ","FILING_STATUS=MR","SCALING_FORMAT=MLN","Sort=A","Dates=H","DateFormat=P","Fill=—","Direction=H","UseDPDF=Y")</f>
        <v>88.335999999999999</v>
      </c>
      <c r="J92" s="13" t="str">
        <f>_xll.BDH("BLUE US Equity","ARDR_RENTAL_EXP_BEYOND_YR5","FQ1 2020","FQ1 2020","Currency=USD","Period=FQ","BEST_FPERIOD_OVERRIDE=FQ","FILING_STATUS=MR","SCALING_FORMAT=MLN","Sort=A","Dates=H","DateFormat=P","Fill=—","Direction=H","UseDPDF=Y")</f>
        <v>—</v>
      </c>
      <c r="K92" s="13" t="str">
        <f>_xll.BDH("BLUE US Equity","ARDR_RENTAL_EXP_BEYOND_YR5","FQ2 2020","FQ2 2020","Currency=USD","Period=FQ","BEST_FPERIOD_OVERRIDE=FQ","FILING_STATUS=MR","SCALING_FORMAT=MLN","Sort=A","Dates=H","DateFormat=P","Fill=—","Direction=H","UseDPDF=Y")</f>
        <v>—</v>
      </c>
      <c r="L92" s="13" t="str">
        <f>_xll.BDH("BLUE US Equity","ARDR_RENTAL_EXP_BEYOND_YR5","FQ3 2020","FQ3 2020","Currency=USD","Period=FQ","BEST_FPERIOD_OVERRIDE=FQ","FILING_STATUS=MR","SCALING_FORMAT=MLN","Sort=A","Dates=H","DateFormat=P","Fill=—","Direction=H","UseDPDF=Y")</f>
        <v>—</v>
      </c>
      <c r="M92" s="13">
        <f>_xll.BDH("BLUE US Equity","ARDR_RENTAL_EXP_BEYOND_YR5","FQ4 2020","FQ4 2020","Currency=USD","Period=FQ","BEST_FPERIOD_OVERRIDE=FQ","FILING_STATUS=MR","SCALING_FORMAT=MLN","Sort=A","Dates=H","DateFormat=P","Fill=—","Direction=H","UseDPDF=Y")</f>
        <v>56.094999999999999</v>
      </c>
      <c r="N92" s="13" t="str">
        <f>_xll.BDH("BLUE US Equity","ARDR_RENTAL_EXP_BEYOND_YR5","FQ1 2021","FQ1 2021","Currency=USD","Period=FQ","BEST_FPERIOD_OVERRIDE=FQ","FILING_STATUS=MR","SCALING_FORMAT=MLN","Sort=A","Dates=H","DateFormat=P","Fill=—","Direction=H","UseDPDF=Y")</f>
        <v>—</v>
      </c>
      <c r="O92" s="13" t="str">
        <f>_xll.BDH("BLUE US Equity","ARDR_RENTAL_EXP_BEYOND_YR5","FQ2 2021","FQ2 2021","Currency=USD","Period=FQ","BEST_FPERIOD_OVERRIDE=FQ","FILING_STATUS=MR","SCALING_FORMAT=MLN","Sort=A","Dates=H","DateFormat=P","Fill=—","Direction=H","UseDPDF=Y")</f>
        <v>—</v>
      </c>
      <c r="P92" s="13" t="str">
        <f>_xll.BDH("BLUE US Equity","ARDR_RENTAL_EXP_BEYOND_YR5","FQ3 2021","FQ3 2021","Currency=USD","Period=FQ","BEST_FPERIOD_OVERRIDE=FQ","FILING_STATUS=MR","SCALING_FORMAT=MLN","Sort=A","Dates=H","DateFormat=P","Fill=—","Direction=H","UseDPDF=Y")</f>
        <v>—</v>
      </c>
      <c r="Q92" s="13">
        <f>_xll.BDH("BLUE US Equity","ARDR_RENTAL_EXP_BEYOND_YR5","FQ4 2021","FQ4 2021","Currency=USD","Period=FQ","BEST_FPERIOD_OVERRIDE=FQ","FILING_STATUS=MR","SCALING_FORMAT=MLN","Sort=A","Dates=H","DateFormat=P","Fill=—","Direction=H","UseDPDF=Y")</f>
        <v>12.356</v>
      </c>
      <c r="R92" s="13" t="str">
        <f>_xll.BDH("BLUE US Equity","ARDR_RENTAL_EXP_BEYOND_YR5","FQ1 2022","FQ1 2022","Currency=USD","Period=FQ","BEST_FPERIOD_OVERRIDE=FQ","FILING_STATUS=MR","SCALING_FORMAT=MLN","Sort=A","Dates=H","DateFormat=P","Fill=—","Direction=H","UseDPDF=Y")</f>
        <v>—</v>
      </c>
      <c r="S92" s="13" t="str">
        <f>_xll.BDH("BLUE US Equity","ARDR_RENTAL_EXP_BEYOND_YR5","FQ2 2022","FQ2 2022","Currency=USD","Period=FQ","BEST_FPERIOD_OVERRIDE=FQ","FILING_STATUS=MR","SCALING_FORMAT=MLN","Sort=A","Dates=H","DateFormat=P","Fill=—","Direction=H","UseDPDF=Y")</f>
        <v>—</v>
      </c>
      <c r="T92" s="13" t="str">
        <f>_xll.BDH("BLUE US Equity","ARDR_RENTAL_EXP_BEYOND_YR5","FQ3 2022","FQ3 2022","Currency=USD","Period=FQ","BEST_FPERIOD_OVERRIDE=FQ","FILING_STATUS=MR","SCALING_FORMAT=MLN","Sort=A","Dates=H","DateFormat=P","Fill=—","Direction=H","UseDPDF=Y")</f>
        <v>—</v>
      </c>
      <c r="U92" s="13">
        <f>_xll.BDH("BLUE US Equity","ARDR_RENTAL_EXP_BEYOND_YR5","FQ4 2022","FQ4 2022","Currency=USD","Period=FQ","BEST_FPERIOD_OVERRIDE=FQ","FILING_STATUS=MR","SCALING_FORMAT=MLN","Sort=A","Dates=H","DateFormat=P","Fill=—","Direction=H","UseDPDF=Y")</f>
        <v>119.22</v>
      </c>
      <c r="V92" s="13" t="str">
        <f>_xll.BDH("BLUE US Equity","ARDR_RENTAL_EXP_BEYOND_YR5","FQ1 2023","FQ1 2023","Currency=USD","Period=FQ","BEST_FPERIOD_OVERRIDE=FQ","FILING_STATUS=MR","SCALING_FORMAT=MLN","Sort=A","Dates=H","DateFormat=P","Fill=—","Direction=H","UseDPDF=Y")</f>
        <v>—</v>
      </c>
      <c r="W92" s="13" t="str">
        <f>_xll.BDH("BLUE US Equity","ARDR_RENTAL_EXP_BEYOND_YR5","FQ2 2023","FQ2 2023","Currency=USD","Period=FQ","BEST_FPERIOD_OVERRIDE=FQ","FILING_STATUS=MR","SCALING_FORMAT=MLN","Sort=A","Dates=H","DateFormat=P","Fill=—","Direction=H","UseDPDF=Y")</f>
        <v>—</v>
      </c>
      <c r="X92" s="13" t="str">
        <f>_xll.BDH("BLUE US Equity","ARDR_RENTAL_EXP_BEYOND_YR5","FQ3 2023","FQ3 2023","Currency=USD","Period=FQ","BEST_FPERIOD_OVERRIDE=FQ","FILING_STATUS=MR","SCALING_FORMAT=MLN","Sort=A","Dates=H","DateFormat=P","Fill=—","Direction=H","UseDPDF=Y")</f>
        <v>—</v>
      </c>
      <c r="Y92" s="13">
        <f>_xll.BDH("BLUE US Equity","ARDR_RENTAL_EXP_BEYOND_YR5","FQ1 2024","FQ1 2024","Currency=USD","Period=FQ","BEST_FPERIOD_OVERRIDE=FQ","FILING_STATUS=MR","SCALING_FORMAT=MLN","Sort=A","Dates=H","DateFormat=P","Fill=—","Direction=H","UseDPDF=Y")</f>
        <v>81.986000000000004</v>
      </c>
      <c r="Z92" s="13">
        <f>_xll.BDH("BLUE US Equity","ARDR_RENTAL_EXP_BEYOND_YR5","FQ2 2024","FQ2 2024","Currency=USD","Period=FQ","BEST_FPERIOD_OVERRIDE=FQ","FILING_STATUS=MR","SCALING_FORMAT=MLN","Sort=A","Dates=H","DateFormat=P","Fill=—","Direction=H","UseDPDF=Y")</f>
        <v>81.986000000000004</v>
      </c>
      <c r="AA92" s="13">
        <f>_xll.BDH("BLUE US Equity","ARDR_RENTAL_EXP_BEYOND_YR5","FQ3 2024","FQ3 2024","Currency=USD","Period=FQ","BEST_FPERIOD_OVERRIDE=FQ","FILING_STATUS=MR","SCALING_FORMAT=MLN","Sort=A","Dates=H","DateFormat=P","Fill=—","Direction=H","UseDPDF=Y")</f>
        <v>81.986000000000004</v>
      </c>
    </row>
    <row r="93" spans="1:27" x14ac:dyDescent="0.25">
      <c r="A93" s="10" t="s">
        <v>838</v>
      </c>
      <c r="B93" s="10" t="s">
        <v>899</v>
      </c>
      <c r="C93" s="13" t="str">
        <f>_xll.BDH("BLUE US Equity","ARDR_TOTAL_SHAREHOLDERS_EQUITY","FQ2 2018","FQ2 2018","Currency=USD","Period=FQ","BEST_FPERIOD_OVERRIDE=FQ","FILING_STATUS=MR","SCALING_FORMAT=MLN","Sort=A","Dates=H","DateFormat=P","Fill=—","Direction=H","UseDPDF=Y")</f>
        <v>—</v>
      </c>
      <c r="D93" s="13" t="str">
        <f>_xll.BDH("BLUE US Equity","ARDR_TOTAL_SHAREHOLDERS_EQUITY","FQ3 2018","FQ3 2018","Currency=USD","Period=FQ","BEST_FPERIOD_OVERRIDE=FQ","FILING_STATUS=MR","SCALING_FORMAT=MLN","Sort=A","Dates=H","DateFormat=P","Fill=—","Direction=H","UseDPDF=Y")</f>
        <v>—</v>
      </c>
      <c r="E93" s="13">
        <f>_xll.BDH("BLUE US Equity","ARDR_TOTAL_SHAREHOLDERS_EQUITY","FQ4 2018","FQ4 2018","Currency=USD","Period=FQ","BEST_FPERIOD_OVERRIDE=FQ","FILING_STATUS=MR","SCALING_FORMAT=MLN","Sort=A","Dates=H","DateFormat=P","Fill=—","Direction=H","UseDPDF=Y")</f>
        <v>1885.07</v>
      </c>
      <c r="F93" s="13">
        <f>_xll.BDH("BLUE US Equity","ARDR_TOTAL_SHAREHOLDERS_EQUITY","FQ1 2019","FQ1 2019","Currency=USD","Period=FQ","BEST_FPERIOD_OVERRIDE=FQ","FILING_STATUS=MR","SCALING_FORMAT=MLN","Sort=A","Dates=H","DateFormat=P","Fill=—","Direction=H","UseDPDF=Y")</f>
        <v>1772.0989999999999</v>
      </c>
      <c r="G93" s="13">
        <f>_xll.BDH("BLUE US Equity","ARDR_TOTAL_SHAREHOLDERS_EQUITY","FQ2 2019","FQ2 2019","Currency=USD","Period=FQ","BEST_FPERIOD_OVERRIDE=FQ","FILING_STATUS=MR","SCALING_FORMAT=MLN","Sort=A","Dates=H","DateFormat=P","Fill=—","Direction=H","UseDPDF=Y")</f>
        <v>1636.374</v>
      </c>
      <c r="H93" s="13">
        <f>_xll.BDH("BLUE US Equity","ARDR_TOTAL_SHAREHOLDERS_EQUITY","FQ3 2019","FQ3 2019","Currency=USD","Period=FQ","BEST_FPERIOD_OVERRIDE=FQ","FILING_STATUS=MR","SCALING_FORMAT=MLN","Sort=A","Dates=H","DateFormat=P","Fill=—","Direction=H","UseDPDF=Y")</f>
        <v>1471.71</v>
      </c>
      <c r="I93" s="13">
        <f>_xll.BDH("BLUE US Equity","ARDR_TOTAL_SHAREHOLDERS_EQUITY","FQ4 2019","FQ4 2019","Currency=USD","Period=FQ","BEST_FPERIOD_OVERRIDE=FQ","FILING_STATUS=MR","SCALING_FORMAT=MLN","Sort=A","Dates=H","DateFormat=P","Fill=—","Direction=H","UseDPDF=Y")</f>
        <v>1284.9929999999999</v>
      </c>
      <c r="J93" s="13">
        <f>_xll.BDH("BLUE US Equity","ARDR_TOTAL_SHAREHOLDERS_EQUITY","FQ1 2020","FQ1 2020","Currency=USD","Period=FQ","BEST_FPERIOD_OVERRIDE=FQ","FILING_STATUS=MR","SCALING_FORMAT=MLN","Sort=A","Dates=H","DateFormat=P","Fill=—","Direction=H","UseDPDF=Y")</f>
        <v>1120.433</v>
      </c>
      <c r="K93" s="13">
        <f>_xll.BDH("BLUE US Equity","ARDR_TOTAL_SHAREHOLDERS_EQUITY","FQ2 2020","FQ2 2020","Currency=USD","Period=FQ","BEST_FPERIOD_OVERRIDE=FQ","FILING_STATUS=MR","SCALING_FORMAT=MLN","Sort=A","Dates=H","DateFormat=P","Fill=—","Direction=H","UseDPDF=Y")</f>
        <v>1682.0309999999999</v>
      </c>
      <c r="L93" s="13">
        <f>_xll.BDH("BLUE US Equity","ARDR_TOTAL_SHAREHOLDERS_EQUITY","FQ3 2020","FQ3 2020","Currency=USD","Period=FQ","BEST_FPERIOD_OVERRIDE=FQ","FILING_STATUS=MR","SCALING_FORMAT=MLN","Sort=A","Dates=H","DateFormat=P","Fill=—","Direction=H","UseDPDF=Y")</f>
        <v>1523.021</v>
      </c>
      <c r="M93" s="13">
        <f>_xll.BDH("BLUE US Equity","ARDR_TOTAL_SHAREHOLDERS_EQUITY","FQ4 2020","FQ4 2020","Currency=USD","Period=FQ","BEST_FPERIOD_OVERRIDE=FQ","FILING_STATUS=MR","SCALING_FORMAT=MLN","Sort=A","Dates=H","DateFormat=P","Fill=—","Direction=H","UseDPDF=Y")</f>
        <v>1355.056</v>
      </c>
      <c r="N93" s="13">
        <f>_xll.BDH("BLUE US Equity","ARDR_TOTAL_SHAREHOLDERS_EQUITY","FQ1 2021","FQ1 2021","Currency=USD","Period=FQ","BEST_FPERIOD_OVERRIDE=FQ","FILING_STATUS=MR","SCALING_FORMAT=MLN","Sort=A","Dates=H","DateFormat=P","Fill=—","Direction=H","UseDPDF=Y")</f>
        <v>1200.3330000000001</v>
      </c>
      <c r="O93" s="13">
        <f>_xll.BDH("BLUE US Equity","ARDR_TOTAL_SHAREHOLDERS_EQUITY","FQ2 2021","FQ2 2021","Currency=USD","Period=FQ","BEST_FPERIOD_OVERRIDE=FQ","FILING_STATUS=MR","SCALING_FORMAT=MLN","Sort=A","Dates=H","DateFormat=P","Fill=—","Direction=H","UseDPDF=Y")</f>
        <v>984.56100000000004</v>
      </c>
      <c r="P93" s="13">
        <f>_xll.BDH("BLUE US Equity","ARDR_TOTAL_SHAREHOLDERS_EQUITY","FQ3 2021","FQ3 2021","Currency=USD","Period=FQ","BEST_FPERIOD_OVERRIDE=FQ","FILING_STATUS=MR","SCALING_FORMAT=MLN","Sort=A","Dates=H","DateFormat=P","Fill=—","Direction=H","UseDPDF=Y")</f>
        <v>870.52700000000004</v>
      </c>
      <c r="Q93" s="13">
        <f>_xll.BDH("BLUE US Equity","ARDR_TOTAL_SHAREHOLDERS_EQUITY","FQ4 2021","FQ4 2021","Currency=USD","Period=FQ","BEST_FPERIOD_OVERRIDE=FQ","FILING_STATUS=MR","SCALING_FORMAT=MLN","Sort=A","Dates=H","DateFormat=P","Fill=—","Direction=H","UseDPDF=Y")</f>
        <v>374.27699999999999</v>
      </c>
      <c r="R93" s="13">
        <f>_xll.BDH("BLUE US Equity","ARDR_TOTAL_SHAREHOLDERS_EQUITY","FQ1 2022","FQ1 2022","Currency=USD","Period=FQ","BEST_FPERIOD_OVERRIDE=FQ","FILING_STATUS=MR","SCALING_FORMAT=MLN","Sort=A","Dates=H","DateFormat=P","Fill=—","Direction=H","UseDPDF=Y")</f>
        <v>263.25900000000001</v>
      </c>
      <c r="S93" s="13">
        <f>_xll.BDH("BLUE US Equity","ARDR_TOTAL_SHAREHOLDERS_EQUITY","FQ2 2022","FQ2 2022","Currency=USD","Period=FQ","BEST_FPERIOD_OVERRIDE=FQ","FILING_STATUS=MR","SCALING_FORMAT=MLN","Sort=A","Dates=H","DateFormat=P","Fill=—","Direction=H","UseDPDF=Y")</f>
        <v>180.11600000000001</v>
      </c>
      <c r="T93" s="13">
        <f>_xll.BDH("BLUE US Equity","ARDR_TOTAL_SHAREHOLDERS_EQUITY","FQ3 2022","FQ3 2022","Currency=USD","Period=FQ","BEST_FPERIOD_OVERRIDE=FQ","FILING_STATUS=MR","SCALING_FORMAT=MLN","Sort=A","Dates=H","DateFormat=P","Fill=—","Direction=H","UseDPDF=Y")</f>
        <v>158.857</v>
      </c>
      <c r="U93" s="13">
        <f>_xll.BDH("BLUE US Equity","ARDR_TOTAL_SHAREHOLDERS_EQUITY","FQ4 2022","FQ4 2022","Currency=USD","Period=FQ","BEST_FPERIOD_OVERRIDE=FQ","FILING_STATUS=MR","SCALING_FORMAT=MLN","Sort=A","Dates=H","DateFormat=P","Fill=—","Direction=H","UseDPDF=Y")</f>
        <v>196.34299999999999</v>
      </c>
      <c r="V93" s="13">
        <f>_xll.BDH("BLUE US Equity","ARDR_TOTAL_SHAREHOLDERS_EQUITY","FQ1 2023","FQ1 2023","Currency=USD","Period=FQ","BEST_FPERIOD_OVERRIDE=FQ","FILING_STATUS=MR","SCALING_FORMAT=MLN","Sort=A","Dates=H","DateFormat=P","Fill=—","Direction=H","UseDPDF=Y")</f>
        <v>354.74</v>
      </c>
      <c r="W93" s="13">
        <f>_xll.BDH("BLUE US Equity","ARDR_TOTAL_SHAREHOLDERS_EQUITY","FQ2 2023","FQ2 2023","Currency=USD","Period=FQ","BEST_FPERIOD_OVERRIDE=FQ","FILING_STATUS=MR","SCALING_FORMAT=MLN","Sort=A","Dates=H","DateFormat=P","Fill=—","Direction=H","UseDPDF=Y")</f>
        <v>289.01900000000001</v>
      </c>
      <c r="X93" s="13">
        <f>_xll.BDH("BLUE US Equity","ARDR_TOTAL_SHAREHOLDERS_EQUITY","FQ3 2023","FQ3 2023","Currency=USD","Period=FQ","BEST_FPERIOD_OVERRIDE=FQ","FILING_STATUS=MR","SCALING_FORMAT=MLN","Sort=A","Dates=H","DateFormat=P","Fill=—","Direction=H","UseDPDF=Y")</f>
        <v>222.536</v>
      </c>
      <c r="Y93" s="13">
        <f>_xll.BDH("BLUE US Equity","ARDR_TOTAL_SHAREHOLDERS_EQUITY","FQ1 2024","FQ1 2024","Currency=USD","Period=FQ","BEST_FPERIOD_OVERRIDE=FQ","FILING_STATUS=MR","SCALING_FORMAT=MLN","Sort=A","Dates=H","DateFormat=P","Fill=—","Direction=H","UseDPDF=Y")</f>
        <v>131.04599999999999</v>
      </c>
      <c r="Z93" s="13">
        <f>_xll.BDH("BLUE US Equity","ARDR_TOTAL_SHAREHOLDERS_EQUITY","FQ2 2024","FQ2 2024","Currency=USD","Period=FQ","BEST_FPERIOD_OVERRIDE=FQ","FILING_STATUS=MR","SCALING_FORMAT=MLN","Sort=A","Dates=H","DateFormat=P","Fill=—","Direction=H","UseDPDF=Y")</f>
        <v>52.981000000000002</v>
      </c>
      <c r="AA93" s="13">
        <f>_xll.BDH("BLUE US Equity","ARDR_TOTAL_SHAREHOLDERS_EQUITY","FQ3 2024","FQ3 2024","Currency=USD","Period=FQ","BEST_FPERIOD_OVERRIDE=FQ","FILING_STATUS=MR","SCALING_FORMAT=MLN","Sort=A","Dates=H","DateFormat=P","Fill=—","Direction=H","UseDPDF=Y")</f>
        <v>-5.7859999999999996</v>
      </c>
    </row>
    <row r="94" spans="1:27" x14ac:dyDescent="0.25">
      <c r="A94" s="10" t="s">
        <v>900</v>
      </c>
      <c r="B94" s="10" t="s">
        <v>901</v>
      </c>
      <c r="C94" s="13" t="str">
        <f>_xll.BDH("BLUE US Equity","ARDR_TOTAL_CAPITAL_LEASES","FQ2 2018","FQ2 2018","Currency=USD","Period=FQ","BEST_FPERIOD_OVERRIDE=FQ","FILING_STATUS=MR","SCALING_FORMAT=MLN","Sort=A","Dates=H","DateFormat=P","Fill=—","Direction=H","UseDPDF=Y")</f>
        <v>—</v>
      </c>
      <c r="D94" s="13" t="str">
        <f>_xll.BDH("BLUE US Equity","ARDR_TOTAL_CAPITAL_LEASES","FQ3 2018","FQ3 2018","Currency=USD","Period=FQ","BEST_FPERIOD_OVERRIDE=FQ","FILING_STATUS=MR","SCALING_FORMAT=MLN","Sort=A","Dates=H","DateFormat=P","Fill=—","Direction=H","UseDPDF=Y")</f>
        <v>—</v>
      </c>
      <c r="E94" s="13" t="str">
        <f>_xll.BDH("BLUE US Equity","ARDR_TOTAL_CAPITAL_LEASES","FQ4 2018","FQ4 2018","Currency=USD","Period=FQ","BEST_FPERIOD_OVERRIDE=FQ","FILING_STATUS=MR","SCALING_FORMAT=MLN","Sort=A","Dates=H","DateFormat=P","Fill=—","Direction=H","UseDPDF=Y")</f>
        <v>—</v>
      </c>
      <c r="F94" s="13" t="str">
        <f>_xll.BDH("BLUE US Equity","ARDR_TOTAL_CAPITAL_LEASES","FQ1 2019","FQ1 2019","Currency=USD","Period=FQ","BEST_FPERIOD_OVERRIDE=FQ","FILING_STATUS=MR","SCALING_FORMAT=MLN","Sort=A","Dates=H","DateFormat=P","Fill=—","Direction=H","UseDPDF=Y")</f>
        <v>—</v>
      </c>
      <c r="G94" s="13" t="str">
        <f>_xll.BDH("BLUE US Equity","ARDR_TOTAL_CAPITAL_LEASES","FQ2 2019","FQ2 2019","Currency=USD","Period=FQ","BEST_FPERIOD_OVERRIDE=FQ","FILING_STATUS=MR","SCALING_FORMAT=MLN","Sort=A","Dates=H","DateFormat=P","Fill=—","Direction=H","UseDPDF=Y")</f>
        <v>—</v>
      </c>
      <c r="H94" s="13" t="str">
        <f>_xll.BDH("BLUE US Equity","ARDR_TOTAL_CAPITAL_LEASES","FQ3 2019","FQ3 2019","Currency=USD","Period=FQ","BEST_FPERIOD_OVERRIDE=FQ","FILING_STATUS=MR","SCALING_FORMAT=MLN","Sort=A","Dates=H","DateFormat=P","Fill=—","Direction=H","UseDPDF=Y")</f>
        <v>—</v>
      </c>
      <c r="I94" s="13" t="str">
        <f>_xll.BDH("BLUE US Equity","ARDR_TOTAL_CAPITAL_LEASES","FQ4 2019","FQ4 2019","Currency=USD","Period=FQ","BEST_FPERIOD_OVERRIDE=FQ","FILING_STATUS=MR","SCALING_FORMAT=MLN","Sort=A","Dates=H","DateFormat=P","Fill=—","Direction=H","UseDPDF=Y")</f>
        <v>—</v>
      </c>
      <c r="J94" s="13" t="str">
        <f>_xll.BDH("BLUE US Equity","ARDR_TOTAL_CAPITAL_LEASES","FQ1 2020","FQ1 2020","Currency=USD","Period=FQ","BEST_FPERIOD_OVERRIDE=FQ","FILING_STATUS=MR","SCALING_FORMAT=MLN","Sort=A","Dates=H","DateFormat=P","Fill=—","Direction=H","UseDPDF=Y")</f>
        <v>—</v>
      </c>
      <c r="K94" s="13" t="str">
        <f>_xll.BDH("BLUE US Equity","ARDR_TOTAL_CAPITAL_LEASES","FQ2 2020","FQ2 2020","Currency=USD","Period=FQ","BEST_FPERIOD_OVERRIDE=FQ","FILING_STATUS=MR","SCALING_FORMAT=MLN","Sort=A","Dates=H","DateFormat=P","Fill=—","Direction=H","UseDPDF=Y")</f>
        <v>—</v>
      </c>
      <c r="L94" s="13" t="str">
        <f>_xll.BDH("BLUE US Equity","ARDR_TOTAL_CAPITAL_LEASES","FQ3 2020","FQ3 2020","Currency=USD","Period=FQ","BEST_FPERIOD_OVERRIDE=FQ","FILING_STATUS=MR","SCALING_FORMAT=MLN","Sort=A","Dates=H","DateFormat=P","Fill=—","Direction=H","UseDPDF=Y")</f>
        <v>—</v>
      </c>
      <c r="M94" s="13" t="str">
        <f>_xll.BDH("BLUE US Equity","ARDR_TOTAL_CAPITAL_LEASES","FQ4 2020","FQ4 2020","Currency=USD","Period=FQ","BEST_FPERIOD_OVERRIDE=FQ","FILING_STATUS=MR","SCALING_FORMAT=MLN","Sort=A","Dates=H","DateFormat=P","Fill=—","Direction=H","UseDPDF=Y")</f>
        <v>—</v>
      </c>
      <c r="N94" s="13" t="str">
        <f>_xll.BDH("BLUE US Equity","ARDR_TOTAL_CAPITAL_LEASES","FQ1 2021","FQ1 2021","Currency=USD","Period=FQ","BEST_FPERIOD_OVERRIDE=FQ","FILING_STATUS=MR","SCALING_FORMAT=MLN","Sort=A","Dates=H","DateFormat=P","Fill=—","Direction=H","UseDPDF=Y")</f>
        <v>—</v>
      </c>
      <c r="O94" s="13" t="str">
        <f>_xll.BDH("BLUE US Equity","ARDR_TOTAL_CAPITAL_LEASES","FQ2 2021","FQ2 2021","Currency=USD","Period=FQ","BEST_FPERIOD_OVERRIDE=FQ","FILING_STATUS=MR","SCALING_FORMAT=MLN","Sort=A","Dates=H","DateFormat=P","Fill=—","Direction=H","UseDPDF=Y")</f>
        <v>—</v>
      </c>
      <c r="P94" s="13" t="str">
        <f>_xll.BDH("BLUE US Equity","ARDR_TOTAL_CAPITAL_LEASES","FQ3 2021","FQ3 2021","Currency=USD","Period=FQ","BEST_FPERIOD_OVERRIDE=FQ","FILING_STATUS=MR","SCALING_FORMAT=MLN","Sort=A","Dates=H","DateFormat=P","Fill=—","Direction=H","UseDPDF=Y")</f>
        <v>—</v>
      </c>
      <c r="Q94" s="13" t="str">
        <f>_xll.BDH("BLUE US Equity","ARDR_TOTAL_CAPITAL_LEASES","FQ4 2021","FQ4 2021","Currency=USD","Period=FQ","BEST_FPERIOD_OVERRIDE=FQ","FILING_STATUS=MR","SCALING_FORMAT=MLN","Sort=A","Dates=H","DateFormat=P","Fill=—","Direction=H","UseDPDF=Y")</f>
        <v>—</v>
      </c>
      <c r="R94" s="13" t="str">
        <f>_xll.BDH("BLUE US Equity","ARDR_TOTAL_CAPITAL_LEASES","FQ1 2022","FQ1 2022","Currency=USD","Period=FQ","BEST_FPERIOD_OVERRIDE=FQ","FILING_STATUS=MR","SCALING_FORMAT=MLN","Sort=A","Dates=H","DateFormat=P","Fill=—","Direction=H","UseDPDF=Y")</f>
        <v>—</v>
      </c>
      <c r="S94" s="13" t="str">
        <f>_xll.BDH("BLUE US Equity","ARDR_TOTAL_CAPITAL_LEASES","FQ2 2022","FQ2 2022","Currency=USD","Period=FQ","BEST_FPERIOD_OVERRIDE=FQ","FILING_STATUS=MR","SCALING_FORMAT=MLN","Sort=A","Dates=H","DateFormat=P","Fill=—","Direction=H","UseDPDF=Y")</f>
        <v>—</v>
      </c>
      <c r="T94" s="13" t="str">
        <f>_xll.BDH("BLUE US Equity","ARDR_TOTAL_CAPITAL_LEASES","FQ3 2022","FQ3 2022","Currency=USD","Period=FQ","BEST_FPERIOD_OVERRIDE=FQ","FILING_STATUS=MR","SCALING_FORMAT=MLN","Sort=A","Dates=H","DateFormat=P","Fill=—","Direction=H","UseDPDF=Y")</f>
        <v>—</v>
      </c>
      <c r="U94" s="13" t="str">
        <f>_xll.BDH("BLUE US Equity","ARDR_TOTAL_CAPITAL_LEASES","FQ4 2022","FQ4 2022","Currency=USD","Period=FQ","BEST_FPERIOD_OVERRIDE=FQ","FILING_STATUS=MR","SCALING_FORMAT=MLN","Sort=A","Dates=H","DateFormat=P","Fill=—","Direction=H","UseDPDF=Y")</f>
        <v>—</v>
      </c>
      <c r="V94" s="13" t="str">
        <f>_xll.BDH("BLUE US Equity","ARDR_TOTAL_CAPITAL_LEASES","FQ1 2023","FQ1 2023","Currency=USD","Period=FQ","BEST_FPERIOD_OVERRIDE=FQ","FILING_STATUS=MR","SCALING_FORMAT=MLN","Sort=A","Dates=H","DateFormat=P","Fill=—","Direction=H","UseDPDF=Y")</f>
        <v>—</v>
      </c>
      <c r="W94" s="13" t="str">
        <f>_xll.BDH("BLUE US Equity","ARDR_TOTAL_CAPITAL_LEASES","FQ2 2023","FQ2 2023","Currency=USD","Period=FQ","BEST_FPERIOD_OVERRIDE=FQ","FILING_STATUS=MR","SCALING_FORMAT=MLN","Sort=A","Dates=H","DateFormat=P","Fill=—","Direction=H","UseDPDF=Y")</f>
        <v>—</v>
      </c>
      <c r="X94" s="13" t="str">
        <f>_xll.BDH("BLUE US Equity","ARDR_TOTAL_CAPITAL_LEASES","FQ3 2023","FQ3 2023","Currency=USD","Period=FQ","BEST_FPERIOD_OVERRIDE=FQ","FILING_STATUS=MR","SCALING_FORMAT=MLN","Sort=A","Dates=H","DateFormat=P","Fill=—","Direction=H","UseDPDF=Y")</f>
        <v>—</v>
      </c>
      <c r="Y94" s="13">
        <f>_xll.BDH("BLUE US Equity","ARDR_TOTAL_CAPITAL_LEASES","FQ1 2024","FQ1 2024","Currency=USD","Period=FQ","BEST_FPERIOD_OVERRIDE=FQ","FILING_STATUS=MR","SCALING_FORMAT=MLN","Sort=A","Dates=H","DateFormat=P","Fill=—","Direction=H","UseDPDF=Y")</f>
        <v>140.30099999999999</v>
      </c>
      <c r="Z94" s="13">
        <f>_xll.BDH("BLUE US Equity","ARDR_TOTAL_CAPITAL_LEASES","FQ2 2024","FQ2 2024","Currency=USD","Period=FQ","BEST_FPERIOD_OVERRIDE=FQ","FILING_STATUS=MR","SCALING_FORMAT=MLN","Sort=A","Dates=H","DateFormat=P","Fill=—","Direction=H","UseDPDF=Y")</f>
        <v>120.99</v>
      </c>
      <c r="AA94" s="13">
        <f>_xll.BDH("BLUE US Equity","ARDR_TOTAL_CAPITAL_LEASES","FQ3 2024","FQ3 2024","Currency=USD","Period=FQ","BEST_FPERIOD_OVERRIDE=FQ","FILING_STATUS=MR","SCALING_FORMAT=MLN","Sort=A","Dates=H","DateFormat=P","Fill=—","Direction=H","UseDPDF=Y")</f>
        <v>101.85599999999999</v>
      </c>
    </row>
    <row r="95" spans="1:27" x14ac:dyDescent="0.25">
      <c r="A95" s="10" t="s">
        <v>902</v>
      </c>
      <c r="B95" s="10" t="s">
        <v>903</v>
      </c>
      <c r="C95" s="13">
        <f>_xll.BDH("BLUE US Equity","ARDR_SHARE_OUT_FROM_FRONT_COVER","FQ2 2018","FQ2 2018","Currency=USD","Period=FQ","BEST_FPERIOD_OVERRIDE=FQ","FILING_STATUS=MR","Sort=A","Dates=H","DateFormat=P","Fill=—","Direction=H","UseDPDF=Y")</f>
        <v>54.157899999999998</v>
      </c>
      <c r="D95" s="13">
        <f>_xll.BDH("BLUE US Equity","ARDR_SHARE_OUT_FROM_FRONT_COVER","FQ3 2018","FQ3 2018","Currency=USD","Period=FQ","BEST_FPERIOD_OVERRIDE=FQ","FILING_STATUS=MR","Sort=A","Dates=H","DateFormat=P","Fill=—","Direction=H","UseDPDF=Y")</f>
        <v>54.694400000000002</v>
      </c>
      <c r="E95" s="13">
        <f>_xll.BDH("BLUE US Equity","ARDR_SHARE_OUT_FROM_FRONT_COVER","FQ4 2018","FQ4 2018","Currency=USD","Period=FQ","BEST_FPERIOD_OVERRIDE=FQ","FILING_STATUS=MR","Sort=A","Dates=H","DateFormat=P","Fill=—","Direction=H","UseDPDF=Y")</f>
        <v>54.9512</v>
      </c>
      <c r="F95" s="13">
        <f>_xll.BDH("BLUE US Equity","ARDR_SHARE_OUT_FROM_FRONT_COVER","FQ1 2019","FQ1 2019","Currency=USD","Period=FQ","BEST_FPERIOD_OVERRIDE=FQ","FILING_STATUS=MR","Sort=A","Dates=H","DateFormat=P","Fill=—","Direction=H","UseDPDF=Y")</f>
        <v>55.1233</v>
      </c>
      <c r="G95" s="13">
        <f>_xll.BDH("BLUE US Equity","ARDR_SHARE_OUT_FROM_FRONT_COVER","FQ2 2019","FQ2 2019","Currency=USD","Period=FQ","BEST_FPERIOD_OVERRIDE=FQ","FILING_STATUS=MR","Sort=A","Dates=H","DateFormat=P","Fill=—","Direction=H","UseDPDF=Y")</f>
        <v>55.269199999999998</v>
      </c>
      <c r="H95" s="13">
        <f>_xll.BDH("BLUE US Equity","ARDR_SHARE_OUT_FROM_FRONT_COVER","FQ3 2019","FQ3 2019","Currency=USD","Period=FQ","BEST_FPERIOD_OVERRIDE=FQ","FILING_STATUS=MR","Sort=A","Dates=H","DateFormat=P","Fill=—","Direction=H","UseDPDF=Y")</f>
        <v>55.331000000000003</v>
      </c>
      <c r="I95" s="13">
        <f>_xll.BDH("BLUE US Equity","ARDR_SHARE_OUT_FROM_FRONT_COVER","FQ4 2019","FQ4 2019","Currency=USD","Period=FQ","BEST_FPERIOD_OVERRIDE=FQ","FILING_STATUS=MR","Sort=A","Dates=H","DateFormat=P","Fill=—","Direction=H","UseDPDF=Y")</f>
        <v>55.611600000000003</v>
      </c>
      <c r="J95" s="13">
        <f>_xll.BDH("BLUE US Equity","ARDR_SHARE_OUT_FROM_FRONT_COVER","FQ1 2020","FQ1 2020","Currency=USD","Period=FQ","BEST_FPERIOD_OVERRIDE=FQ","FILING_STATUS=MR","Sort=A","Dates=H","DateFormat=P","Fill=—","Direction=H","UseDPDF=Y")</f>
        <v>55.652099999999997</v>
      </c>
      <c r="K95" s="13">
        <f>_xll.BDH("BLUE US Equity","ARDR_SHARE_OUT_FROM_FRONT_COVER","FQ2 2020","FQ2 2020","Currency=USD","Period=FQ","BEST_FPERIOD_OVERRIDE=FQ","FILING_STATUS=MR","Sort=A","Dates=H","DateFormat=P","Fill=—","Direction=H","UseDPDF=Y")</f>
        <v>66.222999999999999</v>
      </c>
      <c r="L95" s="13">
        <f>_xll.BDH("BLUE US Equity","ARDR_SHARE_OUT_FROM_FRONT_COVER","FQ3 2020","FQ3 2020","Currency=USD","Period=FQ","BEST_FPERIOD_OVERRIDE=FQ","FILING_STATUS=MR","Sort=A","Dates=H","DateFormat=P","Fill=—","Direction=H","UseDPDF=Y")</f>
        <v>66.3733</v>
      </c>
      <c r="M95" s="13">
        <f>_xll.BDH("BLUE US Equity","ARDR_SHARE_OUT_FROM_FRONT_COVER","FQ4 2020","FQ4 2020","Currency=USD","Period=FQ","BEST_FPERIOD_OVERRIDE=FQ","FILING_STATUS=MR","Sort=A","Dates=H","DateFormat=P","Fill=—","Direction=H","UseDPDF=Y")</f>
        <v>67.141000000000005</v>
      </c>
      <c r="N95" s="13">
        <f>_xll.BDH("BLUE US Equity","ARDR_SHARE_OUT_FROM_FRONT_COVER","FQ1 2021","FQ1 2021","Currency=USD","Period=FQ","BEST_FPERIOD_OVERRIDE=FQ","FILING_STATUS=MR","Sort=A","Dates=H","DateFormat=P","Fill=—","Direction=H","UseDPDF=Y")</f>
        <v>67.447500000000005</v>
      </c>
      <c r="O95" s="13">
        <f>_xll.BDH("BLUE US Equity","ARDR_SHARE_OUT_FROM_FRONT_COVER","FQ2 2021","FQ2 2021","Currency=USD","Period=FQ","BEST_FPERIOD_OVERRIDE=FQ","FILING_STATUS=MR","Sort=A","Dates=H","DateFormat=P","Fill=—","Direction=H","UseDPDF=Y")</f>
        <v>67.578500000000005</v>
      </c>
      <c r="P95" s="13">
        <f>_xll.BDH("BLUE US Equity","ARDR_SHARE_OUT_FROM_FRONT_COVER","FQ3 2021","FQ3 2021","Currency=USD","Period=FQ","BEST_FPERIOD_OVERRIDE=FQ","FILING_STATUS=MR","Sort=A","Dates=H","DateFormat=P","Fill=—","Direction=H","UseDPDF=Y")</f>
        <v>70.107299999999995</v>
      </c>
      <c r="Q95" s="13">
        <f>_xll.BDH("BLUE US Equity","ARDR_SHARE_OUT_FROM_FRONT_COVER","FQ4 2021","FQ4 2021","Currency=USD","Period=FQ","BEST_FPERIOD_OVERRIDE=FQ","FILING_STATUS=MR","Sort=A","Dates=H","DateFormat=P","Fill=—","Direction=H","UseDPDF=Y")</f>
        <v>71.433300000000003</v>
      </c>
      <c r="R95" s="13">
        <f>_xll.BDH("BLUE US Equity","ARDR_SHARE_OUT_FROM_FRONT_COVER","FQ1 2022","FQ1 2022","Currency=USD","Period=FQ","BEST_FPERIOD_OVERRIDE=FQ","FILING_STATUS=MR","Sort=A","Dates=H","DateFormat=P","Fill=—","Direction=H","UseDPDF=Y")</f>
        <v>71.453699999999998</v>
      </c>
      <c r="S95" s="13">
        <f>_xll.BDH("BLUE US Equity","ARDR_SHARE_OUT_FROM_FRONT_COVER","FQ2 2022","FQ2 2022","Currency=USD","Period=FQ","BEST_FPERIOD_OVERRIDE=FQ","FILING_STATUS=MR","Sort=A","Dates=H","DateFormat=P","Fill=—","Direction=H","UseDPDF=Y")</f>
        <v>77.121799999999993</v>
      </c>
      <c r="T95" s="13">
        <f>_xll.BDH("BLUE US Equity","ARDR_SHARE_OUT_FROM_FRONT_COVER","FQ3 2022","FQ3 2022","Currency=USD","Period=FQ","BEST_FPERIOD_OVERRIDE=FQ","FILING_STATUS=MR","Sort=A","Dates=H","DateFormat=P","Fill=—","Direction=H","UseDPDF=Y")</f>
        <v>82.91</v>
      </c>
      <c r="U95" s="13">
        <f>_xll.BDH("BLUE US Equity","ARDR_SHARE_OUT_FROM_FRONT_COVER","FQ4 2022","FQ4 2022","Currency=USD","Period=FQ","BEST_FPERIOD_OVERRIDE=FQ","FILING_STATUS=MR","Sort=A","Dates=H","DateFormat=P","Fill=—","Direction=H","UseDPDF=Y")</f>
        <v>106.3703</v>
      </c>
      <c r="V95" s="13">
        <f>_xll.BDH("BLUE US Equity","ARDR_SHARE_OUT_FROM_FRONT_COVER","FQ1 2023","FQ1 2023","Currency=USD","Period=FQ","BEST_FPERIOD_OVERRIDE=FQ","FILING_STATUS=MR","Sort=A","Dates=H","DateFormat=P","Fill=—","Direction=H","UseDPDF=Y")</f>
        <v>106.41200000000001</v>
      </c>
      <c r="W95" s="13">
        <f>_xll.BDH("BLUE US Equity","ARDR_SHARE_OUT_FROM_FRONT_COVER","FQ2 2023","FQ2 2023","Currency=USD","Period=FQ","BEST_FPERIOD_OVERRIDE=FQ","FILING_STATUS=MR","Sort=A","Dates=H","DateFormat=P","Fill=—","Direction=H","UseDPDF=Y")</f>
        <v>106.95269999999999</v>
      </c>
      <c r="X95" s="13">
        <f>_xll.BDH("BLUE US Equity","ARDR_SHARE_OUT_FROM_FRONT_COVER","FQ3 2023","FQ3 2023","Currency=USD","Period=FQ","BEST_FPERIOD_OVERRIDE=FQ","FILING_STATUS=MR","Sort=A","Dates=H","DateFormat=P","Fill=—","Direction=H","UseDPDF=Y")</f>
        <v>109.33620000000001</v>
      </c>
      <c r="Y95" s="13">
        <f>_xll.BDH("BLUE US Equity","ARDR_SHARE_OUT_FROM_FRONT_COVER","FQ1 2024","FQ1 2024","Currency=USD","Period=FQ","BEST_FPERIOD_OVERRIDE=FQ","FILING_STATUS=MR","Sort=A","Dates=H","DateFormat=P","Fill=—","Direction=H","UseDPDF=Y")</f>
        <v>193.9136</v>
      </c>
      <c r="Z95" s="13">
        <f>_xll.BDH("BLUE US Equity","ARDR_SHARE_OUT_FROM_FRONT_COVER","FQ2 2024","FQ2 2024","Currency=USD","Period=FQ","BEST_FPERIOD_OVERRIDE=FQ","FILING_STATUS=MR","Sort=A","Dates=H","DateFormat=P","Fill=—","Direction=H","UseDPDF=Y")</f>
        <v>193.9136</v>
      </c>
      <c r="AA95" s="13">
        <f>_xll.BDH("BLUE US Equity","ARDR_SHARE_OUT_FROM_FRONT_COVER","FQ3 2024","FQ3 2024","Currency=USD","Period=FQ","BEST_FPERIOD_OVERRIDE=FQ","FILING_STATUS=MR","Sort=A","Dates=H","DateFormat=P","Fill=—","Direction=H","UseDPDF=Y")</f>
        <v>194.4443</v>
      </c>
    </row>
    <row r="96" spans="1:27" x14ac:dyDescent="0.25">
      <c r="A96" s="10" t="s">
        <v>904</v>
      </c>
      <c r="B96" s="10" t="s">
        <v>905</v>
      </c>
      <c r="C96" s="13" t="str">
        <f>_xll.BDH("BLUE US Equity","ARDR_LICENSES","FQ2 2018","FQ2 2018","Currency=USD","Period=FQ","BEST_FPERIOD_OVERRIDE=FQ","FILING_STATUS=MR","SCALING_FORMAT=MLN","Sort=A","Dates=H","DateFormat=P","Fill=—","Direction=H","UseDPDF=Y")</f>
        <v>—</v>
      </c>
      <c r="D96" s="13" t="str">
        <f>_xll.BDH("BLUE US Equity","ARDR_LICENSES","FQ3 2018","FQ3 2018","Currency=USD","Period=FQ","BEST_FPERIOD_OVERRIDE=FQ","FILING_STATUS=MR","SCALING_FORMAT=MLN","Sort=A","Dates=H","DateFormat=P","Fill=—","Direction=H","UseDPDF=Y")</f>
        <v>—</v>
      </c>
      <c r="E96" s="13" t="str">
        <f>_xll.BDH("BLUE US Equity","ARDR_LICENSES","FQ4 2018","FQ4 2018","Currency=USD","Period=FQ","BEST_FPERIOD_OVERRIDE=FQ","FILING_STATUS=MR","SCALING_FORMAT=MLN","Sort=A","Dates=H","DateFormat=P","Fill=—","Direction=H","UseDPDF=Y")</f>
        <v>—</v>
      </c>
      <c r="F96" s="13" t="str">
        <f>_xll.BDH("BLUE US Equity","ARDR_LICENSES","FQ1 2019","FQ1 2019","Currency=USD","Period=FQ","BEST_FPERIOD_OVERRIDE=FQ","FILING_STATUS=MR","SCALING_FORMAT=MLN","Sort=A","Dates=H","DateFormat=P","Fill=—","Direction=H","UseDPDF=Y")</f>
        <v>—</v>
      </c>
      <c r="G96" s="13" t="str">
        <f>_xll.BDH("BLUE US Equity","ARDR_LICENSES","FQ2 2019","FQ2 2019","Currency=USD","Period=FQ","BEST_FPERIOD_OVERRIDE=FQ","FILING_STATUS=MR","SCALING_FORMAT=MLN","Sort=A","Dates=H","DateFormat=P","Fill=—","Direction=H","UseDPDF=Y")</f>
        <v>—</v>
      </c>
      <c r="H96" s="13" t="str">
        <f>_xll.BDH("BLUE US Equity","ARDR_LICENSES","FQ3 2019","FQ3 2019","Currency=USD","Period=FQ","BEST_FPERIOD_OVERRIDE=FQ","FILING_STATUS=MR","SCALING_FORMAT=MLN","Sort=A","Dates=H","DateFormat=P","Fill=—","Direction=H","UseDPDF=Y")</f>
        <v>—</v>
      </c>
      <c r="I96" s="13" t="str">
        <f>_xll.BDH("BLUE US Equity","ARDR_LICENSES","FQ4 2019","FQ4 2019","Currency=USD","Period=FQ","BEST_FPERIOD_OVERRIDE=FQ","FILING_STATUS=MR","SCALING_FORMAT=MLN","Sort=A","Dates=H","DateFormat=P","Fill=—","Direction=H","UseDPDF=Y")</f>
        <v>—</v>
      </c>
      <c r="J96" s="13" t="str">
        <f>_xll.BDH("BLUE US Equity","ARDR_LICENSES","FQ1 2020","FQ1 2020","Currency=USD","Period=FQ","BEST_FPERIOD_OVERRIDE=FQ","FILING_STATUS=MR","SCALING_FORMAT=MLN","Sort=A","Dates=H","DateFormat=P","Fill=—","Direction=H","UseDPDF=Y")</f>
        <v>—</v>
      </c>
      <c r="K96" s="13" t="str">
        <f>_xll.BDH("BLUE US Equity","ARDR_LICENSES","FQ2 2020","FQ2 2020","Currency=USD","Period=FQ","BEST_FPERIOD_OVERRIDE=FQ","FILING_STATUS=MR","SCALING_FORMAT=MLN","Sort=A","Dates=H","DateFormat=P","Fill=—","Direction=H","UseDPDF=Y")</f>
        <v>—</v>
      </c>
      <c r="L96" s="13" t="str">
        <f>_xll.BDH("BLUE US Equity","ARDR_LICENSES","FQ3 2020","FQ3 2020","Currency=USD","Period=FQ","BEST_FPERIOD_OVERRIDE=FQ","FILING_STATUS=MR","SCALING_FORMAT=MLN","Sort=A","Dates=H","DateFormat=P","Fill=—","Direction=H","UseDPDF=Y")</f>
        <v>—</v>
      </c>
      <c r="M96" s="13">
        <f>_xll.BDH("BLUE US Equity","ARDR_LICENSES","FQ4 2020","FQ4 2020","Currency=USD","Period=FQ","BEST_FPERIOD_OVERRIDE=FQ","FILING_STATUS=MR","SCALING_FORMAT=MLN","Sort=A","Dates=H","DateFormat=P","Fill=—","Direction=H","UseDPDF=Y")</f>
        <v>4.3970000000000002</v>
      </c>
      <c r="N96" s="13" t="str">
        <f>_xll.BDH("BLUE US Equity","ARDR_LICENSES","FQ1 2021","FQ1 2021","Currency=USD","Period=FQ","BEST_FPERIOD_OVERRIDE=FQ","FILING_STATUS=MR","SCALING_FORMAT=MLN","Sort=A","Dates=H","DateFormat=P","Fill=—","Direction=H","UseDPDF=Y")</f>
        <v>—</v>
      </c>
      <c r="O96" s="13" t="str">
        <f>_xll.BDH("BLUE US Equity","ARDR_LICENSES","FQ2 2021","FQ2 2021","Currency=USD","Period=FQ","BEST_FPERIOD_OVERRIDE=FQ","FILING_STATUS=MR","SCALING_FORMAT=MLN","Sort=A","Dates=H","DateFormat=P","Fill=—","Direction=H","UseDPDF=Y")</f>
        <v>—</v>
      </c>
      <c r="P96" s="13" t="str">
        <f>_xll.BDH("BLUE US Equity","ARDR_LICENSES","FQ3 2021","FQ3 2021","Currency=USD","Period=FQ","BEST_FPERIOD_OVERRIDE=FQ","FILING_STATUS=MR","SCALING_FORMAT=MLN","Sort=A","Dates=H","DateFormat=P","Fill=—","Direction=H","UseDPDF=Y")</f>
        <v>—</v>
      </c>
      <c r="Q96" s="13">
        <f>_xll.BDH("BLUE US Equity","ARDR_LICENSES","FQ4 2021","FQ4 2021","Currency=USD","Period=FQ","BEST_FPERIOD_OVERRIDE=FQ","FILING_STATUS=MR","SCALING_FORMAT=MLN","Sort=A","Dates=H","DateFormat=P","Fill=—","Direction=H","UseDPDF=Y")</f>
        <v>0</v>
      </c>
      <c r="R96" s="13" t="str">
        <f>_xll.BDH("BLUE US Equity","ARDR_LICENSES","FQ1 2022","FQ1 2022","Currency=USD","Period=FQ","BEST_FPERIOD_OVERRIDE=FQ","FILING_STATUS=MR","SCALING_FORMAT=MLN","Sort=A","Dates=H","DateFormat=P","Fill=—","Direction=H","UseDPDF=Y")</f>
        <v>—</v>
      </c>
      <c r="S96" s="13" t="str">
        <f>_xll.BDH("BLUE US Equity","ARDR_LICENSES","FQ2 2022","FQ2 2022","Currency=USD","Period=FQ","BEST_FPERIOD_OVERRIDE=FQ","FILING_STATUS=MR","SCALING_FORMAT=MLN","Sort=A","Dates=H","DateFormat=P","Fill=—","Direction=H","UseDPDF=Y")</f>
        <v>—</v>
      </c>
      <c r="T96" s="13" t="str">
        <f>_xll.BDH("BLUE US Equity","ARDR_LICENSES","FQ3 2022","FQ3 2022","Currency=USD","Period=FQ","BEST_FPERIOD_OVERRIDE=FQ","FILING_STATUS=MR","SCALING_FORMAT=MLN","Sort=A","Dates=H","DateFormat=P","Fill=—","Direction=H","UseDPDF=Y")</f>
        <v>—</v>
      </c>
      <c r="U96" s="13">
        <f>_xll.BDH("BLUE US Equity","ARDR_LICENSES","FQ4 2022","FQ4 2022","Currency=USD","Period=FQ","BEST_FPERIOD_OVERRIDE=FQ","FILING_STATUS=MR","SCALING_FORMAT=MLN","Sort=A","Dates=H","DateFormat=P","Fill=—","Direction=H","UseDPDF=Y")</f>
        <v>4.8680000000000003</v>
      </c>
      <c r="V96" s="13" t="str">
        <f>_xll.BDH("BLUE US Equity","ARDR_LICENSES","FQ1 2023","FQ1 2023","Currency=USD","Period=FQ","BEST_FPERIOD_OVERRIDE=FQ","FILING_STATUS=MR","SCALING_FORMAT=MLN","Sort=A","Dates=H","DateFormat=P","Fill=—","Direction=H","UseDPDF=Y")</f>
        <v>—</v>
      </c>
      <c r="W96" s="13" t="str">
        <f>_xll.BDH("BLUE US Equity","ARDR_LICENSES","FQ2 2023","FQ2 2023","Currency=USD","Period=FQ","BEST_FPERIOD_OVERRIDE=FQ","FILING_STATUS=MR","SCALING_FORMAT=MLN","Sort=A","Dates=H","DateFormat=P","Fill=—","Direction=H","UseDPDF=Y")</f>
        <v>—</v>
      </c>
      <c r="X96" s="13" t="str">
        <f>_xll.BDH("BLUE US Equity","ARDR_LICENSES","FQ3 2023","FQ3 2023","Currency=USD","Period=FQ","BEST_FPERIOD_OVERRIDE=FQ","FILING_STATUS=MR","SCALING_FORMAT=MLN","Sort=A","Dates=H","DateFormat=P","Fill=—","Direction=H","UseDPDF=Y")</f>
        <v>—</v>
      </c>
      <c r="Y96" s="13" t="str">
        <f>_xll.BDH("BLUE US Equity","ARDR_LICENSES","FQ1 2024","FQ1 2024","Currency=USD","Period=FQ","BEST_FPERIOD_OVERRIDE=FQ","FILING_STATUS=MR","SCALING_FORMAT=MLN","Sort=A","Dates=H","DateFormat=P","Fill=—","Direction=H","UseDPDF=Y")</f>
        <v>—</v>
      </c>
      <c r="Z96" s="13" t="str">
        <f>_xll.BDH("BLUE US Equity","ARDR_LICENSES","FQ2 2024","FQ2 2024","Currency=USD","Period=FQ","BEST_FPERIOD_OVERRIDE=FQ","FILING_STATUS=MR","SCALING_FORMAT=MLN","Sort=A","Dates=H","DateFormat=P","Fill=—","Direction=H","UseDPDF=Y")</f>
        <v>—</v>
      </c>
      <c r="AA96" s="13" t="str">
        <f>_xll.BDH("BLUE US Equity","ARDR_LICENSES","FQ3 2024","FQ3 2024","Currency=USD","Period=FQ","BEST_FPERIOD_OVERRIDE=FQ","FILING_STATUS=MR","SCALING_FORMAT=MLN","Sort=A","Dates=H","DateFormat=P","Fill=—","Direction=H","UseDPDF=Y")</f>
        <v>—</v>
      </c>
    </row>
    <row r="97" spans="1:27" x14ac:dyDescent="0.25">
      <c r="A97" s="10" t="s">
        <v>906</v>
      </c>
      <c r="B97" s="10" t="s">
        <v>907</v>
      </c>
      <c r="C97" s="13" t="str">
        <f>_xll.BDH("BLUE US Equity","ARDR_ACCCUM_AMORT_INTANG_ASSET","FQ2 2018","FQ2 2018","Currency=USD","Period=FQ","BEST_FPERIOD_OVERRIDE=FQ","FILING_STATUS=MR","SCALING_FORMAT=MLN","Sort=A","Dates=H","DateFormat=P","Fill=—","Direction=H","UseDPDF=Y")</f>
        <v>—</v>
      </c>
      <c r="D97" s="13" t="str">
        <f>_xll.BDH("BLUE US Equity","ARDR_ACCCUM_AMORT_INTANG_ASSET","FQ3 2018","FQ3 2018","Currency=USD","Period=FQ","BEST_FPERIOD_OVERRIDE=FQ","FILING_STATUS=MR","SCALING_FORMAT=MLN","Sort=A","Dates=H","DateFormat=P","Fill=—","Direction=H","UseDPDF=Y")</f>
        <v>—</v>
      </c>
      <c r="E97" s="13" t="str">
        <f>_xll.BDH("BLUE US Equity","ARDR_ACCCUM_AMORT_INTANG_ASSET","FQ4 2018","FQ4 2018","Currency=USD","Period=FQ","BEST_FPERIOD_OVERRIDE=FQ","FILING_STATUS=MR","SCALING_FORMAT=MLN","Sort=A","Dates=H","DateFormat=P","Fill=—","Direction=H","UseDPDF=Y")</f>
        <v>—</v>
      </c>
      <c r="F97" s="13" t="str">
        <f>_xll.BDH("BLUE US Equity","ARDR_ACCCUM_AMORT_INTANG_ASSET","FQ1 2019","FQ1 2019","Currency=USD","Period=FQ","BEST_FPERIOD_OVERRIDE=FQ","FILING_STATUS=MR","SCALING_FORMAT=MLN","Sort=A","Dates=H","DateFormat=P","Fill=—","Direction=H","UseDPDF=Y")</f>
        <v>—</v>
      </c>
      <c r="G97" s="13" t="str">
        <f>_xll.BDH("BLUE US Equity","ARDR_ACCCUM_AMORT_INTANG_ASSET","FQ2 2019","FQ2 2019","Currency=USD","Period=FQ","BEST_FPERIOD_OVERRIDE=FQ","FILING_STATUS=MR","SCALING_FORMAT=MLN","Sort=A","Dates=H","DateFormat=P","Fill=—","Direction=H","UseDPDF=Y")</f>
        <v>—</v>
      </c>
      <c r="H97" s="13" t="str">
        <f>_xll.BDH("BLUE US Equity","ARDR_ACCCUM_AMORT_INTANG_ASSET","FQ3 2019","FQ3 2019","Currency=USD","Period=FQ","BEST_FPERIOD_OVERRIDE=FQ","FILING_STATUS=MR","SCALING_FORMAT=MLN","Sort=A","Dates=H","DateFormat=P","Fill=—","Direction=H","UseDPDF=Y")</f>
        <v>—</v>
      </c>
      <c r="I97" s="13" t="str">
        <f>_xll.BDH("BLUE US Equity","ARDR_ACCCUM_AMORT_INTANG_ASSET","FQ4 2019","FQ4 2019","Currency=USD","Period=FQ","BEST_FPERIOD_OVERRIDE=FQ","FILING_STATUS=MR","SCALING_FORMAT=MLN","Sort=A","Dates=H","DateFormat=P","Fill=—","Direction=H","UseDPDF=Y")</f>
        <v>—</v>
      </c>
      <c r="J97" s="13" t="str">
        <f>_xll.BDH("BLUE US Equity","ARDR_ACCCUM_AMORT_INTANG_ASSET","FQ1 2020","FQ1 2020","Currency=USD","Period=FQ","BEST_FPERIOD_OVERRIDE=FQ","FILING_STATUS=MR","SCALING_FORMAT=MLN","Sort=A","Dates=H","DateFormat=P","Fill=—","Direction=H","UseDPDF=Y")</f>
        <v>—</v>
      </c>
      <c r="K97" s="13" t="str">
        <f>_xll.BDH("BLUE US Equity","ARDR_ACCCUM_AMORT_INTANG_ASSET","FQ2 2020","FQ2 2020","Currency=USD","Period=FQ","BEST_FPERIOD_OVERRIDE=FQ","FILING_STATUS=MR","SCALING_FORMAT=MLN","Sort=A","Dates=H","DateFormat=P","Fill=—","Direction=H","UseDPDF=Y")</f>
        <v>—</v>
      </c>
      <c r="L97" s="13" t="str">
        <f>_xll.BDH("BLUE US Equity","ARDR_ACCCUM_AMORT_INTANG_ASSET","FQ3 2020","FQ3 2020","Currency=USD","Period=FQ","BEST_FPERIOD_OVERRIDE=FQ","FILING_STATUS=MR","SCALING_FORMAT=MLN","Sort=A","Dates=H","DateFormat=P","Fill=—","Direction=H","UseDPDF=Y")</f>
        <v>—</v>
      </c>
      <c r="M97" s="13">
        <f>_xll.BDH("BLUE US Equity","ARDR_ACCCUM_AMORT_INTANG_ASSET","FQ4 2020","FQ4 2020","Currency=USD","Period=FQ","BEST_FPERIOD_OVERRIDE=FQ","FILING_STATUS=MR","SCALING_FORMAT=MLN","Sort=A","Dates=H","DateFormat=P","Fill=—","Direction=H","UseDPDF=Y")</f>
        <v>0.82699999999999996</v>
      </c>
      <c r="N97" s="13" t="str">
        <f>_xll.BDH("BLUE US Equity","ARDR_ACCCUM_AMORT_INTANG_ASSET","FQ1 2021","FQ1 2021","Currency=USD","Period=FQ","BEST_FPERIOD_OVERRIDE=FQ","FILING_STATUS=MR","SCALING_FORMAT=MLN","Sort=A","Dates=H","DateFormat=P","Fill=—","Direction=H","UseDPDF=Y")</f>
        <v>—</v>
      </c>
      <c r="O97" s="13" t="str">
        <f>_xll.BDH("BLUE US Equity","ARDR_ACCCUM_AMORT_INTANG_ASSET","FQ2 2021","FQ2 2021","Currency=USD","Period=FQ","BEST_FPERIOD_OVERRIDE=FQ","FILING_STATUS=MR","SCALING_FORMAT=MLN","Sort=A","Dates=H","DateFormat=P","Fill=—","Direction=H","UseDPDF=Y")</f>
        <v>—</v>
      </c>
      <c r="P97" s="13" t="str">
        <f>_xll.BDH("BLUE US Equity","ARDR_ACCCUM_AMORT_INTANG_ASSET","FQ3 2021","FQ3 2021","Currency=USD","Period=FQ","BEST_FPERIOD_OVERRIDE=FQ","FILING_STATUS=MR","SCALING_FORMAT=MLN","Sort=A","Dates=H","DateFormat=P","Fill=—","Direction=H","UseDPDF=Y")</f>
        <v>—</v>
      </c>
      <c r="Q97" s="13">
        <f>_xll.BDH("BLUE US Equity","ARDR_ACCCUM_AMORT_INTANG_ASSET","FQ4 2021","FQ4 2021","Currency=USD","Period=FQ","BEST_FPERIOD_OVERRIDE=FQ","FILING_STATUS=MR","SCALING_FORMAT=MLN","Sort=A","Dates=H","DateFormat=P","Fill=—","Direction=H","UseDPDF=Y")</f>
        <v>5.2240000000000002</v>
      </c>
      <c r="R97" s="13" t="str">
        <f>_xll.BDH("BLUE US Equity","ARDR_ACCCUM_AMORT_INTANG_ASSET","FQ1 2022","FQ1 2022","Currency=USD","Period=FQ","BEST_FPERIOD_OVERRIDE=FQ","FILING_STATUS=MR","SCALING_FORMAT=MLN","Sort=A","Dates=H","DateFormat=P","Fill=—","Direction=H","UseDPDF=Y")</f>
        <v>—</v>
      </c>
      <c r="S97" s="13" t="str">
        <f>_xll.BDH("BLUE US Equity","ARDR_ACCCUM_AMORT_INTANG_ASSET","FQ2 2022","FQ2 2022","Currency=USD","Period=FQ","BEST_FPERIOD_OVERRIDE=FQ","FILING_STATUS=MR","SCALING_FORMAT=MLN","Sort=A","Dates=H","DateFormat=P","Fill=—","Direction=H","UseDPDF=Y")</f>
        <v>—</v>
      </c>
      <c r="T97" s="13" t="str">
        <f>_xll.BDH("BLUE US Equity","ARDR_ACCCUM_AMORT_INTANG_ASSET","FQ3 2022","FQ3 2022","Currency=USD","Period=FQ","BEST_FPERIOD_OVERRIDE=FQ","FILING_STATUS=MR","SCALING_FORMAT=MLN","Sort=A","Dates=H","DateFormat=P","Fill=—","Direction=H","UseDPDF=Y")</f>
        <v>—</v>
      </c>
      <c r="U97" s="13">
        <f>_xll.BDH("BLUE US Equity","ARDR_ACCCUM_AMORT_INTANG_ASSET","FQ4 2022","FQ4 2022","Currency=USD","Period=FQ","BEST_FPERIOD_OVERRIDE=FQ","FILING_STATUS=MR","SCALING_FORMAT=MLN","Sort=A","Dates=H","DateFormat=P","Fill=—","Direction=H","UseDPDF=Y")</f>
        <v>0.13200000000000001</v>
      </c>
      <c r="V97" s="13" t="str">
        <f>_xll.BDH("BLUE US Equity","ARDR_ACCCUM_AMORT_INTANG_ASSET","FQ1 2023","FQ1 2023","Currency=USD","Period=FQ","BEST_FPERIOD_OVERRIDE=FQ","FILING_STATUS=MR","SCALING_FORMAT=MLN","Sort=A","Dates=H","DateFormat=P","Fill=—","Direction=H","UseDPDF=Y")</f>
        <v>—</v>
      </c>
      <c r="W97" s="13" t="str">
        <f>_xll.BDH("BLUE US Equity","ARDR_ACCCUM_AMORT_INTANG_ASSET","FQ2 2023","FQ2 2023","Currency=USD","Period=FQ","BEST_FPERIOD_OVERRIDE=FQ","FILING_STATUS=MR","SCALING_FORMAT=MLN","Sort=A","Dates=H","DateFormat=P","Fill=—","Direction=H","UseDPDF=Y")</f>
        <v>—</v>
      </c>
      <c r="X97" s="13" t="str">
        <f>_xll.BDH("BLUE US Equity","ARDR_ACCCUM_AMORT_INTANG_ASSET","FQ3 2023","FQ3 2023","Currency=USD","Period=FQ","BEST_FPERIOD_OVERRIDE=FQ","FILING_STATUS=MR","SCALING_FORMAT=MLN","Sort=A","Dates=H","DateFormat=P","Fill=—","Direction=H","UseDPDF=Y")</f>
        <v>—</v>
      </c>
      <c r="Y97" s="13" t="str">
        <f>_xll.BDH("BLUE US Equity","ARDR_ACCCUM_AMORT_INTANG_ASSET","FQ1 2024","FQ1 2024","Currency=USD","Period=FQ","BEST_FPERIOD_OVERRIDE=FQ","FILING_STATUS=MR","SCALING_FORMAT=MLN","Sort=A","Dates=H","DateFormat=P","Fill=—","Direction=H","UseDPDF=Y")</f>
        <v>—</v>
      </c>
      <c r="Z97" s="13" t="str">
        <f>_xll.BDH("BLUE US Equity","ARDR_ACCCUM_AMORT_INTANG_ASSET","FQ2 2024","FQ2 2024","Currency=USD","Period=FQ","BEST_FPERIOD_OVERRIDE=FQ","FILING_STATUS=MR","SCALING_FORMAT=MLN","Sort=A","Dates=H","DateFormat=P","Fill=—","Direction=H","UseDPDF=Y")</f>
        <v>—</v>
      </c>
      <c r="AA97" s="13" t="str">
        <f>_xll.BDH("BLUE US Equity","ARDR_ACCCUM_AMORT_INTANG_ASSET","FQ3 2024","FQ3 2024","Currency=USD","Period=FQ","BEST_FPERIOD_OVERRIDE=FQ","FILING_STATUS=MR","SCALING_FORMAT=MLN","Sort=A","Dates=H","DateFormat=P","Fill=—","Direction=H","UseDPDF=Y")</f>
        <v>—</v>
      </c>
    </row>
    <row r="98" spans="1:27" x14ac:dyDescent="0.25">
      <c r="A98" s="10" t="s">
        <v>908</v>
      </c>
      <c r="B98" s="10" t="s">
        <v>909</v>
      </c>
      <c r="C98" s="13" t="str">
        <f>_xll.BDH("BLUE US Equity","ARDR_CASH_EQUIVALENTS_MKT_SECS","FQ2 2018","FQ2 2018","Currency=USD","Period=FQ","BEST_FPERIOD_OVERRIDE=FQ","FILING_STATUS=MR","SCALING_FORMAT=MLN","Sort=A","Dates=H","DateFormat=P","Fill=—","Direction=H","UseDPDF=Y")</f>
        <v>—</v>
      </c>
      <c r="D98" s="13" t="str">
        <f>_xll.BDH("BLUE US Equity","ARDR_CASH_EQUIVALENTS_MKT_SECS","FQ3 2018","FQ3 2018","Currency=USD","Period=FQ","BEST_FPERIOD_OVERRIDE=FQ","FILING_STATUS=MR","SCALING_FORMAT=MLN","Sort=A","Dates=H","DateFormat=P","Fill=—","Direction=H","UseDPDF=Y")</f>
        <v>—</v>
      </c>
      <c r="E98" s="13" t="str">
        <f>_xll.BDH("BLUE US Equity","ARDR_CASH_EQUIVALENTS_MKT_SECS","FQ4 2018","FQ4 2018","Currency=USD","Period=FQ","BEST_FPERIOD_OVERRIDE=FQ","FILING_STATUS=MR","SCALING_FORMAT=MLN","Sort=A","Dates=H","DateFormat=P","Fill=—","Direction=H","UseDPDF=Y")</f>
        <v>—</v>
      </c>
      <c r="F98" s="13" t="str">
        <f>_xll.BDH("BLUE US Equity","ARDR_CASH_EQUIVALENTS_MKT_SECS","FQ1 2019","FQ1 2019","Currency=USD","Period=FQ","BEST_FPERIOD_OVERRIDE=FQ","FILING_STATUS=MR","SCALING_FORMAT=MLN","Sort=A","Dates=H","DateFormat=P","Fill=—","Direction=H","UseDPDF=Y")</f>
        <v>—</v>
      </c>
      <c r="G98" s="13" t="str">
        <f>_xll.BDH("BLUE US Equity","ARDR_CASH_EQUIVALENTS_MKT_SECS","FQ2 2019","FQ2 2019","Currency=USD","Period=FQ","BEST_FPERIOD_OVERRIDE=FQ","FILING_STATUS=MR","SCALING_FORMAT=MLN","Sort=A","Dates=H","DateFormat=P","Fill=—","Direction=H","UseDPDF=Y")</f>
        <v>—</v>
      </c>
      <c r="H98" s="13" t="str">
        <f>_xll.BDH("BLUE US Equity","ARDR_CASH_EQUIVALENTS_MKT_SECS","FQ3 2019","FQ3 2019","Currency=USD","Period=FQ","BEST_FPERIOD_OVERRIDE=FQ","FILING_STATUS=MR","SCALING_FORMAT=MLN","Sort=A","Dates=H","DateFormat=P","Fill=—","Direction=H","UseDPDF=Y")</f>
        <v>—</v>
      </c>
      <c r="I98" s="13">
        <f>_xll.BDH("BLUE US Equity","ARDR_CASH_EQUIVALENTS_MKT_SECS","FQ4 2019","FQ4 2019","Currency=USD","Period=FQ","BEST_FPERIOD_OVERRIDE=FQ","FILING_STATUS=MR","SCALING_FORMAT=MLN","Sort=A","Dates=H","DateFormat=P","Fill=—","Direction=H","UseDPDF=Y")</f>
        <v>1240</v>
      </c>
      <c r="J98" s="13" t="str">
        <f>_xll.BDH("BLUE US Equity","ARDR_CASH_EQUIVALENTS_MKT_SECS","FQ1 2020","FQ1 2020","Currency=USD","Period=FQ","BEST_FPERIOD_OVERRIDE=FQ","FILING_STATUS=MR","SCALING_FORMAT=MLN","Sort=A","Dates=H","DateFormat=P","Fill=—","Direction=H","UseDPDF=Y")</f>
        <v>—</v>
      </c>
      <c r="K98" s="13" t="str">
        <f>_xll.BDH("BLUE US Equity","ARDR_CASH_EQUIVALENTS_MKT_SECS","FQ2 2020","FQ2 2020","Currency=USD","Period=FQ","BEST_FPERIOD_OVERRIDE=FQ","FILING_STATUS=MR","SCALING_FORMAT=MLN","Sort=A","Dates=H","DateFormat=P","Fill=—","Direction=H","UseDPDF=Y")</f>
        <v>—</v>
      </c>
      <c r="L98" s="13" t="str">
        <f>_xll.BDH("BLUE US Equity","ARDR_CASH_EQUIVALENTS_MKT_SECS","FQ3 2020","FQ3 2020","Currency=USD","Period=FQ","BEST_FPERIOD_OVERRIDE=FQ","FILING_STATUS=MR","SCALING_FORMAT=MLN","Sort=A","Dates=H","DateFormat=P","Fill=—","Direction=H","UseDPDF=Y")</f>
        <v>—</v>
      </c>
      <c r="M98" s="13" t="str">
        <f>_xll.BDH("BLUE US Equity","ARDR_CASH_EQUIVALENTS_MKT_SECS","FQ4 2020","FQ4 2020","Currency=USD","Period=FQ","BEST_FPERIOD_OVERRIDE=FQ","FILING_STATUS=MR","SCALING_FORMAT=MLN","Sort=A","Dates=H","DateFormat=P","Fill=—","Direction=H","UseDPDF=Y")</f>
        <v>—</v>
      </c>
      <c r="N98" s="13" t="str">
        <f>_xll.BDH("BLUE US Equity","ARDR_CASH_EQUIVALENTS_MKT_SECS","FQ1 2021","FQ1 2021","Currency=USD","Period=FQ","BEST_FPERIOD_OVERRIDE=FQ","FILING_STATUS=MR","SCALING_FORMAT=MLN","Sort=A","Dates=H","DateFormat=P","Fill=—","Direction=H","UseDPDF=Y")</f>
        <v>—</v>
      </c>
      <c r="O98" s="13" t="str">
        <f>_xll.BDH("BLUE US Equity","ARDR_CASH_EQUIVALENTS_MKT_SECS","FQ2 2021","FQ2 2021","Currency=USD","Period=FQ","BEST_FPERIOD_OVERRIDE=FQ","FILING_STATUS=MR","SCALING_FORMAT=MLN","Sort=A","Dates=H","DateFormat=P","Fill=—","Direction=H","UseDPDF=Y")</f>
        <v>—</v>
      </c>
      <c r="P98" s="13" t="str">
        <f>_xll.BDH("BLUE US Equity","ARDR_CASH_EQUIVALENTS_MKT_SECS","FQ3 2021","FQ3 2021","Currency=USD","Period=FQ","BEST_FPERIOD_OVERRIDE=FQ","FILING_STATUS=MR","SCALING_FORMAT=MLN","Sort=A","Dates=H","DateFormat=P","Fill=—","Direction=H","UseDPDF=Y")</f>
        <v>—</v>
      </c>
      <c r="Q98" s="13" t="str">
        <f>_xll.BDH("BLUE US Equity","ARDR_CASH_EQUIVALENTS_MKT_SECS","FQ4 2021","FQ4 2021","Currency=USD","Period=FQ","BEST_FPERIOD_OVERRIDE=FQ","FILING_STATUS=MR","SCALING_FORMAT=MLN","Sort=A","Dates=H","DateFormat=P","Fill=—","Direction=H","UseDPDF=Y")</f>
        <v>—</v>
      </c>
      <c r="R98" s="13" t="str">
        <f>_xll.BDH("BLUE US Equity","ARDR_CASH_EQUIVALENTS_MKT_SECS","FQ1 2022","FQ1 2022","Currency=USD","Period=FQ","BEST_FPERIOD_OVERRIDE=FQ","FILING_STATUS=MR","SCALING_FORMAT=MLN","Sort=A","Dates=H","DateFormat=P","Fill=—","Direction=H","UseDPDF=Y")</f>
        <v>—</v>
      </c>
      <c r="S98" s="13" t="str">
        <f>_xll.BDH("BLUE US Equity","ARDR_CASH_EQUIVALENTS_MKT_SECS","FQ2 2022","FQ2 2022","Currency=USD","Period=FQ","BEST_FPERIOD_OVERRIDE=FQ","FILING_STATUS=MR","SCALING_FORMAT=MLN","Sort=A","Dates=H","DateFormat=P","Fill=—","Direction=H","UseDPDF=Y")</f>
        <v>—</v>
      </c>
      <c r="T98" s="13" t="str">
        <f>_xll.BDH("BLUE US Equity","ARDR_CASH_EQUIVALENTS_MKT_SECS","FQ3 2022","FQ3 2022","Currency=USD","Period=FQ","BEST_FPERIOD_OVERRIDE=FQ","FILING_STATUS=MR","SCALING_FORMAT=MLN","Sort=A","Dates=H","DateFormat=P","Fill=—","Direction=H","UseDPDF=Y")</f>
        <v>—</v>
      </c>
      <c r="U98" s="13" t="str">
        <f>_xll.BDH("BLUE US Equity","ARDR_CASH_EQUIVALENTS_MKT_SECS","FQ4 2022","FQ4 2022","Currency=USD","Period=FQ","BEST_FPERIOD_OVERRIDE=FQ","FILING_STATUS=MR","SCALING_FORMAT=MLN","Sort=A","Dates=H","DateFormat=P","Fill=—","Direction=H","UseDPDF=Y")</f>
        <v>—</v>
      </c>
      <c r="V98" s="13" t="str">
        <f>_xll.BDH("BLUE US Equity","ARDR_CASH_EQUIVALENTS_MKT_SECS","FQ1 2023","FQ1 2023","Currency=USD","Period=FQ","BEST_FPERIOD_OVERRIDE=FQ","FILING_STATUS=MR","SCALING_FORMAT=MLN","Sort=A","Dates=H","DateFormat=P","Fill=—","Direction=H","UseDPDF=Y")</f>
        <v>—</v>
      </c>
      <c r="W98" s="13" t="str">
        <f>_xll.BDH("BLUE US Equity","ARDR_CASH_EQUIVALENTS_MKT_SECS","FQ2 2023","FQ2 2023","Currency=USD","Period=FQ","BEST_FPERIOD_OVERRIDE=FQ","FILING_STATUS=MR","SCALING_FORMAT=MLN","Sort=A","Dates=H","DateFormat=P","Fill=—","Direction=H","UseDPDF=Y")</f>
        <v>—</v>
      </c>
      <c r="X98" s="13" t="str">
        <f>_xll.BDH("BLUE US Equity","ARDR_CASH_EQUIVALENTS_MKT_SECS","FQ3 2023","FQ3 2023","Currency=USD","Period=FQ","BEST_FPERIOD_OVERRIDE=FQ","FILING_STATUS=MR","SCALING_FORMAT=MLN","Sort=A","Dates=H","DateFormat=P","Fill=—","Direction=H","UseDPDF=Y")</f>
        <v>—</v>
      </c>
      <c r="Y98" s="13" t="str">
        <f>_xll.BDH("BLUE US Equity","ARDR_CASH_EQUIVALENTS_MKT_SECS","FQ1 2024","FQ1 2024","Currency=USD","Period=FQ","BEST_FPERIOD_OVERRIDE=FQ","FILING_STATUS=MR","SCALING_FORMAT=MLN","Sort=A","Dates=H","DateFormat=P","Fill=—","Direction=H","UseDPDF=Y")</f>
        <v>—</v>
      </c>
      <c r="Z98" s="13" t="str">
        <f>_xll.BDH("BLUE US Equity","ARDR_CASH_EQUIVALENTS_MKT_SECS","FQ2 2024","FQ2 2024","Currency=USD","Period=FQ","BEST_FPERIOD_OVERRIDE=FQ","FILING_STATUS=MR","SCALING_FORMAT=MLN","Sort=A","Dates=H","DateFormat=P","Fill=—","Direction=H","UseDPDF=Y")</f>
        <v>—</v>
      </c>
      <c r="AA98" s="13" t="str">
        <f>_xll.BDH("BLUE US Equity","ARDR_CASH_EQUIVALENTS_MKT_SECS","FQ3 2024","FQ3 2024","Currency=USD","Period=FQ","BEST_FPERIOD_OVERRIDE=FQ","FILING_STATUS=MR","SCALING_FORMAT=MLN","Sort=A","Dates=H","DateFormat=P","Fill=—","Direction=H","UseDPDF=Y")</f>
        <v>—</v>
      </c>
    </row>
    <row r="99" spans="1:27" x14ac:dyDescent="0.25">
      <c r="A99" s="10" t="s">
        <v>910</v>
      </c>
      <c r="B99" s="10" t="s">
        <v>911</v>
      </c>
      <c r="C99" s="13" t="str">
        <f>_xll.BDH("BLUE US Equity","ARDR_TOTAL_CONTIGENT_PAYABLE","FQ2 2018","FQ2 2018","Currency=USD","Period=FQ","BEST_FPERIOD_OVERRIDE=FQ","FILING_STATUS=MR","SCALING_FORMAT=MLN","Sort=A","Dates=H","DateFormat=P","Fill=—","Direction=H","UseDPDF=Y")</f>
        <v>—</v>
      </c>
      <c r="D99" s="13" t="str">
        <f>_xll.BDH("BLUE US Equity","ARDR_TOTAL_CONTIGENT_PAYABLE","FQ3 2018","FQ3 2018","Currency=USD","Period=FQ","BEST_FPERIOD_OVERRIDE=FQ","FILING_STATUS=MR","SCALING_FORMAT=MLN","Sort=A","Dates=H","DateFormat=P","Fill=—","Direction=H","UseDPDF=Y")</f>
        <v>—</v>
      </c>
      <c r="E99" s="13" t="str">
        <f>_xll.BDH("BLUE US Equity","ARDR_TOTAL_CONTIGENT_PAYABLE","FQ4 2018","FQ4 2018","Currency=USD","Period=FQ","BEST_FPERIOD_OVERRIDE=FQ","FILING_STATUS=MR","SCALING_FORMAT=MLN","Sort=A","Dates=H","DateFormat=P","Fill=—","Direction=H","UseDPDF=Y")</f>
        <v>—</v>
      </c>
      <c r="F99" s="13" t="str">
        <f>_xll.BDH("BLUE US Equity","ARDR_TOTAL_CONTIGENT_PAYABLE","FQ1 2019","FQ1 2019","Currency=USD","Period=FQ","BEST_FPERIOD_OVERRIDE=FQ","FILING_STATUS=MR","SCALING_FORMAT=MLN","Sort=A","Dates=H","DateFormat=P","Fill=—","Direction=H","UseDPDF=Y")</f>
        <v>—</v>
      </c>
      <c r="G99" s="13" t="str">
        <f>_xll.BDH("BLUE US Equity","ARDR_TOTAL_CONTIGENT_PAYABLE","FQ2 2019","FQ2 2019","Currency=USD","Period=FQ","BEST_FPERIOD_OVERRIDE=FQ","FILING_STATUS=MR","SCALING_FORMAT=MLN","Sort=A","Dates=H","DateFormat=P","Fill=—","Direction=H","UseDPDF=Y")</f>
        <v>—</v>
      </c>
      <c r="H99" s="13" t="str">
        <f>_xll.BDH("BLUE US Equity","ARDR_TOTAL_CONTIGENT_PAYABLE","FQ3 2019","FQ3 2019","Currency=USD","Period=FQ","BEST_FPERIOD_OVERRIDE=FQ","FILING_STATUS=MR","SCALING_FORMAT=MLN","Sort=A","Dates=H","DateFormat=P","Fill=—","Direction=H","UseDPDF=Y")</f>
        <v>—</v>
      </c>
      <c r="I99" s="13" t="str">
        <f>_xll.BDH("BLUE US Equity","ARDR_TOTAL_CONTIGENT_PAYABLE","FQ4 2019","FQ4 2019","Currency=USD","Period=FQ","BEST_FPERIOD_OVERRIDE=FQ","FILING_STATUS=MR","SCALING_FORMAT=MLN","Sort=A","Dates=H","DateFormat=P","Fill=—","Direction=H","UseDPDF=Y")</f>
        <v>—</v>
      </c>
      <c r="J99" s="13" t="str">
        <f>_xll.BDH("BLUE US Equity","ARDR_TOTAL_CONTIGENT_PAYABLE","FQ1 2020","FQ1 2020","Currency=USD","Period=FQ","BEST_FPERIOD_OVERRIDE=FQ","FILING_STATUS=MR","SCALING_FORMAT=MLN","Sort=A","Dates=H","DateFormat=P","Fill=—","Direction=H","UseDPDF=Y")</f>
        <v>—</v>
      </c>
      <c r="K99" s="13">
        <f>_xll.BDH("BLUE US Equity","ARDR_TOTAL_CONTIGENT_PAYABLE","FQ2 2020","FQ2 2020","Currency=USD","Period=FQ","BEST_FPERIOD_OVERRIDE=FQ","FILING_STATUS=MR","SCALING_FORMAT=MLN","Sort=A","Dates=H","DateFormat=P","Fill=—","Direction=H","UseDPDF=Y")</f>
        <v>3.214</v>
      </c>
      <c r="L99" s="13">
        <f>_xll.BDH("BLUE US Equity","ARDR_TOTAL_CONTIGENT_PAYABLE","FQ3 2020","FQ3 2020","Currency=USD","Period=FQ","BEST_FPERIOD_OVERRIDE=FQ","FILING_STATUS=MR","SCALING_FORMAT=MLN","Sort=A","Dates=H","DateFormat=P","Fill=—","Direction=H","UseDPDF=Y")</f>
        <v>2.3860000000000001</v>
      </c>
      <c r="M99" s="13" t="str">
        <f>_xll.BDH("BLUE US Equity","ARDR_TOTAL_CONTIGENT_PAYABLE","FQ4 2020","FQ4 2020","Currency=USD","Period=FQ","BEST_FPERIOD_OVERRIDE=FQ","FILING_STATUS=MR","SCALING_FORMAT=MLN","Sort=A","Dates=H","DateFormat=P","Fill=—","Direction=H","UseDPDF=Y")</f>
        <v>—</v>
      </c>
      <c r="N99" s="13">
        <f>_xll.BDH("BLUE US Equity","ARDR_TOTAL_CONTIGENT_PAYABLE","FQ1 2021","FQ1 2021","Currency=USD","Period=FQ","BEST_FPERIOD_OVERRIDE=FQ","FILING_STATUS=MR","SCALING_FORMAT=MLN","Sort=A","Dates=H","DateFormat=P","Fill=—","Direction=H","UseDPDF=Y")</f>
        <v>1.8779999999999999</v>
      </c>
      <c r="O99" s="13">
        <f>_xll.BDH("BLUE US Equity","ARDR_TOTAL_CONTIGENT_PAYABLE","FQ2 2021","FQ2 2021","Currency=USD","Period=FQ","BEST_FPERIOD_OVERRIDE=FQ","FILING_STATUS=MR","SCALING_FORMAT=MLN","Sort=A","Dates=H","DateFormat=P","Fill=—","Direction=H","UseDPDF=Y")</f>
        <v>1.925</v>
      </c>
      <c r="P99" s="13">
        <f>_xll.BDH("BLUE US Equity","ARDR_TOTAL_CONTIGENT_PAYABLE","FQ3 2021","FQ3 2021","Currency=USD","Period=FQ","BEST_FPERIOD_OVERRIDE=FQ","FILING_STATUS=MR","SCALING_FORMAT=MLN","Sort=A","Dates=H","DateFormat=P","Fill=—","Direction=H","UseDPDF=Y")</f>
        <v>1.9730000000000001</v>
      </c>
      <c r="Q99" s="13" t="str">
        <f>_xll.BDH("BLUE US Equity","ARDR_TOTAL_CONTIGENT_PAYABLE","FQ4 2021","FQ4 2021","Currency=USD","Period=FQ","BEST_FPERIOD_OVERRIDE=FQ","FILING_STATUS=MR","SCALING_FORMAT=MLN","Sort=A","Dates=H","DateFormat=P","Fill=—","Direction=H","UseDPDF=Y")</f>
        <v>—</v>
      </c>
      <c r="R99" s="13" t="str">
        <f>_xll.BDH("BLUE US Equity","ARDR_TOTAL_CONTIGENT_PAYABLE","FQ1 2022","FQ1 2022","Currency=USD","Period=FQ","BEST_FPERIOD_OVERRIDE=FQ","FILING_STATUS=MR","SCALING_FORMAT=MLN","Sort=A","Dates=H","DateFormat=P","Fill=—","Direction=H","UseDPDF=Y")</f>
        <v>—</v>
      </c>
      <c r="S99" s="13" t="str">
        <f>_xll.BDH("BLUE US Equity","ARDR_TOTAL_CONTIGENT_PAYABLE","FQ2 2022","FQ2 2022","Currency=USD","Period=FQ","BEST_FPERIOD_OVERRIDE=FQ","FILING_STATUS=MR","SCALING_FORMAT=MLN","Sort=A","Dates=H","DateFormat=P","Fill=—","Direction=H","UseDPDF=Y")</f>
        <v>—</v>
      </c>
      <c r="T99" s="13" t="str">
        <f>_xll.BDH("BLUE US Equity","ARDR_TOTAL_CONTIGENT_PAYABLE","FQ3 2022","FQ3 2022","Currency=USD","Period=FQ","BEST_FPERIOD_OVERRIDE=FQ","FILING_STATUS=MR","SCALING_FORMAT=MLN","Sort=A","Dates=H","DateFormat=P","Fill=—","Direction=H","UseDPDF=Y")</f>
        <v>—</v>
      </c>
      <c r="U99" s="13" t="str">
        <f>_xll.BDH("BLUE US Equity","ARDR_TOTAL_CONTIGENT_PAYABLE","FQ4 2022","FQ4 2022","Currency=USD","Period=FQ","BEST_FPERIOD_OVERRIDE=FQ","FILING_STATUS=MR","SCALING_FORMAT=MLN","Sort=A","Dates=H","DateFormat=P","Fill=—","Direction=H","UseDPDF=Y")</f>
        <v>—</v>
      </c>
      <c r="V99" s="13" t="str">
        <f>_xll.BDH("BLUE US Equity","ARDR_TOTAL_CONTIGENT_PAYABLE","FQ1 2023","FQ1 2023","Currency=USD","Period=FQ","BEST_FPERIOD_OVERRIDE=FQ","FILING_STATUS=MR","SCALING_FORMAT=MLN","Sort=A","Dates=H","DateFormat=P","Fill=—","Direction=H","UseDPDF=Y")</f>
        <v>—</v>
      </c>
      <c r="W99" s="13" t="str">
        <f>_xll.BDH("BLUE US Equity","ARDR_TOTAL_CONTIGENT_PAYABLE","FQ2 2023","FQ2 2023","Currency=USD","Period=FQ","BEST_FPERIOD_OVERRIDE=FQ","FILING_STATUS=MR","SCALING_FORMAT=MLN","Sort=A","Dates=H","DateFormat=P","Fill=—","Direction=H","UseDPDF=Y")</f>
        <v>—</v>
      </c>
      <c r="X99" s="13" t="str">
        <f>_xll.BDH("BLUE US Equity","ARDR_TOTAL_CONTIGENT_PAYABLE","FQ3 2023","FQ3 2023","Currency=USD","Period=FQ","BEST_FPERIOD_OVERRIDE=FQ","FILING_STATUS=MR","SCALING_FORMAT=MLN","Sort=A","Dates=H","DateFormat=P","Fill=—","Direction=H","UseDPDF=Y")</f>
        <v>—</v>
      </c>
      <c r="Y99" s="13" t="str">
        <f>_xll.BDH("BLUE US Equity","ARDR_TOTAL_CONTIGENT_PAYABLE","FQ1 2024","FQ1 2024","Currency=USD","Period=FQ","BEST_FPERIOD_OVERRIDE=FQ","FILING_STATUS=MR","SCALING_FORMAT=MLN","Sort=A","Dates=H","DateFormat=P","Fill=—","Direction=H","UseDPDF=Y")</f>
        <v>—</v>
      </c>
      <c r="Z99" s="13" t="str">
        <f>_xll.BDH("BLUE US Equity","ARDR_TOTAL_CONTIGENT_PAYABLE","FQ2 2024","FQ2 2024","Currency=USD","Period=FQ","BEST_FPERIOD_OVERRIDE=FQ","FILING_STATUS=MR","SCALING_FORMAT=MLN","Sort=A","Dates=H","DateFormat=P","Fill=—","Direction=H","UseDPDF=Y")</f>
        <v>—</v>
      </c>
      <c r="AA99" s="13" t="str">
        <f>_xll.BDH("BLUE US Equity","ARDR_TOTAL_CONTIGENT_PAYABLE","FQ3 2024","FQ3 2024","Currency=USD","Period=FQ","BEST_FPERIOD_OVERRIDE=FQ","FILING_STATUS=MR","SCALING_FORMAT=MLN","Sort=A","Dates=H","DateFormat=P","Fill=—","Direction=H","UseDPDF=Y")</f>
        <v>—</v>
      </c>
    </row>
    <row r="100" spans="1:27" x14ac:dyDescent="0.25">
      <c r="A100" s="10" t="s">
        <v>735</v>
      </c>
      <c r="B100" s="10" t="s">
        <v>912</v>
      </c>
      <c r="C100" s="13">
        <f>_xll.BDH("BLUE US Equity","ARDR_OPTIONS_GRANTED_DURING_PER","FQ2 2018","FQ2 2018","Currency=USD","Period=FQ","BEST_FPERIOD_OVERRIDE=FQ","FILING_STATUS=MR","SCALING_FORMAT=MLN","Sort=A","Dates=H","DateFormat=P","Fill=—","Direction=H","UseDPDF=Y")</f>
        <v>0.21099999999999999</v>
      </c>
      <c r="D100" s="13">
        <f>_xll.BDH("BLUE US Equity","ARDR_OPTIONS_GRANTED_DURING_PER","FQ3 2018","FQ3 2018","Currency=USD","Period=FQ","BEST_FPERIOD_OVERRIDE=FQ","FILING_STATUS=MR","SCALING_FORMAT=MLN","Sort=A","Dates=H","DateFormat=P","Fill=—","Direction=H","UseDPDF=Y")</f>
        <v>0.19600000000000001</v>
      </c>
      <c r="E100" s="13">
        <f>_xll.BDH("BLUE US Equity","ARDR_OPTIONS_GRANTED_DURING_PER","FQ4 2018","FQ4 2018","Currency=USD","Period=FQ","BEST_FPERIOD_OVERRIDE=FQ","FILING_STATUS=MR","SCALING_FORMAT=MLN","Sort=A","Dates=H","DateFormat=P","Fill=—","Direction=H","UseDPDF=Y")</f>
        <v>0.186</v>
      </c>
      <c r="F100" s="13">
        <f>_xll.BDH("BLUE US Equity","ARDR_OPTIONS_GRANTED_DURING_PER","FQ1 2019","FQ1 2019","Currency=USD","Period=FQ","BEST_FPERIOD_OVERRIDE=FQ","FILING_STATUS=MR","SCALING_FORMAT=MLN","Sort=A","Dates=H","DateFormat=P","Fill=—","Direction=H","UseDPDF=Y")</f>
        <v>1.085</v>
      </c>
      <c r="G100" s="13">
        <f>_xll.BDH("BLUE US Equity","ARDR_OPTIONS_GRANTED_DURING_PER","FQ2 2019","FQ2 2019","Currency=USD","Period=FQ","BEST_FPERIOD_OVERRIDE=FQ","FILING_STATUS=MR","SCALING_FORMAT=MLN","Sort=A","Dates=H","DateFormat=P","Fill=—","Direction=H","UseDPDF=Y")</f>
        <v>1.266</v>
      </c>
      <c r="H100" s="13">
        <f>_xll.BDH("BLUE US Equity","ARDR_OPTIONS_GRANTED_DURING_PER","FQ3 2019","FQ3 2019","Currency=USD","Period=FQ","BEST_FPERIOD_OVERRIDE=FQ","FILING_STATUS=MR","SCALING_FORMAT=MLN","Sort=A","Dates=H","DateFormat=P","Fill=—","Direction=H","UseDPDF=Y")</f>
        <v>0.18099999999999999</v>
      </c>
      <c r="I100" s="13">
        <f>_xll.BDH("BLUE US Equity","ARDR_OPTIONS_GRANTED_DURING_PER","FQ4 2019","FQ4 2019","Currency=USD","Period=FQ","BEST_FPERIOD_OVERRIDE=FQ","FILING_STATUS=MR","SCALING_FORMAT=MLN","Sort=A","Dates=H","DateFormat=P","Fill=—","Direction=H","UseDPDF=Y")</f>
        <v>0.14699999999999999</v>
      </c>
      <c r="J100" s="13">
        <f>_xll.BDH("BLUE US Equity","ARDR_OPTIONS_GRANTED_DURING_PER","FQ1 2020","FQ1 2020","Currency=USD","Period=FQ","BEST_FPERIOD_OVERRIDE=FQ","FILING_STATUS=MR","SCALING_FORMAT=MLN","Sort=A","Dates=H","DateFormat=P","Fill=—","Direction=H","UseDPDF=Y")</f>
        <v>1.147</v>
      </c>
      <c r="K100" s="13">
        <f>_xll.BDH("BLUE US Equity","ARDR_OPTIONS_GRANTED_DURING_PER","FQ2 2020","FQ2 2020","Currency=USD","Period=FQ","BEST_FPERIOD_OVERRIDE=FQ","FILING_STATUS=MR","SCALING_FORMAT=MLN","Sort=A","Dates=H","DateFormat=P","Fill=—","Direction=H","UseDPDF=Y")</f>
        <v>1.306</v>
      </c>
      <c r="L100" s="13">
        <f>_xll.BDH("BLUE US Equity","ARDR_OPTIONS_GRANTED_DURING_PER","FQ3 2020","FQ3 2020","Currency=USD","Period=FQ","BEST_FPERIOD_OVERRIDE=FQ","FILING_STATUS=MR","SCALING_FORMAT=MLN","Sort=A","Dates=H","DateFormat=P","Fill=—","Direction=H","UseDPDF=Y")</f>
        <v>0.115</v>
      </c>
      <c r="M100" s="13">
        <f>_xll.BDH("BLUE US Equity","ARDR_OPTIONS_GRANTED_DURING_PER","FQ4 2020","FQ4 2020","Currency=USD","Period=FQ","BEST_FPERIOD_OVERRIDE=FQ","FILING_STATUS=MR","SCALING_FORMAT=MLN","Sort=A","Dates=H","DateFormat=P","Fill=—","Direction=H","UseDPDF=Y")</f>
        <v>0.16400000000000001</v>
      </c>
      <c r="N100" s="13">
        <f>_xll.BDH("BLUE US Equity","ARDR_OPTIONS_GRANTED_DURING_PER","FQ1 2021","FQ1 2021","Currency=USD","Period=FQ","BEST_FPERIOD_OVERRIDE=FQ","FILING_STATUS=MR","SCALING_FORMAT=MLN","Sort=A","Dates=H","DateFormat=P","Fill=—","Direction=H","UseDPDF=Y")</f>
        <v>0.67100000000000004</v>
      </c>
      <c r="O100" s="13">
        <f>_xll.BDH("BLUE US Equity","ARDR_OPTIONS_GRANTED_DURING_PER","FQ2 2021","FQ2 2021","Currency=USD","Period=FQ","BEST_FPERIOD_OVERRIDE=FQ","FILING_STATUS=MR","SCALING_FORMAT=MLN","Sort=A","Dates=H","DateFormat=P","Fill=—","Direction=H","UseDPDF=Y")</f>
        <v>0.14000000000000001</v>
      </c>
      <c r="P100" s="13">
        <f>_xll.BDH("BLUE US Equity","ARDR_OPTIONS_GRANTED_DURING_PER","FQ3 2021","FQ3 2021","Currency=USD","Period=FQ","BEST_FPERIOD_OVERRIDE=FQ","FILING_STATUS=MR","SCALING_FORMAT=MLN","Sort=A","Dates=H","DateFormat=P","Fill=—","Direction=H","UseDPDF=Y")</f>
        <v>0.377</v>
      </c>
      <c r="Q100" s="13">
        <f>_xll.BDH("BLUE US Equity","ARDR_OPTIONS_GRANTED_DURING_PER","FQ4 2021","FQ4 2021","Currency=USD","Period=FQ","BEST_FPERIOD_OVERRIDE=FQ","FILING_STATUS=MR","SCALING_FORMAT=MLN","Sort=A","Dates=H","DateFormat=P","Fill=—","Direction=H","UseDPDF=Y")</f>
        <v>0.05</v>
      </c>
      <c r="R100" s="13">
        <f>_xll.BDH("BLUE US Equity","ARDR_OPTIONS_GRANTED_DURING_PER","FQ1 2022","FQ1 2022","Currency=USD","Period=FQ","BEST_FPERIOD_OVERRIDE=FQ","FILING_STATUS=MR","SCALING_FORMAT=MLN","Sort=A","Dates=H","DateFormat=P","Fill=—","Direction=H","UseDPDF=Y")</f>
        <v>0.89</v>
      </c>
      <c r="S100" s="13">
        <f>_xll.BDH("BLUE US Equity","ARDR_OPTIONS_GRANTED_DURING_PER","FQ2 2022","FQ2 2022","Currency=USD","Period=FQ","BEST_FPERIOD_OVERRIDE=FQ","FILING_STATUS=MR","SCALING_FORMAT=MLN","Sort=A","Dates=H","DateFormat=P","Fill=—","Direction=H","UseDPDF=Y")</f>
        <v>7.6999999999999999E-2</v>
      </c>
      <c r="T100" s="13">
        <f>_xll.BDH("BLUE US Equity","ARDR_OPTIONS_GRANTED_DURING_PER","FQ3 2022","FQ3 2022","Currency=USD","Period=FQ","BEST_FPERIOD_OVERRIDE=FQ","FILING_STATUS=MR","SCALING_FORMAT=MLN","Sort=A","Dates=H","DateFormat=P","Fill=—","Direction=H","UseDPDF=Y")</f>
        <v>6.7000000000000004E-2</v>
      </c>
      <c r="U100" s="13">
        <f>_xll.BDH("BLUE US Equity","ARDR_OPTIONS_GRANTED_DURING_PER","FQ4 2022","FQ4 2022","Currency=USD","Period=FQ","BEST_FPERIOD_OVERRIDE=FQ","FILING_STATUS=MR","SCALING_FORMAT=MLN","Sort=A","Dates=H","DateFormat=P","Fill=—","Direction=H","UseDPDF=Y")</f>
        <v>0.16</v>
      </c>
      <c r="V100" s="13">
        <f>_xll.BDH("BLUE US Equity","ARDR_OPTIONS_GRANTED_DURING_PER","FQ1 2023","FQ1 2023","Currency=USD","Period=FQ","BEST_FPERIOD_OVERRIDE=FQ","FILING_STATUS=MR","SCALING_FORMAT=MLN","Sort=A","Dates=H","DateFormat=P","Fill=—","Direction=H","UseDPDF=Y")</f>
        <v>1.6419999999999999</v>
      </c>
      <c r="W100" s="13">
        <f>_xll.BDH("BLUE US Equity","ARDR_OPTIONS_GRANTED_DURING_PER","FQ2 2023","FQ2 2023","Currency=USD","Period=FQ","BEST_FPERIOD_OVERRIDE=FQ","FILING_STATUS=MR","SCALING_FORMAT=MLN","Sort=A","Dates=H","DateFormat=P","Fill=—","Direction=H","UseDPDF=Y")</f>
        <v>0.33200000000000002</v>
      </c>
      <c r="X100" s="13">
        <f>_xll.BDH("BLUE US Equity","ARDR_OPTIONS_GRANTED_DURING_PER","FQ3 2023","FQ3 2023","Currency=USD","Period=FQ","BEST_FPERIOD_OVERRIDE=FQ","FILING_STATUS=MR","SCALING_FORMAT=MLN","Sort=A","Dates=H","DateFormat=P","Fill=—","Direction=H","UseDPDF=Y")</f>
        <v>4.1000000000000002E-2</v>
      </c>
      <c r="Y100" s="13">
        <f>_xll.BDH("BLUE US Equity","ARDR_OPTIONS_GRANTED_DURING_PER","FQ1 2024","FQ1 2024","Currency=USD","Period=FQ","BEST_FPERIOD_OVERRIDE=FQ","FILING_STATUS=MR","SCALING_FORMAT=MLN","Sort=A","Dates=H","DateFormat=P","Fill=—","Direction=H","UseDPDF=Y")</f>
        <v>2.5720000000000001</v>
      </c>
      <c r="Z100" s="13">
        <f>_xll.BDH("BLUE US Equity","ARDR_OPTIONS_GRANTED_DURING_PER","FQ2 2024","FQ2 2024","Currency=USD","Period=FQ","BEST_FPERIOD_OVERRIDE=FQ","FILING_STATUS=MR","SCALING_FORMAT=MLN","Sort=A","Dates=H","DateFormat=P","Fill=—","Direction=H","UseDPDF=Y")</f>
        <v>0.1</v>
      </c>
      <c r="AA100" s="13">
        <f>_xll.BDH("BLUE US Equity","ARDR_OPTIONS_GRANTED_DURING_PER","FQ3 2024","FQ3 2024","Currency=USD","Period=FQ","BEST_FPERIOD_OVERRIDE=FQ","FILING_STATUS=MR","SCALING_FORMAT=MLN","Sort=A","Dates=H","DateFormat=P","Fill=—","Direction=H","UseDPDF=Y")</f>
        <v>0.33800000000000002</v>
      </c>
    </row>
    <row r="101" spans="1:27" x14ac:dyDescent="0.25">
      <c r="A101" s="10" t="s">
        <v>913</v>
      </c>
      <c r="B101" s="10" t="s">
        <v>914</v>
      </c>
      <c r="C101" s="13">
        <f>_xll.BDH("BLUE US Equity","ARDR_OPTIONS_OUTSTANDING_END_PER","FQ2 2018","FQ2 2018","Currency=USD","Period=FQ","BEST_FPERIOD_OVERRIDE=FQ","FILING_STATUS=MR","Sort=A","Dates=H","DateFormat=P","Fill=—","Direction=H","UseDPDF=Y")</f>
        <v>4.5049999999999999</v>
      </c>
      <c r="D101" s="13">
        <f>_xll.BDH("BLUE US Equity","ARDR_OPTIONS_OUTSTANDING_END_PER","FQ3 2018","FQ3 2018","Currency=USD","Period=FQ","BEST_FPERIOD_OVERRIDE=FQ","FILING_STATUS=MR","Sort=A","Dates=H","DateFormat=P","Fill=—","Direction=H","UseDPDF=Y")</f>
        <v>4.5389999999999997</v>
      </c>
      <c r="E101" s="13">
        <f>_xll.BDH("BLUE US Equity","ARDR_OPTIONS_OUTSTANDING_END_PER","FQ4 2018","FQ4 2018","Currency=USD","Period=FQ","BEST_FPERIOD_OVERRIDE=FQ","FILING_STATUS=MR","Sort=A","Dates=H","DateFormat=P","Fill=—","Direction=H","UseDPDF=Y")</f>
        <v>4.6429999999999998</v>
      </c>
      <c r="F101" s="13">
        <f>_xll.BDH("BLUE US Equity","ARDR_OPTIONS_OUTSTANDING_END_PER","FQ1 2019","FQ1 2019","Currency=USD","Period=FQ","BEST_FPERIOD_OVERRIDE=FQ","FILING_STATUS=MR","Sort=A","Dates=H","DateFormat=P","Fill=—","Direction=H","UseDPDF=Y")</f>
        <v>5.3840000000000003</v>
      </c>
      <c r="G101" s="13">
        <f>_xll.BDH("BLUE US Equity","ARDR_OPTIONS_OUTSTANDING_END_PER","FQ2 2019","FQ2 2019","Currency=USD","Period=FQ","BEST_FPERIOD_OVERRIDE=FQ","FILING_STATUS=MR","Sort=A","Dates=H","DateFormat=P","Fill=—","Direction=H","UseDPDF=Y")</f>
        <v>5.3929999999999998</v>
      </c>
      <c r="H101" s="13">
        <f>_xll.BDH("BLUE US Equity","ARDR_OPTIONS_OUTSTANDING_END_PER","FQ3 2019","FQ3 2019","Currency=USD","Period=FQ","BEST_FPERIOD_OVERRIDE=FQ","FILING_STATUS=MR","Sort=A","Dates=H","DateFormat=P","Fill=—","Direction=H","UseDPDF=Y")</f>
        <v>5.4690000000000003</v>
      </c>
      <c r="I101" s="13">
        <f>_xll.BDH("BLUE US Equity","ARDR_OPTIONS_OUTSTANDING_END_PER","FQ4 2019","FQ4 2019","Currency=USD","Period=FQ","BEST_FPERIOD_OVERRIDE=FQ","FILING_STATUS=MR","Sort=A","Dates=H","DateFormat=P","Fill=—","Direction=H","UseDPDF=Y")</f>
        <v>5.4829999999999997</v>
      </c>
      <c r="J101" s="13">
        <f>_xll.BDH("BLUE US Equity","ARDR_OPTIONS_OUTSTANDING_END_PER","FQ1 2020","FQ1 2020","Currency=USD","Period=FQ","BEST_FPERIOD_OVERRIDE=FQ","FILING_STATUS=MR","Sort=A","Dates=H","DateFormat=P","Fill=—","Direction=H","UseDPDF=Y")</f>
        <v>6.4779999999999998</v>
      </c>
      <c r="K101" s="13">
        <f>_xll.BDH("BLUE US Equity","ARDR_OPTIONS_OUTSTANDING_END_PER","FQ2 2020","FQ2 2020","Currency=USD","Period=FQ","BEST_FPERIOD_OVERRIDE=FQ","FILING_STATUS=MR","Sort=A","Dates=H","DateFormat=P","Fill=—","Direction=H","UseDPDF=Y")</f>
        <v>6.4660000000000002</v>
      </c>
      <c r="L101" s="13">
        <f>_xll.BDH("BLUE US Equity","ARDR_OPTIONS_OUTSTANDING_END_PER","FQ3 2020","FQ3 2020","Currency=USD","Period=FQ","BEST_FPERIOD_OVERRIDE=FQ","FILING_STATUS=MR","Sort=A","Dates=H","DateFormat=P","Fill=—","Direction=H","UseDPDF=Y")</f>
        <v>6.3630000000000004</v>
      </c>
      <c r="M101" s="13">
        <f>_xll.BDH("BLUE US Equity","ARDR_OPTIONS_OUTSTANDING_END_PER","FQ4 2020","FQ4 2020","Currency=USD","Period=FQ","BEST_FPERIOD_OVERRIDE=FQ","FILING_STATUS=MR","Sort=A","Dates=H","DateFormat=P","Fill=—","Direction=H","UseDPDF=Y")</f>
        <v>6.2619999999999996</v>
      </c>
      <c r="N101" s="13">
        <f>_xll.BDH("BLUE US Equity","ARDR_OPTIONS_OUTSTANDING_END_PER","FQ1 2021","FQ1 2021","Currency=USD","Period=FQ","BEST_FPERIOD_OVERRIDE=FQ","FILING_STATUS=MR","Sort=A","Dates=H","DateFormat=P","Fill=—","Direction=H","UseDPDF=Y")</f>
        <v>6.4580000000000002</v>
      </c>
      <c r="O101" s="13">
        <f>_xll.BDH("BLUE US Equity","ARDR_OPTIONS_OUTSTANDING_END_PER","FQ2 2021","FQ2 2021","Currency=USD","Period=FQ","BEST_FPERIOD_OVERRIDE=FQ","FILING_STATUS=MR","Sort=A","Dates=H","DateFormat=P","Fill=—","Direction=H","UseDPDF=Y")</f>
        <v>6.0990000000000002</v>
      </c>
      <c r="P101" s="13">
        <f>_xll.BDH("BLUE US Equity","ARDR_OPTIONS_OUTSTANDING_END_PER","FQ3 2021","FQ3 2021","Currency=USD","Period=FQ","BEST_FPERIOD_OVERRIDE=FQ","FILING_STATUS=MR","Sort=A","Dates=H","DateFormat=P","Fill=—","Direction=H","UseDPDF=Y")</f>
        <v>5.6740000000000004</v>
      </c>
      <c r="Q101" s="13">
        <f>_xll.BDH("BLUE US Equity","ARDR_OPTIONS_OUTSTANDING_END_PER","FQ4 2021","FQ4 2021","Currency=USD","Period=FQ","BEST_FPERIOD_OVERRIDE=FQ","FILING_STATUS=MR","Sort=A","Dates=H","DateFormat=P","Fill=—","Direction=H","UseDPDF=Y")</f>
        <v>3.5859999999999999</v>
      </c>
      <c r="R101" s="13">
        <f>_xll.BDH("BLUE US Equity","ARDR_OPTIONS_OUTSTANDING_END_PER","FQ1 2022","FQ1 2022","Currency=USD","Period=FQ","BEST_FPERIOD_OVERRIDE=FQ","FILING_STATUS=MR","Sort=A","Dates=H","DateFormat=P","Fill=—","Direction=H","UseDPDF=Y")</f>
        <v>3.74</v>
      </c>
      <c r="S101" s="13">
        <f>_xll.BDH("BLUE US Equity","ARDR_OPTIONS_OUTSTANDING_END_PER","FQ2 2022","FQ2 2022","Currency=USD","Period=FQ","BEST_FPERIOD_OVERRIDE=FQ","FILING_STATUS=MR","Sort=A","Dates=H","DateFormat=P","Fill=—","Direction=H","UseDPDF=Y")</f>
        <v>3.069</v>
      </c>
      <c r="T101" s="13">
        <f>_xll.BDH("BLUE US Equity","ARDR_OPTIONS_OUTSTANDING_END_PER","FQ3 2022","FQ3 2022","Currency=USD","Period=FQ","BEST_FPERIOD_OVERRIDE=FQ","FILING_STATUS=MR","Sort=A","Dates=H","DateFormat=P","Fill=—","Direction=H","UseDPDF=Y")</f>
        <v>2.7250000000000001</v>
      </c>
      <c r="U101" s="13">
        <f>_xll.BDH("BLUE US Equity","ARDR_OPTIONS_OUTSTANDING_END_PER","FQ4 2022","FQ4 2022","Currency=USD","Period=FQ","BEST_FPERIOD_OVERRIDE=FQ","FILING_STATUS=MR","Sort=A","Dates=H","DateFormat=P","Fill=—","Direction=H","UseDPDF=Y")</f>
        <v>2.6680000000000001</v>
      </c>
      <c r="V101" s="13">
        <f>_xll.BDH("BLUE US Equity","ARDR_OPTIONS_OUTSTANDING_END_PER","FQ1 2023","FQ1 2023","Currency=USD","Period=FQ","BEST_FPERIOD_OVERRIDE=FQ","FILING_STATUS=MR","Sort=A","Dates=H","DateFormat=P","Fill=—","Direction=H","UseDPDF=Y")</f>
        <v>4.234</v>
      </c>
      <c r="W101" s="13">
        <f>_xll.BDH("BLUE US Equity","ARDR_OPTIONS_OUTSTANDING_END_PER","FQ2 2023","FQ2 2023","Currency=USD","Period=FQ","BEST_FPERIOD_OVERRIDE=FQ","FILING_STATUS=MR","Sort=A","Dates=H","DateFormat=P","Fill=—","Direction=H","UseDPDF=Y")</f>
        <v>4.4290000000000003</v>
      </c>
      <c r="X101" s="13">
        <f>_xll.BDH("BLUE US Equity","ARDR_OPTIONS_OUTSTANDING_END_PER","FQ3 2023","FQ3 2023","Currency=USD","Period=FQ","BEST_FPERIOD_OVERRIDE=FQ","FILING_STATUS=MR","Sort=A","Dates=H","DateFormat=P","Fill=—","Direction=H","UseDPDF=Y")</f>
        <v>4.2270000000000003</v>
      </c>
      <c r="Y101" s="13">
        <f>_xll.BDH("BLUE US Equity","ARDR_OPTIONS_OUTSTANDING_END_PER","FQ1 2024","FQ1 2024","Currency=USD","Period=FQ","BEST_FPERIOD_OVERRIDE=FQ","FILING_STATUS=MR","Sort=A","Dates=H","DateFormat=P","Fill=—","Direction=H","UseDPDF=Y")</f>
        <v>6.57</v>
      </c>
      <c r="Z101" s="13">
        <f>_xll.BDH("BLUE US Equity","ARDR_OPTIONS_OUTSTANDING_END_PER","FQ2 2024","FQ2 2024","Currency=USD","Period=FQ","BEST_FPERIOD_OVERRIDE=FQ","FILING_STATUS=MR","Sort=A","Dates=H","DateFormat=P","Fill=—","Direction=H","UseDPDF=Y")</f>
        <v>6.2990000000000004</v>
      </c>
      <c r="AA101" s="13">
        <f>_xll.BDH("BLUE US Equity","ARDR_OPTIONS_OUTSTANDING_END_PER","FQ3 2024","FQ3 2024","Currency=USD","Period=FQ","BEST_FPERIOD_OVERRIDE=FQ","FILING_STATUS=MR","Sort=A","Dates=H","DateFormat=P","Fill=—","Direction=H","UseDPDF=Y")</f>
        <v>6.3319999999999999</v>
      </c>
    </row>
    <row r="102" spans="1:27" x14ac:dyDescent="0.25">
      <c r="A102" s="10" t="s">
        <v>915</v>
      </c>
      <c r="B102" s="10" t="s">
        <v>916</v>
      </c>
      <c r="C102" s="13">
        <f>_xll.BDH("BLUE US Equity","ARDR_OPTIONS_EXERCISED_DUR_PER","FQ2 2018","FQ2 2018","Currency=USD","Period=FQ","BEST_FPERIOD_OVERRIDE=FQ","FILING_STATUS=MR","SCALING_FORMAT=MLN","Sort=A","Dates=H","DateFormat=P","Fill=—","Direction=H","UseDPDF=Y")</f>
        <v>0.125</v>
      </c>
      <c r="D102" s="13">
        <f>_xll.BDH("BLUE US Equity","ARDR_OPTIONS_EXERCISED_DUR_PER","FQ3 2018","FQ3 2018","Currency=USD","Period=FQ","BEST_FPERIOD_OVERRIDE=FQ","FILING_STATUS=MR","SCALING_FORMAT=MLN","Sort=A","Dates=H","DateFormat=P","Fill=—","Direction=H","UseDPDF=Y")</f>
        <v>0.109</v>
      </c>
      <c r="E102" s="13">
        <f>_xll.BDH("BLUE US Equity","ARDR_OPTIONS_EXERCISED_DUR_PER","FQ4 2018","FQ4 2018","Currency=USD","Period=FQ","BEST_FPERIOD_OVERRIDE=FQ","FILING_STATUS=MR","SCALING_FORMAT=MLN","Sort=A","Dates=H","DateFormat=P","Fill=—","Direction=H","UseDPDF=Y")</f>
        <v>0.04</v>
      </c>
      <c r="F102" s="13">
        <f>_xll.BDH("BLUE US Equity","ARDR_OPTIONS_EXERCISED_DUR_PER","FQ1 2019","FQ1 2019","Currency=USD","Period=FQ","BEST_FPERIOD_OVERRIDE=FQ","FILING_STATUS=MR","SCALING_FORMAT=MLN","Sort=A","Dates=H","DateFormat=P","Fill=—","Direction=H","UseDPDF=Y")</f>
        <v>0.189</v>
      </c>
      <c r="G102" s="13">
        <f>_xll.BDH("BLUE US Equity","ARDR_OPTIONS_EXERCISED_DUR_PER","FQ2 2019","FQ2 2019","Currency=USD","Period=FQ","BEST_FPERIOD_OVERRIDE=FQ","FILING_STATUS=MR","SCALING_FORMAT=MLN","Sort=A","Dates=H","DateFormat=P","Fill=—","Direction=H","UseDPDF=Y")</f>
        <v>0.28199999999999997</v>
      </c>
      <c r="H102" s="13">
        <f>_xll.BDH("BLUE US Equity","ARDR_OPTIONS_EXERCISED_DUR_PER","FQ3 2019","FQ3 2019","Currency=USD","Period=FQ","BEST_FPERIOD_OVERRIDE=FQ","FILING_STATUS=MR","SCALING_FORMAT=MLN","Sort=A","Dates=H","DateFormat=P","Fill=—","Direction=H","UseDPDF=Y")</f>
        <v>5.0999999999999997E-2</v>
      </c>
      <c r="I102" s="13">
        <f>_xll.BDH("BLUE US Equity","ARDR_OPTIONS_EXERCISED_DUR_PER","FQ4 2019","FQ4 2019","Currency=USD","Period=FQ","BEST_FPERIOD_OVERRIDE=FQ","FILING_STATUS=MR","SCALING_FORMAT=MLN","Sort=A","Dates=H","DateFormat=P","Fill=—","Direction=H","UseDPDF=Y")</f>
        <v>2.1000000000000001E-2</v>
      </c>
      <c r="J102" s="13">
        <f>_xll.BDH("BLUE US Equity","ARDR_OPTIONS_EXERCISED_DUR_PER","FQ1 2020","FQ1 2020","Currency=USD","Period=FQ","BEST_FPERIOD_OVERRIDE=FQ","FILING_STATUS=MR","SCALING_FORMAT=MLN","Sort=A","Dates=H","DateFormat=P","Fill=—","Direction=H","UseDPDF=Y")</f>
        <v>0.02</v>
      </c>
      <c r="K102" s="13">
        <f>_xll.BDH("BLUE US Equity","ARDR_OPTIONS_EXERCISED_DUR_PER","FQ2 2020","FQ2 2020","Currency=USD","Period=FQ","BEST_FPERIOD_OVERRIDE=FQ","FILING_STATUS=MR","SCALING_FORMAT=MLN","Sort=A","Dates=H","DateFormat=P","Fill=—","Direction=H","UseDPDF=Y")</f>
        <v>2.7E-2</v>
      </c>
      <c r="L102" s="13">
        <f>_xll.BDH("BLUE US Equity","ARDR_OPTIONS_EXERCISED_DUR_PER","FQ3 2020","FQ3 2020","Currency=USD","Period=FQ","BEST_FPERIOD_OVERRIDE=FQ","FILING_STATUS=MR","SCALING_FORMAT=MLN","Sort=A","Dates=H","DateFormat=P","Fill=—","Direction=H","UseDPDF=Y")</f>
        <v>2.8000000000000001E-2</v>
      </c>
      <c r="M102" s="13">
        <f>_xll.BDH("BLUE US Equity","ARDR_OPTIONS_EXERCISED_DUR_PER","FQ4 2020","FQ4 2020","Currency=USD","Period=FQ","BEST_FPERIOD_OVERRIDE=FQ","FILING_STATUS=MR","SCALING_FORMAT=MLN","Sort=A","Dates=H","DateFormat=P","Fill=—","Direction=H","UseDPDF=Y")</f>
        <v>0.04</v>
      </c>
      <c r="N102" s="13">
        <f>_xll.BDH("BLUE US Equity","ARDR_OPTIONS_EXERCISED_DUR_PER","FQ1 2021","FQ1 2021","Currency=USD","Period=FQ","BEST_FPERIOD_OVERRIDE=FQ","FILING_STATUS=MR","SCALING_FORMAT=MLN","Sort=A","Dates=H","DateFormat=P","Fill=—","Direction=H","UseDPDF=Y")</f>
        <v>0.20699999999999999</v>
      </c>
      <c r="O102" s="13">
        <f>_xll.BDH("BLUE US Equity","ARDR_OPTIONS_EXERCISED_DUR_PER","FQ2 2021","FQ2 2021","Currency=USD","Period=FQ","BEST_FPERIOD_OVERRIDE=FQ","FILING_STATUS=MR","SCALING_FORMAT=MLN","Sort=A","Dates=H","DateFormat=P","Fill=—","Direction=H","UseDPDF=Y")</f>
        <v>2E-3</v>
      </c>
      <c r="P102" s="13">
        <f>_xll.BDH("BLUE US Equity","ARDR_OPTIONS_EXERCISED_DUR_PER","FQ3 2021","FQ3 2021","Currency=USD","Period=FQ","BEST_FPERIOD_OVERRIDE=FQ","FILING_STATUS=MR","SCALING_FORMAT=MLN","Sort=A","Dates=H","DateFormat=P","Fill=—","Direction=H","UseDPDF=Y")</f>
        <v>0.01</v>
      </c>
      <c r="Q102" s="13">
        <f>_xll.BDH("BLUE US Equity","ARDR_OPTIONS_EXERCISED_DUR_PER","FQ4 2021","FQ4 2021","Currency=USD","Period=FQ","BEST_FPERIOD_OVERRIDE=FQ","FILING_STATUS=MR","SCALING_FORMAT=MLN","Sort=A","Dates=H","DateFormat=P","Fill=—","Direction=H","UseDPDF=Y")</f>
        <v>0.218</v>
      </c>
      <c r="R102" s="13">
        <f>_xll.BDH("BLUE US Equity","ARDR_OPTIONS_EXERCISED_DUR_PER","FQ1 2022","FQ1 2022","Currency=USD","Period=FQ","BEST_FPERIOD_OVERRIDE=FQ","FILING_STATUS=MR","SCALING_FORMAT=MLN","Sort=A","Dates=H","DateFormat=P","Fill=—","Direction=H","UseDPDF=Y")</f>
        <v>1E-3</v>
      </c>
      <c r="S102" s="13">
        <f>_xll.BDH("BLUE US Equity","ARDR_OPTIONS_EXERCISED_DUR_PER","FQ2 2022","FQ2 2022","Currency=USD","Period=FQ","BEST_FPERIOD_OVERRIDE=FQ","FILING_STATUS=MR","SCALING_FORMAT=MLN","Sort=A","Dates=H","DateFormat=P","Fill=—","Direction=H","UseDPDF=Y")</f>
        <v>1E-3</v>
      </c>
      <c r="T102" s="13">
        <f>_xll.BDH("BLUE US Equity","ARDR_OPTIONS_EXERCISED_DUR_PER","FQ3 2022","FQ3 2022","Currency=USD","Period=FQ","BEST_FPERIOD_OVERRIDE=FQ","FILING_STATUS=MR","SCALING_FORMAT=MLN","Sort=A","Dates=H","DateFormat=P","Fill=—","Direction=H","UseDPDF=Y")</f>
        <v>0</v>
      </c>
      <c r="U102" s="13">
        <f>_xll.BDH("BLUE US Equity","ARDR_OPTIONS_EXERCISED_DUR_PER","FQ4 2022","FQ4 2022","Currency=USD","Period=FQ","BEST_FPERIOD_OVERRIDE=FQ","FILING_STATUS=MR","SCALING_FORMAT=MLN","Sort=A","Dates=H","DateFormat=P","Fill=—","Direction=H","UseDPDF=Y")</f>
        <v>5.0000000000000001E-3</v>
      </c>
      <c r="V102" s="13">
        <f>_xll.BDH("BLUE US Equity","ARDR_OPTIONS_EXERCISED_DUR_PER","FQ1 2023","FQ1 2023","Currency=USD","Period=FQ","BEST_FPERIOD_OVERRIDE=FQ","FILING_STATUS=MR","SCALING_FORMAT=MLN","Sort=A","Dates=H","DateFormat=P","Fill=—","Direction=H","UseDPDF=Y")</f>
        <v>3.0000000000000001E-3</v>
      </c>
      <c r="W102" s="13">
        <f>_xll.BDH("BLUE US Equity","ARDR_OPTIONS_EXERCISED_DUR_PER","FQ2 2023","FQ2 2023","Currency=USD","Period=FQ","BEST_FPERIOD_OVERRIDE=FQ","FILING_STATUS=MR","SCALING_FORMAT=MLN","Sort=A","Dates=H","DateFormat=P","Fill=—","Direction=H","UseDPDF=Y")</f>
        <v>0</v>
      </c>
      <c r="X102" s="13">
        <f>_xll.BDH("BLUE US Equity","ARDR_OPTIONS_EXERCISED_DUR_PER","FQ3 2023","FQ3 2023","Currency=USD","Period=FQ","BEST_FPERIOD_OVERRIDE=FQ","FILING_STATUS=MR","SCALING_FORMAT=MLN","Sort=A","Dates=H","DateFormat=P","Fill=—","Direction=H","UseDPDF=Y")</f>
        <v>0</v>
      </c>
      <c r="Y102" s="13">
        <f>_xll.BDH("BLUE US Equity","ARDR_OPTIONS_EXERCISED_DUR_PER","FQ1 2024","FQ1 2024","Currency=USD","Period=FQ","BEST_FPERIOD_OVERRIDE=FQ","FILING_STATUS=MR","SCALING_FORMAT=MLN","Sort=A","Dates=H","DateFormat=P","Fill=—","Direction=H","UseDPDF=Y")</f>
        <v>0</v>
      </c>
      <c r="Z102" s="13">
        <f>_xll.BDH("BLUE US Equity","ARDR_OPTIONS_EXERCISED_DUR_PER","FQ2 2024","FQ2 2024","Currency=USD","Period=FQ","BEST_FPERIOD_OVERRIDE=FQ","FILING_STATUS=MR","SCALING_FORMAT=MLN","Sort=A","Dates=H","DateFormat=P","Fill=—","Direction=H","UseDPDF=Y")</f>
        <v>0</v>
      </c>
      <c r="AA102" s="13">
        <f>_xll.BDH("BLUE US Equity","ARDR_OPTIONS_EXERCISED_DUR_PER","FQ3 2024","FQ3 2024","Currency=USD","Period=FQ","BEST_FPERIOD_OVERRIDE=FQ","FILING_STATUS=MR","SCALING_FORMAT=MLN","Sort=A","Dates=H","DateFormat=P","Fill=—","Direction=H","UseDPDF=Y")</f>
        <v>0</v>
      </c>
    </row>
    <row r="103" spans="1:27" x14ac:dyDescent="0.25">
      <c r="A103" s="10" t="s">
        <v>917</v>
      </c>
      <c r="B103" s="10" t="s">
        <v>918</v>
      </c>
      <c r="C103" s="13" t="str">
        <f>_xll.BDH("BLUE US Equity","ARDR_DEFERRED_INC_TAB_LIAB_LT","FQ2 2018","FQ2 2018","Currency=USD","Period=FQ","BEST_FPERIOD_OVERRIDE=FQ","FILING_STATUS=MR","SCALING_FORMAT=MLN","Sort=A","Dates=H","DateFormat=P","Fill=—","Direction=H","UseDPDF=Y")</f>
        <v>—</v>
      </c>
      <c r="D103" s="13" t="str">
        <f>_xll.BDH("BLUE US Equity","ARDR_DEFERRED_INC_TAB_LIAB_LT","FQ3 2018","FQ3 2018","Currency=USD","Period=FQ","BEST_FPERIOD_OVERRIDE=FQ","FILING_STATUS=MR","SCALING_FORMAT=MLN","Sort=A","Dates=H","DateFormat=P","Fill=—","Direction=H","UseDPDF=Y")</f>
        <v>—</v>
      </c>
      <c r="E103" s="13">
        <f>_xll.BDH("BLUE US Equity","ARDR_DEFERRED_INC_TAB_LIAB_LT","FQ4 2018","FQ4 2018","Currency=USD","Period=FQ","BEST_FPERIOD_OVERRIDE=FQ","FILING_STATUS=MR","SCALING_FORMAT=MLN","Sort=A","Dates=H","DateFormat=P","Fill=—","Direction=H","UseDPDF=Y")</f>
        <v>0</v>
      </c>
      <c r="F103" s="13" t="str">
        <f>_xll.BDH("BLUE US Equity","ARDR_DEFERRED_INC_TAB_LIAB_LT","FQ1 2019","FQ1 2019","Currency=USD","Period=FQ","BEST_FPERIOD_OVERRIDE=FQ","FILING_STATUS=MR","SCALING_FORMAT=MLN","Sort=A","Dates=H","DateFormat=P","Fill=—","Direction=H","UseDPDF=Y")</f>
        <v>—</v>
      </c>
      <c r="G103" s="13" t="str">
        <f>_xll.BDH("BLUE US Equity","ARDR_DEFERRED_INC_TAB_LIAB_LT","FQ2 2019","FQ2 2019","Currency=USD","Period=FQ","BEST_FPERIOD_OVERRIDE=FQ","FILING_STATUS=MR","SCALING_FORMAT=MLN","Sort=A","Dates=H","DateFormat=P","Fill=—","Direction=H","UseDPDF=Y")</f>
        <v>—</v>
      </c>
      <c r="H103" s="13" t="str">
        <f>_xll.BDH("BLUE US Equity","ARDR_DEFERRED_INC_TAB_LIAB_LT","FQ3 2019","FQ3 2019","Currency=USD","Period=FQ","BEST_FPERIOD_OVERRIDE=FQ","FILING_STATUS=MR","SCALING_FORMAT=MLN","Sort=A","Dates=H","DateFormat=P","Fill=—","Direction=H","UseDPDF=Y")</f>
        <v>—</v>
      </c>
      <c r="I103" s="13">
        <f>_xll.BDH("BLUE US Equity","ARDR_DEFERRED_INC_TAB_LIAB_LT","FQ4 2019","FQ4 2019","Currency=USD","Period=FQ","BEST_FPERIOD_OVERRIDE=FQ","FILING_STATUS=MR","SCALING_FORMAT=MLN","Sort=A","Dates=H","DateFormat=P","Fill=—","Direction=H","UseDPDF=Y")</f>
        <v>0</v>
      </c>
      <c r="J103" s="13" t="str">
        <f>_xll.BDH("BLUE US Equity","ARDR_DEFERRED_INC_TAB_LIAB_LT","FQ1 2020","FQ1 2020","Currency=USD","Period=FQ","BEST_FPERIOD_OVERRIDE=FQ","FILING_STATUS=MR","SCALING_FORMAT=MLN","Sort=A","Dates=H","DateFormat=P","Fill=—","Direction=H","UseDPDF=Y")</f>
        <v>—</v>
      </c>
      <c r="K103" s="13" t="str">
        <f>_xll.BDH("BLUE US Equity","ARDR_DEFERRED_INC_TAB_LIAB_LT","FQ2 2020","FQ2 2020","Currency=USD","Period=FQ","BEST_FPERIOD_OVERRIDE=FQ","FILING_STATUS=MR","SCALING_FORMAT=MLN","Sort=A","Dates=H","DateFormat=P","Fill=—","Direction=H","UseDPDF=Y")</f>
        <v>—</v>
      </c>
      <c r="L103" s="13" t="str">
        <f>_xll.BDH("BLUE US Equity","ARDR_DEFERRED_INC_TAB_LIAB_LT","FQ3 2020","FQ3 2020","Currency=USD","Period=FQ","BEST_FPERIOD_OVERRIDE=FQ","FILING_STATUS=MR","SCALING_FORMAT=MLN","Sort=A","Dates=H","DateFormat=P","Fill=—","Direction=H","UseDPDF=Y")</f>
        <v>—</v>
      </c>
      <c r="M103" s="13">
        <f>_xll.BDH("BLUE US Equity","ARDR_DEFERRED_INC_TAB_LIAB_LT","FQ4 2020","FQ4 2020","Currency=USD","Period=FQ","BEST_FPERIOD_OVERRIDE=FQ","FILING_STATUS=MR","SCALING_FORMAT=MLN","Sort=A","Dates=H","DateFormat=P","Fill=—","Direction=H","UseDPDF=Y")</f>
        <v>0</v>
      </c>
      <c r="N103" s="13" t="str">
        <f>_xll.BDH("BLUE US Equity","ARDR_DEFERRED_INC_TAB_LIAB_LT","FQ1 2021","FQ1 2021","Currency=USD","Period=FQ","BEST_FPERIOD_OVERRIDE=FQ","FILING_STATUS=MR","SCALING_FORMAT=MLN","Sort=A","Dates=H","DateFormat=P","Fill=—","Direction=H","UseDPDF=Y")</f>
        <v>—</v>
      </c>
      <c r="O103" s="13" t="str">
        <f>_xll.BDH("BLUE US Equity","ARDR_DEFERRED_INC_TAB_LIAB_LT","FQ2 2021","FQ2 2021","Currency=USD","Period=FQ","BEST_FPERIOD_OVERRIDE=FQ","FILING_STATUS=MR","SCALING_FORMAT=MLN","Sort=A","Dates=H","DateFormat=P","Fill=—","Direction=H","UseDPDF=Y")</f>
        <v>—</v>
      </c>
      <c r="P103" s="13" t="str">
        <f>_xll.BDH("BLUE US Equity","ARDR_DEFERRED_INC_TAB_LIAB_LT","FQ3 2021","FQ3 2021","Currency=USD","Period=FQ","BEST_FPERIOD_OVERRIDE=FQ","FILING_STATUS=MR","SCALING_FORMAT=MLN","Sort=A","Dates=H","DateFormat=P","Fill=—","Direction=H","UseDPDF=Y")</f>
        <v>—</v>
      </c>
      <c r="Q103" s="13">
        <f>_xll.BDH("BLUE US Equity","ARDR_DEFERRED_INC_TAB_LIAB_LT","FQ4 2021","FQ4 2021","Currency=USD","Period=FQ","BEST_FPERIOD_OVERRIDE=FQ","FILING_STATUS=MR","SCALING_FORMAT=MLN","Sort=A","Dates=H","DateFormat=P","Fill=—","Direction=H","UseDPDF=Y")</f>
        <v>0</v>
      </c>
      <c r="R103" s="13" t="str">
        <f>_xll.BDH("BLUE US Equity","ARDR_DEFERRED_INC_TAB_LIAB_LT","FQ1 2022","FQ1 2022","Currency=USD","Period=FQ","BEST_FPERIOD_OVERRIDE=FQ","FILING_STATUS=MR","SCALING_FORMAT=MLN","Sort=A","Dates=H","DateFormat=P","Fill=—","Direction=H","UseDPDF=Y")</f>
        <v>—</v>
      </c>
      <c r="S103" s="13" t="str">
        <f>_xll.BDH("BLUE US Equity","ARDR_DEFERRED_INC_TAB_LIAB_LT","FQ2 2022","FQ2 2022","Currency=USD","Period=FQ","BEST_FPERIOD_OVERRIDE=FQ","FILING_STATUS=MR","SCALING_FORMAT=MLN","Sort=A","Dates=H","DateFormat=P","Fill=—","Direction=H","UseDPDF=Y")</f>
        <v>—</v>
      </c>
      <c r="T103" s="13" t="str">
        <f>_xll.BDH("BLUE US Equity","ARDR_DEFERRED_INC_TAB_LIAB_LT","FQ3 2022","FQ3 2022","Currency=USD","Period=FQ","BEST_FPERIOD_OVERRIDE=FQ","FILING_STATUS=MR","SCALING_FORMAT=MLN","Sort=A","Dates=H","DateFormat=P","Fill=—","Direction=H","UseDPDF=Y")</f>
        <v>—</v>
      </c>
      <c r="U103" s="13">
        <f>_xll.BDH("BLUE US Equity","ARDR_DEFERRED_INC_TAB_LIAB_LT","FQ4 2022","FQ4 2022","Currency=USD","Period=FQ","BEST_FPERIOD_OVERRIDE=FQ","FILING_STATUS=MR","SCALING_FORMAT=MLN","Sort=A","Dates=H","DateFormat=P","Fill=—","Direction=H","UseDPDF=Y")</f>
        <v>0</v>
      </c>
      <c r="V103" s="13" t="str">
        <f>_xll.BDH("BLUE US Equity","ARDR_DEFERRED_INC_TAB_LIAB_LT","FQ1 2023","FQ1 2023","Currency=USD","Period=FQ","BEST_FPERIOD_OVERRIDE=FQ","FILING_STATUS=MR","SCALING_FORMAT=MLN","Sort=A","Dates=H","DateFormat=P","Fill=—","Direction=H","UseDPDF=Y")</f>
        <v>—</v>
      </c>
      <c r="W103" s="13" t="str">
        <f>_xll.BDH("BLUE US Equity","ARDR_DEFERRED_INC_TAB_LIAB_LT","FQ2 2023","FQ2 2023","Currency=USD","Period=FQ","BEST_FPERIOD_OVERRIDE=FQ","FILING_STATUS=MR","SCALING_FORMAT=MLN","Sort=A","Dates=H","DateFormat=P","Fill=—","Direction=H","UseDPDF=Y")</f>
        <v>—</v>
      </c>
      <c r="X103" s="13" t="str">
        <f>_xll.BDH("BLUE US Equity","ARDR_DEFERRED_INC_TAB_LIAB_LT","FQ3 2023","FQ3 2023","Currency=USD","Period=FQ","BEST_FPERIOD_OVERRIDE=FQ","FILING_STATUS=MR","SCALING_FORMAT=MLN","Sort=A","Dates=H","DateFormat=P","Fill=—","Direction=H","UseDPDF=Y")</f>
        <v>—</v>
      </c>
      <c r="Y103" s="13" t="str">
        <f>_xll.BDH("BLUE US Equity","ARDR_DEFERRED_INC_TAB_LIAB_LT","FQ1 2024","FQ1 2024","Currency=USD","Period=FQ","BEST_FPERIOD_OVERRIDE=FQ","FILING_STATUS=MR","SCALING_FORMAT=MLN","Sort=A","Dates=H","DateFormat=P","Fill=—","Direction=H","UseDPDF=Y")</f>
        <v>—</v>
      </c>
      <c r="Z103" s="13" t="str">
        <f>_xll.BDH("BLUE US Equity","ARDR_DEFERRED_INC_TAB_LIAB_LT","FQ2 2024","FQ2 2024","Currency=USD","Period=FQ","BEST_FPERIOD_OVERRIDE=FQ","FILING_STATUS=MR","SCALING_FORMAT=MLN","Sort=A","Dates=H","DateFormat=P","Fill=—","Direction=H","UseDPDF=Y")</f>
        <v>—</v>
      </c>
      <c r="AA103" s="13" t="str">
        <f>_xll.BDH("BLUE US Equity","ARDR_DEFERRED_INC_TAB_LIAB_LT","FQ3 2024","FQ3 2024","Currency=USD","Period=FQ","BEST_FPERIOD_OVERRIDE=FQ","FILING_STATUS=MR","SCALING_FORMAT=MLN","Sort=A","Dates=H","DateFormat=P","Fill=—","Direction=H","UseDPDF=Y")</f>
        <v>—</v>
      </c>
    </row>
    <row r="104" spans="1:27" x14ac:dyDescent="0.25">
      <c r="A104" s="10" t="s">
        <v>919</v>
      </c>
      <c r="B104" s="10" t="s">
        <v>920</v>
      </c>
      <c r="C104" s="13" t="str">
        <f>_xll.BDH("BLUE US Equity","ARDR_PURCHASE_OBLIGATIONS","FQ2 2018","FQ2 2018","Currency=USD","Period=FQ","BEST_FPERIOD_OVERRIDE=FQ","FILING_STATUS=MR","SCALING_FORMAT=MLN","Sort=A","Dates=H","DateFormat=P","Fill=—","Direction=H","UseDPDF=Y")</f>
        <v>—</v>
      </c>
      <c r="D104" s="13" t="str">
        <f>_xll.BDH("BLUE US Equity","ARDR_PURCHASE_OBLIGATIONS","FQ3 2018","FQ3 2018","Currency=USD","Period=FQ","BEST_FPERIOD_OVERRIDE=FQ","FILING_STATUS=MR","SCALING_FORMAT=MLN","Sort=A","Dates=H","DateFormat=P","Fill=—","Direction=H","UseDPDF=Y")</f>
        <v>—</v>
      </c>
      <c r="E104" s="13" t="str">
        <f>_xll.BDH("BLUE US Equity","ARDR_PURCHASE_OBLIGATIONS","FQ4 2018","FQ4 2018","Currency=USD","Period=FQ","BEST_FPERIOD_OVERRIDE=FQ","FILING_STATUS=MR","SCALING_FORMAT=MLN","Sort=A","Dates=H","DateFormat=P","Fill=—","Direction=H","UseDPDF=Y")</f>
        <v>—</v>
      </c>
      <c r="F104" s="13" t="str">
        <f>_xll.BDH("BLUE US Equity","ARDR_PURCHASE_OBLIGATIONS","FQ1 2019","FQ1 2019","Currency=USD","Period=FQ","BEST_FPERIOD_OVERRIDE=FQ","FILING_STATUS=MR","SCALING_FORMAT=MLN","Sort=A","Dates=H","DateFormat=P","Fill=—","Direction=H","UseDPDF=Y")</f>
        <v>—</v>
      </c>
      <c r="G104" s="13" t="str">
        <f>_xll.BDH("BLUE US Equity","ARDR_PURCHASE_OBLIGATIONS","FQ2 2019","FQ2 2019","Currency=USD","Period=FQ","BEST_FPERIOD_OVERRIDE=FQ","FILING_STATUS=MR","SCALING_FORMAT=MLN","Sort=A","Dates=H","DateFormat=P","Fill=—","Direction=H","UseDPDF=Y")</f>
        <v>—</v>
      </c>
      <c r="H104" s="13" t="str">
        <f>_xll.BDH("BLUE US Equity","ARDR_PURCHASE_OBLIGATIONS","FQ3 2019","FQ3 2019","Currency=USD","Period=FQ","BEST_FPERIOD_OVERRIDE=FQ","FILING_STATUS=MR","SCALING_FORMAT=MLN","Sort=A","Dates=H","DateFormat=P","Fill=—","Direction=H","UseDPDF=Y")</f>
        <v>—</v>
      </c>
      <c r="I104" s="13" t="str">
        <f>_xll.BDH("BLUE US Equity","ARDR_PURCHASE_OBLIGATIONS","FQ4 2019","FQ4 2019","Currency=USD","Period=FQ","BEST_FPERIOD_OVERRIDE=FQ","FILING_STATUS=MR","SCALING_FORMAT=MLN","Sort=A","Dates=H","DateFormat=P","Fill=—","Direction=H","UseDPDF=Y")</f>
        <v>—</v>
      </c>
      <c r="J104" s="13" t="str">
        <f>_xll.BDH("BLUE US Equity","ARDR_PURCHASE_OBLIGATIONS","FQ1 2020","FQ1 2020","Currency=USD","Period=FQ","BEST_FPERIOD_OVERRIDE=FQ","FILING_STATUS=MR","SCALING_FORMAT=MLN","Sort=A","Dates=H","DateFormat=P","Fill=—","Direction=H","UseDPDF=Y")</f>
        <v>—</v>
      </c>
      <c r="K104" s="13" t="str">
        <f>_xll.BDH("BLUE US Equity","ARDR_PURCHASE_OBLIGATIONS","FQ2 2020","FQ2 2020","Currency=USD","Period=FQ","BEST_FPERIOD_OVERRIDE=FQ","FILING_STATUS=MR","SCALING_FORMAT=MLN","Sort=A","Dates=H","DateFormat=P","Fill=—","Direction=H","UseDPDF=Y")</f>
        <v>—</v>
      </c>
      <c r="L104" s="13" t="str">
        <f>_xll.BDH("BLUE US Equity","ARDR_PURCHASE_OBLIGATIONS","FQ3 2020","FQ3 2020","Currency=USD","Period=FQ","BEST_FPERIOD_OVERRIDE=FQ","FILING_STATUS=MR","SCALING_FORMAT=MLN","Sort=A","Dates=H","DateFormat=P","Fill=—","Direction=H","UseDPDF=Y")</f>
        <v>—</v>
      </c>
      <c r="M104" s="13">
        <f>_xll.BDH("BLUE US Equity","ARDR_PURCHASE_OBLIGATIONS","FQ4 2020","FQ4 2020","Currency=USD","Period=FQ","BEST_FPERIOD_OVERRIDE=FQ","FILING_STATUS=MR","SCALING_FORMAT=MLN","Sort=A","Dates=H","DateFormat=P","Fill=—","Direction=H","UseDPDF=Y")</f>
        <v>96.495999999999995</v>
      </c>
      <c r="N104" s="13" t="str">
        <f>_xll.BDH("BLUE US Equity","ARDR_PURCHASE_OBLIGATIONS","FQ1 2021","FQ1 2021","Currency=USD","Period=FQ","BEST_FPERIOD_OVERRIDE=FQ","FILING_STATUS=MR","SCALING_FORMAT=MLN","Sort=A","Dates=H","DateFormat=P","Fill=—","Direction=H","UseDPDF=Y")</f>
        <v>—</v>
      </c>
      <c r="O104" s="13" t="str">
        <f>_xll.BDH("BLUE US Equity","ARDR_PURCHASE_OBLIGATIONS","FQ2 2021","FQ2 2021","Currency=USD","Period=FQ","BEST_FPERIOD_OVERRIDE=FQ","FILING_STATUS=MR","SCALING_FORMAT=MLN","Sort=A","Dates=H","DateFormat=P","Fill=—","Direction=H","UseDPDF=Y")</f>
        <v>—</v>
      </c>
      <c r="P104" s="13" t="str">
        <f>_xll.BDH("BLUE US Equity","ARDR_PURCHASE_OBLIGATIONS","FQ3 2021","FQ3 2021","Currency=USD","Period=FQ","BEST_FPERIOD_OVERRIDE=FQ","FILING_STATUS=MR","SCALING_FORMAT=MLN","Sort=A","Dates=H","DateFormat=P","Fill=—","Direction=H","UseDPDF=Y")</f>
        <v>—</v>
      </c>
      <c r="Q104" s="13">
        <f>_xll.BDH("BLUE US Equity","ARDR_PURCHASE_OBLIGATIONS","FQ4 2021","FQ4 2021","Currency=USD","Period=FQ","BEST_FPERIOD_OVERRIDE=FQ","FILING_STATUS=MR","SCALING_FORMAT=MLN","Sort=A","Dates=H","DateFormat=P","Fill=—","Direction=H","UseDPDF=Y")</f>
        <v>53.820999999999998</v>
      </c>
      <c r="R104" s="13" t="str">
        <f>_xll.BDH("BLUE US Equity","ARDR_PURCHASE_OBLIGATIONS","FQ1 2022","FQ1 2022","Currency=USD","Period=FQ","BEST_FPERIOD_OVERRIDE=FQ","FILING_STATUS=MR","SCALING_FORMAT=MLN","Sort=A","Dates=H","DateFormat=P","Fill=—","Direction=H","UseDPDF=Y")</f>
        <v>—</v>
      </c>
      <c r="S104" s="13" t="str">
        <f>_xll.BDH("BLUE US Equity","ARDR_PURCHASE_OBLIGATIONS","FQ2 2022","FQ2 2022","Currency=USD","Period=FQ","BEST_FPERIOD_OVERRIDE=FQ","FILING_STATUS=MR","SCALING_FORMAT=MLN","Sort=A","Dates=H","DateFormat=P","Fill=—","Direction=H","UseDPDF=Y")</f>
        <v>—</v>
      </c>
      <c r="T104" s="13" t="str">
        <f>_xll.BDH("BLUE US Equity","ARDR_PURCHASE_OBLIGATIONS","FQ3 2022","FQ3 2022","Currency=USD","Period=FQ","BEST_FPERIOD_OVERRIDE=FQ","FILING_STATUS=MR","SCALING_FORMAT=MLN","Sort=A","Dates=H","DateFormat=P","Fill=—","Direction=H","UseDPDF=Y")</f>
        <v>—</v>
      </c>
      <c r="U104" s="13">
        <f>_xll.BDH("BLUE US Equity","ARDR_PURCHASE_OBLIGATIONS","FQ4 2022","FQ4 2022","Currency=USD","Period=FQ","BEST_FPERIOD_OVERRIDE=FQ","FILING_STATUS=MR","SCALING_FORMAT=MLN","Sort=A","Dates=H","DateFormat=P","Fill=—","Direction=H","UseDPDF=Y")</f>
        <v>99.022999999999996</v>
      </c>
      <c r="V104" s="13" t="str">
        <f>_xll.BDH("BLUE US Equity","ARDR_PURCHASE_OBLIGATIONS","FQ1 2023","FQ1 2023","Currency=USD","Period=FQ","BEST_FPERIOD_OVERRIDE=FQ","FILING_STATUS=MR","SCALING_FORMAT=MLN","Sort=A","Dates=H","DateFormat=P","Fill=—","Direction=H","UseDPDF=Y")</f>
        <v>—</v>
      </c>
      <c r="W104" s="13" t="str">
        <f>_xll.BDH("BLUE US Equity","ARDR_PURCHASE_OBLIGATIONS","FQ2 2023","FQ2 2023","Currency=USD","Period=FQ","BEST_FPERIOD_OVERRIDE=FQ","FILING_STATUS=MR","SCALING_FORMAT=MLN","Sort=A","Dates=H","DateFormat=P","Fill=—","Direction=H","UseDPDF=Y")</f>
        <v>—</v>
      </c>
      <c r="X104" s="13" t="str">
        <f>_xll.BDH("BLUE US Equity","ARDR_PURCHASE_OBLIGATIONS","FQ3 2023","FQ3 2023","Currency=USD","Period=FQ","BEST_FPERIOD_OVERRIDE=FQ","FILING_STATUS=MR","SCALING_FORMAT=MLN","Sort=A","Dates=H","DateFormat=P","Fill=—","Direction=H","UseDPDF=Y")</f>
        <v>—</v>
      </c>
      <c r="Y104" s="13" t="str">
        <f>_xll.BDH("BLUE US Equity","ARDR_PURCHASE_OBLIGATIONS","FQ1 2024","FQ1 2024","Currency=USD","Period=FQ","BEST_FPERIOD_OVERRIDE=FQ","FILING_STATUS=MR","SCALING_FORMAT=MLN","Sort=A","Dates=H","DateFormat=P","Fill=—","Direction=H","UseDPDF=Y")</f>
        <v>—</v>
      </c>
      <c r="Z104" s="13">
        <f>_xll.BDH("BLUE US Equity","ARDR_PURCHASE_OBLIGATIONS","FQ2 2024","FQ2 2024","Currency=USD","Period=FQ","BEST_FPERIOD_OVERRIDE=FQ","FILING_STATUS=MR","SCALING_FORMAT=MLN","Sort=A","Dates=H","DateFormat=P","Fill=—","Direction=H","UseDPDF=Y")</f>
        <v>56.588999999999999</v>
      </c>
      <c r="AA104" s="13">
        <f>_xll.BDH("BLUE US Equity","ARDR_PURCHASE_OBLIGATIONS","FQ3 2024","FQ3 2024","Currency=USD","Period=FQ","BEST_FPERIOD_OVERRIDE=FQ","FILING_STATUS=MR","SCALING_FORMAT=MLN","Sort=A","Dates=H","DateFormat=P","Fill=—","Direction=H","UseDPDF=Y")</f>
        <v>60.475000000000001</v>
      </c>
    </row>
    <row r="105" spans="1:27" x14ac:dyDescent="0.25">
      <c r="A105" s="10" t="s">
        <v>921</v>
      </c>
      <c r="B105" s="10" t="s">
        <v>922</v>
      </c>
      <c r="C105" s="13" t="str">
        <f>_xll.BDH("BLUE US Equity","ARDR_TOTAL_OPERATING_LIABILITIES","FQ2 2018","FQ2 2018","Currency=USD","Period=FQ","BEST_FPERIOD_OVERRIDE=FQ","FILING_STATUS=MR","Sort=A","Dates=H","DateFormat=P","Fill=—","Direction=H","UseDPDF=Y")</f>
        <v>—</v>
      </c>
      <c r="D105" s="13" t="str">
        <f>_xll.BDH("BLUE US Equity","ARDR_TOTAL_OPERATING_LIABILITIES","FQ3 2018","FQ3 2018","Currency=USD","Period=FQ","BEST_FPERIOD_OVERRIDE=FQ","FILING_STATUS=MR","Sort=A","Dates=H","DateFormat=P","Fill=—","Direction=H","UseDPDF=Y")</f>
        <v>—</v>
      </c>
      <c r="E105" s="13" t="str">
        <f>_xll.BDH("BLUE US Equity","ARDR_TOTAL_OPERATING_LIABILITIES","FQ4 2018","FQ4 2018","Currency=USD","Period=FQ","BEST_FPERIOD_OVERRIDE=FQ","FILING_STATUS=MR","Sort=A","Dates=H","DateFormat=P","Fill=—","Direction=H","UseDPDF=Y")</f>
        <v>—</v>
      </c>
      <c r="F105" s="13" t="str">
        <f>_xll.BDH("BLUE US Equity","ARDR_TOTAL_OPERATING_LIABILITIES","FQ1 2019","FQ1 2019","Currency=USD","Period=FQ","BEST_FPERIOD_OVERRIDE=FQ","FILING_STATUS=MR","Sort=A","Dates=H","DateFormat=P","Fill=—","Direction=H","UseDPDF=Y")</f>
        <v>—</v>
      </c>
      <c r="G105" s="13" t="str">
        <f>_xll.BDH("BLUE US Equity","ARDR_TOTAL_OPERATING_LIABILITIES","FQ2 2019","FQ2 2019","Currency=USD","Period=FQ","BEST_FPERIOD_OVERRIDE=FQ","FILING_STATUS=MR","Sort=A","Dates=H","DateFormat=P","Fill=—","Direction=H","UseDPDF=Y")</f>
        <v>—</v>
      </c>
      <c r="H105" s="13" t="str">
        <f>_xll.BDH("BLUE US Equity","ARDR_TOTAL_OPERATING_LIABILITIES","FQ3 2019","FQ3 2019","Currency=USD","Period=FQ","BEST_FPERIOD_OVERRIDE=FQ","FILING_STATUS=MR","Sort=A","Dates=H","DateFormat=P","Fill=—","Direction=H","UseDPDF=Y")</f>
        <v>—</v>
      </c>
      <c r="I105" s="13" t="str">
        <f>_xll.BDH("BLUE US Equity","ARDR_TOTAL_OPERATING_LIABILITIES","FQ4 2019","FQ4 2019","Currency=USD","Period=FQ","BEST_FPERIOD_OVERRIDE=FQ","FILING_STATUS=MR","Sort=A","Dates=H","DateFormat=P","Fill=—","Direction=H","UseDPDF=Y")</f>
        <v>—</v>
      </c>
      <c r="J105" s="13" t="str">
        <f>_xll.BDH("BLUE US Equity","ARDR_TOTAL_OPERATING_LIABILITIES","FQ1 2020","FQ1 2020","Currency=USD","Period=FQ","BEST_FPERIOD_OVERRIDE=FQ","FILING_STATUS=MR","Sort=A","Dates=H","DateFormat=P","Fill=—","Direction=H","UseDPDF=Y")</f>
        <v>—</v>
      </c>
      <c r="K105" s="13" t="str">
        <f>_xll.BDH("BLUE US Equity","ARDR_TOTAL_OPERATING_LIABILITIES","FQ2 2020","FQ2 2020","Currency=USD","Period=FQ","BEST_FPERIOD_OVERRIDE=FQ","FILING_STATUS=MR","Sort=A","Dates=H","DateFormat=P","Fill=—","Direction=H","UseDPDF=Y")</f>
        <v>—</v>
      </c>
      <c r="L105" s="13" t="str">
        <f>_xll.BDH("BLUE US Equity","ARDR_TOTAL_OPERATING_LIABILITIES","FQ3 2020","FQ3 2020","Currency=USD","Period=FQ","BEST_FPERIOD_OVERRIDE=FQ","FILING_STATUS=MR","Sort=A","Dates=H","DateFormat=P","Fill=—","Direction=H","UseDPDF=Y")</f>
        <v>—</v>
      </c>
      <c r="M105" s="13" t="str">
        <f>_xll.BDH("BLUE US Equity","ARDR_TOTAL_OPERATING_LIABILITIES","FQ4 2020","FQ4 2020","Currency=USD","Period=FQ","BEST_FPERIOD_OVERRIDE=FQ","FILING_STATUS=MR","Sort=A","Dates=H","DateFormat=P","Fill=—","Direction=H","UseDPDF=Y")</f>
        <v>—</v>
      </c>
      <c r="N105" s="13" t="str">
        <f>_xll.BDH("BLUE US Equity","ARDR_TOTAL_OPERATING_LIABILITIES","FQ1 2021","FQ1 2021","Currency=USD","Period=FQ","BEST_FPERIOD_OVERRIDE=FQ","FILING_STATUS=MR","Sort=A","Dates=H","DateFormat=P","Fill=—","Direction=H","UseDPDF=Y")</f>
        <v>—</v>
      </c>
      <c r="O105" s="13" t="str">
        <f>_xll.BDH("BLUE US Equity","ARDR_TOTAL_OPERATING_LIABILITIES","FQ2 2021","FQ2 2021","Currency=USD","Period=FQ","BEST_FPERIOD_OVERRIDE=FQ","FILING_STATUS=MR","Sort=A","Dates=H","DateFormat=P","Fill=—","Direction=H","UseDPDF=Y")</f>
        <v>—</v>
      </c>
      <c r="P105" s="13" t="str">
        <f>_xll.BDH("BLUE US Equity","ARDR_TOTAL_OPERATING_LIABILITIES","FQ3 2021","FQ3 2021","Currency=USD","Period=FQ","BEST_FPERIOD_OVERRIDE=FQ","FILING_STATUS=MR","Sort=A","Dates=H","DateFormat=P","Fill=—","Direction=H","UseDPDF=Y")</f>
        <v>—</v>
      </c>
      <c r="Q105" s="13" t="str">
        <f>_xll.BDH("BLUE US Equity","ARDR_TOTAL_OPERATING_LIABILITIES","FQ4 2021","FQ4 2021","Currency=USD","Period=FQ","BEST_FPERIOD_OVERRIDE=FQ","FILING_STATUS=MR","Sort=A","Dates=H","DateFormat=P","Fill=—","Direction=H","UseDPDF=Y")</f>
        <v>—</v>
      </c>
      <c r="R105" s="13" t="str">
        <f>_xll.BDH("BLUE US Equity","ARDR_TOTAL_OPERATING_LIABILITIES","FQ1 2022","FQ1 2022","Currency=USD","Period=FQ","BEST_FPERIOD_OVERRIDE=FQ","FILING_STATUS=MR","Sort=A","Dates=H","DateFormat=P","Fill=—","Direction=H","UseDPDF=Y")</f>
        <v>—</v>
      </c>
      <c r="S105" s="13">
        <f>_xll.BDH("BLUE US Equity","ARDR_TOTAL_OPERATING_LIABILITIES","FQ2 2022","FQ2 2022","Currency=USD","Period=FQ","BEST_FPERIOD_OVERRIDE=FQ","FILING_STATUS=MR","Sort=A","Dates=H","DateFormat=P","Fill=—","Direction=H","UseDPDF=Y")</f>
        <v>292.96800000000002</v>
      </c>
      <c r="T105" s="13">
        <f>_xll.BDH("BLUE US Equity","ARDR_TOTAL_OPERATING_LIABILITIES","FQ3 2022","FQ3 2022","Currency=USD","Period=FQ","BEST_FPERIOD_OVERRIDE=FQ","FILING_STATUS=MR","Sort=A","Dates=H","DateFormat=P","Fill=—","Direction=H","UseDPDF=Y")</f>
        <v>278.21300000000002</v>
      </c>
      <c r="U105" s="13">
        <f>_xll.BDH("BLUE US Equity","ARDR_TOTAL_OPERATING_LIABILITIES","FQ4 2022","FQ4 2022","Currency=USD","Period=FQ","BEST_FPERIOD_OVERRIDE=FQ","FILING_STATUS=MR","Sort=A","Dates=H","DateFormat=P","Fill=—","Direction=H","UseDPDF=Y")</f>
        <v>281.39</v>
      </c>
      <c r="V105" s="13">
        <f>_xll.BDH("BLUE US Equity","ARDR_TOTAL_OPERATING_LIABILITIES","FQ1 2023","FQ1 2023","Currency=USD","Period=FQ","BEST_FPERIOD_OVERRIDE=FQ","FILING_STATUS=MR","Sort=A","Dates=H","DateFormat=P","Fill=—","Direction=H","UseDPDF=Y")</f>
        <v>273.375</v>
      </c>
      <c r="W105" s="13">
        <f>_xll.BDH("BLUE US Equity","ARDR_TOTAL_OPERATING_LIABILITIES","FQ2 2023","FQ2 2023","Currency=USD","Period=FQ","BEST_FPERIOD_OVERRIDE=FQ","FILING_STATUS=MR","Sort=A","Dates=H","DateFormat=P","Fill=—","Direction=H","UseDPDF=Y")</f>
        <v>306.85700000000003</v>
      </c>
      <c r="X105" s="13">
        <f>_xll.BDH("BLUE US Equity","ARDR_TOTAL_OPERATING_LIABILITIES","FQ3 2023","FQ3 2023","Currency=USD","Period=FQ","BEST_FPERIOD_OVERRIDE=FQ","FILING_STATUS=MR","Sort=A","Dates=H","DateFormat=P","Fill=—","Direction=H","UseDPDF=Y")</f>
        <v>303.70699999999999</v>
      </c>
      <c r="Y105" s="13">
        <f>_xll.BDH("BLUE US Equity","ARDR_TOTAL_OPERATING_LIABILITIES","FQ1 2024","FQ1 2024","Currency=USD","Period=FQ","BEST_FPERIOD_OVERRIDE=FQ","FILING_STATUS=MR","Sort=A","Dates=H","DateFormat=P","Fill=—","Direction=H","UseDPDF=Y")</f>
        <v>205.04599999999999</v>
      </c>
      <c r="Z105" s="13">
        <f>_xll.BDH("BLUE US Equity","ARDR_TOTAL_OPERATING_LIABILITIES","FQ2 2024","FQ2 2024","Currency=USD","Period=FQ","BEST_FPERIOD_OVERRIDE=FQ","FILING_STATUS=MR","Sort=A","Dates=H","DateFormat=P","Fill=—","Direction=H","UseDPDF=Y")</f>
        <v>199.58699999999999</v>
      </c>
      <c r="AA105" s="13">
        <f>_xll.BDH("BLUE US Equity","ARDR_TOTAL_OPERATING_LIABILITIES","FQ3 2024","FQ3 2024","Currency=USD","Period=FQ","BEST_FPERIOD_OVERRIDE=FQ","FILING_STATUS=MR","Sort=A","Dates=H","DateFormat=P","Fill=—","Direction=H","UseDPDF=Y")</f>
        <v>192.56700000000001</v>
      </c>
    </row>
    <row r="106" spans="1:27" x14ac:dyDescent="0.25">
      <c r="A106" s="10" t="s">
        <v>923</v>
      </c>
      <c r="B106" s="10" t="s">
        <v>924</v>
      </c>
      <c r="C106" s="13">
        <f>_xll.BDH("BLUE US Equity","ARDR_FV_ASSETS_REC_LEVEL_1","FQ2 2018","FQ2 2018","Currency=USD","Period=FQ","BEST_FPERIOD_OVERRIDE=FQ","FILING_STATUS=MR","SCALING_FORMAT=MLN","Sort=A","Dates=H","DateFormat=P","Fill=—","Direction=H","UseDPDF=Y")</f>
        <v>333.94900000000001</v>
      </c>
      <c r="D106" s="13">
        <f>_xll.BDH("BLUE US Equity","ARDR_FV_ASSETS_REC_LEVEL_1","FQ3 2018","FQ3 2018","Currency=USD","Period=FQ","BEST_FPERIOD_OVERRIDE=FQ","FILING_STATUS=MR","SCALING_FORMAT=MLN","Sort=A","Dates=H","DateFormat=P","Fill=—","Direction=H","UseDPDF=Y")</f>
        <v>936.16800000000001</v>
      </c>
      <c r="E106" s="13">
        <f>_xll.BDH("BLUE US Equity","ARDR_FV_ASSETS_REC_LEVEL_1","FQ4 2018","FQ4 2018","Currency=USD","Period=FQ","BEST_FPERIOD_OVERRIDE=FQ","FILING_STATUS=MR","SCALING_FORMAT=MLN","Sort=A","Dates=H","DateFormat=P","Fill=—","Direction=H","UseDPDF=Y")</f>
        <v>370.80500000000001</v>
      </c>
      <c r="F106" s="13">
        <f>_xll.BDH("BLUE US Equity","ARDR_FV_ASSETS_REC_LEVEL_1","FQ1 2019","FQ1 2019","Currency=USD","Period=FQ","BEST_FPERIOD_OVERRIDE=FQ","FILING_STATUS=MR","SCALING_FORMAT=MLN","Sort=A","Dates=H","DateFormat=P","Fill=—","Direction=H","UseDPDF=Y")</f>
        <v>233.429</v>
      </c>
      <c r="G106" s="13">
        <f>_xll.BDH("BLUE US Equity","ARDR_FV_ASSETS_REC_LEVEL_1","FQ2 2019","FQ2 2019","Currency=USD","Period=FQ","BEST_FPERIOD_OVERRIDE=FQ","FILING_STATUS=MR","SCALING_FORMAT=MLN","Sort=A","Dates=H","DateFormat=P","Fill=—","Direction=H","UseDPDF=Y")</f>
        <v>296.97800000000001</v>
      </c>
      <c r="H106" s="13">
        <f>_xll.BDH("BLUE US Equity","ARDR_FV_ASSETS_REC_LEVEL_1","FQ3 2019","FQ3 2019","Currency=USD","Period=FQ","BEST_FPERIOD_OVERRIDE=FQ","FILING_STATUS=MR","SCALING_FORMAT=MLN","Sort=A","Dates=H","DateFormat=P","Fill=—","Direction=H","UseDPDF=Y")</f>
        <v>312.815</v>
      </c>
      <c r="I106" s="13">
        <f>_xll.BDH("BLUE US Equity","ARDR_FV_ASSETS_REC_LEVEL_1","FQ4 2019","FQ4 2019","Currency=USD","Period=FQ","BEST_FPERIOD_OVERRIDE=FQ","FILING_STATUS=MR","SCALING_FORMAT=MLN","Sort=A","Dates=H","DateFormat=P","Fill=—","Direction=H","UseDPDF=Y")</f>
        <v>324.11500000000001</v>
      </c>
      <c r="J106" s="13">
        <f>_xll.BDH("BLUE US Equity","ARDR_FV_ASSETS_REC_LEVEL_1","FQ1 2020","FQ1 2020","Currency=USD","Period=FQ","BEST_FPERIOD_OVERRIDE=FQ","FILING_STATUS=MR","SCALING_FORMAT=MLN","Sort=A","Dates=H","DateFormat=P","Fill=—","Direction=H","UseDPDF=Y")</f>
        <v>344.98</v>
      </c>
      <c r="K106" s="13">
        <f>_xll.BDH("BLUE US Equity","ARDR_FV_ASSETS_REC_LEVEL_1","FQ2 2020","FQ2 2020","Currency=USD","Period=FQ","BEST_FPERIOD_OVERRIDE=FQ","FILING_STATUS=MR","SCALING_FORMAT=MLN","Sort=A","Dates=H","DateFormat=P","Fill=—","Direction=H","UseDPDF=Y")</f>
        <v>1208.2950000000001</v>
      </c>
      <c r="L106" s="13">
        <f>_xll.BDH("BLUE US Equity","ARDR_FV_ASSETS_REC_LEVEL_1","FQ3 2020","FQ3 2020","Currency=USD","Period=FQ","BEST_FPERIOD_OVERRIDE=FQ","FILING_STATUS=MR","SCALING_FORMAT=MLN","Sort=A","Dates=H","DateFormat=P","Fill=—","Direction=H","UseDPDF=Y")</f>
        <v>265.76600000000002</v>
      </c>
      <c r="M106" s="13">
        <f>_xll.BDH("BLUE US Equity","ARDR_FV_ASSETS_REC_LEVEL_1","FQ4 2020","FQ4 2020","Currency=USD","Period=FQ","BEST_FPERIOD_OVERRIDE=FQ","FILING_STATUS=MR","SCALING_FORMAT=MLN","Sort=A","Dates=H","DateFormat=P","Fill=—","Direction=H","UseDPDF=Y")</f>
        <v>266.28199999999998</v>
      </c>
      <c r="N106" s="13">
        <f>_xll.BDH("BLUE US Equity","ARDR_FV_ASSETS_REC_LEVEL_1","FQ1 2021","FQ1 2021","Currency=USD","Period=FQ","BEST_FPERIOD_OVERRIDE=FQ","FILING_STATUS=MR","SCALING_FORMAT=MLN","Sort=A","Dates=H","DateFormat=P","Fill=—","Direction=H","UseDPDF=Y")</f>
        <v>413.42200000000003</v>
      </c>
      <c r="O106" s="13">
        <f>_xll.BDH("BLUE US Equity","ARDR_FV_ASSETS_REC_LEVEL_1","FQ2 2021","FQ2 2021","Currency=USD","Period=FQ","BEST_FPERIOD_OVERRIDE=FQ","FILING_STATUS=MR","SCALING_FORMAT=MLN","Sort=A","Dates=H","DateFormat=P","Fill=—","Direction=H","UseDPDF=Y")</f>
        <v>313.45299999999997</v>
      </c>
      <c r="P106" s="13">
        <f>_xll.BDH("BLUE US Equity","ARDR_FV_ASSETS_REC_LEVEL_1","FQ3 2021","FQ3 2021","Currency=USD","Period=FQ","BEST_FPERIOD_OVERRIDE=FQ","FILING_STATUS=MR","SCALING_FORMAT=MLN","Sort=A","Dates=H","DateFormat=P","Fill=—","Direction=H","UseDPDF=Y")</f>
        <v>380.56200000000001</v>
      </c>
      <c r="Q106" s="13">
        <f>_xll.BDH("BLUE US Equity","ARDR_FV_ASSETS_REC_LEVEL_1","FQ4 2021","FQ4 2021","Currency=USD","Period=FQ","BEST_FPERIOD_OVERRIDE=FQ","FILING_STATUS=MR","SCALING_FORMAT=MLN","Sort=A","Dates=H","DateFormat=P","Fill=—","Direction=H","UseDPDF=Y")</f>
        <v>164.83699999999999</v>
      </c>
      <c r="R106" s="13">
        <f>_xll.BDH("BLUE US Equity","ARDR_FV_ASSETS_REC_LEVEL_1","FQ1 2022","FQ1 2022","Currency=USD","Period=FQ","BEST_FPERIOD_OVERRIDE=FQ","FILING_STATUS=MR","SCALING_FORMAT=MLN","Sort=A","Dates=H","DateFormat=P","Fill=—","Direction=H","UseDPDF=Y")</f>
        <v>107.44199999999999</v>
      </c>
      <c r="S106" s="13">
        <f>_xll.BDH("BLUE US Equity","ARDR_FV_ASSETS_REC_LEVEL_1","FQ2 2022","FQ2 2022","Currency=USD","Period=FQ","BEST_FPERIOD_OVERRIDE=FQ","FILING_STATUS=MR","SCALING_FORMAT=MLN","Sort=A","Dates=H","DateFormat=P","Fill=—","Direction=H","UseDPDF=Y")</f>
        <v>81.498999999999995</v>
      </c>
      <c r="T106" s="13">
        <f>_xll.BDH("BLUE US Equity","ARDR_FV_ASSETS_REC_LEVEL_1","FQ3 2022","FQ3 2022","Currency=USD","Period=FQ","BEST_FPERIOD_OVERRIDE=FQ","FILING_STATUS=MR","SCALING_FORMAT=MLN","Sort=A","Dates=H","DateFormat=P","Fill=—","Direction=H","UseDPDF=Y")</f>
        <v>66.477999999999994</v>
      </c>
      <c r="U106" s="13">
        <f>_xll.BDH("BLUE US Equity","ARDR_FV_ASSETS_REC_LEVEL_1","FQ4 2022","FQ4 2022","Currency=USD","Period=FQ","BEST_FPERIOD_OVERRIDE=FQ","FILING_STATUS=MR","SCALING_FORMAT=MLN","Sort=A","Dates=H","DateFormat=P","Fill=—","Direction=H","UseDPDF=Y")</f>
        <v>113.006</v>
      </c>
      <c r="V106" s="13">
        <f>_xll.BDH("BLUE US Equity","ARDR_FV_ASSETS_REC_LEVEL_1","FQ1 2023","FQ1 2023","Currency=USD","Period=FQ","BEST_FPERIOD_OVERRIDE=FQ","FILING_STATUS=MR","SCALING_FORMAT=MLN","Sort=A","Dates=H","DateFormat=P","Fill=—","Direction=H","UseDPDF=Y")</f>
        <v>239.04499999999999</v>
      </c>
      <c r="W106" s="13">
        <f>_xll.BDH("BLUE US Equity","ARDR_FV_ASSETS_REC_LEVEL_1","FQ2 2023","FQ2 2023","Currency=USD","Period=FQ","BEST_FPERIOD_OVERRIDE=FQ","FILING_STATUS=MR","SCALING_FORMAT=MLN","Sort=A","Dates=H","DateFormat=P","Fill=—","Direction=H","UseDPDF=Y")</f>
        <v>172.87200000000001</v>
      </c>
      <c r="X106" s="13">
        <f>_xll.BDH("BLUE US Equity","ARDR_FV_ASSETS_REC_LEVEL_1","FQ3 2023","FQ3 2023","Currency=USD","Period=FQ","BEST_FPERIOD_OVERRIDE=FQ","FILING_STATUS=MR","SCALING_FORMAT=MLN","Sort=A","Dates=H","DateFormat=P","Fill=—","Direction=H","UseDPDF=Y")</f>
        <v>165.34700000000001</v>
      </c>
      <c r="Y106" s="13">
        <f>_xll.BDH("BLUE US Equity","ARDR_FV_ASSETS_REC_LEVEL_1","FQ1 2024","FQ1 2024","Currency=USD","Period=FQ","BEST_FPERIOD_OVERRIDE=FQ","FILING_STATUS=MR","SCALING_FORMAT=MLN","Sort=A","Dates=H","DateFormat=P","Fill=—","Direction=H","UseDPDF=Y")</f>
        <v>212.047</v>
      </c>
      <c r="Z106" s="13">
        <f>_xll.BDH("BLUE US Equity","ARDR_FV_ASSETS_REC_LEVEL_1","FQ2 2024","FQ2 2024","Currency=USD","Period=FQ","BEST_FPERIOD_OVERRIDE=FQ","FILING_STATUS=MR","SCALING_FORMAT=MLN","Sort=A","Dates=H","DateFormat=P","Fill=—","Direction=H","UseDPDF=Y")</f>
        <v>144.06700000000001</v>
      </c>
      <c r="AA106" s="13">
        <f>_xll.BDH("BLUE US Equity","ARDR_FV_ASSETS_REC_LEVEL_1","FQ3 2024","FQ3 2024","Currency=USD","Period=FQ","BEST_FPERIOD_OVERRIDE=FQ","FILING_STATUS=MR","SCALING_FORMAT=MLN","Sort=A","Dates=H","DateFormat=P","Fill=—","Direction=H","UseDPDF=Y")</f>
        <v>70.650999999999996</v>
      </c>
    </row>
    <row r="107" spans="1:27" x14ac:dyDescent="0.25">
      <c r="A107" s="10" t="s">
        <v>925</v>
      </c>
      <c r="B107" s="10" t="s">
        <v>926</v>
      </c>
      <c r="C107" s="13">
        <f>_xll.BDH("BLUE US Equity","ARDR_FV_ASSETS_REC_LEVEL_2","FQ2 2018","FQ2 2018","Currency=USD","Period=FQ","BEST_FPERIOD_OVERRIDE=FQ","FILING_STATUS=MR","SCALING_FORMAT=MLN","Sort=A","Dates=H","DateFormat=P","Fill=—","Direction=H","UseDPDF=Y")</f>
        <v>1123.2940000000001</v>
      </c>
      <c r="D107" s="13">
        <f>_xll.BDH("BLUE US Equity","ARDR_FV_ASSETS_REC_LEVEL_2","FQ3 2018","FQ3 2018","Currency=USD","Period=FQ","BEST_FPERIOD_OVERRIDE=FQ","FILING_STATUS=MR","SCALING_FORMAT=MLN","Sort=A","Dates=H","DateFormat=P","Fill=—","Direction=H","UseDPDF=Y")</f>
        <v>1062.8820000000001</v>
      </c>
      <c r="E107" s="13">
        <f>_xll.BDH("BLUE US Equity","ARDR_FV_ASSETS_REC_LEVEL_2","FQ4 2018","FQ4 2018","Currency=USD","Period=FQ","BEST_FPERIOD_OVERRIDE=FQ","FILING_STATUS=MR","SCALING_FORMAT=MLN","Sort=A","Dates=H","DateFormat=P","Fill=—","Direction=H","UseDPDF=Y")</f>
        <v>1520.6220000000001</v>
      </c>
      <c r="F107" s="13">
        <f>_xll.BDH("BLUE US Equity","ARDR_FV_ASSETS_REC_LEVEL_2","FQ1 2019","FQ1 2019","Currency=USD","Period=FQ","BEST_FPERIOD_OVERRIDE=FQ","FILING_STATUS=MR","SCALING_FORMAT=MLN","Sort=A","Dates=H","DateFormat=P","Fill=—","Direction=H","UseDPDF=Y")</f>
        <v>1497.337</v>
      </c>
      <c r="G107" s="13">
        <f>_xll.BDH("BLUE US Equity","ARDR_FV_ASSETS_REC_LEVEL_2","FQ2 2019","FQ2 2019","Currency=USD","Period=FQ","BEST_FPERIOD_OVERRIDE=FQ","FILING_STATUS=MR","SCALING_FORMAT=MLN","Sort=A","Dates=H","DateFormat=P","Fill=—","Direction=H","UseDPDF=Y")</f>
        <v>1244.8240000000001</v>
      </c>
      <c r="H107" s="13">
        <f>_xll.BDH("BLUE US Equity","ARDR_FV_ASSETS_REC_LEVEL_2","FQ3 2019","FQ3 2019","Currency=USD","Period=FQ","BEST_FPERIOD_OVERRIDE=FQ","FILING_STATUS=MR","SCALING_FORMAT=MLN","Sort=A","Dates=H","DateFormat=P","Fill=—","Direction=H","UseDPDF=Y")</f>
        <v>1093.0719999999999</v>
      </c>
      <c r="I107" s="13">
        <f>_xll.BDH("BLUE US Equity","ARDR_FV_ASSETS_REC_LEVEL_2","FQ4 2019","FQ4 2019","Currency=USD","Period=FQ","BEST_FPERIOD_OVERRIDE=FQ","FILING_STATUS=MR","SCALING_FORMAT=MLN","Sort=A","Dates=H","DateFormat=P","Fill=—","Direction=H","UseDPDF=Y")</f>
        <v>913.851</v>
      </c>
      <c r="J107" s="13">
        <f>_xll.BDH("BLUE US Equity","ARDR_FV_ASSETS_REC_LEVEL_2","FQ1 2020","FQ1 2020","Currency=USD","Period=FQ","BEST_FPERIOD_OVERRIDE=FQ","FILING_STATUS=MR","SCALING_FORMAT=MLN","Sort=A","Dates=H","DateFormat=P","Fill=—","Direction=H","UseDPDF=Y")</f>
        <v>673.37699999999995</v>
      </c>
      <c r="K107" s="13">
        <f>_xll.BDH("BLUE US Equity","ARDR_FV_ASSETS_REC_LEVEL_2","FQ2 2020","FQ2 2020","Currency=USD","Period=FQ","BEST_FPERIOD_OVERRIDE=FQ","FILING_STATUS=MR","SCALING_FORMAT=MLN","Sort=A","Dates=H","DateFormat=P","Fill=—","Direction=H","UseDPDF=Y")</f>
        <v>390.49799999999999</v>
      </c>
      <c r="L107" s="13">
        <f>_xll.BDH("BLUE US Equity","ARDR_FV_ASSETS_REC_LEVEL_2","FQ3 2020","FQ3 2020","Currency=USD","Period=FQ","BEST_FPERIOD_OVERRIDE=FQ","FILING_STATUS=MR","SCALING_FORMAT=MLN","Sort=A","Dates=H","DateFormat=P","Fill=—","Direction=H","UseDPDF=Y")</f>
        <v>1172.104</v>
      </c>
      <c r="M107" s="13">
        <f>_xll.BDH("BLUE US Equity","ARDR_FV_ASSETS_REC_LEVEL_2","FQ4 2020","FQ4 2020","Currency=USD","Period=FQ","BEST_FPERIOD_OVERRIDE=FQ","FILING_STATUS=MR","SCALING_FORMAT=MLN","Sort=A","Dates=H","DateFormat=P","Fill=—","Direction=H","UseDPDF=Y")</f>
        <v>475.39100000000002</v>
      </c>
      <c r="N107" s="13">
        <f>_xll.BDH("BLUE US Equity","ARDR_FV_ASSETS_REC_LEVEL_2","FQ1 2021","FQ1 2021","Currency=USD","Period=FQ","BEST_FPERIOD_OVERRIDE=FQ","FILING_STATUS=MR","SCALING_FORMAT=MLN","Sort=A","Dates=H","DateFormat=P","Fill=—","Direction=H","UseDPDF=Y")</f>
        <v>680.12900000000002</v>
      </c>
      <c r="O107" s="13">
        <f>_xll.BDH("BLUE US Equity","ARDR_FV_ASSETS_REC_LEVEL_2","FQ2 2021","FQ2 2021","Currency=USD","Period=FQ","BEST_FPERIOD_OVERRIDE=FQ","FILING_STATUS=MR","SCALING_FORMAT=MLN","Sort=A","Dates=H","DateFormat=P","Fill=—","Direction=H","UseDPDF=Y")</f>
        <v>628.17499999999995</v>
      </c>
      <c r="P107" s="13">
        <f>_xll.BDH("BLUE US Equity","ARDR_FV_ASSETS_REC_LEVEL_2","FQ3 2021","FQ3 2021","Currency=USD","Period=FQ","BEST_FPERIOD_OVERRIDE=FQ","FILING_STATUS=MR","SCALING_FORMAT=MLN","Sort=A","Dates=H","DateFormat=P","Fill=—","Direction=H","UseDPDF=Y")</f>
        <v>590.16800000000001</v>
      </c>
      <c r="Q107" s="13">
        <f>_xll.BDH("BLUE US Equity","ARDR_FV_ASSETS_REC_LEVEL_2","FQ4 2021","FQ4 2021","Currency=USD","Period=FQ","BEST_FPERIOD_OVERRIDE=FQ","FILING_STATUS=MR","SCALING_FORMAT=MLN","Sort=A","Dates=H","DateFormat=P","Fill=—","Direction=H","UseDPDF=Y")</f>
        <v>231.78</v>
      </c>
      <c r="R107" s="13">
        <f>_xll.BDH("BLUE US Equity","ARDR_FV_ASSETS_REC_LEVEL_2","FQ1 2022","FQ1 2022","Currency=USD","Period=FQ","BEST_FPERIOD_OVERRIDE=FQ","FILING_STATUS=MR","SCALING_FORMAT=MLN","Sort=A","Dates=H","DateFormat=P","Fill=—","Direction=H","UseDPDF=Y")</f>
        <v>159.19499999999999</v>
      </c>
      <c r="S107" s="13">
        <f>_xll.BDH("BLUE US Equity","ARDR_FV_ASSETS_REC_LEVEL_2","FQ2 2022","FQ2 2022","Currency=USD","Period=FQ","BEST_FPERIOD_OVERRIDE=FQ","FILING_STATUS=MR","SCALING_FORMAT=MLN","Sort=A","Dates=H","DateFormat=P","Fill=—","Direction=H","UseDPDF=Y")</f>
        <v>91.650999999999996</v>
      </c>
      <c r="T107" s="13">
        <f>_xll.BDH("BLUE US Equity","ARDR_FV_ASSETS_REC_LEVEL_2","FQ3 2022","FQ3 2022","Currency=USD","Period=FQ","BEST_FPERIOD_OVERRIDE=FQ","FILING_STATUS=MR","SCALING_FORMAT=MLN","Sort=A","Dates=H","DateFormat=P","Fill=—","Direction=H","UseDPDF=Y")</f>
        <v>74.561999999999998</v>
      </c>
      <c r="U107" s="13">
        <f>_xll.BDH("BLUE US Equity","ARDR_FV_ASSETS_REC_LEVEL_2","FQ4 2022","FQ4 2022","Currency=USD","Period=FQ","BEST_FPERIOD_OVERRIDE=FQ","FILING_STATUS=MR","SCALING_FORMAT=MLN","Sort=A","Dates=H","DateFormat=P","Fill=—","Direction=H","UseDPDF=Y")</f>
        <v>68.734999999999999</v>
      </c>
      <c r="V107" s="13">
        <f>_xll.BDH("BLUE US Equity","ARDR_FV_ASSETS_REC_LEVEL_2","FQ1 2023","FQ1 2023","Currency=USD","Period=FQ","BEST_FPERIOD_OVERRIDE=FQ","FILING_STATUS=MR","SCALING_FORMAT=MLN","Sort=A","Dates=H","DateFormat=P","Fill=—","Direction=H","UseDPDF=Y")</f>
        <v>79.212000000000003</v>
      </c>
      <c r="W107" s="13">
        <f>_xll.BDH("BLUE US Equity","ARDR_FV_ASSETS_REC_LEVEL_2","FQ2 2023","FQ2 2023","Currency=USD","Period=FQ","BEST_FPERIOD_OVERRIDE=FQ","FILING_STATUS=MR","SCALING_FORMAT=MLN","Sort=A","Dates=H","DateFormat=P","Fill=—","Direction=H","UseDPDF=Y")</f>
        <v>72.430999999999997</v>
      </c>
      <c r="X107" s="13">
        <f>_xll.BDH("BLUE US Equity","ARDR_FV_ASSETS_REC_LEVEL_2","FQ3 2023","FQ3 2023","Currency=USD","Period=FQ","BEST_FPERIOD_OVERRIDE=FQ","FILING_STATUS=MR","SCALING_FORMAT=MLN","Sort=A","Dates=H","DateFormat=P","Fill=—","Direction=H","UseDPDF=Y")</f>
        <v>8.9459999999999997</v>
      </c>
      <c r="Y107" s="13">
        <f>_xll.BDH("BLUE US Equity","ARDR_FV_ASSETS_REC_LEVEL_2","FQ1 2024","FQ1 2024","Currency=USD","Period=FQ","BEST_FPERIOD_OVERRIDE=FQ","FILING_STATUS=MR","SCALING_FORMAT=MLN","Sort=A","Dates=H","DateFormat=P","Fill=—","Direction=H","UseDPDF=Y")</f>
        <v>0</v>
      </c>
      <c r="Z107" s="13">
        <f>_xll.BDH("BLUE US Equity","ARDR_FV_ASSETS_REC_LEVEL_2","FQ2 2024","FQ2 2024","Currency=USD","Period=FQ","BEST_FPERIOD_OVERRIDE=FQ","FILING_STATUS=MR","SCALING_FORMAT=MLN","Sort=A","Dates=H","DateFormat=P","Fill=—","Direction=H","UseDPDF=Y")</f>
        <v>0</v>
      </c>
      <c r="AA107" s="13">
        <f>_xll.BDH("BLUE US Equity","ARDR_FV_ASSETS_REC_LEVEL_2","FQ3 2024","FQ3 2024","Currency=USD","Period=FQ","BEST_FPERIOD_OVERRIDE=FQ","FILING_STATUS=MR","SCALING_FORMAT=MLN","Sort=A","Dates=H","DateFormat=P","Fill=—","Direction=H","UseDPDF=Y")</f>
        <v>0</v>
      </c>
    </row>
    <row r="108" spans="1:27" x14ac:dyDescent="0.25">
      <c r="A108" s="10" t="s">
        <v>927</v>
      </c>
      <c r="B108" s="10" t="s">
        <v>928</v>
      </c>
      <c r="C108" s="13">
        <f>_xll.BDH("BLUE US Equity","ARDR_FV_ASSETS_REC_LEVEL_3","FQ2 2018","FQ2 2018","Currency=USD","Period=FQ","BEST_FPERIOD_OVERRIDE=FQ","FILING_STATUS=MR","SCALING_FORMAT=MLN","Sort=A","Dates=H","DateFormat=P","Fill=—","Direction=H","UseDPDF=Y")</f>
        <v>0</v>
      </c>
      <c r="D108" s="13">
        <f>_xll.BDH("BLUE US Equity","ARDR_FV_ASSETS_REC_LEVEL_3","FQ3 2018","FQ3 2018","Currency=USD","Period=FQ","BEST_FPERIOD_OVERRIDE=FQ","FILING_STATUS=MR","SCALING_FORMAT=MLN","Sort=A","Dates=H","DateFormat=P","Fill=—","Direction=H","UseDPDF=Y")</f>
        <v>0</v>
      </c>
      <c r="E108" s="13">
        <f>_xll.BDH("BLUE US Equity","ARDR_FV_ASSETS_REC_LEVEL_3","FQ4 2018","FQ4 2018","Currency=USD","Period=FQ","BEST_FPERIOD_OVERRIDE=FQ","FILING_STATUS=MR","SCALING_FORMAT=MLN","Sort=A","Dates=H","DateFormat=P","Fill=—","Direction=H","UseDPDF=Y")</f>
        <v>0</v>
      </c>
      <c r="F108" s="13">
        <f>_xll.BDH("BLUE US Equity","ARDR_FV_ASSETS_REC_LEVEL_3","FQ1 2019","FQ1 2019","Currency=USD","Period=FQ","BEST_FPERIOD_OVERRIDE=FQ","FILING_STATUS=MR","SCALING_FORMAT=MLN","Sort=A","Dates=H","DateFormat=P","Fill=—","Direction=H","UseDPDF=Y")</f>
        <v>0</v>
      </c>
      <c r="G108" s="13">
        <f>_xll.BDH("BLUE US Equity","ARDR_FV_ASSETS_REC_LEVEL_3","FQ2 2019","FQ2 2019","Currency=USD","Period=FQ","BEST_FPERIOD_OVERRIDE=FQ","FILING_STATUS=MR","SCALING_FORMAT=MLN","Sort=A","Dates=H","DateFormat=P","Fill=—","Direction=H","UseDPDF=Y")</f>
        <v>0</v>
      </c>
      <c r="H108" s="13">
        <f>_xll.BDH("BLUE US Equity","ARDR_FV_ASSETS_REC_LEVEL_3","FQ3 2019","FQ3 2019","Currency=USD","Period=FQ","BEST_FPERIOD_OVERRIDE=FQ","FILING_STATUS=MR","SCALING_FORMAT=MLN","Sort=A","Dates=H","DateFormat=P","Fill=—","Direction=H","UseDPDF=Y")</f>
        <v>0</v>
      </c>
      <c r="I108" s="13">
        <f>_xll.BDH("BLUE US Equity","ARDR_FV_ASSETS_REC_LEVEL_3","FQ4 2019","FQ4 2019","Currency=USD","Period=FQ","BEST_FPERIOD_OVERRIDE=FQ","FILING_STATUS=MR","SCALING_FORMAT=MLN","Sort=A","Dates=H","DateFormat=P","Fill=—","Direction=H","UseDPDF=Y")</f>
        <v>0</v>
      </c>
      <c r="J108" s="13">
        <f>_xll.BDH("BLUE US Equity","ARDR_FV_ASSETS_REC_LEVEL_3","FQ1 2020","FQ1 2020","Currency=USD","Period=FQ","BEST_FPERIOD_OVERRIDE=FQ","FILING_STATUS=MR","SCALING_FORMAT=MLN","Sort=A","Dates=H","DateFormat=P","Fill=—","Direction=H","UseDPDF=Y")</f>
        <v>0</v>
      </c>
      <c r="K108" s="13">
        <f>_xll.BDH("BLUE US Equity","ARDR_FV_ASSETS_REC_LEVEL_3","FQ2 2020","FQ2 2020","Currency=USD","Period=FQ","BEST_FPERIOD_OVERRIDE=FQ","FILING_STATUS=MR","SCALING_FORMAT=MLN","Sort=A","Dates=H","DateFormat=P","Fill=—","Direction=H","UseDPDF=Y")</f>
        <v>0</v>
      </c>
      <c r="L108" s="13">
        <f>_xll.BDH("BLUE US Equity","ARDR_FV_ASSETS_REC_LEVEL_3","FQ3 2020","FQ3 2020","Currency=USD","Period=FQ","BEST_FPERIOD_OVERRIDE=FQ","FILING_STATUS=MR","SCALING_FORMAT=MLN","Sort=A","Dates=H","DateFormat=P","Fill=—","Direction=H","UseDPDF=Y")</f>
        <v>0</v>
      </c>
      <c r="M108" s="13">
        <f>_xll.BDH("BLUE US Equity","ARDR_FV_ASSETS_REC_LEVEL_3","FQ4 2020","FQ4 2020","Currency=USD","Period=FQ","BEST_FPERIOD_OVERRIDE=FQ","FILING_STATUS=MR","SCALING_FORMAT=MLN","Sort=A","Dates=H","DateFormat=P","Fill=—","Direction=H","UseDPDF=Y")</f>
        <v>0</v>
      </c>
      <c r="N108" s="13">
        <f>_xll.BDH("BLUE US Equity","ARDR_FV_ASSETS_REC_LEVEL_3","FQ1 2021","FQ1 2021","Currency=USD","Period=FQ","BEST_FPERIOD_OVERRIDE=FQ","FILING_STATUS=MR","SCALING_FORMAT=MLN","Sort=A","Dates=H","DateFormat=P","Fill=—","Direction=H","UseDPDF=Y")</f>
        <v>0</v>
      </c>
      <c r="O108" s="13">
        <f>_xll.BDH("BLUE US Equity","ARDR_FV_ASSETS_REC_LEVEL_3","FQ2 2021","FQ2 2021","Currency=USD","Period=FQ","BEST_FPERIOD_OVERRIDE=FQ","FILING_STATUS=MR","SCALING_FORMAT=MLN","Sort=A","Dates=H","DateFormat=P","Fill=—","Direction=H","UseDPDF=Y")</f>
        <v>0</v>
      </c>
      <c r="P108" s="13">
        <f>_xll.BDH("BLUE US Equity","ARDR_FV_ASSETS_REC_LEVEL_3","FQ3 2021","FQ3 2021","Currency=USD","Period=FQ","BEST_FPERIOD_OVERRIDE=FQ","FILING_STATUS=MR","SCALING_FORMAT=MLN","Sort=A","Dates=H","DateFormat=P","Fill=—","Direction=H","UseDPDF=Y")</f>
        <v>0</v>
      </c>
      <c r="Q108" s="13">
        <f>_xll.BDH("BLUE US Equity","ARDR_FV_ASSETS_REC_LEVEL_3","FQ4 2021","FQ4 2021","Currency=USD","Period=FQ","BEST_FPERIOD_OVERRIDE=FQ","FILING_STATUS=MR","SCALING_FORMAT=MLN","Sort=A","Dates=H","DateFormat=P","Fill=—","Direction=H","UseDPDF=Y")</f>
        <v>0</v>
      </c>
      <c r="R108" s="13">
        <f>_xll.BDH("BLUE US Equity","ARDR_FV_ASSETS_REC_LEVEL_3","FQ1 2022","FQ1 2022","Currency=USD","Period=FQ","BEST_FPERIOD_OVERRIDE=FQ","FILING_STATUS=MR","SCALING_FORMAT=MLN","Sort=A","Dates=H","DateFormat=P","Fill=—","Direction=H","UseDPDF=Y")</f>
        <v>0</v>
      </c>
      <c r="S108" s="13">
        <f>_xll.BDH("BLUE US Equity","ARDR_FV_ASSETS_REC_LEVEL_3","FQ2 2022","FQ2 2022","Currency=USD","Period=FQ","BEST_FPERIOD_OVERRIDE=FQ","FILING_STATUS=MR","SCALING_FORMAT=MLN","Sort=A","Dates=H","DateFormat=P","Fill=—","Direction=H","UseDPDF=Y")</f>
        <v>0</v>
      </c>
      <c r="T108" s="13">
        <f>_xll.BDH("BLUE US Equity","ARDR_FV_ASSETS_REC_LEVEL_3","FQ3 2022","FQ3 2022","Currency=USD","Period=FQ","BEST_FPERIOD_OVERRIDE=FQ","FILING_STATUS=MR","SCALING_FORMAT=MLN","Sort=A","Dates=H","DateFormat=P","Fill=—","Direction=H","UseDPDF=Y")</f>
        <v>0</v>
      </c>
      <c r="U108" s="13">
        <f>_xll.BDH("BLUE US Equity","ARDR_FV_ASSETS_REC_LEVEL_3","FQ4 2022","FQ4 2022","Currency=USD","Period=FQ","BEST_FPERIOD_OVERRIDE=FQ","FILING_STATUS=MR","SCALING_FORMAT=MLN","Sort=A","Dates=H","DateFormat=P","Fill=—","Direction=H","UseDPDF=Y")</f>
        <v>0</v>
      </c>
      <c r="V108" s="13">
        <f>_xll.BDH("BLUE US Equity","ARDR_FV_ASSETS_REC_LEVEL_3","FQ1 2023","FQ1 2023","Currency=USD","Period=FQ","BEST_FPERIOD_OVERRIDE=FQ","FILING_STATUS=MR","SCALING_FORMAT=MLN","Sort=A","Dates=H","DateFormat=P","Fill=—","Direction=H","UseDPDF=Y")</f>
        <v>0</v>
      </c>
      <c r="W108" s="13">
        <f>_xll.BDH("BLUE US Equity","ARDR_FV_ASSETS_REC_LEVEL_3","FQ2 2023","FQ2 2023","Currency=USD","Period=FQ","BEST_FPERIOD_OVERRIDE=FQ","FILING_STATUS=MR","SCALING_FORMAT=MLN","Sort=A","Dates=H","DateFormat=P","Fill=—","Direction=H","UseDPDF=Y")</f>
        <v>0</v>
      </c>
      <c r="X108" s="13">
        <f>_xll.BDH("BLUE US Equity","ARDR_FV_ASSETS_REC_LEVEL_3","FQ3 2023","FQ3 2023","Currency=USD","Period=FQ","BEST_FPERIOD_OVERRIDE=FQ","FILING_STATUS=MR","SCALING_FORMAT=MLN","Sort=A","Dates=H","DateFormat=P","Fill=—","Direction=H","UseDPDF=Y")</f>
        <v>0</v>
      </c>
      <c r="Y108" s="13">
        <f>_xll.BDH("BLUE US Equity","ARDR_FV_ASSETS_REC_LEVEL_3","FQ1 2024","FQ1 2024","Currency=USD","Period=FQ","BEST_FPERIOD_OVERRIDE=FQ","FILING_STATUS=MR","SCALING_FORMAT=MLN","Sort=A","Dates=H","DateFormat=P","Fill=—","Direction=H","UseDPDF=Y")</f>
        <v>1.1200000000000001</v>
      </c>
      <c r="Z108" s="13">
        <f>_xll.BDH("BLUE US Equity","ARDR_FV_ASSETS_REC_LEVEL_3","FQ2 2024","FQ2 2024","Currency=USD","Period=FQ","BEST_FPERIOD_OVERRIDE=FQ","FILING_STATUS=MR","SCALING_FORMAT=MLN","Sort=A","Dates=H","DateFormat=P","Fill=—","Direction=H","UseDPDF=Y")</f>
        <v>1.44</v>
      </c>
      <c r="AA108" s="13">
        <f>_xll.BDH("BLUE US Equity","ARDR_FV_ASSETS_REC_LEVEL_3","FQ3 2024","FQ3 2024","Currency=USD","Period=FQ","BEST_FPERIOD_OVERRIDE=FQ","FILING_STATUS=MR","SCALING_FORMAT=MLN","Sort=A","Dates=H","DateFormat=P","Fill=—","Direction=H","UseDPDF=Y")</f>
        <v>2.0489999999999999</v>
      </c>
    </row>
    <row r="109" spans="1:27" x14ac:dyDescent="0.25">
      <c r="A109" s="10" t="s">
        <v>929</v>
      </c>
      <c r="B109" s="10" t="s">
        <v>930</v>
      </c>
      <c r="C109" s="13">
        <f>_xll.BDH("BLUE US Equity","ARDR_FV_ASSETS_REC_TOTAL","FQ2 2018","FQ2 2018","Currency=USD","Period=FQ","BEST_FPERIOD_OVERRIDE=FQ","FILING_STATUS=MR","SCALING_FORMAT=MLN","Sort=A","Dates=H","DateFormat=P","Fill=—","Direction=H","UseDPDF=Y")</f>
        <v>1457.2429999999999</v>
      </c>
      <c r="D109" s="13">
        <f>_xll.BDH("BLUE US Equity","ARDR_FV_ASSETS_REC_TOTAL","FQ3 2018","FQ3 2018","Currency=USD","Period=FQ","BEST_FPERIOD_OVERRIDE=FQ","FILING_STATUS=MR","SCALING_FORMAT=MLN","Sort=A","Dates=H","DateFormat=P","Fill=—","Direction=H","UseDPDF=Y")</f>
        <v>1999.05</v>
      </c>
      <c r="E109" s="13">
        <f>_xll.BDH("BLUE US Equity","ARDR_FV_ASSETS_REC_TOTAL","FQ4 2018","FQ4 2018","Currency=USD","Period=FQ","BEST_FPERIOD_OVERRIDE=FQ","FILING_STATUS=MR","SCALING_FORMAT=MLN","Sort=A","Dates=H","DateFormat=P","Fill=—","Direction=H","UseDPDF=Y")</f>
        <v>1891.4269999999999</v>
      </c>
      <c r="F109" s="13">
        <f>_xll.BDH("BLUE US Equity","ARDR_FV_ASSETS_REC_TOTAL","FQ1 2019","FQ1 2019","Currency=USD","Period=FQ","BEST_FPERIOD_OVERRIDE=FQ","FILING_STATUS=MR","SCALING_FORMAT=MLN","Sort=A","Dates=H","DateFormat=P","Fill=—","Direction=H","UseDPDF=Y")</f>
        <v>1730.7660000000001</v>
      </c>
      <c r="G109" s="13">
        <f>_xll.BDH("BLUE US Equity","ARDR_FV_ASSETS_REC_TOTAL","FQ2 2019","FQ2 2019","Currency=USD","Period=FQ","BEST_FPERIOD_OVERRIDE=FQ","FILING_STATUS=MR","SCALING_FORMAT=MLN","Sort=A","Dates=H","DateFormat=P","Fill=—","Direction=H","UseDPDF=Y")</f>
        <v>1541.8019999999999</v>
      </c>
      <c r="H109" s="13">
        <f>_xll.BDH("BLUE US Equity","ARDR_FV_ASSETS_REC_TOTAL","FQ3 2019","FQ3 2019","Currency=USD","Period=FQ","BEST_FPERIOD_OVERRIDE=FQ","FILING_STATUS=MR","SCALING_FORMAT=MLN","Sort=A","Dates=H","DateFormat=P","Fill=—","Direction=H","UseDPDF=Y")</f>
        <v>1405.8869999999999</v>
      </c>
      <c r="I109" s="13">
        <f>_xll.BDH("BLUE US Equity","ARDR_FV_ASSETS_REC_TOTAL","FQ4 2019","FQ4 2019","Currency=USD","Period=FQ","BEST_FPERIOD_OVERRIDE=FQ","FILING_STATUS=MR","SCALING_FORMAT=MLN","Sort=A","Dates=H","DateFormat=P","Fill=—","Direction=H","UseDPDF=Y")</f>
        <v>1237.9659999999999</v>
      </c>
      <c r="J109" s="13">
        <f>_xll.BDH("BLUE US Equity","ARDR_FV_ASSETS_REC_TOTAL","FQ1 2020","FQ1 2020","Currency=USD","Period=FQ","BEST_FPERIOD_OVERRIDE=FQ","FILING_STATUS=MR","SCALING_FORMAT=MLN","Sort=A","Dates=H","DateFormat=P","Fill=—","Direction=H","UseDPDF=Y")</f>
        <v>1018.357</v>
      </c>
      <c r="K109" s="13">
        <f>_xll.BDH("BLUE US Equity","ARDR_FV_ASSETS_REC_TOTAL","FQ2 2020","FQ2 2020","Currency=USD","Period=FQ","BEST_FPERIOD_OVERRIDE=FQ","FILING_STATUS=MR","SCALING_FORMAT=MLN","Sort=A","Dates=H","DateFormat=P","Fill=—","Direction=H","UseDPDF=Y")</f>
        <v>1598.7929999999999</v>
      </c>
      <c r="L109" s="13">
        <f>_xll.BDH("BLUE US Equity","ARDR_FV_ASSETS_REC_TOTAL","FQ3 2020","FQ3 2020","Currency=USD","Period=FQ","BEST_FPERIOD_OVERRIDE=FQ","FILING_STATUS=MR","SCALING_FORMAT=MLN","Sort=A","Dates=H","DateFormat=P","Fill=—","Direction=H","UseDPDF=Y")</f>
        <v>1437.87</v>
      </c>
      <c r="M109" s="13">
        <f>_xll.BDH("BLUE US Equity","ARDR_FV_ASSETS_REC_TOTAL","FQ4 2020","FQ4 2020","Currency=USD","Period=FQ","BEST_FPERIOD_OVERRIDE=FQ","FILING_STATUS=MR","SCALING_FORMAT=MLN","Sort=A","Dates=H","DateFormat=P","Fill=—","Direction=H","UseDPDF=Y")</f>
        <v>741.673</v>
      </c>
      <c r="N109" s="13">
        <f>_xll.BDH("BLUE US Equity","ARDR_FV_ASSETS_REC_TOTAL","FQ1 2021","FQ1 2021","Currency=USD","Period=FQ","BEST_FPERIOD_OVERRIDE=FQ","FILING_STATUS=MR","SCALING_FORMAT=MLN","Sort=A","Dates=H","DateFormat=P","Fill=—","Direction=H","UseDPDF=Y")</f>
        <v>1093.5509999999999</v>
      </c>
      <c r="O109" s="13">
        <f>_xll.BDH("BLUE US Equity","ARDR_FV_ASSETS_REC_TOTAL","FQ2 2021","FQ2 2021","Currency=USD","Period=FQ","BEST_FPERIOD_OVERRIDE=FQ","FILING_STATUS=MR","SCALING_FORMAT=MLN","Sort=A","Dates=H","DateFormat=P","Fill=—","Direction=H","UseDPDF=Y")</f>
        <v>941.62800000000004</v>
      </c>
      <c r="P109" s="13">
        <f>_xll.BDH("BLUE US Equity","ARDR_FV_ASSETS_REC_TOTAL","FQ3 2021","FQ3 2021","Currency=USD","Period=FQ","BEST_FPERIOD_OVERRIDE=FQ","FILING_STATUS=MR","SCALING_FORMAT=MLN","Sort=A","Dates=H","DateFormat=P","Fill=—","Direction=H","UseDPDF=Y")</f>
        <v>970.73</v>
      </c>
      <c r="Q109" s="13">
        <f>_xll.BDH("BLUE US Equity","ARDR_FV_ASSETS_REC_TOTAL","FQ4 2021","FQ4 2021","Currency=USD","Period=FQ","BEST_FPERIOD_OVERRIDE=FQ","FILING_STATUS=MR","SCALING_FORMAT=MLN","Sort=A","Dates=H","DateFormat=P","Fill=—","Direction=H","UseDPDF=Y")</f>
        <v>396.61700000000002</v>
      </c>
      <c r="R109" s="13">
        <f>_xll.BDH("BLUE US Equity","ARDR_FV_ASSETS_REC_TOTAL","FQ1 2022","FQ1 2022","Currency=USD","Period=FQ","BEST_FPERIOD_OVERRIDE=FQ","FILING_STATUS=MR","SCALING_FORMAT=MLN","Sort=A","Dates=H","DateFormat=P","Fill=—","Direction=H","UseDPDF=Y")</f>
        <v>266.637</v>
      </c>
      <c r="S109" s="13">
        <f>_xll.BDH("BLUE US Equity","ARDR_FV_ASSETS_REC_TOTAL","FQ2 2022","FQ2 2022","Currency=USD","Period=FQ","BEST_FPERIOD_OVERRIDE=FQ","FILING_STATUS=MR","SCALING_FORMAT=MLN","Sort=A","Dates=H","DateFormat=P","Fill=—","Direction=H","UseDPDF=Y")</f>
        <v>173.15</v>
      </c>
      <c r="T109" s="13">
        <f>_xll.BDH("BLUE US Equity","ARDR_FV_ASSETS_REC_TOTAL","FQ3 2022","FQ3 2022","Currency=USD","Period=FQ","BEST_FPERIOD_OVERRIDE=FQ","FILING_STATUS=MR","SCALING_FORMAT=MLN","Sort=A","Dates=H","DateFormat=P","Fill=—","Direction=H","UseDPDF=Y")</f>
        <v>141.04</v>
      </c>
      <c r="U109" s="13">
        <f>_xll.BDH("BLUE US Equity","ARDR_FV_ASSETS_REC_TOTAL","FQ4 2022","FQ4 2022","Currency=USD","Period=FQ","BEST_FPERIOD_OVERRIDE=FQ","FILING_STATUS=MR","SCALING_FORMAT=MLN","Sort=A","Dates=H","DateFormat=P","Fill=—","Direction=H","UseDPDF=Y")</f>
        <v>181.74100000000001</v>
      </c>
      <c r="V109" s="13">
        <f>_xll.BDH("BLUE US Equity","ARDR_FV_ASSETS_REC_TOTAL","FQ1 2023","FQ1 2023","Currency=USD","Period=FQ","BEST_FPERIOD_OVERRIDE=FQ","FILING_STATUS=MR","SCALING_FORMAT=MLN","Sort=A","Dates=H","DateFormat=P","Fill=—","Direction=H","UseDPDF=Y")</f>
        <v>318.25700000000001</v>
      </c>
      <c r="W109" s="13">
        <f>_xll.BDH("BLUE US Equity","ARDR_FV_ASSETS_REC_TOTAL","FQ2 2023","FQ2 2023","Currency=USD","Period=FQ","BEST_FPERIOD_OVERRIDE=FQ","FILING_STATUS=MR","SCALING_FORMAT=MLN","Sort=A","Dates=H","DateFormat=P","Fill=—","Direction=H","UseDPDF=Y")</f>
        <v>245.303</v>
      </c>
      <c r="X109" s="13">
        <f>_xll.BDH("BLUE US Equity","ARDR_FV_ASSETS_REC_TOTAL","FQ3 2023","FQ3 2023","Currency=USD","Period=FQ","BEST_FPERIOD_OVERRIDE=FQ","FILING_STATUS=MR","SCALING_FORMAT=MLN","Sort=A","Dates=H","DateFormat=P","Fill=—","Direction=H","UseDPDF=Y")</f>
        <v>174.29300000000001</v>
      </c>
      <c r="Y109" s="13">
        <f>_xll.BDH("BLUE US Equity","ARDR_FV_ASSETS_REC_TOTAL","FQ1 2024","FQ1 2024","Currency=USD","Period=FQ","BEST_FPERIOD_OVERRIDE=FQ","FILING_STATUS=MR","SCALING_FORMAT=MLN","Sort=A","Dates=H","DateFormat=P","Fill=—","Direction=H","UseDPDF=Y")</f>
        <v>213.167</v>
      </c>
      <c r="Z109" s="13">
        <f>_xll.BDH("BLUE US Equity","ARDR_FV_ASSETS_REC_TOTAL","FQ2 2024","FQ2 2024","Currency=USD","Period=FQ","BEST_FPERIOD_OVERRIDE=FQ","FILING_STATUS=MR","SCALING_FORMAT=MLN","Sort=A","Dates=H","DateFormat=P","Fill=—","Direction=H","UseDPDF=Y")</f>
        <v>145.50700000000001</v>
      </c>
      <c r="AA109" s="13">
        <f>_xll.BDH("BLUE US Equity","ARDR_FV_ASSETS_REC_TOTAL","FQ3 2024","FQ3 2024","Currency=USD","Period=FQ","BEST_FPERIOD_OVERRIDE=FQ","FILING_STATUS=MR","SCALING_FORMAT=MLN","Sort=A","Dates=H","DateFormat=P","Fill=—","Direction=H","UseDPDF=Y")</f>
        <v>72.7</v>
      </c>
    </row>
    <row r="110" spans="1:27" x14ac:dyDescent="0.25">
      <c r="A110" s="10" t="s">
        <v>931</v>
      </c>
      <c r="B110" s="10" t="s">
        <v>932</v>
      </c>
      <c r="C110" s="13">
        <f>_xll.BDH("BLUE US Equity","ARDR_FV_LIAB_REC_LEVEL_1","FQ2 2018","FQ2 2018","Currency=USD","Period=FQ","BEST_FPERIOD_OVERRIDE=FQ","FILING_STATUS=MR","SCALING_FORMAT=MLN","Sort=A","Dates=H","DateFormat=P","Fill=—","Direction=H","UseDPDF=Y")</f>
        <v>0</v>
      </c>
      <c r="D110" s="13" t="str">
        <f>_xll.BDH("BLUE US Equity","ARDR_FV_LIAB_REC_LEVEL_1","FQ3 2018","FQ3 2018","Currency=USD","Period=FQ","BEST_FPERIOD_OVERRIDE=FQ","FILING_STATUS=MR","SCALING_FORMAT=MLN","Sort=A","Dates=H","DateFormat=P","Fill=—","Direction=H","UseDPDF=Y")</f>
        <v>—</v>
      </c>
      <c r="E110" s="13">
        <f>_xll.BDH("BLUE US Equity","ARDR_FV_LIAB_REC_LEVEL_1","FQ4 2018","FQ4 2018","Currency=USD","Period=FQ","BEST_FPERIOD_OVERRIDE=FQ","FILING_STATUS=MR","SCALING_FORMAT=MLN","Sort=A","Dates=H","DateFormat=P","Fill=—","Direction=H","UseDPDF=Y")</f>
        <v>0</v>
      </c>
      <c r="F110" s="13">
        <f>_xll.BDH("BLUE US Equity","ARDR_FV_LIAB_REC_LEVEL_1","FQ1 2019","FQ1 2019","Currency=USD","Period=FQ","BEST_FPERIOD_OVERRIDE=FQ","FILING_STATUS=MR","SCALING_FORMAT=MLN","Sort=A","Dates=H","DateFormat=P","Fill=—","Direction=H","UseDPDF=Y")</f>
        <v>0</v>
      </c>
      <c r="G110" s="13" t="str">
        <f>_xll.BDH("BLUE US Equity","ARDR_FV_LIAB_REC_LEVEL_1","FQ2 2019","FQ2 2019","Currency=USD","Period=FQ","BEST_FPERIOD_OVERRIDE=FQ","FILING_STATUS=MR","SCALING_FORMAT=MLN","Sort=A","Dates=H","DateFormat=P","Fill=—","Direction=H","UseDPDF=Y")</f>
        <v>—</v>
      </c>
      <c r="H110" s="13" t="str">
        <f>_xll.BDH("BLUE US Equity","ARDR_FV_LIAB_REC_LEVEL_1","FQ3 2019","FQ3 2019","Currency=USD","Period=FQ","BEST_FPERIOD_OVERRIDE=FQ","FILING_STATUS=MR","SCALING_FORMAT=MLN","Sort=A","Dates=H","DateFormat=P","Fill=—","Direction=H","UseDPDF=Y")</f>
        <v>—</v>
      </c>
      <c r="I110" s="13">
        <f>_xll.BDH("BLUE US Equity","ARDR_FV_LIAB_REC_LEVEL_1","FQ4 2019","FQ4 2019","Currency=USD","Period=FQ","BEST_FPERIOD_OVERRIDE=FQ","FILING_STATUS=MR","SCALING_FORMAT=MLN","Sort=A","Dates=H","DateFormat=P","Fill=—","Direction=H","UseDPDF=Y")</f>
        <v>0</v>
      </c>
      <c r="J110" s="13">
        <f>_xll.BDH("BLUE US Equity","ARDR_FV_LIAB_REC_LEVEL_1","FQ1 2020","FQ1 2020","Currency=USD","Period=FQ","BEST_FPERIOD_OVERRIDE=FQ","FILING_STATUS=MR","SCALING_FORMAT=MLN","Sort=A","Dates=H","DateFormat=P","Fill=—","Direction=H","UseDPDF=Y")</f>
        <v>0</v>
      </c>
      <c r="K110" s="13" t="str">
        <f>_xll.BDH("BLUE US Equity","ARDR_FV_LIAB_REC_LEVEL_1","FQ2 2020","FQ2 2020","Currency=USD","Period=FQ","BEST_FPERIOD_OVERRIDE=FQ","FILING_STATUS=MR","SCALING_FORMAT=MLN","Sort=A","Dates=H","DateFormat=P","Fill=—","Direction=H","UseDPDF=Y")</f>
        <v>—</v>
      </c>
      <c r="L110" s="13">
        <f>_xll.BDH("BLUE US Equity","ARDR_FV_LIAB_REC_LEVEL_1","FQ3 2020","FQ3 2020","Currency=USD","Period=FQ","BEST_FPERIOD_OVERRIDE=FQ","FILING_STATUS=MR","SCALING_FORMAT=MLN","Sort=A","Dates=H","DateFormat=P","Fill=—","Direction=H","UseDPDF=Y")</f>
        <v>2.3860000000000001</v>
      </c>
      <c r="M110" s="13" t="str">
        <f>_xll.BDH("BLUE US Equity","ARDR_FV_LIAB_REC_LEVEL_1","FQ4 2020","FQ4 2020","Currency=USD","Period=FQ","BEST_FPERIOD_OVERRIDE=FQ","FILING_STATUS=MR","SCALING_FORMAT=MLN","Sort=A","Dates=H","DateFormat=P","Fill=—","Direction=H","UseDPDF=Y")</f>
        <v>—</v>
      </c>
      <c r="N110" s="13">
        <f>_xll.BDH("BLUE US Equity","ARDR_FV_LIAB_REC_LEVEL_1","FQ1 2021","FQ1 2021","Currency=USD","Period=FQ","BEST_FPERIOD_OVERRIDE=FQ","FILING_STATUS=MR","SCALING_FORMAT=MLN","Sort=A","Dates=H","DateFormat=P","Fill=—","Direction=H","UseDPDF=Y")</f>
        <v>0</v>
      </c>
      <c r="O110" s="13" t="str">
        <f>_xll.BDH("BLUE US Equity","ARDR_FV_LIAB_REC_LEVEL_1","FQ2 2021","FQ2 2021","Currency=USD","Period=FQ","BEST_FPERIOD_OVERRIDE=FQ","FILING_STATUS=MR","SCALING_FORMAT=MLN","Sort=A","Dates=H","DateFormat=P","Fill=—","Direction=H","UseDPDF=Y")</f>
        <v>—</v>
      </c>
      <c r="P110" s="13">
        <f>_xll.BDH("BLUE US Equity","ARDR_FV_LIAB_REC_LEVEL_1","FQ3 2021","FQ3 2021","Currency=USD","Period=FQ","BEST_FPERIOD_OVERRIDE=FQ","FILING_STATUS=MR","SCALING_FORMAT=MLN","Sort=A","Dates=H","DateFormat=P","Fill=—","Direction=H","UseDPDF=Y")</f>
        <v>0</v>
      </c>
      <c r="Q110" s="13" t="str">
        <f>_xll.BDH("BLUE US Equity","ARDR_FV_LIAB_REC_LEVEL_1","FQ4 2021","FQ4 2021","Currency=USD","Period=FQ","BEST_FPERIOD_OVERRIDE=FQ","FILING_STATUS=MR","SCALING_FORMAT=MLN","Sort=A","Dates=H","DateFormat=P","Fill=—","Direction=H","UseDPDF=Y")</f>
        <v>—</v>
      </c>
      <c r="R110" s="13" t="str">
        <f>_xll.BDH("BLUE US Equity","ARDR_FV_LIAB_REC_LEVEL_1","FQ1 2022","FQ1 2022","Currency=USD","Period=FQ","BEST_FPERIOD_OVERRIDE=FQ","FILING_STATUS=MR","SCALING_FORMAT=MLN","Sort=A","Dates=H","DateFormat=P","Fill=—","Direction=H","UseDPDF=Y")</f>
        <v>—</v>
      </c>
      <c r="S110" s="13" t="str">
        <f>_xll.BDH("BLUE US Equity","ARDR_FV_LIAB_REC_LEVEL_1","FQ2 2022","FQ2 2022","Currency=USD","Period=FQ","BEST_FPERIOD_OVERRIDE=FQ","FILING_STATUS=MR","SCALING_FORMAT=MLN","Sort=A","Dates=H","DateFormat=P","Fill=—","Direction=H","UseDPDF=Y")</f>
        <v>—</v>
      </c>
      <c r="T110" s="13" t="str">
        <f>_xll.BDH("BLUE US Equity","ARDR_FV_LIAB_REC_LEVEL_1","FQ3 2022","FQ3 2022","Currency=USD","Period=FQ","BEST_FPERIOD_OVERRIDE=FQ","FILING_STATUS=MR","SCALING_FORMAT=MLN","Sort=A","Dates=H","DateFormat=P","Fill=—","Direction=H","UseDPDF=Y")</f>
        <v>—</v>
      </c>
      <c r="U110" s="13" t="str">
        <f>_xll.BDH("BLUE US Equity","ARDR_FV_LIAB_REC_LEVEL_1","FQ4 2022","FQ4 2022","Currency=USD","Period=FQ","BEST_FPERIOD_OVERRIDE=FQ","FILING_STATUS=MR","SCALING_FORMAT=MLN","Sort=A","Dates=H","DateFormat=P","Fill=—","Direction=H","UseDPDF=Y")</f>
        <v>—</v>
      </c>
      <c r="V110" s="13" t="str">
        <f>_xll.BDH("BLUE US Equity","ARDR_FV_LIAB_REC_LEVEL_1","FQ1 2023","FQ1 2023","Currency=USD","Period=FQ","BEST_FPERIOD_OVERRIDE=FQ","FILING_STATUS=MR","SCALING_FORMAT=MLN","Sort=A","Dates=H","DateFormat=P","Fill=—","Direction=H","UseDPDF=Y")</f>
        <v>—</v>
      </c>
      <c r="W110" s="13" t="str">
        <f>_xll.BDH("BLUE US Equity","ARDR_FV_LIAB_REC_LEVEL_1","FQ2 2023","FQ2 2023","Currency=USD","Period=FQ","BEST_FPERIOD_OVERRIDE=FQ","FILING_STATUS=MR","SCALING_FORMAT=MLN","Sort=A","Dates=H","DateFormat=P","Fill=—","Direction=H","UseDPDF=Y")</f>
        <v>—</v>
      </c>
      <c r="X110" s="13" t="str">
        <f>_xll.BDH("BLUE US Equity","ARDR_FV_LIAB_REC_LEVEL_1","FQ3 2023","FQ3 2023","Currency=USD","Period=FQ","BEST_FPERIOD_OVERRIDE=FQ","FILING_STATUS=MR","SCALING_FORMAT=MLN","Sort=A","Dates=H","DateFormat=P","Fill=—","Direction=H","UseDPDF=Y")</f>
        <v>—</v>
      </c>
      <c r="Y110" s="13" t="str">
        <f>_xll.BDH("BLUE US Equity","ARDR_FV_LIAB_REC_LEVEL_1","FQ1 2024","FQ1 2024","Currency=USD","Period=FQ","BEST_FPERIOD_OVERRIDE=FQ","FILING_STATUS=MR","SCALING_FORMAT=MLN","Sort=A","Dates=H","DateFormat=P","Fill=—","Direction=H","UseDPDF=Y")</f>
        <v>—</v>
      </c>
      <c r="Z110" s="13" t="str">
        <f>_xll.BDH("BLUE US Equity","ARDR_FV_LIAB_REC_LEVEL_1","FQ2 2024","FQ2 2024","Currency=USD","Period=FQ","BEST_FPERIOD_OVERRIDE=FQ","FILING_STATUS=MR","SCALING_FORMAT=MLN","Sort=A","Dates=H","DateFormat=P","Fill=—","Direction=H","UseDPDF=Y")</f>
        <v>—</v>
      </c>
      <c r="AA110" s="13" t="str">
        <f>_xll.BDH("BLUE US Equity","ARDR_FV_LIAB_REC_LEVEL_1","FQ3 2024","FQ3 2024","Currency=USD","Period=FQ","BEST_FPERIOD_OVERRIDE=FQ","FILING_STATUS=MR","SCALING_FORMAT=MLN","Sort=A","Dates=H","DateFormat=P","Fill=—","Direction=H","UseDPDF=Y")</f>
        <v>—</v>
      </c>
    </row>
    <row r="111" spans="1:27" x14ac:dyDescent="0.25">
      <c r="A111" s="10" t="s">
        <v>933</v>
      </c>
      <c r="B111" s="10" t="s">
        <v>934</v>
      </c>
      <c r="C111" s="13">
        <f>_xll.BDH("BLUE US Equity","ARDR_FV_LIAB_REC_LEVEL_2","FQ2 2018","FQ2 2018","Currency=USD","Period=FQ","BEST_FPERIOD_OVERRIDE=FQ","FILING_STATUS=MR","SCALING_FORMAT=MLN","Sort=A","Dates=H","DateFormat=P","Fill=—","Direction=H","UseDPDF=Y")</f>
        <v>0</v>
      </c>
      <c r="D111" s="13" t="str">
        <f>_xll.BDH("BLUE US Equity","ARDR_FV_LIAB_REC_LEVEL_2","FQ3 2018","FQ3 2018","Currency=USD","Period=FQ","BEST_FPERIOD_OVERRIDE=FQ","FILING_STATUS=MR","SCALING_FORMAT=MLN","Sort=A","Dates=H","DateFormat=P","Fill=—","Direction=H","UseDPDF=Y")</f>
        <v>—</v>
      </c>
      <c r="E111" s="13">
        <f>_xll.BDH("BLUE US Equity","ARDR_FV_LIAB_REC_LEVEL_2","FQ4 2018","FQ4 2018","Currency=USD","Period=FQ","BEST_FPERIOD_OVERRIDE=FQ","FILING_STATUS=MR","SCALING_FORMAT=MLN","Sort=A","Dates=H","DateFormat=P","Fill=—","Direction=H","UseDPDF=Y")</f>
        <v>0</v>
      </c>
      <c r="F111" s="13">
        <f>_xll.BDH("BLUE US Equity","ARDR_FV_LIAB_REC_LEVEL_2","FQ1 2019","FQ1 2019","Currency=USD","Period=FQ","BEST_FPERIOD_OVERRIDE=FQ","FILING_STATUS=MR","SCALING_FORMAT=MLN","Sort=A","Dates=H","DateFormat=P","Fill=—","Direction=H","UseDPDF=Y")</f>
        <v>0</v>
      </c>
      <c r="G111" s="13" t="str">
        <f>_xll.BDH("BLUE US Equity","ARDR_FV_LIAB_REC_LEVEL_2","FQ2 2019","FQ2 2019","Currency=USD","Period=FQ","BEST_FPERIOD_OVERRIDE=FQ","FILING_STATUS=MR","SCALING_FORMAT=MLN","Sort=A","Dates=H","DateFormat=P","Fill=—","Direction=H","UseDPDF=Y")</f>
        <v>—</v>
      </c>
      <c r="H111" s="13" t="str">
        <f>_xll.BDH("BLUE US Equity","ARDR_FV_LIAB_REC_LEVEL_2","FQ3 2019","FQ3 2019","Currency=USD","Period=FQ","BEST_FPERIOD_OVERRIDE=FQ","FILING_STATUS=MR","SCALING_FORMAT=MLN","Sort=A","Dates=H","DateFormat=P","Fill=—","Direction=H","UseDPDF=Y")</f>
        <v>—</v>
      </c>
      <c r="I111" s="13">
        <f>_xll.BDH("BLUE US Equity","ARDR_FV_LIAB_REC_LEVEL_2","FQ4 2019","FQ4 2019","Currency=USD","Period=FQ","BEST_FPERIOD_OVERRIDE=FQ","FILING_STATUS=MR","SCALING_FORMAT=MLN","Sort=A","Dates=H","DateFormat=P","Fill=—","Direction=H","UseDPDF=Y")</f>
        <v>0</v>
      </c>
      <c r="J111" s="13">
        <f>_xll.BDH("BLUE US Equity","ARDR_FV_LIAB_REC_LEVEL_2","FQ1 2020","FQ1 2020","Currency=USD","Period=FQ","BEST_FPERIOD_OVERRIDE=FQ","FILING_STATUS=MR","SCALING_FORMAT=MLN","Sort=A","Dates=H","DateFormat=P","Fill=—","Direction=H","UseDPDF=Y")</f>
        <v>0</v>
      </c>
      <c r="K111" s="13" t="str">
        <f>_xll.BDH("BLUE US Equity","ARDR_FV_LIAB_REC_LEVEL_2","FQ2 2020","FQ2 2020","Currency=USD","Period=FQ","BEST_FPERIOD_OVERRIDE=FQ","FILING_STATUS=MR","SCALING_FORMAT=MLN","Sort=A","Dates=H","DateFormat=P","Fill=—","Direction=H","UseDPDF=Y")</f>
        <v>—</v>
      </c>
      <c r="L111" s="13">
        <f>_xll.BDH("BLUE US Equity","ARDR_FV_LIAB_REC_LEVEL_2","FQ3 2020","FQ3 2020","Currency=USD","Period=FQ","BEST_FPERIOD_OVERRIDE=FQ","FILING_STATUS=MR","SCALING_FORMAT=MLN","Sort=A","Dates=H","DateFormat=P","Fill=—","Direction=H","UseDPDF=Y")</f>
        <v>0</v>
      </c>
      <c r="M111" s="13" t="str">
        <f>_xll.BDH("BLUE US Equity","ARDR_FV_LIAB_REC_LEVEL_2","FQ4 2020","FQ4 2020","Currency=USD","Period=FQ","BEST_FPERIOD_OVERRIDE=FQ","FILING_STATUS=MR","SCALING_FORMAT=MLN","Sort=A","Dates=H","DateFormat=P","Fill=—","Direction=H","UseDPDF=Y")</f>
        <v>—</v>
      </c>
      <c r="N111" s="13">
        <f>_xll.BDH("BLUE US Equity","ARDR_FV_LIAB_REC_LEVEL_2","FQ1 2021","FQ1 2021","Currency=USD","Period=FQ","BEST_FPERIOD_OVERRIDE=FQ","FILING_STATUS=MR","SCALING_FORMAT=MLN","Sort=A","Dates=H","DateFormat=P","Fill=—","Direction=H","UseDPDF=Y")</f>
        <v>0</v>
      </c>
      <c r="O111" s="13" t="str">
        <f>_xll.BDH("BLUE US Equity","ARDR_FV_LIAB_REC_LEVEL_2","FQ2 2021","FQ2 2021","Currency=USD","Period=FQ","BEST_FPERIOD_OVERRIDE=FQ","FILING_STATUS=MR","SCALING_FORMAT=MLN","Sort=A","Dates=H","DateFormat=P","Fill=—","Direction=H","UseDPDF=Y")</f>
        <v>—</v>
      </c>
      <c r="P111" s="13">
        <f>_xll.BDH("BLUE US Equity","ARDR_FV_LIAB_REC_LEVEL_2","FQ3 2021","FQ3 2021","Currency=USD","Period=FQ","BEST_FPERIOD_OVERRIDE=FQ","FILING_STATUS=MR","SCALING_FORMAT=MLN","Sort=A","Dates=H","DateFormat=P","Fill=—","Direction=H","UseDPDF=Y")</f>
        <v>0</v>
      </c>
      <c r="Q111" s="13" t="str">
        <f>_xll.BDH("BLUE US Equity","ARDR_FV_LIAB_REC_LEVEL_2","FQ4 2021","FQ4 2021","Currency=USD","Period=FQ","BEST_FPERIOD_OVERRIDE=FQ","FILING_STATUS=MR","SCALING_FORMAT=MLN","Sort=A","Dates=H","DateFormat=P","Fill=—","Direction=H","UseDPDF=Y")</f>
        <v>—</v>
      </c>
      <c r="R111" s="13" t="str">
        <f>_xll.BDH("BLUE US Equity","ARDR_FV_LIAB_REC_LEVEL_2","FQ1 2022","FQ1 2022","Currency=USD","Period=FQ","BEST_FPERIOD_OVERRIDE=FQ","FILING_STATUS=MR","SCALING_FORMAT=MLN","Sort=A","Dates=H","DateFormat=P","Fill=—","Direction=H","UseDPDF=Y")</f>
        <v>—</v>
      </c>
      <c r="S111" s="13" t="str">
        <f>_xll.BDH("BLUE US Equity","ARDR_FV_LIAB_REC_LEVEL_2","FQ2 2022","FQ2 2022","Currency=USD","Period=FQ","BEST_FPERIOD_OVERRIDE=FQ","FILING_STATUS=MR","SCALING_FORMAT=MLN","Sort=A","Dates=H","DateFormat=P","Fill=—","Direction=H","UseDPDF=Y")</f>
        <v>—</v>
      </c>
      <c r="T111" s="13" t="str">
        <f>_xll.BDH("BLUE US Equity","ARDR_FV_LIAB_REC_LEVEL_2","FQ3 2022","FQ3 2022","Currency=USD","Period=FQ","BEST_FPERIOD_OVERRIDE=FQ","FILING_STATUS=MR","SCALING_FORMAT=MLN","Sort=A","Dates=H","DateFormat=P","Fill=—","Direction=H","UseDPDF=Y")</f>
        <v>—</v>
      </c>
      <c r="U111" s="13" t="str">
        <f>_xll.BDH("BLUE US Equity","ARDR_FV_LIAB_REC_LEVEL_2","FQ4 2022","FQ4 2022","Currency=USD","Period=FQ","BEST_FPERIOD_OVERRIDE=FQ","FILING_STATUS=MR","SCALING_FORMAT=MLN","Sort=A","Dates=H","DateFormat=P","Fill=—","Direction=H","UseDPDF=Y")</f>
        <v>—</v>
      </c>
      <c r="V111" s="13" t="str">
        <f>_xll.BDH("BLUE US Equity","ARDR_FV_LIAB_REC_LEVEL_2","FQ1 2023","FQ1 2023","Currency=USD","Period=FQ","BEST_FPERIOD_OVERRIDE=FQ","FILING_STATUS=MR","SCALING_FORMAT=MLN","Sort=A","Dates=H","DateFormat=P","Fill=—","Direction=H","UseDPDF=Y")</f>
        <v>—</v>
      </c>
      <c r="W111" s="13" t="str">
        <f>_xll.BDH("BLUE US Equity","ARDR_FV_LIAB_REC_LEVEL_2","FQ2 2023","FQ2 2023","Currency=USD","Period=FQ","BEST_FPERIOD_OVERRIDE=FQ","FILING_STATUS=MR","SCALING_FORMAT=MLN","Sort=A","Dates=H","DateFormat=P","Fill=—","Direction=H","UseDPDF=Y")</f>
        <v>—</v>
      </c>
      <c r="X111" s="13" t="str">
        <f>_xll.BDH("BLUE US Equity","ARDR_FV_LIAB_REC_LEVEL_2","FQ3 2023","FQ3 2023","Currency=USD","Period=FQ","BEST_FPERIOD_OVERRIDE=FQ","FILING_STATUS=MR","SCALING_FORMAT=MLN","Sort=A","Dates=H","DateFormat=P","Fill=—","Direction=H","UseDPDF=Y")</f>
        <v>—</v>
      </c>
      <c r="Y111" s="13" t="str">
        <f>_xll.BDH("BLUE US Equity","ARDR_FV_LIAB_REC_LEVEL_2","FQ1 2024","FQ1 2024","Currency=USD","Period=FQ","BEST_FPERIOD_OVERRIDE=FQ","FILING_STATUS=MR","SCALING_FORMAT=MLN","Sort=A","Dates=H","DateFormat=P","Fill=—","Direction=H","UseDPDF=Y")</f>
        <v>—</v>
      </c>
      <c r="Z111" s="13" t="str">
        <f>_xll.BDH("BLUE US Equity","ARDR_FV_LIAB_REC_LEVEL_2","FQ2 2024","FQ2 2024","Currency=USD","Period=FQ","BEST_FPERIOD_OVERRIDE=FQ","FILING_STATUS=MR","SCALING_FORMAT=MLN","Sort=A","Dates=H","DateFormat=P","Fill=—","Direction=H","UseDPDF=Y")</f>
        <v>—</v>
      </c>
      <c r="AA111" s="13" t="str">
        <f>_xll.BDH("BLUE US Equity","ARDR_FV_LIAB_REC_LEVEL_2","FQ3 2024","FQ3 2024","Currency=USD","Period=FQ","BEST_FPERIOD_OVERRIDE=FQ","FILING_STATUS=MR","SCALING_FORMAT=MLN","Sort=A","Dates=H","DateFormat=P","Fill=—","Direction=H","UseDPDF=Y")</f>
        <v>—</v>
      </c>
    </row>
    <row r="112" spans="1:27" x14ac:dyDescent="0.25">
      <c r="A112" s="10" t="s">
        <v>935</v>
      </c>
      <c r="B112" s="10" t="s">
        <v>936</v>
      </c>
      <c r="C112" s="13">
        <f>_xll.BDH("BLUE US Equity","ARDR_FV_LIAB_REC_LEVEL_3","FQ2 2018","FQ2 2018","Currency=USD","Period=FQ","BEST_FPERIOD_OVERRIDE=FQ","FILING_STATUS=MR","SCALING_FORMAT=MLN","Sort=A","Dates=H","DateFormat=P","Fill=—","Direction=H","UseDPDF=Y")</f>
        <v>3.0270000000000001</v>
      </c>
      <c r="D112" s="13">
        <f>_xll.BDH("BLUE US Equity","ARDR_FV_LIAB_REC_LEVEL_3","FQ3 2018","FQ3 2018","Currency=USD","Period=FQ","BEST_FPERIOD_OVERRIDE=FQ","FILING_STATUS=MR","SCALING_FORMAT=MLN","Sort=A","Dates=H","DateFormat=P","Fill=—","Direction=H","UseDPDF=Y")</f>
        <v>3.0739999999999998</v>
      </c>
      <c r="E112" s="13">
        <f>_xll.BDH("BLUE US Equity","ARDR_FV_LIAB_REC_LEVEL_3","FQ4 2018","FQ4 2018","Currency=USD","Period=FQ","BEST_FPERIOD_OVERRIDE=FQ","FILING_STATUS=MR","SCALING_FORMAT=MLN","Sort=A","Dates=H","DateFormat=P","Fill=—","Direction=H","UseDPDF=Y")</f>
        <v>5.23</v>
      </c>
      <c r="F112" s="13">
        <f>_xll.BDH("BLUE US Equity","ARDR_FV_LIAB_REC_LEVEL_3","FQ1 2019","FQ1 2019","Currency=USD","Period=FQ","BEST_FPERIOD_OVERRIDE=FQ","FILING_STATUS=MR","SCALING_FORMAT=MLN","Sort=A","Dates=H","DateFormat=P","Fill=—","Direction=H","UseDPDF=Y")</f>
        <v>5.5259999999999998</v>
      </c>
      <c r="G112" s="13">
        <f>_xll.BDH("BLUE US Equity","ARDR_FV_LIAB_REC_LEVEL_3","FQ2 2019","FQ2 2019","Currency=USD","Period=FQ","BEST_FPERIOD_OVERRIDE=FQ","FILING_STATUS=MR","SCALING_FORMAT=MLN","Sort=A","Dates=H","DateFormat=P","Fill=—","Direction=H","UseDPDF=Y")</f>
        <v>5.74</v>
      </c>
      <c r="H112" s="13">
        <f>_xll.BDH("BLUE US Equity","ARDR_FV_LIAB_REC_LEVEL_3","FQ3 2019","FQ3 2019","Currency=USD","Period=FQ","BEST_FPERIOD_OVERRIDE=FQ","FILING_STATUS=MR","SCALING_FORMAT=MLN","Sort=A","Dates=H","DateFormat=P","Fill=—","Direction=H","UseDPDF=Y")</f>
        <v>6.5419999999999998</v>
      </c>
      <c r="I112" s="13">
        <f>_xll.BDH("BLUE US Equity","ARDR_FV_LIAB_REC_LEVEL_3","FQ4 2019","FQ4 2019","Currency=USD","Period=FQ","BEST_FPERIOD_OVERRIDE=FQ","FILING_STATUS=MR","SCALING_FORMAT=MLN","Sort=A","Dates=H","DateFormat=P","Fill=—","Direction=H","UseDPDF=Y")</f>
        <v>7.9770000000000003</v>
      </c>
      <c r="J112" s="13">
        <f>_xll.BDH("BLUE US Equity","ARDR_FV_LIAB_REC_LEVEL_3","FQ1 2020","FQ1 2020","Currency=USD","Period=FQ","BEST_FPERIOD_OVERRIDE=FQ","FILING_STATUS=MR","SCALING_FORMAT=MLN","Sort=A","Dates=H","DateFormat=P","Fill=—","Direction=H","UseDPDF=Y")</f>
        <v>4.8689999999999998</v>
      </c>
      <c r="K112" s="13">
        <f>_xll.BDH("BLUE US Equity","ARDR_FV_LIAB_REC_LEVEL_3","FQ2 2020","FQ2 2020","Currency=USD","Period=FQ","BEST_FPERIOD_OVERRIDE=FQ","FILING_STATUS=MR","SCALING_FORMAT=MLN","Sort=A","Dates=H","DateFormat=P","Fill=—","Direction=H","UseDPDF=Y")</f>
        <v>3.214</v>
      </c>
      <c r="L112" s="13">
        <f>_xll.BDH("BLUE US Equity","ARDR_FV_LIAB_REC_LEVEL_3","FQ3 2020","FQ3 2020","Currency=USD","Period=FQ","BEST_FPERIOD_OVERRIDE=FQ","FILING_STATUS=MR","SCALING_FORMAT=MLN","Sort=A","Dates=H","DateFormat=P","Fill=—","Direction=H","UseDPDF=Y")</f>
        <v>0</v>
      </c>
      <c r="M112" s="13" t="str">
        <f>_xll.BDH("BLUE US Equity","ARDR_FV_LIAB_REC_LEVEL_3","FQ4 2020","FQ4 2020","Currency=USD","Period=FQ","BEST_FPERIOD_OVERRIDE=FQ","FILING_STATUS=MR","SCALING_FORMAT=MLN","Sort=A","Dates=H","DateFormat=P","Fill=—","Direction=H","UseDPDF=Y")</f>
        <v>—</v>
      </c>
      <c r="N112" s="13">
        <f>_xll.BDH("BLUE US Equity","ARDR_FV_LIAB_REC_LEVEL_3","FQ1 2021","FQ1 2021","Currency=USD","Period=FQ","BEST_FPERIOD_OVERRIDE=FQ","FILING_STATUS=MR","SCALING_FORMAT=MLN","Sort=A","Dates=H","DateFormat=P","Fill=—","Direction=H","UseDPDF=Y")</f>
        <v>0</v>
      </c>
      <c r="O112" s="13">
        <f>_xll.BDH("BLUE US Equity","ARDR_FV_LIAB_REC_LEVEL_3","FQ2 2021","FQ2 2021","Currency=USD","Period=FQ","BEST_FPERIOD_OVERRIDE=FQ","FILING_STATUS=MR","SCALING_FORMAT=MLN","Sort=A","Dates=H","DateFormat=P","Fill=—","Direction=H","UseDPDF=Y")</f>
        <v>1.925</v>
      </c>
      <c r="P112" s="13">
        <f>_xll.BDH("BLUE US Equity","ARDR_FV_LIAB_REC_LEVEL_3","FQ3 2021","FQ3 2021","Currency=USD","Period=FQ","BEST_FPERIOD_OVERRIDE=FQ","FILING_STATUS=MR","SCALING_FORMAT=MLN","Sort=A","Dates=H","DateFormat=P","Fill=—","Direction=H","UseDPDF=Y")</f>
        <v>1.9730000000000001</v>
      </c>
      <c r="Q112" s="13" t="str">
        <f>_xll.BDH("BLUE US Equity","ARDR_FV_LIAB_REC_LEVEL_3","FQ4 2021","FQ4 2021","Currency=USD","Period=FQ","BEST_FPERIOD_OVERRIDE=FQ","FILING_STATUS=MR","SCALING_FORMAT=MLN","Sort=A","Dates=H","DateFormat=P","Fill=—","Direction=H","UseDPDF=Y")</f>
        <v>—</v>
      </c>
      <c r="R112" s="13" t="str">
        <f>_xll.BDH("BLUE US Equity","ARDR_FV_LIAB_REC_LEVEL_3","FQ1 2022","FQ1 2022","Currency=USD","Period=FQ","BEST_FPERIOD_OVERRIDE=FQ","FILING_STATUS=MR","SCALING_FORMAT=MLN","Sort=A","Dates=H","DateFormat=P","Fill=—","Direction=H","UseDPDF=Y")</f>
        <v>—</v>
      </c>
      <c r="S112" s="13" t="str">
        <f>_xll.BDH("BLUE US Equity","ARDR_FV_LIAB_REC_LEVEL_3","FQ2 2022","FQ2 2022","Currency=USD","Period=FQ","BEST_FPERIOD_OVERRIDE=FQ","FILING_STATUS=MR","SCALING_FORMAT=MLN","Sort=A","Dates=H","DateFormat=P","Fill=—","Direction=H","UseDPDF=Y")</f>
        <v>—</v>
      </c>
      <c r="T112" s="13" t="str">
        <f>_xll.BDH("BLUE US Equity","ARDR_FV_LIAB_REC_LEVEL_3","FQ3 2022","FQ3 2022","Currency=USD","Period=FQ","BEST_FPERIOD_OVERRIDE=FQ","FILING_STATUS=MR","SCALING_FORMAT=MLN","Sort=A","Dates=H","DateFormat=P","Fill=—","Direction=H","UseDPDF=Y")</f>
        <v>—</v>
      </c>
      <c r="U112" s="13" t="str">
        <f>_xll.BDH("BLUE US Equity","ARDR_FV_LIAB_REC_LEVEL_3","FQ4 2022","FQ4 2022","Currency=USD","Period=FQ","BEST_FPERIOD_OVERRIDE=FQ","FILING_STATUS=MR","SCALING_FORMAT=MLN","Sort=A","Dates=H","DateFormat=P","Fill=—","Direction=H","UseDPDF=Y")</f>
        <v>—</v>
      </c>
      <c r="V112" s="13" t="str">
        <f>_xll.BDH("BLUE US Equity","ARDR_FV_LIAB_REC_LEVEL_3","FQ1 2023","FQ1 2023","Currency=USD","Period=FQ","BEST_FPERIOD_OVERRIDE=FQ","FILING_STATUS=MR","SCALING_FORMAT=MLN","Sort=A","Dates=H","DateFormat=P","Fill=—","Direction=H","UseDPDF=Y")</f>
        <v>—</v>
      </c>
      <c r="W112" s="13" t="str">
        <f>_xll.BDH("BLUE US Equity","ARDR_FV_LIAB_REC_LEVEL_3","FQ2 2023","FQ2 2023","Currency=USD","Period=FQ","BEST_FPERIOD_OVERRIDE=FQ","FILING_STATUS=MR","SCALING_FORMAT=MLN","Sort=A","Dates=H","DateFormat=P","Fill=—","Direction=H","UseDPDF=Y")</f>
        <v>—</v>
      </c>
      <c r="X112" s="13" t="str">
        <f>_xll.BDH("BLUE US Equity","ARDR_FV_LIAB_REC_LEVEL_3","FQ3 2023","FQ3 2023","Currency=USD","Period=FQ","BEST_FPERIOD_OVERRIDE=FQ","FILING_STATUS=MR","SCALING_FORMAT=MLN","Sort=A","Dates=H","DateFormat=P","Fill=—","Direction=H","UseDPDF=Y")</f>
        <v>—</v>
      </c>
      <c r="Y112" s="13" t="str">
        <f>_xll.BDH("BLUE US Equity","ARDR_FV_LIAB_REC_LEVEL_3","FQ1 2024","FQ1 2024","Currency=USD","Period=FQ","BEST_FPERIOD_OVERRIDE=FQ","FILING_STATUS=MR","SCALING_FORMAT=MLN","Sort=A","Dates=H","DateFormat=P","Fill=—","Direction=H","UseDPDF=Y")</f>
        <v>—</v>
      </c>
      <c r="Z112" s="13" t="str">
        <f>_xll.BDH("BLUE US Equity","ARDR_FV_LIAB_REC_LEVEL_3","FQ2 2024","FQ2 2024","Currency=USD","Period=FQ","BEST_FPERIOD_OVERRIDE=FQ","FILING_STATUS=MR","SCALING_FORMAT=MLN","Sort=A","Dates=H","DateFormat=P","Fill=—","Direction=H","UseDPDF=Y")</f>
        <v>—</v>
      </c>
      <c r="AA112" s="13" t="str">
        <f>_xll.BDH("BLUE US Equity","ARDR_FV_LIAB_REC_LEVEL_3","FQ3 2024","FQ3 2024","Currency=USD","Period=FQ","BEST_FPERIOD_OVERRIDE=FQ","FILING_STATUS=MR","SCALING_FORMAT=MLN","Sort=A","Dates=H","DateFormat=P","Fill=—","Direction=H","UseDPDF=Y")</f>
        <v>—</v>
      </c>
    </row>
    <row r="113" spans="1:27" x14ac:dyDescent="0.25">
      <c r="A113" s="10" t="s">
        <v>937</v>
      </c>
      <c r="B113" s="10" t="s">
        <v>938</v>
      </c>
      <c r="C113" s="13">
        <f>_xll.BDH("BLUE US Equity","ARDR_FV_LIAB_REC_TOTAL","FQ2 2018","FQ2 2018","Currency=USD","Period=FQ","BEST_FPERIOD_OVERRIDE=FQ","FILING_STATUS=MR","SCALING_FORMAT=MLN","Sort=A","Dates=H","DateFormat=P","Fill=—","Direction=H","UseDPDF=Y")</f>
        <v>3.0270000000000001</v>
      </c>
      <c r="D113" s="13">
        <f>_xll.BDH("BLUE US Equity","ARDR_FV_LIAB_REC_TOTAL","FQ3 2018","FQ3 2018","Currency=USD","Period=FQ","BEST_FPERIOD_OVERRIDE=FQ","FILING_STATUS=MR","SCALING_FORMAT=MLN","Sort=A","Dates=H","DateFormat=P","Fill=—","Direction=H","UseDPDF=Y")</f>
        <v>3.0739999999999998</v>
      </c>
      <c r="E113" s="13">
        <f>_xll.BDH("BLUE US Equity","ARDR_FV_LIAB_REC_TOTAL","FQ4 2018","FQ4 2018","Currency=USD","Period=FQ","BEST_FPERIOD_OVERRIDE=FQ","FILING_STATUS=MR","SCALING_FORMAT=MLN","Sort=A","Dates=H","DateFormat=P","Fill=—","Direction=H","UseDPDF=Y")</f>
        <v>5.23</v>
      </c>
      <c r="F113" s="13">
        <f>_xll.BDH("BLUE US Equity","ARDR_FV_LIAB_REC_TOTAL","FQ1 2019","FQ1 2019","Currency=USD","Period=FQ","BEST_FPERIOD_OVERRIDE=FQ","FILING_STATUS=MR","SCALING_FORMAT=MLN","Sort=A","Dates=H","DateFormat=P","Fill=—","Direction=H","UseDPDF=Y")</f>
        <v>5.5259999999999998</v>
      </c>
      <c r="G113" s="13">
        <f>_xll.BDH("BLUE US Equity","ARDR_FV_LIAB_REC_TOTAL","FQ2 2019","FQ2 2019","Currency=USD","Period=FQ","BEST_FPERIOD_OVERRIDE=FQ","FILING_STATUS=MR","SCALING_FORMAT=MLN","Sort=A","Dates=H","DateFormat=P","Fill=—","Direction=H","UseDPDF=Y")</f>
        <v>5.74</v>
      </c>
      <c r="H113" s="13">
        <f>_xll.BDH("BLUE US Equity","ARDR_FV_LIAB_REC_TOTAL","FQ3 2019","FQ3 2019","Currency=USD","Period=FQ","BEST_FPERIOD_OVERRIDE=FQ","FILING_STATUS=MR","SCALING_FORMAT=MLN","Sort=A","Dates=H","DateFormat=P","Fill=—","Direction=H","UseDPDF=Y")</f>
        <v>6.5419999999999998</v>
      </c>
      <c r="I113" s="13">
        <f>_xll.BDH("BLUE US Equity","ARDR_FV_LIAB_REC_TOTAL","FQ4 2019","FQ4 2019","Currency=USD","Period=FQ","BEST_FPERIOD_OVERRIDE=FQ","FILING_STATUS=MR","SCALING_FORMAT=MLN","Sort=A","Dates=H","DateFormat=P","Fill=—","Direction=H","UseDPDF=Y")</f>
        <v>7.9770000000000003</v>
      </c>
      <c r="J113" s="13">
        <f>_xll.BDH("BLUE US Equity","ARDR_FV_LIAB_REC_TOTAL","FQ1 2020","FQ1 2020","Currency=USD","Period=FQ","BEST_FPERIOD_OVERRIDE=FQ","FILING_STATUS=MR","SCALING_FORMAT=MLN","Sort=A","Dates=H","DateFormat=P","Fill=—","Direction=H","UseDPDF=Y")</f>
        <v>4.8689999999999998</v>
      </c>
      <c r="K113" s="13">
        <f>_xll.BDH("BLUE US Equity","ARDR_FV_LIAB_REC_TOTAL","FQ2 2020","FQ2 2020","Currency=USD","Period=FQ","BEST_FPERIOD_OVERRIDE=FQ","FILING_STATUS=MR","SCALING_FORMAT=MLN","Sort=A","Dates=H","DateFormat=P","Fill=—","Direction=H","UseDPDF=Y")</f>
        <v>3.214</v>
      </c>
      <c r="L113" s="13">
        <f>_xll.BDH("BLUE US Equity","ARDR_FV_LIAB_REC_TOTAL","FQ3 2020","FQ3 2020","Currency=USD","Period=FQ","BEST_FPERIOD_OVERRIDE=FQ","FILING_STATUS=MR","SCALING_FORMAT=MLN","Sort=A","Dates=H","DateFormat=P","Fill=—","Direction=H","UseDPDF=Y")</f>
        <v>2.3860000000000001</v>
      </c>
      <c r="M113" s="13" t="str">
        <f>_xll.BDH("BLUE US Equity","ARDR_FV_LIAB_REC_TOTAL","FQ4 2020","FQ4 2020","Currency=USD","Period=FQ","BEST_FPERIOD_OVERRIDE=FQ","FILING_STATUS=MR","SCALING_FORMAT=MLN","Sort=A","Dates=H","DateFormat=P","Fill=—","Direction=H","UseDPDF=Y")</f>
        <v>—</v>
      </c>
      <c r="N113" s="13">
        <f>_xll.BDH("BLUE US Equity","ARDR_FV_LIAB_REC_TOTAL","FQ1 2021","FQ1 2021","Currency=USD","Period=FQ","BEST_FPERIOD_OVERRIDE=FQ","FILING_STATUS=MR","SCALING_FORMAT=MLN","Sort=A","Dates=H","DateFormat=P","Fill=—","Direction=H","UseDPDF=Y")</f>
        <v>1.8779999999999999</v>
      </c>
      <c r="O113" s="13">
        <f>_xll.BDH("BLUE US Equity","ARDR_FV_LIAB_REC_TOTAL","FQ2 2021","FQ2 2021","Currency=USD","Period=FQ","BEST_FPERIOD_OVERRIDE=FQ","FILING_STATUS=MR","SCALING_FORMAT=MLN","Sort=A","Dates=H","DateFormat=P","Fill=—","Direction=H","UseDPDF=Y")</f>
        <v>1.925</v>
      </c>
      <c r="P113" s="13">
        <f>_xll.BDH("BLUE US Equity","ARDR_FV_LIAB_REC_TOTAL","FQ3 2021","FQ3 2021","Currency=USD","Period=FQ","BEST_FPERIOD_OVERRIDE=FQ","FILING_STATUS=MR","SCALING_FORMAT=MLN","Sort=A","Dates=H","DateFormat=P","Fill=—","Direction=H","UseDPDF=Y")</f>
        <v>1.9730000000000001</v>
      </c>
      <c r="Q113" s="13" t="str">
        <f>_xll.BDH("BLUE US Equity","ARDR_FV_LIAB_REC_TOTAL","FQ4 2021","FQ4 2021","Currency=USD","Period=FQ","BEST_FPERIOD_OVERRIDE=FQ","FILING_STATUS=MR","SCALING_FORMAT=MLN","Sort=A","Dates=H","DateFormat=P","Fill=—","Direction=H","UseDPDF=Y")</f>
        <v>—</v>
      </c>
      <c r="R113" s="13" t="str">
        <f>_xll.BDH("BLUE US Equity","ARDR_FV_LIAB_REC_TOTAL","FQ1 2022","FQ1 2022","Currency=USD","Period=FQ","BEST_FPERIOD_OVERRIDE=FQ","FILING_STATUS=MR","SCALING_FORMAT=MLN","Sort=A","Dates=H","DateFormat=P","Fill=—","Direction=H","UseDPDF=Y")</f>
        <v>—</v>
      </c>
      <c r="S113" s="13" t="str">
        <f>_xll.BDH("BLUE US Equity","ARDR_FV_LIAB_REC_TOTAL","FQ2 2022","FQ2 2022","Currency=USD","Period=FQ","BEST_FPERIOD_OVERRIDE=FQ","FILING_STATUS=MR","SCALING_FORMAT=MLN","Sort=A","Dates=H","DateFormat=P","Fill=—","Direction=H","UseDPDF=Y")</f>
        <v>—</v>
      </c>
      <c r="T113" s="13" t="str">
        <f>_xll.BDH("BLUE US Equity","ARDR_FV_LIAB_REC_TOTAL","FQ3 2022","FQ3 2022","Currency=USD","Period=FQ","BEST_FPERIOD_OVERRIDE=FQ","FILING_STATUS=MR","SCALING_FORMAT=MLN","Sort=A","Dates=H","DateFormat=P","Fill=—","Direction=H","UseDPDF=Y")</f>
        <v>—</v>
      </c>
      <c r="U113" s="13" t="str">
        <f>_xll.BDH("BLUE US Equity","ARDR_FV_LIAB_REC_TOTAL","FQ4 2022","FQ4 2022","Currency=USD","Period=FQ","BEST_FPERIOD_OVERRIDE=FQ","FILING_STATUS=MR","SCALING_FORMAT=MLN","Sort=A","Dates=H","DateFormat=P","Fill=—","Direction=H","UseDPDF=Y")</f>
        <v>—</v>
      </c>
      <c r="V113" s="13" t="str">
        <f>_xll.BDH("BLUE US Equity","ARDR_FV_LIAB_REC_TOTAL","FQ1 2023","FQ1 2023","Currency=USD","Period=FQ","BEST_FPERIOD_OVERRIDE=FQ","FILING_STATUS=MR","SCALING_FORMAT=MLN","Sort=A","Dates=H","DateFormat=P","Fill=—","Direction=H","UseDPDF=Y")</f>
        <v>—</v>
      </c>
      <c r="W113" s="13" t="str">
        <f>_xll.BDH("BLUE US Equity","ARDR_FV_LIAB_REC_TOTAL","FQ2 2023","FQ2 2023","Currency=USD","Period=FQ","BEST_FPERIOD_OVERRIDE=FQ","FILING_STATUS=MR","SCALING_FORMAT=MLN","Sort=A","Dates=H","DateFormat=P","Fill=—","Direction=H","UseDPDF=Y")</f>
        <v>—</v>
      </c>
      <c r="X113" s="13" t="str">
        <f>_xll.BDH("BLUE US Equity","ARDR_FV_LIAB_REC_TOTAL","FQ3 2023","FQ3 2023","Currency=USD","Period=FQ","BEST_FPERIOD_OVERRIDE=FQ","FILING_STATUS=MR","SCALING_FORMAT=MLN","Sort=A","Dates=H","DateFormat=P","Fill=—","Direction=H","UseDPDF=Y")</f>
        <v>—</v>
      </c>
      <c r="Y113" s="13" t="str">
        <f>_xll.BDH("BLUE US Equity","ARDR_FV_LIAB_REC_TOTAL","FQ1 2024","FQ1 2024","Currency=USD","Period=FQ","BEST_FPERIOD_OVERRIDE=FQ","FILING_STATUS=MR","SCALING_FORMAT=MLN","Sort=A","Dates=H","DateFormat=P","Fill=—","Direction=H","UseDPDF=Y")</f>
        <v>—</v>
      </c>
      <c r="Z113" s="13" t="str">
        <f>_xll.BDH("BLUE US Equity","ARDR_FV_LIAB_REC_TOTAL","FQ2 2024","FQ2 2024","Currency=USD","Period=FQ","BEST_FPERIOD_OVERRIDE=FQ","FILING_STATUS=MR","SCALING_FORMAT=MLN","Sort=A","Dates=H","DateFormat=P","Fill=—","Direction=H","UseDPDF=Y")</f>
        <v>—</v>
      </c>
      <c r="AA113" s="13" t="str">
        <f>_xll.BDH("BLUE US Equity","ARDR_FV_LIAB_REC_TOTAL","FQ3 2024","FQ3 2024","Currency=USD","Period=FQ","BEST_FPERIOD_OVERRIDE=FQ","FILING_STATUS=MR","SCALING_FORMAT=MLN","Sort=A","Dates=H","DateFormat=P","Fill=—","Direction=H","UseDPDF=Y")</f>
        <v>—</v>
      </c>
    </row>
    <row r="114" spans="1:27" x14ac:dyDescent="0.25">
      <c r="A114" s="10" t="s">
        <v>939</v>
      </c>
      <c r="B114" s="10" t="s">
        <v>940</v>
      </c>
      <c r="C114" s="13">
        <f>_xll.BDH("BLUE US Equity","ARDR_OPTIONS_CANCELLED_FORFEITED","FQ2 2018","FQ2 2018","Currency=USD","Period=FQ","BEST_FPERIOD_OVERRIDE=FQ","FILING_STATUS=MR","SCALING_FORMAT=MLN","Sort=A","Dates=H","DateFormat=P","Fill=—","Direction=H","UseDPDF=Y")</f>
        <v>2.7E-2</v>
      </c>
      <c r="D114" s="13">
        <f>_xll.BDH("BLUE US Equity","ARDR_OPTIONS_CANCELLED_FORFEITED","FQ3 2018","FQ3 2018","Currency=USD","Period=FQ","BEST_FPERIOD_OVERRIDE=FQ","FILING_STATUS=MR","SCALING_FORMAT=MLN","Sort=A","Dates=H","DateFormat=P","Fill=—","Direction=H","UseDPDF=Y")</f>
        <v>5.2999999999999999E-2</v>
      </c>
      <c r="E114" s="13">
        <f>_xll.BDH("BLUE US Equity","ARDR_OPTIONS_CANCELLED_FORFEITED","FQ4 2018","FQ4 2018","Currency=USD","Period=FQ","BEST_FPERIOD_OVERRIDE=FQ","FILING_STATUS=MR","SCALING_FORMAT=MLN","Sort=A","Dates=H","DateFormat=P","Fill=—","Direction=H","UseDPDF=Y")</f>
        <v>4.2000000000000003E-2</v>
      </c>
      <c r="F114" s="13">
        <f>_xll.BDH("BLUE US Equity","ARDR_OPTIONS_CANCELLED_FORFEITED","FQ1 2019","FQ1 2019","Currency=USD","Period=FQ","BEST_FPERIOD_OVERRIDE=FQ","FILING_STATUS=MR","SCALING_FORMAT=MLN","Sort=A","Dates=H","DateFormat=P","Fill=—","Direction=H","UseDPDF=Y")</f>
        <v>0.155</v>
      </c>
      <c r="G114" s="13">
        <f>_xll.BDH("BLUE US Equity","ARDR_OPTIONS_CANCELLED_FORFEITED","FQ2 2019","FQ2 2019","Currency=USD","Period=FQ","BEST_FPERIOD_OVERRIDE=FQ","FILING_STATUS=MR","SCALING_FORMAT=MLN","Sort=A","Dates=H","DateFormat=P","Fill=—","Direction=H","UseDPDF=Y")</f>
        <v>7.9000000000000001E-2</v>
      </c>
      <c r="H114" s="13">
        <f>_xll.BDH("BLUE US Equity","ARDR_OPTIONS_CANCELLED_FORFEITED","FQ3 2019","FQ3 2019","Currency=USD","Period=FQ","BEST_FPERIOD_OVERRIDE=FQ","FILING_STATUS=MR","SCALING_FORMAT=MLN","Sort=A","Dates=H","DateFormat=P","Fill=—","Direction=H","UseDPDF=Y")</f>
        <v>5.3999999999999999E-2</v>
      </c>
      <c r="I114" s="13">
        <f>_xll.BDH("BLUE US Equity","ARDR_OPTIONS_CANCELLED_FORFEITED","FQ4 2019","FQ4 2019","Currency=USD","Period=FQ","BEST_FPERIOD_OVERRIDE=FQ","FILING_STATUS=MR","SCALING_FORMAT=MLN","Sort=A","Dates=H","DateFormat=P","Fill=—","Direction=H","UseDPDF=Y")</f>
        <v>0.112</v>
      </c>
      <c r="J114" s="13">
        <f>_xll.BDH("BLUE US Equity","ARDR_OPTIONS_CANCELLED_FORFEITED","FQ1 2020","FQ1 2020","Currency=USD","Period=FQ","BEST_FPERIOD_OVERRIDE=FQ","FILING_STATUS=MR","SCALING_FORMAT=MLN","Sort=A","Dates=H","DateFormat=P","Fill=—","Direction=H","UseDPDF=Y")</f>
        <v>0.13200000000000001</v>
      </c>
      <c r="K114" s="13">
        <f>_xll.BDH("BLUE US Equity","ARDR_OPTIONS_CANCELLED_FORFEITED","FQ2 2020","FQ2 2020","Currency=USD","Period=FQ","BEST_FPERIOD_OVERRIDE=FQ","FILING_STATUS=MR","SCALING_FORMAT=MLN","Sort=A","Dates=H","DateFormat=P","Fill=—","Direction=H","UseDPDF=Y")</f>
        <v>0.29599999999999999</v>
      </c>
      <c r="L114" s="13">
        <f>_xll.BDH("BLUE US Equity","ARDR_OPTIONS_CANCELLED_FORFEITED","FQ3 2020","FQ3 2020","Currency=USD","Period=FQ","BEST_FPERIOD_OVERRIDE=FQ","FILING_STATUS=MR","SCALING_FORMAT=MLN","Sort=A","Dates=H","DateFormat=P","Fill=—","Direction=H","UseDPDF=Y")</f>
        <v>0.19</v>
      </c>
      <c r="M114" s="13">
        <f>_xll.BDH("BLUE US Equity","ARDR_OPTIONS_CANCELLED_FORFEITED","FQ4 2020","FQ4 2020","Currency=USD","Period=FQ","BEST_FPERIOD_OVERRIDE=FQ","FILING_STATUS=MR","SCALING_FORMAT=MLN","Sort=A","Dates=H","DateFormat=P","Fill=—","Direction=H","UseDPDF=Y")</f>
        <v>0.22500000000000001</v>
      </c>
      <c r="N114" s="13">
        <f>_xll.BDH("BLUE US Equity","ARDR_OPTIONS_CANCELLED_FORFEITED","FQ1 2021","FQ1 2021","Currency=USD","Period=FQ","BEST_FPERIOD_OVERRIDE=FQ","FILING_STATUS=MR","SCALING_FORMAT=MLN","Sort=A","Dates=H","DateFormat=P","Fill=—","Direction=H","UseDPDF=Y")</f>
        <v>0.26800000000000002</v>
      </c>
      <c r="O114" s="13">
        <f>_xll.BDH("BLUE US Equity","ARDR_OPTIONS_CANCELLED_FORFEITED","FQ2 2021","FQ2 2021","Currency=USD","Period=FQ","BEST_FPERIOD_OVERRIDE=FQ","FILING_STATUS=MR","SCALING_FORMAT=MLN","Sort=A","Dates=H","DateFormat=P","Fill=—","Direction=H","UseDPDF=Y")</f>
        <v>0.497</v>
      </c>
      <c r="P114" s="13">
        <f>_xll.BDH("BLUE US Equity","ARDR_OPTIONS_CANCELLED_FORFEITED","FQ3 2021","FQ3 2021","Currency=USD","Period=FQ","BEST_FPERIOD_OVERRIDE=FQ","FILING_STATUS=MR","SCALING_FORMAT=MLN","Sort=A","Dates=H","DateFormat=P","Fill=—","Direction=H","UseDPDF=Y")</f>
        <v>0.79200000000000004</v>
      </c>
      <c r="Q114" s="13">
        <f>_xll.BDH("BLUE US Equity","ARDR_OPTIONS_CANCELLED_FORFEITED","FQ4 2021","FQ4 2021","Currency=USD","Period=FQ","BEST_FPERIOD_OVERRIDE=FQ","FILING_STATUS=MR","SCALING_FORMAT=MLN","Sort=A","Dates=H","DateFormat=P","Fill=—","Direction=H","UseDPDF=Y")</f>
        <v>2.1389999999999998</v>
      </c>
      <c r="R114" s="13">
        <f>_xll.BDH("BLUE US Equity","ARDR_OPTIONS_CANCELLED_FORFEITED","FQ1 2022","FQ1 2022","Currency=USD","Period=FQ","BEST_FPERIOD_OVERRIDE=FQ","FILING_STATUS=MR","SCALING_FORMAT=MLN","Sort=A","Dates=H","DateFormat=P","Fill=—","Direction=H","UseDPDF=Y")</f>
        <v>0.73499999999999999</v>
      </c>
      <c r="S114" s="13">
        <f>_xll.BDH("BLUE US Equity","ARDR_OPTIONS_CANCELLED_FORFEITED","FQ2 2022","FQ2 2022","Currency=USD","Period=FQ","BEST_FPERIOD_OVERRIDE=FQ","FILING_STATUS=MR","SCALING_FORMAT=MLN","Sort=A","Dates=H","DateFormat=P","Fill=—","Direction=H","UseDPDF=Y")</f>
        <v>0.747</v>
      </c>
      <c r="T114" s="13">
        <f>_xll.BDH("BLUE US Equity","ARDR_OPTIONS_CANCELLED_FORFEITED","FQ3 2022","FQ3 2022","Currency=USD","Period=FQ","BEST_FPERIOD_OVERRIDE=FQ","FILING_STATUS=MR","SCALING_FORMAT=MLN","Sort=A","Dates=H","DateFormat=P","Fill=—","Direction=H","UseDPDF=Y")</f>
        <v>0.41099999999999998</v>
      </c>
      <c r="U114" s="13">
        <f>_xll.BDH("BLUE US Equity","ARDR_OPTIONS_CANCELLED_FORFEITED","FQ4 2022","FQ4 2022","Currency=USD","Period=FQ","BEST_FPERIOD_OVERRIDE=FQ","FILING_STATUS=MR","SCALING_FORMAT=MLN","Sort=A","Dates=H","DateFormat=P","Fill=—","Direction=H","UseDPDF=Y")</f>
        <v>0.21199999999999999</v>
      </c>
      <c r="V114" s="13">
        <f>_xll.BDH("BLUE US Equity","ARDR_OPTIONS_CANCELLED_FORFEITED","FQ1 2023","FQ1 2023","Currency=USD","Period=FQ","BEST_FPERIOD_OVERRIDE=FQ","FILING_STATUS=MR","SCALING_FORMAT=MLN","Sort=A","Dates=H","DateFormat=P","Fill=—","Direction=H","UseDPDF=Y")</f>
        <v>7.2999999999999995E-2</v>
      </c>
      <c r="W114" s="13">
        <f>_xll.BDH("BLUE US Equity","ARDR_OPTIONS_CANCELLED_FORFEITED","FQ2 2023","FQ2 2023","Currency=USD","Period=FQ","BEST_FPERIOD_OVERRIDE=FQ","FILING_STATUS=MR","SCALING_FORMAT=MLN","Sort=A","Dates=H","DateFormat=P","Fill=—","Direction=H","UseDPDF=Y")</f>
        <v>0.13700000000000001</v>
      </c>
      <c r="X114" s="13">
        <f>_xll.BDH("BLUE US Equity","ARDR_OPTIONS_CANCELLED_FORFEITED","FQ3 2023","FQ3 2023","Currency=USD","Period=FQ","BEST_FPERIOD_OVERRIDE=FQ","FILING_STATUS=MR","SCALING_FORMAT=MLN","Sort=A","Dates=H","DateFormat=P","Fill=—","Direction=H","UseDPDF=Y")</f>
        <v>0.24299999999999999</v>
      </c>
      <c r="Y114" s="13">
        <f>_xll.BDH("BLUE US Equity","ARDR_OPTIONS_CANCELLED_FORFEITED","FQ1 2024","FQ1 2024","Currency=USD","Period=FQ","BEST_FPERIOD_OVERRIDE=FQ","FILING_STATUS=MR","SCALING_FORMAT=MLN","Sort=A","Dates=H","DateFormat=P","Fill=—","Direction=H","UseDPDF=Y")</f>
        <v>0.22900000000000001</v>
      </c>
      <c r="Z114" s="13">
        <f>_xll.BDH("BLUE US Equity","ARDR_OPTIONS_CANCELLED_FORFEITED","FQ2 2024","FQ2 2024","Currency=USD","Period=FQ","BEST_FPERIOD_OVERRIDE=FQ","FILING_STATUS=MR","SCALING_FORMAT=MLN","Sort=A","Dates=H","DateFormat=P","Fill=—","Direction=H","UseDPDF=Y")</f>
        <v>0.371</v>
      </c>
      <c r="AA114" s="13">
        <f>_xll.BDH("BLUE US Equity","ARDR_OPTIONS_CANCELLED_FORFEITED","FQ3 2024","FQ3 2024","Currency=USD","Period=FQ","BEST_FPERIOD_OVERRIDE=FQ","FILING_STATUS=MR","SCALING_FORMAT=MLN","Sort=A","Dates=H","DateFormat=P","Fill=—","Direction=H","UseDPDF=Y")</f>
        <v>0.30499999999999999</v>
      </c>
    </row>
    <row r="115" spans="1:27" x14ac:dyDescent="0.25">
      <c r="A115" s="10" t="s">
        <v>941</v>
      </c>
      <c r="B115" s="10" t="s">
        <v>942</v>
      </c>
      <c r="C115" s="13" t="str">
        <f>_xll.BDH("BLUE US Equity","ARDR_CONTRACTUAL_OBLIG_YEAR_1","FQ2 2018","FQ2 2018","Currency=USD","Period=FQ","BEST_FPERIOD_OVERRIDE=FQ","FILING_STATUS=MR","SCALING_FORMAT=MLN","Sort=A","Dates=H","DateFormat=P","Fill=—","Direction=H","UseDPDF=Y")</f>
        <v>—</v>
      </c>
      <c r="D115" s="13" t="str">
        <f>_xll.BDH("BLUE US Equity","ARDR_CONTRACTUAL_OBLIG_YEAR_1","FQ3 2018","FQ3 2018","Currency=USD","Period=FQ","BEST_FPERIOD_OVERRIDE=FQ","FILING_STATUS=MR","SCALING_FORMAT=MLN","Sort=A","Dates=H","DateFormat=P","Fill=—","Direction=H","UseDPDF=Y")</f>
        <v>—</v>
      </c>
      <c r="E115" s="13">
        <f>_xll.BDH("BLUE US Equity","ARDR_CONTRACTUAL_OBLIG_YEAR_1","FQ4 2018","FQ4 2018","Currency=USD","Period=FQ","BEST_FPERIOD_OVERRIDE=FQ","FILING_STATUS=MR","SCALING_FORMAT=MLN","Sort=A","Dates=H","DateFormat=P","Fill=—","Direction=H","UseDPDF=Y")</f>
        <v>106.312</v>
      </c>
      <c r="F115" s="13" t="str">
        <f>_xll.BDH("BLUE US Equity","ARDR_CONTRACTUAL_OBLIG_YEAR_1","FQ1 2019","FQ1 2019","Currency=USD","Period=FQ","BEST_FPERIOD_OVERRIDE=FQ","FILING_STATUS=MR","SCALING_FORMAT=MLN","Sort=A","Dates=H","DateFormat=P","Fill=—","Direction=H","UseDPDF=Y")</f>
        <v>—</v>
      </c>
      <c r="G115" s="13" t="str">
        <f>_xll.BDH("BLUE US Equity","ARDR_CONTRACTUAL_OBLIG_YEAR_1","FQ2 2019","FQ2 2019","Currency=USD","Period=FQ","BEST_FPERIOD_OVERRIDE=FQ","FILING_STATUS=MR","SCALING_FORMAT=MLN","Sort=A","Dates=H","DateFormat=P","Fill=—","Direction=H","UseDPDF=Y")</f>
        <v>—</v>
      </c>
      <c r="H115" s="13" t="str">
        <f>_xll.BDH("BLUE US Equity","ARDR_CONTRACTUAL_OBLIG_YEAR_1","FQ3 2019","FQ3 2019","Currency=USD","Period=FQ","BEST_FPERIOD_OVERRIDE=FQ","FILING_STATUS=MR","SCALING_FORMAT=MLN","Sort=A","Dates=H","DateFormat=P","Fill=—","Direction=H","UseDPDF=Y")</f>
        <v>—</v>
      </c>
      <c r="I115" s="13">
        <f>_xll.BDH("BLUE US Equity","ARDR_CONTRACTUAL_OBLIG_YEAR_1","FQ4 2019","FQ4 2019","Currency=USD","Period=FQ","BEST_FPERIOD_OVERRIDE=FQ","FILING_STATUS=MR","SCALING_FORMAT=MLN","Sort=A","Dates=H","DateFormat=P","Fill=—","Direction=H","UseDPDF=Y")</f>
        <v>163.20699999999999</v>
      </c>
      <c r="J115" s="13" t="str">
        <f>_xll.BDH("BLUE US Equity","ARDR_CONTRACTUAL_OBLIG_YEAR_1","FQ1 2020","FQ1 2020","Currency=USD","Period=FQ","BEST_FPERIOD_OVERRIDE=FQ","FILING_STATUS=MR","SCALING_FORMAT=MLN","Sort=A","Dates=H","DateFormat=P","Fill=—","Direction=H","UseDPDF=Y")</f>
        <v>—</v>
      </c>
      <c r="K115" s="13" t="str">
        <f>_xll.BDH("BLUE US Equity","ARDR_CONTRACTUAL_OBLIG_YEAR_1","FQ2 2020","FQ2 2020","Currency=USD","Period=FQ","BEST_FPERIOD_OVERRIDE=FQ","FILING_STATUS=MR","SCALING_FORMAT=MLN","Sort=A","Dates=H","DateFormat=P","Fill=—","Direction=H","UseDPDF=Y")</f>
        <v>—</v>
      </c>
      <c r="L115" s="13" t="str">
        <f>_xll.BDH("BLUE US Equity","ARDR_CONTRACTUAL_OBLIG_YEAR_1","FQ3 2020","FQ3 2020","Currency=USD","Period=FQ","BEST_FPERIOD_OVERRIDE=FQ","FILING_STATUS=MR","SCALING_FORMAT=MLN","Sort=A","Dates=H","DateFormat=P","Fill=—","Direction=H","UseDPDF=Y")</f>
        <v>—</v>
      </c>
      <c r="M115" s="13" t="str">
        <f>_xll.BDH("BLUE US Equity","ARDR_CONTRACTUAL_OBLIG_YEAR_1","FQ4 2020","FQ4 2020","Currency=USD","Period=FQ","BEST_FPERIOD_OVERRIDE=FQ","FILING_STATUS=MR","SCALING_FORMAT=MLN","Sort=A","Dates=H","DateFormat=P","Fill=—","Direction=H","UseDPDF=Y")</f>
        <v>—</v>
      </c>
      <c r="N115" s="13" t="str">
        <f>_xll.BDH("BLUE US Equity","ARDR_CONTRACTUAL_OBLIG_YEAR_1","FQ1 2021","FQ1 2021","Currency=USD","Period=FQ","BEST_FPERIOD_OVERRIDE=FQ","FILING_STATUS=MR","SCALING_FORMAT=MLN","Sort=A","Dates=H","DateFormat=P","Fill=—","Direction=H","UseDPDF=Y")</f>
        <v>—</v>
      </c>
      <c r="O115" s="13" t="str">
        <f>_xll.BDH("BLUE US Equity","ARDR_CONTRACTUAL_OBLIG_YEAR_1","FQ2 2021","FQ2 2021","Currency=USD","Period=FQ","BEST_FPERIOD_OVERRIDE=FQ","FILING_STATUS=MR","SCALING_FORMAT=MLN","Sort=A","Dates=H","DateFormat=P","Fill=—","Direction=H","UseDPDF=Y")</f>
        <v>—</v>
      </c>
      <c r="P115" s="13" t="str">
        <f>_xll.BDH("BLUE US Equity","ARDR_CONTRACTUAL_OBLIG_YEAR_1","FQ3 2021","FQ3 2021","Currency=USD","Period=FQ","BEST_FPERIOD_OVERRIDE=FQ","FILING_STATUS=MR","SCALING_FORMAT=MLN","Sort=A","Dates=H","DateFormat=P","Fill=—","Direction=H","UseDPDF=Y")</f>
        <v>—</v>
      </c>
      <c r="Q115" s="13" t="str">
        <f>_xll.BDH("BLUE US Equity","ARDR_CONTRACTUAL_OBLIG_YEAR_1","FQ4 2021","FQ4 2021","Currency=USD","Period=FQ","BEST_FPERIOD_OVERRIDE=FQ","FILING_STATUS=MR","SCALING_FORMAT=MLN","Sort=A","Dates=H","DateFormat=P","Fill=—","Direction=H","UseDPDF=Y")</f>
        <v>—</v>
      </c>
      <c r="R115" s="13" t="str">
        <f>_xll.BDH("BLUE US Equity","ARDR_CONTRACTUAL_OBLIG_YEAR_1","FQ1 2022","FQ1 2022","Currency=USD","Period=FQ","BEST_FPERIOD_OVERRIDE=FQ","FILING_STATUS=MR","SCALING_FORMAT=MLN","Sort=A","Dates=H","DateFormat=P","Fill=—","Direction=H","UseDPDF=Y")</f>
        <v>—</v>
      </c>
      <c r="S115" s="13" t="str">
        <f>_xll.BDH("BLUE US Equity","ARDR_CONTRACTUAL_OBLIG_YEAR_1","FQ2 2022","FQ2 2022","Currency=USD","Period=FQ","BEST_FPERIOD_OVERRIDE=FQ","FILING_STATUS=MR","SCALING_FORMAT=MLN","Sort=A","Dates=H","DateFormat=P","Fill=—","Direction=H","UseDPDF=Y")</f>
        <v>—</v>
      </c>
      <c r="T115" s="13" t="str">
        <f>_xll.BDH("BLUE US Equity","ARDR_CONTRACTUAL_OBLIG_YEAR_1","FQ3 2022","FQ3 2022","Currency=USD","Period=FQ","BEST_FPERIOD_OVERRIDE=FQ","FILING_STATUS=MR","SCALING_FORMAT=MLN","Sort=A","Dates=H","DateFormat=P","Fill=—","Direction=H","UseDPDF=Y")</f>
        <v>—</v>
      </c>
      <c r="U115" s="13" t="str">
        <f>_xll.BDH("BLUE US Equity","ARDR_CONTRACTUAL_OBLIG_YEAR_1","FQ4 2022","FQ4 2022","Currency=USD","Period=FQ","BEST_FPERIOD_OVERRIDE=FQ","FILING_STATUS=MR","SCALING_FORMAT=MLN","Sort=A","Dates=H","DateFormat=P","Fill=—","Direction=H","UseDPDF=Y")</f>
        <v>—</v>
      </c>
      <c r="V115" s="13" t="str">
        <f>_xll.BDH("BLUE US Equity","ARDR_CONTRACTUAL_OBLIG_YEAR_1","FQ1 2023","FQ1 2023","Currency=USD","Period=FQ","BEST_FPERIOD_OVERRIDE=FQ","FILING_STATUS=MR","SCALING_FORMAT=MLN","Sort=A","Dates=H","DateFormat=P","Fill=—","Direction=H","UseDPDF=Y")</f>
        <v>—</v>
      </c>
      <c r="W115" s="13" t="str">
        <f>_xll.BDH("BLUE US Equity","ARDR_CONTRACTUAL_OBLIG_YEAR_1","FQ2 2023","FQ2 2023","Currency=USD","Period=FQ","BEST_FPERIOD_OVERRIDE=FQ","FILING_STATUS=MR","SCALING_FORMAT=MLN","Sort=A","Dates=H","DateFormat=P","Fill=—","Direction=H","UseDPDF=Y")</f>
        <v>—</v>
      </c>
      <c r="X115" s="13" t="str">
        <f>_xll.BDH("BLUE US Equity","ARDR_CONTRACTUAL_OBLIG_YEAR_1","FQ3 2023","FQ3 2023","Currency=USD","Period=FQ","BEST_FPERIOD_OVERRIDE=FQ","FILING_STATUS=MR","SCALING_FORMAT=MLN","Sort=A","Dates=H","DateFormat=P","Fill=—","Direction=H","UseDPDF=Y")</f>
        <v>—</v>
      </c>
      <c r="Y115" s="13" t="str">
        <f>_xll.BDH("BLUE US Equity","ARDR_CONTRACTUAL_OBLIG_YEAR_1","FQ1 2024","FQ1 2024","Currency=USD","Period=FQ","BEST_FPERIOD_OVERRIDE=FQ","FILING_STATUS=MR","SCALING_FORMAT=MLN","Sort=A","Dates=H","DateFormat=P","Fill=—","Direction=H","UseDPDF=Y")</f>
        <v>—</v>
      </c>
      <c r="Z115" s="13" t="str">
        <f>_xll.BDH("BLUE US Equity","ARDR_CONTRACTUAL_OBLIG_YEAR_1","FQ2 2024","FQ2 2024","Currency=USD","Period=FQ","BEST_FPERIOD_OVERRIDE=FQ","FILING_STATUS=MR","SCALING_FORMAT=MLN","Sort=A","Dates=H","DateFormat=P","Fill=—","Direction=H","UseDPDF=Y")</f>
        <v>—</v>
      </c>
      <c r="AA115" s="13" t="str">
        <f>_xll.BDH("BLUE US Equity","ARDR_CONTRACTUAL_OBLIG_YEAR_1","FQ3 2024","FQ3 2024","Currency=USD","Period=FQ","BEST_FPERIOD_OVERRIDE=FQ","FILING_STATUS=MR","SCALING_FORMAT=MLN","Sort=A","Dates=H","DateFormat=P","Fill=—","Direction=H","UseDPDF=Y")</f>
        <v>—</v>
      </c>
    </row>
    <row r="116" spans="1:27" x14ac:dyDescent="0.25">
      <c r="A116" s="10" t="s">
        <v>943</v>
      </c>
      <c r="B116" s="10" t="s">
        <v>944</v>
      </c>
      <c r="C116" s="13" t="str">
        <f>_xll.BDH("BLUE US Equity","ARDR_CONTRACTUAL_OBLIG_YEAR_2_3","FQ2 2018","FQ2 2018","Currency=USD","Period=FQ","BEST_FPERIOD_OVERRIDE=FQ","FILING_STATUS=MR","SCALING_FORMAT=MLN","Sort=A","Dates=H","DateFormat=P","Fill=—","Direction=H","UseDPDF=Y")</f>
        <v>—</v>
      </c>
      <c r="D116" s="13" t="str">
        <f>_xll.BDH("BLUE US Equity","ARDR_CONTRACTUAL_OBLIG_YEAR_2_3","FQ3 2018","FQ3 2018","Currency=USD","Period=FQ","BEST_FPERIOD_OVERRIDE=FQ","FILING_STATUS=MR","SCALING_FORMAT=MLN","Sort=A","Dates=H","DateFormat=P","Fill=—","Direction=H","UseDPDF=Y")</f>
        <v>—</v>
      </c>
      <c r="E116" s="13">
        <f>_xll.BDH("BLUE US Equity","ARDR_CONTRACTUAL_OBLIG_YEAR_2_3","FQ4 2018","FQ4 2018","Currency=USD","Period=FQ","BEST_FPERIOD_OVERRIDE=FQ","FILING_STATUS=MR","SCALING_FORMAT=MLN","Sort=A","Dates=H","DateFormat=P","Fill=—","Direction=H","UseDPDF=Y")</f>
        <v>165.34</v>
      </c>
      <c r="F116" s="13" t="str">
        <f>_xll.BDH("BLUE US Equity","ARDR_CONTRACTUAL_OBLIG_YEAR_2_3","FQ1 2019","FQ1 2019","Currency=USD","Period=FQ","BEST_FPERIOD_OVERRIDE=FQ","FILING_STATUS=MR","SCALING_FORMAT=MLN","Sort=A","Dates=H","DateFormat=P","Fill=—","Direction=H","UseDPDF=Y")</f>
        <v>—</v>
      </c>
      <c r="G116" s="13" t="str">
        <f>_xll.BDH("BLUE US Equity","ARDR_CONTRACTUAL_OBLIG_YEAR_2_3","FQ2 2019","FQ2 2019","Currency=USD","Period=FQ","BEST_FPERIOD_OVERRIDE=FQ","FILING_STATUS=MR","SCALING_FORMAT=MLN","Sort=A","Dates=H","DateFormat=P","Fill=—","Direction=H","UseDPDF=Y")</f>
        <v>—</v>
      </c>
      <c r="H116" s="13" t="str">
        <f>_xll.BDH("BLUE US Equity","ARDR_CONTRACTUAL_OBLIG_YEAR_2_3","FQ3 2019","FQ3 2019","Currency=USD","Period=FQ","BEST_FPERIOD_OVERRIDE=FQ","FILING_STATUS=MR","SCALING_FORMAT=MLN","Sort=A","Dates=H","DateFormat=P","Fill=—","Direction=H","UseDPDF=Y")</f>
        <v>—</v>
      </c>
      <c r="I116" s="13">
        <f>_xll.BDH("BLUE US Equity","ARDR_CONTRACTUAL_OBLIG_YEAR_2_3","FQ4 2019","FQ4 2019","Currency=USD","Period=FQ","BEST_FPERIOD_OVERRIDE=FQ","FILING_STATUS=MR","SCALING_FORMAT=MLN","Sort=A","Dates=H","DateFormat=P","Fill=—","Direction=H","UseDPDF=Y")</f>
        <v>113.77500000000001</v>
      </c>
      <c r="J116" s="13" t="str">
        <f>_xll.BDH("BLUE US Equity","ARDR_CONTRACTUAL_OBLIG_YEAR_2_3","FQ1 2020","FQ1 2020","Currency=USD","Period=FQ","BEST_FPERIOD_OVERRIDE=FQ","FILING_STATUS=MR","SCALING_FORMAT=MLN","Sort=A","Dates=H","DateFormat=P","Fill=—","Direction=H","UseDPDF=Y")</f>
        <v>—</v>
      </c>
      <c r="K116" s="13" t="str">
        <f>_xll.BDH("BLUE US Equity","ARDR_CONTRACTUAL_OBLIG_YEAR_2_3","FQ2 2020","FQ2 2020","Currency=USD","Period=FQ","BEST_FPERIOD_OVERRIDE=FQ","FILING_STATUS=MR","SCALING_FORMAT=MLN","Sort=A","Dates=H","DateFormat=P","Fill=—","Direction=H","UseDPDF=Y")</f>
        <v>—</v>
      </c>
      <c r="L116" s="13" t="str">
        <f>_xll.BDH("BLUE US Equity","ARDR_CONTRACTUAL_OBLIG_YEAR_2_3","FQ3 2020","FQ3 2020","Currency=USD","Period=FQ","BEST_FPERIOD_OVERRIDE=FQ","FILING_STATUS=MR","SCALING_FORMAT=MLN","Sort=A","Dates=H","DateFormat=P","Fill=—","Direction=H","UseDPDF=Y")</f>
        <v>—</v>
      </c>
      <c r="M116" s="13" t="str">
        <f>_xll.BDH("BLUE US Equity","ARDR_CONTRACTUAL_OBLIG_YEAR_2_3","FQ4 2020","FQ4 2020","Currency=USD","Period=FQ","BEST_FPERIOD_OVERRIDE=FQ","FILING_STATUS=MR","SCALING_FORMAT=MLN","Sort=A","Dates=H","DateFormat=P","Fill=—","Direction=H","UseDPDF=Y")</f>
        <v>—</v>
      </c>
      <c r="N116" s="13" t="str">
        <f>_xll.BDH("BLUE US Equity","ARDR_CONTRACTUAL_OBLIG_YEAR_2_3","FQ1 2021","FQ1 2021","Currency=USD","Period=FQ","BEST_FPERIOD_OVERRIDE=FQ","FILING_STATUS=MR","SCALING_FORMAT=MLN","Sort=A","Dates=H","DateFormat=P","Fill=—","Direction=H","UseDPDF=Y")</f>
        <v>—</v>
      </c>
      <c r="O116" s="13" t="str">
        <f>_xll.BDH("BLUE US Equity","ARDR_CONTRACTUAL_OBLIG_YEAR_2_3","FQ2 2021","FQ2 2021","Currency=USD","Period=FQ","BEST_FPERIOD_OVERRIDE=FQ","FILING_STATUS=MR","SCALING_FORMAT=MLN","Sort=A","Dates=H","DateFormat=P","Fill=—","Direction=H","UseDPDF=Y")</f>
        <v>—</v>
      </c>
      <c r="P116" s="13" t="str">
        <f>_xll.BDH("BLUE US Equity","ARDR_CONTRACTUAL_OBLIG_YEAR_2_3","FQ3 2021","FQ3 2021","Currency=USD","Period=FQ","BEST_FPERIOD_OVERRIDE=FQ","FILING_STATUS=MR","SCALING_FORMAT=MLN","Sort=A","Dates=H","DateFormat=P","Fill=—","Direction=H","UseDPDF=Y")</f>
        <v>—</v>
      </c>
      <c r="Q116" s="13" t="str">
        <f>_xll.BDH("BLUE US Equity","ARDR_CONTRACTUAL_OBLIG_YEAR_2_3","FQ4 2021","FQ4 2021","Currency=USD","Period=FQ","BEST_FPERIOD_OVERRIDE=FQ","FILING_STATUS=MR","SCALING_FORMAT=MLN","Sort=A","Dates=H","DateFormat=P","Fill=—","Direction=H","UseDPDF=Y")</f>
        <v>—</v>
      </c>
      <c r="R116" s="13" t="str">
        <f>_xll.BDH("BLUE US Equity","ARDR_CONTRACTUAL_OBLIG_YEAR_2_3","FQ1 2022","FQ1 2022","Currency=USD","Period=FQ","BEST_FPERIOD_OVERRIDE=FQ","FILING_STATUS=MR","SCALING_FORMAT=MLN","Sort=A","Dates=H","DateFormat=P","Fill=—","Direction=H","UseDPDF=Y")</f>
        <v>—</v>
      </c>
      <c r="S116" s="13" t="str">
        <f>_xll.BDH("BLUE US Equity","ARDR_CONTRACTUAL_OBLIG_YEAR_2_3","FQ2 2022","FQ2 2022","Currency=USD","Period=FQ","BEST_FPERIOD_OVERRIDE=FQ","FILING_STATUS=MR","SCALING_FORMAT=MLN","Sort=A","Dates=H","DateFormat=P","Fill=—","Direction=H","UseDPDF=Y")</f>
        <v>—</v>
      </c>
      <c r="T116" s="13" t="str">
        <f>_xll.BDH("BLUE US Equity","ARDR_CONTRACTUAL_OBLIG_YEAR_2_3","FQ3 2022","FQ3 2022","Currency=USD","Period=FQ","BEST_FPERIOD_OVERRIDE=FQ","FILING_STATUS=MR","SCALING_FORMAT=MLN","Sort=A","Dates=H","DateFormat=P","Fill=—","Direction=H","UseDPDF=Y")</f>
        <v>—</v>
      </c>
      <c r="U116" s="13" t="str">
        <f>_xll.BDH("BLUE US Equity","ARDR_CONTRACTUAL_OBLIG_YEAR_2_3","FQ4 2022","FQ4 2022","Currency=USD","Period=FQ","BEST_FPERIOD_OVERRIDE=FQ","FILING_STATUS=MR","SCALING_FORMAT=MLN","Sort=A","Dates=H","DateFormat=P","Fill=—","Direction=H","UseDPDF=Y")</f>
        <v>—</v>
      </c>
      <c r="V116" s="13" t="str">
        <f>_xll.BDH("BLUE US Equity","ARDR_CONTRACTUAL_OBLIG_YEAR_2_3","FQ1 2023","FQ1 2023","Currency=USD","Period=FQ","BEST_FPERIOD_OVERRIDE=FQ","FILING_STATUS=MR","SCALING_FORMAT=MLN","Sort=A","Dates=H","DateFormat=P","Fill=—","Direction=H","UseDPDF=Y")</f>
        <v>—</v>
      </c>
      <c r="W116" s="13" t="str">
        <f>_xll.BDH("BLUE US Equity","ARDR_CONTRACTUAL_OBLIG_YEAR_2_3","FQ2 2023","FQ2 2023","Currency=USD","Period=FQ","BEST_FPERIOD_OVERRIDE=FQ","FILING_STATUS=MR","SCALING_FORMAT=MLN","Sort=A","Dates=H","DateFormat=P","Fill=—","Direction=H","UseDPDF=Y")</f>
        <v>—</v>
      </c>
      <c r="X116" s="13" t="str">
        <f>_xll.BDH("BLUE US Equity","ARDR_CONTRACTUAL_OBLIG_YEAR_2_3","FQ3 2023","FQ3 2023","Currency=USD","Period=FQ","BEST_FPERIOD_OVERRIDE=FQ","FILING_STATUS=MR","SCALING_FORMAT=MLN","Sort=A","Dates=H","DateFormat=P","Fill=—","Direction=H","UseDPDF=Y")</f>
        <v>—</v>
      </c>
      <c r="Y116" s="13" t="str">
        <f>_xll.BDH("BLUE US Equity","ARDR_CONTRACTUAL_OBLIG_YEAR_2_3","FQ1 2024","FQ1 2024","Currency=USD","Period=FQ","BEST_FPERIOD_OVERRIDE=FQ","FILING_STATUS=MR","SCALING_FORMAT=MLN","Sort=A","Dates=H","DateFormat=P","Fill=—","Direction=H","UseDPDF=Y")</f>
        <v>—</v>
      </c>
      <c r="Z116" s="13" t="str">
        <f>_xll.BDH("BLUE US Equity","ARDR_CONTRACTUAL_OBLIG_YEAR_2_3","FQ2 2024","FQ2 2024","Currency=USD","Period=FQ","BEST_FPERIOD_OVERRIDE=FQ","FILING_STATUS=MR","SCALING_FORMAT=MLN","Sort=A","Dates=H","DateFormat=P","Fill=—","Direction=H","UseDPDF=Y")</f>
        <v>—</v>
      </c>
      <c r="AA116" s="13" t="str">
        <f>_xll.BDH("BLUE US Equity","ARDR_CONTRACTUAL_OBLIG_YEAR_2_3","FQ3 2024","FQ3 2024","Currency=USD","Period=FQ","BEST_FPERIOD_OVERRIDE=FQ","FILING_STATUS=MR","SCALING_FORMAT=MLN","Sort=A","Dates=H","DateFormat=P","Fill=—","Direction=H","UseDPDF=Y")</f>
        <v>—</v>
      </c>
    </row>
    <row r="117" spans="1:27" x14ac:dyDescent="0.25">
      <c r="A117" s="10" t="s">
        <v>945</v>
      </c>
      <c r="B117" s="10" t="s">
        <v>946</v>
      </c>
      <c r="C117" s="13" t="str">
        <f>_xll.BDH("BLUE US Equity","ARDR_CONTRACTUAL_OBLIG_YEAR_4_5","FQ2 2018","FQ2 2018","Currency=USD","Period=FQ","BEST_FPERIOD_OVERRIDE=FQ","FILING_STATUS=MR","SCALING_FORMAT=MLN","Sort=A","Dates=H","DateFormat=P","Fill=—","Direction=H","UseDPDF=Y")</f>
        <v>—</v>
      </c>
      <c r="D117" s="13" t="str">
        <f>_xll.BDH("BLUE US Equity","ARDR_CONTRACTUAL_OBLIG_YEAR_4_5","FQ3 2018","FQ3 2018","Currency=USD","Period=FQ","BEST_FPERIOD_OVERRIDE=FQ","FILING_STATUS=MR","SCALING_FORMAT=MLN","Sort=A","Dates=H","DateFormat=P","Fill=—","Direction=H","UseDPDF=Y")</f>
        <v>—</v>
      </c>
      <c r="E117" s="13">
        <f>_xll.BDH("BLUE US Equity","ARDR_CONTRACTUAL_OBLIG_YEAR_4_5","FQ4 2018","FQ4 2018","Currency=USD","Period=FQ","BEST_FPERIOD_OVERRIDE=FQ","FILING_STATUS=MR","SCALING_FORMAT=MLN","Sort=A","Dates=H","DateFormat=P","Fill=—","Direction=H","UseDPDF=Y")</f>
        <v>116.39100000000001</v>
      </c>
      <c r="F117" s="13" t="str">
        <f>_xll.BDH("BLUE US Equity","ARDR_CONTRACTUAL_OBLIG_YEAR_4_5","FQ1 2019","FQ1 2019","Currency=USD","Period=FQ","BEST_FPERIOD_OVERRIDE=FQ","FILING_STATUS=MR","SCALING_FORMAT=MLN","Sort=A","Dates=H","DateFormat=P","Fill=—","Direction=H","UseDPDF=Y")</f>
        <v>—</v>
      </c>
      <c r="G117" s="13" t="str">
        <f>_xll.BDH("BLUE US Equity","ARDR_CONTRACTUAL_OBLIG_YEAR_4_5","FQ2 2019","FQ2 2019","Currency=USD","Period=FQ","BEST_FPERIOD_OVERRIDE=FQ","FILING_STATUS=MR","SCALING_FORMAT=MLN","Sort=A","Dates=H","DateFormat=P","Fill=—","Direction=H","UseDPDF=Y")</f>
        <v>—</v>
      </c>
      <c r="H117" s="13" t="str">
        <f>_xll.BDH("BLUE US Equity","ARDR_CONTRACTUAL_OBLIG_YEAR_4_5","FQ3 2019","FQ3 2019","Currency=USD","Period=FQ","BEST_FPERIOD_OVERRIDE=FQ","FILING_STATUS=MR","SCALING_FORMAT=MLN","Sort=A","Dates=H","DateFormat=P","Fill=—","Direction=H","UseDPDF=Y")</f>
        <v>—</v>
      </c>
      <c r="I117" s="13">
        <f>_xll.BDH("BLUE US Equity","ARDR_CONTRACTUAL_OBLIG_YEAR_4_5","FQ4 2019","FQ4 2019","Currency=USD","Period=FQ","BEST_FPERIOD_OVERRIDE=FQ","FILING_STATUS=MR","SCALING_FORMAT=MLN","Sort=A","Dates=H","DateFormat=P","Fill=—","Direction=H","UseDPDF=Y")</f>
        <v>134.18199999999999</v>
      </c>
      <c r="J117" s="13" t="str">
        <f>_xll.BDH("BLUE US Equity","ARDR_CONTRACTUAL_OBLIG_YEAR_4_5","FQ1 2020","FQ1 2020","Currency=USD","Period=FQ","BEST_FPERIOD_OVERRIDE=FQ","FILING_STATUS=MR","SCALING_FORMAT=MLN","Sort=A","Dates=H","DateFormat=P","Fill=—","Direction=H","UseDPDF=Y")</f>
        <v>—</v>
      </c>
      <c r="K117" s="13" t="str">
        <f>_xll.BDH("BLUE US Equity","ARDR_CONTRACTUAL_OBLIG_YEAR_4_5","FQ2 2020","FQ2 2020","Currency=USD","Period=FQ","BEST_FPERIOD_OVERRIDE=FQ","FILING_STATUS=MR","SCALING_FORMAT=MLN","Sort=A","Dates=H","DateFormat=P","Fill=—","Direction=H","UseDPDF=Y")</f>
        <v>—</v>
      </c>
      <c r="L117" s="13" t="str">
        <f>_xll.BDH("BLUE US Equity","ARDR_CONTRACTUAL_OBLIG_YEAR_4_5","FQ3 2020","FQ3 2020","Currency=USD","Period=FQ","BEST_FPERIOD_OVERRIDE=FQ","FILING_STATUS=MR","SCALING_FORMAT=MLN","Sort=A","Dates=H","DateFormat=P","Fill=—","Direction=H","UseDPDF=Y")</f>
        <v>—</v>
      </c>
      <c r="M117" s="13" t="str">
        <f>_xll.BDH("BLUE US Equity","ARDR_CONTRACTUAL_OBLIG_YEAR_4_5","FQ4 2020","FQ4 2020","Currency=USD","Period=FQ","BEST_FPERIOD_OVERRIDE=FQ","FILING_STATUS=MR","SCALING_FORMAT=MLN","Sort=A","Dates=H","DateFormat=P","Fill=—","Direction=H","UseDPDF=Y")</f>
        <v>—</v>
      </c>
      <c r="N117" s="13" t="str">
        <f>_xll.BDH("BLUE US Equity","ARDR_CONTRACTUAL_OBLIG_YEAR_4_5","FQ1 2021","FQ1 2021","Currency=USD","Period=FQ","BEST_FPERIOD_OVERRIDE=FQ","FILING_STATUS=MR","SCALING_FORMAT=MLN","Sort=A","Dates=H","DateFormat=P","Fill=—","Direction=H","UseDPDF=Y")</f>
        <v>—</v>
      </c>
      <c r="O117" s="13" t="str">
        <f>_xll.BDH("BLUE US Equity","ARDR_CONTRACTUAL_OBLIG_YEAR_4_5","FQ2 2021","FQ2 2021","Currency=USD","Period=FQ","BEST_FPERIOD_OVERRIDE=FQ","FILING_STATUS=MR","SCALING_FORMAT=MLN","Sort=A","Dates=H","DateFormat=P","Fill=—","Direction=H","UseDPDF=Y")</f>
        <v>—</v>
      </c>
      <c r="P117" s="13" t="str">
        <f>_xll.BDH("BLUE US Equity","ARDR_CONTRACTUAL_OBLIG_YEAR_4_5","FQ3 2021","FQ3 2021","Currency=USD","Period=FQ","BEST_FPERIOD_OVERRIDE=FQ","FILING_STATUS=MR","SCALING_FORMAT=MLN","Sort=A","Dates=H","DateFormat=P","Fill=—","Direction=H","UseDPDF=Y")</f>
        <v>—</v>
      </c>
      <c r="Q117" s="13" t="str">
        <f>_xll.BDH("BLUE US Equity","ARDR_CONTRACTUAL_OBLIG_YEAR_4_5","FQ4 2021","FQ4 2021","Currency=USD","Period=FQ","BEST_FPERIOD_OVERRIDE=FQ","FILING_STATUS=MR","SCALING_FORMAT=MLN","Sort=A","Dates=H","DateFormat=P","Fill=—","Direction=H","UseDPDF=Y")</f>
        <v>—</v>
      </c>
      <c r="R117" s="13" t="str">
        <f>_xll.BDH("BLUE US Equity","ARDR_CONTRACTUAL_OBLIG_YEAR_4_5","FQ1 2022","FQ1 2022","Currency=USD","Period=FQ","BEST_FPERIOD_OVERRIDE=FQ","FILING_STATUS=MR","SCALING_FORMAT=MLN","Sort=A","Dates=H","DateFormat=P","Fill=—","Direction=H","UseDPDF=Y")</f>
        <v>—</v>
      </c>
      <c r="S117" s="13" t="str">
        <f>_xll.BDH("BLUE US Equity","ARDR_CONTRACTUAL_OBLIG_YEAR_4_5","FQ2 2022","FQ2 2022","Currency=USD","Period=FQ","BEST_FPERIOD_OVERRIDE=FQ","FILING_STATUS=MR","SCALING_FORMAT=MLN","Sort=A","Dates=H","DateFormat=P","Fill=—","Direction=H","UseDPDF=Y")</f>
        <v>—</v>
      </c>
      <c r="T117" s="13" t="str">
        <f>_xll.BDH("BLUE US Equity","ARDR_CONTRACTUAL_OBLIG_YEAR_4_5","FQ3 2022","FQ3 2022","Currency=USD","Period=FQ","BEST_FPERIOD_OVERRIDE=FQ","FILING_STATUS=MR","SCALING_FORMAT=MLN","Sort=A","Dates=H","DateFormat=P","Fill=—","Direction=H","UseDPDF=Y")</f>
        <v>—</v>
      </c>
      <c r="U117" s="13" t="str">
        <f>_xll.BDH("BLUE US Equity","ARDR_CONTRACTUAL_OBLIG_YEAR_4_5","FQ4 2022","FQ4 2022","Currency=USD","Period=FQ","BEST_FPERIOD_OVERRIDE=FQ","FILING_STATUS=MR","SCALING_FORMAT=MLN","Sort=A","Dates=H","DateFormat=P","Fill=—","Direction=H","UseDPDF=Y")</f>
        <v>—</v>
      </c>
      <c r="V117" s="13" t="str">
        <f>_xll.BDH("BLUE US Equity","ARDR_CONTRACTUAL_OBLIG_YEAR_4_5","FQ1 2023","FQ1 2023","Currency=USD","Period=FQ","BEST_FPERIOD_OVERRIDE=FQ","FILING_STATUS=MR","SCALING_FORMAT=MLN","Sort=A","Dates=H","DateFormat=P","Fill=—","Direction=H","UseDPDF=Y")</f>
        <v>—</v>
      </c>
      <c r="W117" s="13" t="str">
        <f>_xll.BDH("BLUE US Equity","ARDR_CONTRACTUAL_OBLIG_YEAR_4_5","FQ2 2023","FQ2 2023","Currency=USD","Period=FQ","BEST_FPERIOD_OVERRIDE=FQ","FILING_STATUS=MR","SCALING_FORMAT=MLN","Sort=A","Dates=H","DateFormat=P","Fill=—","Direction=H","UseDPDF=Y")</f>
        <v>—</v>
      </c>
      <c r="X117" s="13" t="str">
        <f>_xll.BDH("BLUE US Equity","ARDR_CONTRACTUAL_OBLIG_YEAR_4_5","FQ3 2023","FQ3 2023","Currency=USD","Period=FQ","BEST_FPERIOD_OVERRIDE=FQ","FILING_STATUS=MR","SCALING_FORMAT=MLN","Sort=A","Dates=H","DateFormat=P","Fill=—","Direction=H","UseDPDF=Y")</f>
        <v>—</v>
      </c>
      <c r="Y117" s="13" t="str">
        <f>_xll.BDH("BLUE US Equity","ARDR_CONTRACTUAL_OBLIG_YEAR_4_5","FQ1 2024","FQ1 2024","Currency=USD","Period=FQ","BEST_FPERIOD_OVERRIDE=FQ","FILING_STATUS=MR","SCALING_FORMAT=MLN","Sort=A","Dates=H","DateFormat=P","Fill=—","Direction=H","UseDPDF=Y")</f>
        <v>—</v>
      </c>
      <c r="Z117" s="13" t="str">
        <f>_xll.BDH("BLUE US Equity","ARDR_CONTRACTUAL_OBLIG_YEAR_4_5","FQ2 2024","FQ2 2024","Currency=USD","Period=FQ","BEST_FPERIOD_OVERRIDE=FQ","FILING_STATUS=MR","SCALING_FORMAT=MLN","Sort=A","Dates=H","DateFormat=P","Fill=—","Direction=H","UseDPDF=Y")</f>
        <v>—</v>
      </c>
      <c r="AA117" s="13" t="str">
        <f>_xll.BDH("BLUE US Equity","ARDR_CONTRACTUAL_OBLIG_YEAR_4_5","FQ3 2024","FQ3 2024","Currency=USD","Period=FQ","BEST_FPERIOD_OVERRIDE=FQ","FILING_STATUS=MR","SCALING_FORMAT=MLN","Sort=A","Dates=H","DateFormat=P","Fill=—","Direction=H","UseDPDF=Y")</f>
        <v>—</v>
      </c>
    </row>
    <row r="118" spans="1:27" x14ac:dyDescent="0.25">
      <c r="A118" s="10" t="s">
        <v>947</v>
      </c>
      <c r="B118" s="10" t="s">
        <v>948</v>
      </c>
      <c r="C118" s="13" t="str">
        <f>_xll.BDH("BLUE US Equity","ARDR_CONT_OBLIG_BEYOND_YEAR_5","FQ2 2018","FQ2 2018","Currency=USD","Period=FQ","BEST_FPERIOD_OVERRIDE=FQ","FILING_STATUS=MR","SCALING_FORMAT=MLN","Sort=A","Dates=H","DateFormat=P","Fill=—","Direction=H","UseDPDF=Y")</f>
        <v>—</v>
      </c>
      <c r="D118" s="13" t="str">
        <f>_xll.BDH("BLUE US Equity","ARDR_CONT_OBLIG_BEYOND_YEAR_5","FQ3 2018","FQ3 2018","Currency=USD","Period=FQ","BEST_FPERIOD_OVERRIDE=FQ","FILING_STATUS=MR","SCALING_FORMAT=MLN","Sort=A","Dates=H","DateFormat=P","Fill=—","Direction=H","UseDPDF=Y")</f>
        <v>—</v>
      </c>
      <c r="E118" s="13">
        <f>_xll.BDH("BLUE US Equity","ARDR_CONT_OBLIG_BEYOND_YEAR_5","FQ4 2018","FQ4 2018","Currency=USD","Period=FQ","BEST_FPERIOD_OVERRIDE=FQ","FILING_STATUS=MR","SCALING_FORMAT=MLN","Sort=A","Dates=H","DateFormat=P","Fill=—","Direction=H","UseDPDF=Y")</f>
        <v>123.65600000000001</v>
      </c>
      <c r="F118" s="13" t="str">
        <f>_xll.BDH("BLUE US Equity","ARDR_CONT_OBLIG_BEYOND_YEAR_5","FQ1 2019","FQ1 2019","Currency=USD","Period=FQ","BEST_FPERIOD_OVERRIDE=FQ","FILING_STATUS=MR","SCALING_FORMAT=MLN","Sort=A","Dates=H","DateFormat=P","Fill=—","Direction=H","UseDPDF=Y")</f>
        <v>—</v>
      </c>
      <c r="G118" s="13" t="str">
        <f>_xll.BDH("BLUE US Equity","ARDR_CONT_OBLIG_BEYOND_YEAR_5","FQ2 2019","FQ2 2019","Currency=USD","Period=FQ","BEST_FPERIOD_OVERRIDE=FQ","FILING_STATUS=MR","SCALING_FORMAT=MLN","Sort=A","Dates=H","DateFormat=P","Fill=—","Direction=H","UseDPDF=Y")</f>
        <v>—</v>
      </c>
      <c r="H118" s="13" t="str">
        <f>_xll.BDH("BLUE US Equity","ARDR_CONT_OBLIG_BEYOND_YEAR_5","FQ3 2019","FQ3 2019","Currency=USD","Period=FQ","BEST_FPERIOD_OVERRIDE=FQ","FILING_STATUS=MR","SCALING_FORMAT=MLN","Sort=A","Dates=H","DateFormat=P","Fill=—","Direction=H","UseDPDF=Y")</f>
        <v>—</v>
      </c>
      <c r="I118" s="13">
        <f>_xll.BDH("BLUE US Equity","ARDR_CONT_OBLIG_BEYOND_YEAR_5","FQ4 2019","FQ4 2019","Currency=USD","Period=FQ","BEST_FPERIOD_OVERRIDE=FQ","FILING_STATUS=MR","SCALING_FORMAT=MLN","Sort=A","Dates=H","DateFormat=P","Fill=—","Direction=H","UseDPDF=Y")</f>
        <v>88.335999999999999</v>
      </c>
      <c r="J118" s="13" t="str">
        <f>_xll.BDH("BLUE US Equity","ARDR_CONT_OBLIG_BEYOND_YEAR_5","FQ1 2020","FQ1 2020","Currency=USD","Period=FQ","BEST_FPERIOD_OVERRIDE=FQ","FILING_STATUS=MR","SCALING_FORMAT=MLN","Sort=A","Dates=H","DateFormat=P","Fill=—","Direction=H","UseDPDF=Y")</f>
        <v>—</v>
      </c>
      <c r="K118" s="13" t="str">
        <f>_xll.BDH("BLUE US Equity","ARDR_CONT_OBLIG_BEYOND_YEAR_5","FQ2 2020","FQ2 2020","Currency=USD","Period=FQ","BEST_FPERIOD_OVERRIDE=FQ","FILING_STATUS=MR","SCALING_FORMAT=MLN","Sort=A","Dates=H","DateFormat=P","Fill=—","Direction=H","UseDPDF=Y")</f>
        <v>—</v>
      </c>
      <c r="L118" s="13" t="str">
        <f>_xll.BDH("BLUE US Equity","ARDR_CONT_OBLIG_BEYOND_YEAR_5","FQ3 2020","FQ3 2020","Currency=USD","Period=FQ","BEST_FPERIOD_OVERRIDE=FQ","FILING_STATUS=MR","SCALING_FORMAT=MLN","Sort=A","Dates=H","DateFormat=P","Fill=—","Direction=H","UseDPDF=Y")</f>
        <v>—</v>
      </c>
      <c r="M118" s="13" t="str">
        <f>_xll.BDH("BLUE US Equity","ARDR_CONT_OBLIG_BEYOND_YEAR_5","FQ4 2020","FQ4 2020","Currency=USD","Period=FQ","BEST_FPERIOD_OVERRIDE=FQ","FILING_STATUS=MR","SCALING_FORMAT=MLN","Sort=A","Dates=H","DateFormat=P","Fill=—","Direction=H","UseDPDF=Y")</f>
        <v>—</v>
      </c>
      <c r="N118" s="13" t="str">
        <f>_xll.BDH("BLUE US Equity","ARDR_CONT_OBLIG_BEYOND_YEAR_5","FQ1 2021","FQ1 2021","Currency=USD","Period=FQ","BEST_FPERIOD_OVERRIDE=FQ","FILING_STATUS=MR","SCALING_FORMAT=MLN","Sort=A","Dates=H","DateFormat=P","Fill=—","Direction=H","UseDPDF=Y")</f>
        <v>—</v>
      </c>
      <c r="O118" s="13" t="str">
        <f>_xll.BDH("BLUE US Equity","ARDR_CONT_OBLIG_BEYOND_YEAR_5","FQ2 2021","FQ2 2021","Currency=USD","Period=FQ","BEST_FPERIOD_OVERRIDE=FQ","FILING_STATUS=MR","SCALING_FORMAT=MLN","Sort=A","Dates=H","DateFormat=P","Fill=—","Direction=H","UseDPDF=Y")</f>
        <v>—</v>
      </c>
      <c r="P118" s="13" t="str">
        <f>_xll.BDH("BLUE US Equity","ARDR_CONT_OBLIG_BEYOND_YEAR_5","FQ3 2021","FQ3 2021","Currency=USD","Period=FQ","BEST_FPERIOD_OVERRIDE=FQ","FILING_STATUS=MR","SCALING_FORMAT=MLN","Sort=A","Dates=H","DateFormat=P","Fill=—","Direction=H","UseDPDF=Y")</f>
        <v>—</v>
      </c>
      <c r="Q118" s="13" t="str">
        <f>_xll.BDH("BLUE US Equity","ARDR_CONT_OBLIG_BEYOND_YEAR_5","FQ4 2021","FQ4 2021","Currency=USD","Period=FQ","BEST_FPERIOD_OVERRIDE=FQ","FILING_STATUS=MR","SCALING_FORMAT=MLN","Sort=A","Dates=H","DateFormat=P","Fill=—","Direction=H","UseDPDF=Y")</f>
        <v>—</v>
      </c>
      <c r="R118" s="13" t="str">
        <f>_xll.BDH("BLUE US Equity","ARDR_CONT_OBLIG_BEYOND_YEAR_5","FQ1 2022","FQ1 2022","Currency=USD","Period=FQ","BEST_FPERIOD_OVERRIDE=FQ","FILING_STATUS=MR","SCALING_FORMAT=MLN","Sort=A","Dates=H","DateFormat=P","Fill=—","Direction=H","UseDPDF=Y")</f>
        <v>—</v>
      </c>
      <c r="S118" s="13" t="str">
        <f>_xll.BDH("BLUE US Equity","ARDR_CONT_OBLIG_BEYOND_YEAR_5","FQ2 2022","FQ2 2022","Currency=USD","Period=FQ","BEST_FPERIOD_OVERRIDE=FQ","FILING_STATUS=MR","SCALING_FORMAT=MLN","Sort=A","Dates=H","DateFormat=P","Fill=—","Direction=H","UseDPDF=Y")</f>
        <v>—</v>
      </c>
      <c r="T118" s="13" t="str">
        <f>_xll.BDH("BLUE US Equity","ARDR_CONT_OBLIG_BEYOND_YEAR_5","FQ3 2022","FQ3 2022","Currency=USD","Period=FQ","BEST_FPERIOD_OVERRIDE=FQ","FILING_STATUS=MR","SCALING_FORMAT=MLN","Sort=A","Dates=H","DateFormat=P","Fill=—","Direction=H","UseDPDF=Y")</f>
        <v>—</v>
      </c>
      <c r="U118" s="13" t="str">
        <f>_xll.BDH("BLUE US Equity","ARDR_CONT_OBLIG_BEYOND_YEAR_5","FQ4 2022","FQ4 2022","Currency=USD","Period=FQ","BEST_FPERIOD_OVERRIDE=FQ","FILING_STATUS=MR","SCALING_FORMAT=MLN","Sort=A","Dates=H","DateFormat=P","Fill=—","Direction=H","UseDPDF=Y")</f>
        <v>—</v>
      </c>
      <c r="V118" s="13" t="str">
        <f>_xll.BDH("BLUE US Equity","ARDR_CONT_OBLIG_BEYOND_YEAR_5","FQ1 2023","FQ1 2023","Currency=USD","Period=FQ","BEST_FPERIOD_OVERRIDE=FQ","FILING_STATUS=MR","SCALING_FORMAT=MLN","Sort=A","Dates=H","DateFormat=P","Fill=—","Direction=H","UseDPDF=Y")</f>
        <v>—</v>
      </c>
      <c r="W118" s="13" t="str">
        <f>_xll.BDH("BLUE US Equity","ARDR_CONT_OBLIG_BEYOND_YEAR_5","FQ2 2023","FQ2 2023","Currency=USD","Period=FQ","BEST_FPERIOD_OVERRIDE=FQ","FILING_STATUS=MR","SCALING_FORMAT=MLN","Sort=A","Dates=H","DateFormat=P","Fill=—","Direction=H","UseDPDF=Y")</f>
        <v>—</v>
      </c>
      <c r="X118" s="13" t="str">
        <f>_xll.BDH("BLUE US Equity","ARDR_CONT_OBLIG_BEYOND_YEAR_5","FQ3 2023","FQ3 2023","Currency=USD","Period=FQ","BEST_FPERIOD_OVERRIDE=FQ","FILING_STATUS=MR","SCALING_FORMAT=MLN","Sort=A","Dates=H","DateFormat=P","Fill=—","Direction=H","UseDPDF=Y")</f>
        <v>—</v>
      </c>
      <c r="Y118" s="13" t="str">
        <f>_xll.BDH("BLUE US Equity","ARDR_CONT_OBLIG_BEYOND_YEAR_5","FQ1 2024","FQ1 2024","Currency=USD","Period=FQ","BEST_FPERIOD_OVERRIDE=FQ","FILING_STATUS=MR","SCALING_FORMAT=MLN","Sort=A","Dates=H","DateFormat=P","Fill=—","Direction=H","UseDPDF=Y")</f>
        <v>—</v>
      </c>
      <c r="Z118" s="13" t="str">
        <f>_xll.BDH("BLUE US Equity","ARDR_CONT_OBLIG_BEYOND_YEAR_5","FQ2 2024","FQ2 2024","Currency=USD","Period=FQ","BEST_FPERIOD_OVERRIDE=FQ","FILING_STATUS=MR","SCALING_FORMAT=MLN","Sort=A","Dates=H","DateFormat=P","Fill=—","Direction=H","UseDPDF=Y")</f>
        <v>—</v>
      </c>
      <c r="AA118" s="13" t="str">
        <f>_xll.BDH("BLUE US Equity","ARDR_CONT_OBLIG_BEYOND_YEAR_5","FQ3 2024","FQ3 2024","Currency=USD","Period=FQ","BEST_FPERIOD_OVERRIDE=FQ","FILING_STATUS=MR","SCALING_FORMAT=MLN","Sort=A","Dates=H","DateFormat=P","Fill=—","Direction=H","UseDPDF=Y")</f>
        <v>—</v>
      </c>
    </row>
    <row r="119" spans="1:27" x14ac:dyDescent="0.25">
      <c r="A119" s="10" t="s">
        <v>949</v>
      </c>
      <c r="B119" s="10" t="s">
        <v>950</v>
      </c>
      <c r="C119" s="13" t="str">
        <f>_xll.BDH("BLUE US Equity","ARDR_CONTRACTUAL_OBLIG_TOTAL","FQ2 2018","FQ2 2018","Currency=USD","Period=FQ","BEST_FPERIOD_OVERRIDE=FQ","FILING_STATUS=MR","SCALING_FORMAT=MLN","Sort=A","Dates=H","DateFormat=P","Fill=—","Direction=H","UseDPDF=Y")</f>
        <v>—</v>
      </c>
      <c r="D119" s="13" t="str">
        <f>_xll.BDH("BLUE US Equity","ARDR_CONTRACTUAL_OBLIG_TOTAL","FQ3 2018","FQ3 2018","Currency=USD","Period=FQ","BEST_FPERIOD_OVERRIDE=FQ","FILING_STATUS=MR","SCALING_FORMAT=MLN","Sort=A","Dates=H","DateFormat=P","Fill=—","Direction=H","UseDPDF=Y")</f>
        <v>—</v>
      </c>
      <c r="E119" s="13">
        <f>_xll.BDH("BLUE US Equity","ARDR_CONTRACTUAL_OBLIG_TOTAL","FQ4 2018","FQ4 2018","Currency=USD","Period=FQ","BEST_FPERIOD_OVERRIDE=FQ","FILING_STATUS=MR","SCALING_FORMAT=MLN","Sort=A","Dates=H","DateFormat=P","Fill=—","Direction=H","UseDPDF=Y")</f>
        <v>511.69900000000001</v>
      </c>
      <c r="F119" s="13" t="str">
        <f>_xll.BDH("BLUE US Equity","ARDR_CONTRACTUAL_OBLIG_TOTAL","FQ1 2019","FQ1 2019","Currency=USD","Period=FQ","BEST_FPERIOD_OVERRIDE=FQ","FILING_STATUS=MR","SCALING_FORMAT=MLN","Sort=A","Dates=H","DateFormat=P","Fill=—","Direction=H","UseDPDF=Y")</f>
        <v>—</v>
      </c>
      <c r="G119" s="13" t="str">
        <f>_xll.BDH("BLUE US Equity","ARDR_CONTRACTUAL_OBLIG_TOTAL","FQ2 2019","FQ2 2019","Currency=USD","Period=FQ","BEST_FPERIOD_OVERRIDE=FQ","FILING_STATUS=MR","SCALING_FORMAT=MLN","Sort=A","Dates=H","DateFormat=P","Fill=—","Direction=H","UseDPDF=Y")</f>
        <v>—</v>
      </c>
      <c r="H119" s="13" t="str">
        <f>_xll.BDH("BLUE US Equity","ARDR_CONTRACTUAL_OBLIG_TOTAL","FQ3 2019","FQ3 2019","Currency=USD","Period=FQ","BEST_FPERIOD_OVERRIDE=FQ","FILING_STATUS=MR","SCALING_FORMAT=MLN","Sort=A","Dates=H","DateFormat=P","Fill=—","Direction=H","UseDPDF=Y")</f>
        <v>—</v>
      </c>
      <c r="I119" s="13">
        <f>_xll.BDH("BLUE US Equity","ARDR_CONTRACTUAL_OBLIG_TOTAL","FQ4 2019","FQ4 2019","Currency=USD","Period=FQ","BEST_FPERIOD_OVERRIDE=FQ","FILING_STATUS=MR","SCALING_FORMAT=MLN","Sort=A","Dates=H","DateFormat=P","Fill=—","Direction=H","UseDPDF=Y")</f>
        <v>499.5</v>
      </c>
      <c r="J119" s="13" t="str">
        <f>_xll.BDH("BLUE US Equity","ARDR_CONTRACTUAL_OBLIG_TOTAL","FQ1 2020","FQ1 2020","Currency=USD","Period=FQ","BEST_FPERIOD_OVERRIDE=FQ","FILING_STATUS=MR","SCALING_FORMAT=MLN","Sort=A","Dates=H","DateFormat=P","Fill=—","Direction=H","UseDPDF=Y")</f>
        <v>—</v>
      </c>
      <c r="K119" s="13" t="str">
        <f>_xll.BDH("BLUE US Equity","ARDR_CONTRACTUAL_OBLIG_TOTAL","FQ2 2020","FQ2 2020","Currency=USD","Period=FQ","BEST_FPERIOD_OVERRIDE=FQ","FILING_STATUS=MR","SCALING_FORMAT=MLN","Sort=A","Dates=H","DateFormat=P","Fill=—","Direction=H","UseDPDF=Y")</f>
        <v>—</v>
      </c>
      <c r="L119" s="13" t="str">
        <f>_xll.BDH("BLUE US Equity","ARDR_CONTRACTUAL_OBLIG_TOTAL","FQ3 2020","FQ3 2020","Currency=USD","Period=FQ","BEST_FPERIOD_OVERRIDE=FQ","FILING_STATUS=MR","SCALING_FORMAT=MLN","Sort=A","Dates=H","DateFormat=P","Fill=—","Direction=H","UseDPDF=Y")</f>
        <v>—</v>
      </c>
      <c r="M119" s="13" t="str">
        <f>_xll.BDH("BLUE US Equity","ARDR_CONTRACTUAL_OBLIG_TOTAL","FQ4 2020","FQ4 2020","Currency=USD","Period=FQ","BEST_FPERIOD_OVERRIDE=FQ","FILING_STATUS=MR","SCALING_FORMAT=MLN","Sort=A","Dates=H","DateFormat=P","Fill=—","Direction=H","UseDPDF=Y")</f>
        <v>—</v>
      </c>
      <c r="N119" s="13" t="str">
        <f>_xll.BDH("BLUE US Equity","ARDR_CONTRACTUAL_OBLIG_TOTAL","FQ1 2021","FQ1 2021","Currency=USD","Period=FQ","BEST_FPERIOD_OVERRIDE=FQ","FILING_STATUS=MR","SCALING_FORMAT=MLN","Sort=A","Dates=H","DateFormat=P","Fill=—","Direction=H","UseDPDF=Y")</f>
        <v>—</v>
      </c>
      <c r="O119" s="13" t="str">
        <f>_xll.BDH("BLUE US Equity","ARDR_CONTRACTUAL_OBLIG_TOTAL","FQ2 2021","FQ2 2021","Currency=USD","Period=FQ","BEST_FPERIOD_OVERRIDE=FQ","FILING_STATUS=MR","SCALING_FORMAT=MLN","Sort=A","Dates=H","DateFormat=P","Fill=—","Direction=H","UseDPDF=Y")</f>
        <v>—</v>
      </c>
      <c r="P119" s="13" t="str">
        <f>_xll.BDH("BLUE US Equity","ARDR_CONTRACTUAL_OBLIG_TOTAL","FQ3 2021","FQ3 2021","Currency=USD","Period=FQ","BEST_FPERIOD_OVERRIDE=FQ","FILING_STATUS=MR","SCALING_FORMAT=MLN","Sort=A","Dates=H","DateFormat=P","Fill=—","Direction=H","UseDPDF=Y")</f>
        <v>—</v>
      </c>
      <c r="Q119" s="13" t="str">
        <f>_xll.BDH("BLUE US Equity","ARDR_CONTRACTUAL_OBLIG_TOTAL","FQ4 2021","FQ4 2021","Currency=USD","Period=FQ","BEST_FPERIOD_OVERRIDE=FQ","FILING_STATUS=MR","SCALING_FORMAT=MLN","Sort=A","Dates=H","DateFormat=P","Fill=—","Direction=H","UseDPDF=Y")</f>
        <v>—</v>
      </c>
      <c r="R119" s="13" t="str">
        <f>_xll.BDH("BLUE US Equity","ARDR_CONTRACTUAL_OBLIG_TOTAL","FQ1 2022","FQ1 2022","Currency=USD","Period=FQ","BEST_FPERIOD_OVERRIDE=FQ","FILING_STATUS=MR","SCALING_FORMAT=MLN","Sort=A","Dates=H","DateFormat=P","Fill=—","Direction=H","UseDPDF=Y")</f>
        <v>—</v>
      </c>
      <c r="S119" s="13" t="str">
        <f>_xll.BDH("BLUE US Equity","ARDR_CONTRACTUAL_OBLIG_TOTAL","FQ2 2022","FQ2 2022","Currency=USD","Period=FQ","BEST_FPERIOD_OVERRIDE=FQ","FILING_STATUS=MR","SCALING_FORMAT=MLN","Sort=A","Dates=H","DateFormat=P","Fill=—","Direction=H","UseDPDF=Y")</f>
        <v>—</v>
      </c>
      <c r="T119" s="13" t="str">
        <f>_xll.BDH("BLUE US Equity","ARDR_CONTRACTUAL_OBLIG_TOTAL","FQ3 2022","FQ3 2022","Currency=USD","Period=FQ","BEST_FPERIOD_OVERRIDE=FQ","FILING_STATUS=MR","SCALING_FORMAT=MLN","Sort=A","Dates=H","DateFormat=P","Fill=—","Direction=H","UseDPDF=Y")</f>
        <v>—</v>
      </c>
      <c r="U119" s="13" t="str">
        <f>_xll.BDH("BLUE US Equity","ARDR_CONTRACTUAL_OBLIG_TOTAL","FQ4 2022","FQ4 2022","Currency=USD","Period=FQ","BEST_FPERIOD_OVERRIDE=FQ","FILING_STATUS=MR","SCALING_FORMAT=MLN","Sort=A","Dates=H","DateFormat=P","Fill=—","Direction=H","UseDPDF=Y")</f>
        <v>—</v>
      </c>
      <c r="V119" s="13" t="str">
        <f>_xll.BDH("BLUE US Equity","ARDR_CONTRACTUAL_OBLIG_TOTAL","FQ1 2023","FQ1 2023","Currency=USD","Period=FQ","BEST_FPERIOD_OVERRIDE=FQ","FILING_STATUS=MR","SCALING_FORMAT=MLN","Sort=A","Dates=H","DateFormat=P","Fill=—","Direction=H","UseDPDF=Y")</f>
        <v>—</v>
      </c>
      <c r="W119" s="13" t="str">
        <f>_xll.BDH("BLUE US Equity","ARDR_CONTRACTUAL_OBLIG_TOTAL","FQ2 2023","FQ2 2023","Currency=USD","Period=FQ","BEST_FPERIOD_OVERRIDE=FQ","FILING_STATUS=MR","SCALING_FORMAT=MLN","Sort=A","Dates=H","DateFormat=P","Fill=—","Direction=H","UseDPDF=Y")</f>
        <v>—</v>
      </c>
      <c r="X119" s="13" t="str">
        <f>_xll.BDH("BLUE US Equity","ARDR_CONTRACTUAL_OBLIG_TOTAL","FQ3 2023","FQ3 2023","Currency=USD","Period=FQ","BEST_FPERIOD_OVERRIDE=FQ","FILING_STATUS=MR","SCALING_FORMAT=MLN","Sort=A","Dates=H","DateFormat=P","Fill=—","Direction=H","UseDPDF=Y")</f>
        <v>—</v>
      </c>
      <c r="Y119" s="13" t="str">
        <f>_xll.BDH("BLUE US Equity","ARDR_CONTRACTUAL_OBLIG_TOTAL","FQ1 2024","FQ1 2024","Currency=USD","Period=FQ","BEST_FPERIOD_OVERRIDE=FQ","FILING_STATUS=MR","SCALING_FORMAT=MLN","Sort=A","Dates=H","DateFormat=P","Fill=—","Direction=H","UseDPDF=Y")</f>
        <v>—</v>
      </c>
      <c r="Z119" s="13" t="str">
        <f>_xll.BDH("BLUE US Equity","ARDR_CONTRACTUAL_OBLIG_TOTAL","FQ2 2024","FQ2 2024","Currency=USD","Period=FQ","BEST_FPERIOD_OVERRIDE=FQ","FILING_STATUS=MR","SCALING_FORMAT=MLN","Sort=A","Dates=H","DateFormat=P","Fill=—","Direction=H","UseDPDF=Y")</f>
        <v>—</v>
      </c>
      <c r="AA119" s="13" t="str">
        <f>_xll.BDH("BLUE US Equity","ARDR_CONTRACTUAL_OBLIG_TOTAL","FQ3 2024","FQ3 2024","Currency=USD","Period=FQ","BEST_FPERIOD_OVERRIDE=FQ","FILING_STATUS=MR","SCALING_FORMAT=MLN","Sort=A","Dates=H","DateFormat=P","Fill=—","Direction=H","UseDPDF=Y")</f>
        <v>—</v>
      </c>
    </row>
    <row r="120" spans="1:27" x14ac:dyDescent="0.25">
      <c r="A120" s="10" t="s">
        <v>951</v>
      </c>
      <c r="B120" s="10" t="s">
        <v>952</v>
      </c>
      <c r="C120" s="13" t="str">
        <f>_xll.BDH("BLUE US Equity","ARDR_CAPITAL_LEASE_YEAR_1","FQ2 2018","FQ2 2018","Currency=USD","Period=FQ","BEST_FPERIOD_OVERRIDE=FQ","FILING_STATUS=MR","SCALING_FORMAT=MLN","Sort=A","Dates=H","DateFormat=P","Fill=—","Direction=H","UseDPDF=Y")</f>
        <v>—</v>
      </c>
      <c r="D120" s="13" t="str">
        <f>_xll.BDH("BLUE US Equity","ARDR_CAPITAL_LEASE_YEAR_1","FQ3 2018","FQ3 2018","Currency=USD","Period=FQ","BEST_FPERIOD_OVERRIDE=FQ","FILING_STATUS=MR","SCALING_FORMAT=MLN","Sort=A","Dates=H","DateFormat=P","Fill=—","Direction=H","UseDPDF=Y")</f>
        <v>—</v>
      </c>
      <c r="E120" s="13" t="str">
        <f>_xll.BDH("BLUE US Equity","ARDR_CAPITAL_LEASE_YEAR_1","FQ4 2018","FQ4 2018","Currency=USD","Period=FQ","BEST_FPERIOD_OVERRIDE=FQ","FILING_STATUS=MR","SCALING_FORMAT=MLN","Sort=A","Dates=H","DateFormat=P","Fill=—","Direction=H","UseDPDF=Y")</f>
        <v>—</v>
      </c>
      <c r="F120" s="13" t="str">
        <f>_xll.BDH("BLUE US Equity","ARDR_CAPITAL_LEASE_YEAR_1","FQ1 2019","FQ1 2019","Currency=USD","Period=FQ","BEST_FPERIOD_OVERRIDE=FQ","FILING_STATUS=MR","SCALING_FORMAT=MLN","Sort=A","Dates=H","DateFormat=P","Fill=—","Direction=H","UseDPDF=Y")</f>
        <v>—</v>
      </c>
      <c r="G120" s="13" t="str">
        <f>_xll.BDH("BLUE US Equity","ARDR_CAPITAL_LEASE_YEAR_1","FQ2 2019","FQ2 2019","Currency=USD","Period=FQ","BEST_FPERIOD_OVERRIDE=FQ","FILING_STATUS=MR","SCALING_FORMAT=MLN","Sort=A","Dates=H","DateFormat=P","Fill=—","Direction=H","UseDPDF=Y")</f>
        <v>—</v>
      </c>
      <c r="H120" s="13" t="str">
        <f>_xll.BDH("BLUE US Equity","ARDR_CAPITAL_LEASE_YEAR_1","FQ3 2019","FQ3 2019","Currency=USD","Period=FQ","BEST_FPERIOD_OVERRIDE=FQ","FILING_STATUS=MR","SCALING_FORMAT=MLN","Sort=A","Dates=H","DateFormat=P","Fill=—","Direction=H","UseDPDF=Y")</f>
        <v>—</v>
      </c>
      <c r="I120" s="13" t="str">
        <f>_xll.BDH("BLUE US Equity","ARDR_CAPITAL_LEASE_YEAR_1","FQ4 2019","FQ4 2019","Currency=USD","Period=FQ","BEST_FPERIOD_OVERRIDE=FQ","FILING_STATUS=MR","SCALING_FORMAT=MLN","Sort=A","Dates=H","DateFormat=P","Fill=—","Direction=H","UseDPDF=Y")</f>
        <v>—</v>
      </c>
      <c r="J120" s="13" t="str">
        <f>_xll.BDH("BLUE US Equity","ARDR_CAPITAL_LEASE_YEAR_1","FQ1 2020","FQ1 2020","Currency=USD","Period=FQ","BEST_FPERIOD_OVERRIDE=FQ","FILING_STATUS=MR","SCALING_FORMAT=MLN","Sort=A","Dates=H","DateFormat=P","Fill=—","Direction=H","UseDPDF=Y")</f>
        <v>—</v>
      </c>
      <c r="K120" s="13" t="str">
        <f>_xll.BDH("BLUE US Equity","ARDR_CAPITAL_LEASE_YEAR_1","FQ2 2020","FQ2 2020","Currency=USD","Period=FQ","BEST_FPERIOD_OVERRIDE=FQ","FILING_STATUS=MR","SCALING_FORMAT=MLN","Sort=A","Dates=H","DateFormat=P","Fill=—","Direction=H","UseDPDF=Y")</f>
        <v>—</v>
      </c>
      <c r="L120" s="13" t="str">
        <f>_xll.BDH("BLUE US Equity","ARDR_CAPITAL_LEASE_YEAR_1","FQ3 2020","FQ3 2020","Currency=USD","Period=FQ","BEST_FPERIOD_OVERRIDE=FQ","FILING_STATUS=MR","SCALING_FORMAT=MLN","Sort=A","Dates=H","DateFormat=P","Fill=—","Direction=H","UseDPDF=Y")</f>
        <v>—</v>
      </c>
      <c r="M120" s="13" t="str">
        <f>_xll.BDH("BLUE US Equity","ARDR_CAPITAL_LEASE_YEAR_1","FQ4 2020","FQ4 2020","Currency=USD","Period=FQ","BEST_FPERIOD_OVERRIDE=FQ","FILING_STATUS=MR","SCALING_FORMAT=MLN","Sort=A","Dates=H","DateFormat=P","Fill=—","Direction=H","UseDPDF=Y")</f>
        <v>—</v>
      </c>
      <c r="N120" s="13" t="str">
        <f>_xll.BDH("BLUE US Equity","ARDR_CAPITAL_LEASE_YEAR_1","FQ1 2021","FQ1 2021","Currency=USD","Period=FQ","BEST_FPERIOD_OVERRIDE=FQ","FILING_STATUS=MR","SCALING_FORMAT=MLN","Sort=A","Dates=H","DateFormat=P","Fill=—","Direction=H","UseDPDF=Y")</f>
        <v>—</v>
      </c>
      <c r="O120" s="13" t="str">
        <f>_xll.BDH("BLUE US Equity","ARDR_CAPITAL_LEASE_YEAR_1","FQ2 2021","FQ2 2021","Currency=USD","Period=FQ","BEST_FPERIOD_OVERRIDE=FQ","FILING_STATUS=MR","SCALING_FORMAT=MLN","Sort=A","Dates=H","DateFormat=P","Fill=—","Direction=H","UseDPDF=Y")</f>
        <v>—</v>
      </c>
      <c r="P120" s="13" t="str">
        <f>_xll.BDH("BLUE US Equity","ARDR_CAPITAL_LEASE_YEAR_1","FQ3 2021","FQ3 2021","Currency=USD","Period=FQ","BEST_FPERIOD_OVERRIDE=FQ","FILING_STATUS=MR","SCALING_FORMAT=MLN","Sort=A","Dates=H","DateFormat=P","Fill=—","Direction=H","UseDPDF=Y")</f>
        <v>—</v>
      </c>
      <c r="Q120" s="13" t="str">
        <f>_xll.BDH("BLUE US Equity","ARDR_CAPITAL_LEASE_YEAR_1","FQ4 2021","FQ4 2021","Currency=USD","Period=FQ","BEST_FPERIOD_OVERRIDE=FQ","FILING_STATUS=MR","SCALING_FORMAT=MLN","Sort=A","Dates=H","DateFormat=P","Fill=—","Direction=H","UseDPDF=Y")</f>
        <v>—</v>
      </c>
      <c r="R120" s="13" t="str">
        <f>_xll.BDH("BLUE US Equity","ARDR_CAPITAL_LEASE_YEAR_1","FQ1 2022","FQ1 2022","Currency=USD","Period=FQ","BEST_FPERIOD_OVERRIDE=FQ","FILING_STATUS=MR","SCALING_FORMAT=MLN","Sort=A","Dates=H","DateFormat=P","Fill=—","Direction=H","UseDPDF=Y")</f>
        <v>—</v>
      </c>
      <c r="S120" s="13" t="str">
        <f>_xll.BDH("BLUE US Equity","ARDR_CAPITAL_LEASE_YEAR_1","FQ2 2022","FQ2 2022","Currency=USD","Period=FQ","BEST_FPERIOD_OVERRIDE=FQ","FILING_STATUS=MR","SCALING_FORMAT=MLN","Sort=A","Dates=H","DateFormat=P","Fill=—","Direction=H","UseDPDF=Y")</f>
        <v>—</v>
      </c>
      <c r="T120" s="13" t="str">
        <f>_xll.BDH("BLUE US Equity","ARDR_CAPITAL_LEASE_YEAR_1","FQ3 2022","FQ3 2022","Currency=USD","Period=FQ","BEST_FPERIOD_OVERRIDE=FQ","FILING_STATUS=MR","SCALING_FORMAT=MLN","Sort=A","Dates=H","DateFormat=P","Fill=—","Direction=H","UseDPDF=Y")</f>
        <v>—</v>
      </c>
      <c r="U120" s="13" t="str">
        <f>_xll.BDH("BLUE US Equity","ARDR_CAPITAL_LEASE_YEAR_1","FQ4 2022","FQ4 2022","Currency=USD","Period=FQ","BEST_FPERIOD_OVERRIDE=FQ","FILING_STATUS=MR","SCALING_FORMAT=MLN","Sort=A","Dates=H","DateFormat=P","Fill=—","Direction=H","UseDPDF=Y")</f>
        <v>—</v>
      </c>
      <c r="V120" s="13" t="str">
        <f>_xll.BDH("BLUE US Equity","ARDR_CAPITAL_LEASE_YEAR_1","FQ1 2023","FQ1 2023","Currency=USD","Period=FQ","BEST_FPERIOD_OVERRIDE=FQ","FILING_STATUS=MR","SCALING_FORMAT=MLN","Sort=A","Dates=H","DateFormat=P","Fill=—","Direction=H","UseDPDF=Y")</f>
        <v>—</v>
      </c>
      <c r="W120" s="13" t="str">
        <f>_xll.BDH("BLUE US Equity","ARDR_CAPITAL_LEASE_YEAR_1","FQ2 2023","FQ2 2023","Currency=USD","Period=FQ","BEST_FPERIOD_OVERRIDE=FQ","FILING_STATUS=MR","SCALING_FORMAT=MLN","Sort=A","Dates=H","DateFormat=P","Fill=—","Direction=H","UseDPDF=Y")</f>
        <v>—</v>
      </c>
      <c r="X120" s="13" t="str">
        <f>_xll.BDH("BLUE US Equity","ARDR_CAPITAL_LEASE_YEAR_1","FQ3 2023","FQ3 2023","Currency=USD","Period=FQ","BEST_FPERIOD_OVERRIDE=FQ","FILING_STATUS=MR","SCALING_FORMAT=MLN","Sort=A","Dates=H","DateFormat=P","Fill=—","Direction=H","UseDPDF=Y")</f>
        <v>—</v>
      </c>
      <c r="Y120" s="13">
        <f>_xll.BDH("BLUE US Equity","ARDR_CAPITAL_LEASE_YEAR_1","FQ1 2024","FQ1 2024","Currency=USD","Period=FQ","BEST_FPERIOD_OVERRIDE=FQ","FILING_STATUS=MR","SCALING_FORMAT=MLN","Sort=A","Dates=H","DateFormat=P","Fill=—","Direction=H","UseDPDF=Y")</f>
        <v>102.277</v>
      </c>
      <c r="Z120" s="13">
        <f>_xll.BDH("BLUE US Equity","ARDR_CAPITAL_LEASE_YEAR_1","FQ2 2024","FQ2 2024","Currency=USD","Period=FQ","BEST_FPERIOD_OVERRIDE=FQ","FILING_STATUS=MR","SCALING_FORMAT=MLN","Sort=A","Dates=H","DateFormat=P","Fill=—","Direction=H","UseDPDF=Y")</f>
        <v>78.745999999999995</v>
      </c>
      <c r="AA120" s="13">
        <f>_xll.BDH("BLUE US Equity","ARDR_CAPITAL_LEASE_YEAR_1","FQ3 2024","FQ3 2024","Currency=USD","Period=FQ","BEST_FPERIOD_OVERRIDE=FQ","FILING_STATUS=MR","SCALING_FORMAT=MLN","Sort=A","Dates=H","DateFormat=P","Fill=—","Direction=H","UseDPDF=Y")</f>
        <v>57.718000000000004</v>
      </c>
    </row>
    <row r="121" spans="1:27" x14ac:dyDescent="0.25">
      <c r="A121" s="10" t="s">
        <v>953</v>
      </c>
      <c r="B121" s="10" t="s">
        <v>954</v>
      </c>
      <c r="C121" s="13" t="str">
        <f>_xll.BDH("BLUE US Equity","ARDR_CAPITAL_LEASE_YEAR_2","FQ2 2018","FQ2 2018","Currency=USD","Period=FQ","BEST_FPERIOD_OVERRIDE=FQ","FILING_STATUS=MR","SCALING_FORMAT=MLN","Sort=A","Dates=H","DateFormat=P","Fill=—","Direction=H","UseDPDF=Y")</f>
        <v>—</v>
      </c>
      <c r="D121" s="13" t="str">
        <f>_xll.BDH("BLUE US Equity","ARDR_CAPITAL_LEASE_YEAR_2","FQ3 2018","FQ3 2018","Currency=USD","Period=FQ","BEST_FPERIOD_OVERRIDE=FQ","FILING_STATUS=MR","SCALING_FORMAT=MLN","Sort=A","Dates=H","DateFormat=P","Fill=—","Direction=H","UseDPDF=Y")</f>
        <v>—</v>
      </c>
      <c r="E121" s="13" t="str">
        <f>_xll.BDH("BLUE US Equity","ARDR_CAPITAL_LEASE_YEAR_2","FQ4 2018","FQ4 2018","Currency=USD","Period=FQ","BEST_FPERIOD_OVERRIDE=FQ","FILING_STATUS=MR","SCALING_FORMAT=MLN","Sort=A","Dates=H","DateFormat=P","Fill=—","Direction=H","UseDPDF=Y")</f>
        <v>—</v>
      </c>
      <c r="F121" s="13" t="str">
        <f>_xll.BDH("BLUE US Equity","ARDR_CAPITAL_LEASE_YEAR_2","FQ1 2019","FQ1 2019","Currency=USD","Period=FQ","BEST_FPERIOD_OVERRIDE=FQ","FILING_STATUS=MR","SCALING_FORMAT=MLN","Sort=A","Dates=H","DateFormat=P","Fill=—","Direction=H","UseDPDF=Y")</f>
        <v>—</v>
      </c>
      <c r="G121" s="13" t="str">
        <f>_xll.BDH("BLUE US Equity","ARDR_CAPITAL_LEASE_YEAR_2","FQ2 2019","FQ2 2019","Currency=USD","Period=FQ","BEST_FPERIOD_OVERRIDE=FQ","FILING_STATUS=MR","SCALING_FORMAT=MLN","Sort=A","Dates=H","DateFormat=P","Fill=—","Direction=H","UseDPDF=Y")</f>
        <v>—</v>
      </c>
      <c r="H121" s="13" t="str">
        <f>_xll.BDH("BLUE US Equity","ARDR_CAPITAL_LEASE_YEAR_2","FQ3 2019","FQ3 2019","Currency=USD","Period=FQ","BEST_FPERIOD_OVERRIDE=FQ","FILING_STATUS=MR","SCALING_FORMAT=MLN","Sort=A","Dates=H","DateFormat=P","Fill=—","Direction=H","UseDPDF=Y")</f>
        <v>—</v>
      </c>
      <c r="I121" s="13" t="str">
        <f>_xll.BDH("BLUE US Equity","ARDR_CAPITAL_LEASE_YEAR_2","FQ4 2019","FQ4 2019","Currency=USD","Period=FQ","BEST_FPERIOD_OVERRIDE=FQ","FILING_STATUS=MR","SCALING_FORMAT=MLN","Sort=A","Dates=H","DateFormat=P","Fill=—","Direction=H","UseDPDF=Y")</f>
        <v>—</v>
      </c>
      <c r="J121" s="13" t="str">
        <f>_xll.BDH("BLUE US Equity","ARDR_CAPITAL_LEASE_YEAR_2","FQ1 2020","FQ1 2020","Currency=USD","Period=FQ","BEST_FPERIOD_OVERRIDE=FQ","FILING_STATUS=MR","SCALING_FORMAT=MLN","Sort=A","Dates=H","DateFormat=P","Fill=—","Direction=H","UseDPDF=Y")</f>
        <v>—</v>
      </c>
      <c r="K121" s="13" t="str">
        <f>_xll.BDH("BLUE US Equity","ARDR_CAPITAL_LEASE_YEAR_2","FQ2 2020","FQ2 2020","Currency=USD","Period=FQ","BEST_FPERIOD_OVERRIDE=FQ","FILING_STATUS=MR","SCALING_FORMAT=MLN","Sort=A","Dates=H","DateFormat=P","Fill=—","Direction=H","UseDPDF=Y")</f>
        <v>—</v>
      </c>
      <c r="L121" s="13" t="str">
        <f>_xll.BDH("BLUE US Equity","ARDR_CAPITAL_LEASE_YEAR_2","FQ3 2020","FQ3 2020","Currency=USD","Period=FQ","BEST_FPERIOD_OVERRIDE=FQ","FILING_STATUS=MR","SCALING_FORMAT=MLN","Sort=A","Dates=H","DateFormat=P","Fill=—","Direction=H","UseDPDF=Y")</f>
        <v>—</v>
      </c>
      <c r="M121" s="13" t="str">
        <f>_xll.BDH("BLUE US Equity","ARDR_CAPITAL_LEASE_YEAR_2","FQ4 2020","FQ4 2020","Currency=USD","Period=FQ","BEST_FPERIOD_OVERRIDE=FQ","FILING_STATUS=MR","SCALING_FORMAT=MLN","Sort=A","Dates=H","DateFormat=P","Fill=—","Direction=H","UseDPDF=Y")</f>
        <v>—</v>
      </c>
      <c r="N121" s="13" t="str">
        <f>_xll.BDH("BLUE US Equity","ARDR_CAPITAL_LEASE_YEAR_2","FQ1 2021","FQ1 2021","Currency=USD","Period=FQ","BEST_FPERIOD_OVERRIDE=FQ","FILING_STATUS=MR","SCALING_FORMAT=MLN","Sort=A","Dates=H","DateFormat=P","Fill=—","Direction=H","UseDPDF=Y")</f>
        <v>—</v>
      </c>
      <c r="O121" s="13" t="str">
        <f>_xll.BDH("BLUE US Equity","ARDR_CAPITAL_LEASE_YEAR_2","FQ2 2021","FQ2 2021","Currency=USD","Period=FQ","BEST_FPERIOD_OVERRIDE=FQ","FILING_STATUS=MR","SCALING_FORMAT=MLN","Sort=A","Dates=H","DateFormat=P","Fill=—","Direction=H","UseDPDF=Y")</f>
        <v>—</v>
      </c>
      <c r="P121" s="13" t="str">
        <f>_xll.BDH("BLUE US Equity","ARDR_CAPITAL_LEASE_YEAR_2","FQ3 2021","FQ3 2021","Currency=USD","Period=FQ","BEST_FPERIOD_OVERRIDE=FQ","FILING_STATUS=MR","SCALING_FORMAT=MLN","Sort=A","Dates=H","DateFormat=P","Fill=—","Direction=H","UseDPDF=Y")</f>
        <v>—</v>
      </c>
      <c r="Q121" s="13" t="str">
        <f>_xll.BDH("BLUE US Equity","ARDR_CAPITAL_LEASE_YEAR_2","FQ4 2021","FQ4 2021","Currency=USD","Period=FQ","BEST_FPERIOD_OVERRIDE=FQ","FILING_STATUS=MR","SCALING_FORMAT=MLN","Sort=A","Dates=H","DateFormat=P","Fill=—","Direction=H","UseDPDF=Y")</f>
        <v>—</v>
      </c>
      <c r="R121" s="13" t="str">
        <f>_xll.BDH("BLUE US Equity","ARDR_CAPITAL_LEASE_YEAR_2","FQ1 2022","FQ1 2022","Currency=USD","Period=FQ","BEST_FPERIOD_OVERRIDE=FQ","FILING_STATUS=MR","SCALING_FORMAT=MLN","Sort=A","Dates=H","DateFormat=P","Fill=—","Direction=H","UseDPDF=Y")</f>
        <v>—</v>
      </c>
      <c r="S121" s="13" t="str">
        <f>_xll.BDH("BLUE US Equity","ARDR_CAPITAL_LEASE_YEAR_2","FQ2 2022","FQ2 2022","Currency=USD","Period=FQ","BEST_FPERIOD_OVERRIDE=FQ","FILING_STATUS=MR","SCALING_FORMAT=MLN","Sort=A","Dates=H","DateFormat=P","Fill=—","Direction=H","UseDPDF=Y")</f>
        <v>—</v>
      </c>
      <c r="T121" s="13" t="str">
        <f>_xll.BDH("BLUE US Equity","ARDR_CAPITAL_LEASE_YEAR_2","FQ3 2022","FQ3 2022","Currency=USD","Period=FQ","BEST_FPERIOD_OVERRIDE=FQ","FILING_STATUS=MR","SCALING_FORMAT=MLN","Sort=A","Dates=H","DateFormat=P","Fill=—","Direction=H","UseDPDF=Y")</f>
        <v>—</v>
      </c>
      <c r="U121" s="13" t="str">
        <f>_xll.BDH("BLUE US Equity","ARDR_CAPITAL_LEASE_YEAR_2","FQ4 2022","FQ4 2022","Currency=USD","Period=FQ","BEST_FPERIOD_OVERRIDE=FQ","FILING_STATUS=MR","SCALING_FORMAT=MLN","Sort=A","Dates=H","DateFormat=P","Fill=—","Direction=H","UseDPDF=Y")</f>
        <v>—</v>
      </c>
      <c r="V121" s="13" t="str">
        <f>_xll.BDH("BLUE US Equity","ARDR_CAPITAL_LEASE_YEAR_2","FQ1 2023","FQ1 2023","Currency=USD","Period=FQ","BEST_FPERIOD_OVERRIDE=FQ","FILING_STATUS=MR","SCALING_FORMAT=MLN","Sort=A","Dates=H","DateFormat=P","Fill=—","Direction=H","UseDPDF=Y")</f>
        <v>—</v>
      </c>
      <c r="W121" s="13" t="str">
        <f>_xll.BDH("BLUE US Equity","ARDR_CAPITAL_LEASE_YEAR_2","FQ2 2023","FQ2 2023","Currency=USD","Period=FQ","BEST_FPERIOD_OVERRIDE=FQ","FILING_STATUS=MR","SCALING_FORMAT=MLN","Sort=A","Dates=H","DateFormat=P","Fill=—","Direction=H","UseDPDF=Y")</f>
        <v>—</v>
      </c>
      <c r="X121" s="13" t="str">
        <f>_xll.BDH("BLUE US Equity","ARDR_CAPITAL_LEASE_YEAR_2","FQ3 2023","FQ3 2023","Currency=USD","Period=FQ","BEST_FPERIOD_OVERRIDE=FQ","FILING_STATUS=MR","SCALING_FORMAT=MLN","Sort=A","Dates=H","DateFormat=P","Fill=—","Direction=H","UseDPDF=Y")</f>
        <v>—</v>
      </c>
      <c r="Y121" s="13">
        <f>_xll.BDH("BLUE US Equity","ARDR_CAPITAL_LEASE_YEAR_2","FQ1 2024","FQ1 2024","Currency=USD","Period=FQ","BEST_FPERIOD_OVERRIDE=FQ","FILING_STATUS=MR","SCALING_FORMAT=MLN","Sort=A","Dates=H","DateFormat=P","Fill=—","Direction=H","UseDPDF=Y")</f>
        <v>41.27</v>
      </c>
      <c r="Z121" s="13">
        <f>_xll.BDH("BLUE US Equity","ARDR_CAPITAL_LEASE_YEAR_2","FQ2 2024","FQ2 2024","Currency=USD","Period=FQ","BEST_FPERIOD_OVERRIDE=FQ","FILING_STATUS=MR","SCALING_FORMAT=MLN","Sort=A","Dates=H","DateFormat=P","Fill=—","Direction=H","UseDPDF=Y")</f>
        <v>41.796999999999997</v>
      </c>
      <c r="AA121" s="13">
        <f>_xll.BDH("BLUE US Equity","ARDR_CAPITAL_LEASE_YEAR_2","FQ3 2024","FQ3 2024","Currency=USD","Period=FQ","BEST_FPERIOD_OVERRIDE=FQ","FILING_STATUS=MR","SCALING_FORMAT=MLN","Sort=A","Dates=H","DateFormat=P","Fill=—","Direction=H","UseDPDF=Y")</f>
        <v>43.067999999999998</v>
      </c>
    </row>
    <row r="122" spans="1:27" x14ac:dyDescent="0.25">
      <c r="A122" s="10" t="s">
        <v>955</v>
      </c>
      <c r="B122" s="10" t="s">
        <v>956</v>
      </c>
      <c r="C122" s="13" t="str">
        <f>_xll.BDH("BLUE US Equity","ARDR_CAPITAL_LEASE_YEAR_3","FQ2 2018","FQ2 2018","Currency=USD","Period=FQ","BEST_FPERIOD_OVERRIDE=FQ","FILING_STATUS=MR","SCALING_FORMAT=MLN","Sort=A","Dates=H","DateFormat=P","Fill=—","Direction=H","UseDPDF=Y")</f>
        <v>—</v>
      </c>
      <c r="D122" s="13" t="str">
        <f>_xll.BDH("BLUE US Equity","ARDR_CAPITAL_LEASE_YEAR_3","FQ3 2018","FQ3 2018","Currency=USD","Period=FQ","BEST_FPERIOD_OVERRIDE=FQ","FILING_STATUS=MR","SCALING_FORMAT=MLN","Sort=A","Dates=H","DateFormat=P","Fill=—","Direction=H","UseDPDF=Y")</f>
        <v>—</v>
      </c>
      <c r="E122" s="13" t="str">
        <f>_xll.BDH("BLUE US Equity","ARDR_CAPITAL_LEASE_YEAR_3","FQ4 2018","FQ4 2018","Currency=USD","Period=FQ","BEST_FPERIOD_OVERRIDE=FQ","FILING_STATUS=MR","SCALING_FORMAT=MLN","Sort=A","Dates=H","DateFormat=P","Fill=—","Direction=H","UseDPDF=Y")</f>
        <v>—</v>
      </c>
      <c r="F122" s="13" t="str">
        <f>_xll.BDH("BLUE US Equity","ARDR_CAPITAL_LEASE_YEAR_3","FQ1 2019","FQ1 2019","Currency=USD","Period=FQ","BEST_FPERIOD_OVERRIDE=FQ","FILING_STATUS=MR","SCALING_FORMAT=MLN","Sort=A","Dates=H","DateFormat=P","Fill=—","Direction=H","UseDPDF=Y")</f>
        <v>—</v>
      </c>
      <c r="G122" s="13" t="str">
        <f>_xll.BDH("BLUE US Equity","ARDR_CAPITAL_LEASE_YEAR_3","FQ2 2019","FQ2 2019","Currency=USD","Period=FQ","BEST_FPERIOD_OVERRIDE=FQ","FILING_STATUS=MR","SCALING_FORMAT=MLN","Sort=A","Dates=H","DateFormat=P","Fill=—","Direction=H","UseDPDF=Y")</f>
        <v>—</v>
      </c>
      <c r="H122" s="13" t="str">
        <f>_xll.BDH("BLUE US Equity","ARDR_CAPITAL_LEASE_YEAR_3","FQ3 2019","FQ3 2019","Currency=USD","Period=FQ","BEST_FPERIOD_OVERRIDE=FQ","FILING_STATUS=MR","SCALING_FORMAT=MLN","Sort=A","Dates=H","DateFormat=P","Fill=—","Direction=H","UseDPDF=Y")</f>
        <v>—</v>
      </c>
      <c r="I122" s="13" t="str">
        <f>_xll.BDH("BLUE US Equity","ARDR_CAPITAL_LEASE_YEAR_3","FQ4 2019","FQ4 2019","Currency=USD","Period=FQ","BEST_FPERIOD_OVERRIDE=FQ","FILING_STATUS=MR","SCALING_FORMAT=MLN","Sort=A","Dates=H","DateFormat=P","Fill=—","Direction=H","UseDPDF=Y")</f>
        <v>—</v>
      </c>
      <c r="J122" s="13" t="str">
        <f>_xll.BDH("BLUE US Equity","ARDR_CAPITAL_LEASE_YEAR_3","FQ1 2020","FQ1 2020","Currency=USD","Period=FQ","BEST_FPERIOD_OVERRIDE=FQ","FILING_STATUS=MR","SCALING_FORMAT=MLN","Sort=A","Dates=H","DateFormat=P","Fill=—","Direction=H","UseDPDF=Y")</f>
        <v>—</v>
      </c>
      <c r="K122" s="13" t="str">
        <f>_xll.BDH("BLUE US Equity","ARDR_CAPITAL_LEASE_YEAR_3","FQ2 2020","FQ2 2020","Currency=USD","Period=FQ","BEST_FPERIOD_OVERRIDE=FQ","FILING_STATUS=MR","SCALING_FORMAT=MLN","Sort=A","Dates=H","DateFormat=P","Fill=—","Direction=H","UseDPDF=Y")</f>
        <v>—</v>
      </c>
      <c r="L122" s="13" t="str">
        <f>_xll.BDH("BLUE US Equity","ARDR_CAPITAL_LEASE_YEAR_3","FQ3 2020","FQ3 2020","Currency=USD","Period=FQ","BEST_FPERIOD_OVERRIDE=FQ","FILING_STATUS=MR","SCALING_FORMAT=MLN","Sort=A","Dates=H","DateFormat=P","Fill=—","Direction=H","UseDPDF=Y")</f>
        <v>—</v>
      </c>
      <c r="M122" s="13" t="str">
        <f>_xll.BDH("BLUE US Equity","ARDR_CAPITAL_LEASE_YEAR_3","FQ4 2020","FQ4 2020","Currency=USD","Period=FQ","BEST_FPERIOD_OVERRIDE=FQ","FILING_STATUS=MR","SCALING_FORMAT=MLN","Sort=A","Dates=H","DateFormat=P","Fill=—","Direction=H","UseDPDF=Y")</f>
        <v>—</v>
      </c>
      <c r="N122" s="13" t="str">
        <f>_xll.BDH("BLUE US Equity","ARDR_CAPITAL_LEASE_YEAR_3","FQ1 2021","FQ1 2021","Currency=USD","Period=FQ","BEST_FPERIOD_OVERRIDE=FQ","FILING_STATUS=MR","SCALING_FORMAT=MLN","Sort=A","Dates=H","DateFormat=P","Fill=—","Direction=H","UseDPDF=Y")</f>
        <v>—</v>
      </c>
      <c r="O122" s="13" t="str">
        <f>_xll.BDH("BLUE US Equity","ARDR_CAPITAL_LEASE_YEAR_3","FQ2 2021","FQ2 2021","Currency=USD","Period=FQ","BEST_FPERIOD_OVERRIDE=FQ","FILING_STATUS=MR","SCALING_FORMAT=MLN","Sort=A","Dates=H","DateFormat=P","Fill=—","Direction=H","UseDPDF=Y")</f>
        <v>—</v>
      </c>
      <c r="P122" s="13" t="str">
        <f>_xll.BDH("BLUE US Equity","ARDR_CAPITAL_LEASE_YEAR_3","FQ3 2021","FQ3 2021","Currency=USD","Period=FQ","BEST_FPERIOD_OVERRIDE=FQ","FILING_STATUS=MR","SCALING_FORMAT=MLN","Sort=A","Dates=H","DateFormat=P","Fill=—","Direction=H","UseDPDF=Y")</f>
        <v>—</v>
      </c>
      <c r="Q122" s="13" t="str">
        <f>_xll.BDH("BLUE US Equity","ARDR_CAPITAL_LEASE_YEAR_3","FQ4 2021","FQ4 2021","Currency=USD","Period=FQ","BEST_FPERIOD_OVERRIDE=FQ","FILING_STATUS=MR","SCALING_FORMAT=MLN","Sort=A","Dates=H","DateFormat=P","Fill=—","Direction=H","UseDPDF=Y")</f>
        <v>—</v>
      </c>
      <c r="R122" s="13" t="str">
        <f>_xll.BDH("BLUE US Equity","ARDR_CAPITAL_LEASE_YEAR_3","FQ1 2022","FQ1 2022","Currency=USD","Period=FQ","BEST_FPERIOD_OVERRIDE=FQ","FILING_STATUS=MR","SCALING_FORMAT=MLN","Sort=A","Dates=H","DateFormat=P","Fill=—","Direction=H","UseDPDF=Y")</f>
        <v>—</v>
      </c>
      <c r="S122" s="13" t="str">
        <f>_xll.BDH("BLUE US Equity","ARDR_CAPITAL_LEASE_YEAR_3","FQ2 2022","FQ2 2022","Currency=USD","Period=FQ","BEST_FPERIOD_OVERRIDE=FQ","FILING_STATUS=MR","SCALING_FORMAT=MLN","Sort=A","Dates=H","DateFormat=P","Fill=—","Direction=H","UseDPDF=Y")</f>
        <v>—</v>
      </c>
      <c r="T122" s="13" t="str">
        <f>_xll.BDH("BLUE US Equity","ARDR_CAPITAL_LEASE_YEAR_3","FQ3 2022","FQ3 2022","Currency=USD","Period=FQ","BEST_FPERIOD_OVERRIDE=FQ","FILING_STATUS=MR","SCALING_FORMAT=MLN","Sort=A","Dates=H","DateFormat=P","Fill=—","Direction=H","UseDPDF=Y")</f>
        <v>—</v>
      </c>
      <c r="U122" s="13" t="str">
        <f>_xll.BDH("BLUE US Equity","ARDR_CAPITAL_LEASE_YEAR_3","FQ4 2022","FQ4 2022","Currency=USD","Period=FQ","BEST_FPERIOD_OVERRIDE=FQ","FILING_STATUS=MR","SCALING_FORMAT=MLN","Sort=A","Dates=H","DateFormat=P","Fill=—","Direction=H","UseDPDF=Y")</f>
        <v>—</v>
      </c>
      <c r="V122" s="13" t="str">
        <f>_xll.BDH("BLUE US Equity","ARDR_CAPITAL_LEASE_YEAR_3","FQ1 2023","FQ1 2023","Currency=USD","Period=FQ","BEST_FPERIOD_OVERRIDE=FQ","FILING_STATUS=MR","SCALING_FORMAT=MLN","Sort=A","Dates=H","DateFormat=P","Fill=—","Direction=H","UseDPDF=Y")</f>
        <v>—</v>
      </c>
      <c r="W122" s="13" t="str">
        <f>_xll.BDH("BLUE US Equity","ARDR_CAPITAL_LEASE_YEAR_3","FQ2 2023","FQ2 2023","Currency=USD","Period=FQ","BEST_FPERIOD_OVERRIDE=FQ","FILING_STATUS=MR","SCALING_FORMAT=MLN","Sort=A","Dates=H","DateFormat=P","Fill=—","Direction=H","UseDPDF=Y")</f>
        <v>—</v>
      </c>
      <c r="X122" s="13" t="str">
        <f>_xll.BDH("BLUE US Equity","ARDR_CAPITAL_LEASE_YEAR_3","FQ3 2023","FQ3 2023","Currency=USD","Period=FQ","BEST_FPERIOD_OVERRIDE=FQ","FILING_STATUS=MR","SCALING_FORMAT=MLN","Sort=A","Dates=H","DateFormat=P","Fill=—","Direction=H","UseDPDF=Y")</f>
        <v>—</v>
      </c>
      <c r="Y122" s="13">
        <f>_xll.BDH("BLUE US Equity","ARDR_CAPITAL_LEASE_YEAR_3","FQ1 2024","FQ1 2024","Currency=USD","Period=FQ","BEST_FPERIOD_OVERRIDE=FQ","FILING_STATUS=MR","SCALING_FORMAT=MLN","Sort=A","Dates=H","DateFormat=P","Fill=—","Direction=H","UseDPDF=Y")</f>
        <v>3.4220000000000002</v>
      </c>
      <c r="Z122" s="13">
        <f>_xll.BDH("BLUE US Equity","ARDR_CAPITAL_LEASE_YEAR_3","FQ2 2024","FQ2 2024","Currency=USD","Period=FQ","BEST_FPERIOD_OVERRIDE=FQ","FILING_STATUS=MR","SCALING_FORMAT=MLN","Sort=A","Dates=H","DateFormat=P","Fill=—","Direction=H","UseDPDF=Y")</f>
        <v>3.4079999999999999</v>
      </c>
      <c r="AA122" s="13">
        <f>_xll.BDH("BLUE US Equity","ARDR_CAPITAL_LEASE_YEAR_3","FQ3 2024","FQ3 2024","Currency=USD","Period=FQ","BEST_FPERIOD_OVERRIDE=FQ","FILING_STATUS=MR","SCALING_FORMAT=MLN","Sort=A","Dates=H","DateFormat=P","Fill=—","Direction=H","UseDPDF=Y")</f>
        <v>2.738</v>
      </c>
    </row>
    <row r="123" spans="1:27" x14ac:dyDescent="0.25">
      <c r="A123" s="10" t="s">
        <v>957</v>
      </c>
      <c r="B123" s="10" t="s">
        <v>958</v>
      </c>
      <c r="C123" s="13" t="str">
        <f>_xll.BDH("BLUE US Equity","ARDR_CAPITAL_LEASE_YEAR_4","FQ2 2018","FQ2 2018","Currency=USD","Period=FQ","BEST_FPERIOD_OVERRIDE=FQ","FILING_STATUS=MR","SCALING_FORMAT=MLN","Sort=A","Dates=H","DateFormat=P","Fill=—","Direction=H","UseDPDF=Y")</f>
        <v>—</v>
      </c>
      <c r="D123" s="13" t="str">
        <f>_xll.BDH("BLUE US Equity","ARDR_CAPITAL_LEASE_YEAR_4","FQ3 2018","FQ3 2018","Currency=USD","Period=FQ","BEST_FPERIOD_OVERRIDE=FQ","FILING_STATUS=MR","SCALING_FORMAT=MLN","Sort=A","Dates=H","DateFormat=P","Fill=—","Direction=H","UseDPDF=Y")</f>
        <v>—</v>
      </c>
      <c r="E123" s="13" t="str">
        <f>_xll.BDH("BLUE US Equity","ARDR_CAPITAL_LEASE_YEAR_4","FQ4 2018","FQ4 2018","Currency=USD","Period=FQ","BEST_FPERIOD_OVERRIDE=FQ","FILING_STATUS=MR","SCALING_FORMAT=MLN","Sort=A","Dates=H","DateFormat=P","Fill=—","Direction=H","UseDPDF=Y")</f>
        <v>—</v>
      </c>
      <c r="F123" s="13" t="str">
        <f>_xll.BDH("BLUE US Equity","ARDR_CAPITAL_LEASE_YEAR_4","FQ1 2019","FQ1 2019","Currency=USD","Period=FQ","BEST_FPERIOD_OVERRIDE=FQ","FILING_STATUS=MR","SCALING_FORMAT=MLN","Sort=A","Dates=H","DateFormat=P","Fill=—","Direction=H","UseDPDF=Y")</f>
        <v>—</v>
      </c>
      <c r="G123" s="13" t="str">
        <f>_xll.BDH("BLUE US Equity","ARDR_CAPITAL_LEASE_YEAR_4","FQ2 2019","FQ2 2019","Currency=USD","Period=FQ","BEST_FPERIOD_OVERRIDE=FQ","FILING_STATUS=MR","SCALING_FORMAT=MLN","Sort=A","Dates=H","DateFormat=P","Fill=—","Direction=H","UseDPDF=Y")</f>
        <v>—</v>
      </c>
      <c r="H123" s="13" t="str">
        <f>_xll.BDH("BLUE US Equity","ARDR_CAPITAL_LEASE_YEAR_4","FQ3 2019","FQ3 2019","Currency=USD","Period=FQ","BEST_FPERIOD_OVERRIDE=FQ","FILING_STATUS=MR","SCALING_FORMAT=MLN","Sort=A","Dates=H","DateFormat=P","Fill=—","Direction=H","UseDPDF=Y")</f>
        <v>—</v>
      </c>
      <c r="I123" s="13" t="str">
        <f>_xll.BDH("BLUE US Equity","ARDR_CAPITAL_LEASE_YEAR_4","FQ4 2019","FQ4 2019","Currency=USD","Period=FQ","BEST_FPERIOD_OVERRIDE=FQ","FILING_STATUS=MR","SCALING_FORMAT=MLN","Sort=A","Dates=H","DateFormat=P","Fill=—","Direction=H","UseDPDF=Y")</f>
        <v>—</v>
      </c>
      <c r="J123" s="13" t="str">
        <f>_xll.BDH("BLUE US Equity","ARDR_CAPITAL_LEASE_YEAR_4","FQ1 2020","FQ1 2020","Currency=USD","Period=FQ","BEST_FPERIOD_OVERRIDE=FQ","FILING_STATUS=MR","SCALING_FORMAT=MLN","Sort=A","Dates=H","DateFormat=P","Fill=—","Direction=H","UseDPDF=Y")</f>
        <v>—</v>
      </c>
      <c r="K123" s="13" t="str">
        <f>_xll.BDH("BLUE US Equity","ARDR_CAPITAL_LEASE_YEAR_4","FQ2 2020","FQ2 2020","Currency=USD","Period=FQ","BEST_FPERIOD_OVERRIDE=FQ","FILING_STATUS=MR","SCALING_FORMAT=MLN","Sort=A","Dates=H","DateFormat=P","Fill=—","Direction=H","UseDPDF=Y")</f>
        <v>—</v>
      </c>
      <c r="L123" s="13" t="str">
        <f>_xll.BDH("BLUE US Equity","ARDR_CAPITAL_LEASE_YEAR_4","FQ3 2020","FQ3 2020","Currency=USD","Period=FQ","BEST_FPERIOD_OVERRIDE=FQ","FILING_STATUS=MR","SCALING_FORMAT=MLN","Sort=A","Dates=H","DateFormat=P","Fill=—","Direction=H","UseDPDF=Y")</f>
        <v>—</v>
      </c>
      <c r="M123" s="13" t="str">
        <f>_xll.BDH("BLUE US Equity","ARDR_CAPITAL_LEASE_YEAR_4","FQ4 2020","FQ4 2020","Currency=USD","Period=FQ","BEST_FPERIOD_OVERRIDE=FQ","FILING_STATUS=MR","SCALING_FORMAT=MLN","Sort=A","Dates=H","DateFormat=P","Fill=—","Direction=H","UseDPDF=Y")</f>
        <v>—</v>
      </c>
      <c r="N123" s="13" t="str">
        <f>_xll.BDH("BLUE US Equity","ARDR_CAPITAL_LEASE_YEAR_4","FQ1 2021","FQ1 2021","Currency=USD","Period=FQ","BEST_FPERIOD_OVERRIDE=FQ","FILING_STATUS=MR","SCALING_FORMAT=MLN","Sort=A","Dates=H","DateFormat=P","Fill=—","Direction=H","UseDPDF=Y")</f>
        <v>—</v>
      </c>
      <c r="O123" s="13" t="str">
        <f>_xll.BDH("BLUE US Equity","ARDR_CAPITAL_LEASE_YEAR_4","FQ2 2021","FQ2 2021","Currency=USD","Period=FQ","BEST_FPERIOD_OVERRIDE=FQ","FILING_STATUS=MR","SCALING_FORMAT=MLN","Sort=A","Dates=H","DateFormat=P","Fill=—","Direction=H","UseDPDF=Y")</f>
        <v>—</v>
      </c>
      <c r="P123" s="13" t="str">
        <f>_xll.BDH("BLUE US Equity","ARDR_CAPITAL_LEASE_YEAR_4","FQ3 2021","FQ3 2021","Currency=USD","Period=FQ","BEST_FPERIOD_OVERRIDE=FQ","FILING_STATUS=MR","SCALING_FORMAT=MLN","Sort=A","Dates=H","DateFormat=P","Fill=—","Direction=H","UseDPDF=Y")</f>
        <v>—</v>
      </c>
      <c r="Q123" s="13" t="str">
        <f>_xll.BDH("BLUE US Equity","ARDR_CAPITAL_LEASE_YEAR_4","FQ4 2021","FQ4 2021","Currency=USD","Period=FQ","BEST_FPERIOD_OVERRIDE=FQ","FILING_STATUS=MR","SCALING_FORMAT=MLN","Sort=A","Dates=H","DateFormat=P","Fill=—","Direction=H","UseDPDF=Y")</f>
        <v>—</v>
      </c>
      <c r="R123" s="13" t="str">
        <f>_xll.BDH("BLUE US Equity","ARDR_CAPITAL_LEASE_YEAR_4","FQ1 2022","FQ1 2022","Currency=USD","Period=FQ","BEST_FPERIOD_OVERRIDE=FQ","FILING_STATUS=MR","SCALING_FORMAT=MLN","Sort=A","Dates=H","DateFormat=P","Fill=—","Direction=H","UseDPDF=Y")</f>
        <v>—</v>
      </c>
      <c r="S123" s="13" t="str">
        <f>_xll.BDH("BLUE US Equity","ARDR_CAPITAL_LEASE_YEAR_4","FQ2 2022","FQ2 2022","Currency=USD","Period=FQ","BEST_FPERIOD_OVERRIDE=FQ","FILING_STATUS=MR","SCALING_FORMAT=MLN","Sort=A","Dates=H","DateFormat=P","Fill=—","Direction=H","UseDPDF=Y")</f>
        <v>—</v>
      </c>
      <c r="T123" s="13" t="str">
        <f>_xll.BDH("BLUE US Equity","ARDR_CAPITAL_LEASE_YEAR_4","FQ3 2022","FQ3 2022","Currency=USD","Period=FQ","BEST_FPERIOD_OVERRIDE=FQ","FILING_STATUS=MR","SCALING_FORMAT=MLN","Sort=A","Dates=H","DateFormat=P","Fill=—","Direction=H","UseDPDF=Y")</f>
        <v>—</v>
      </c>
      <c r="U123" s="13" t="str">
        <f>_xll.BDH("BLUE US Equity","ARDR_CAPITAL_LEASE_YEAR_4","FQ4 2022","FQ4 2022","Currency=USD","Period=FQ","BEST_FPERIOD_OVERRIDE=FQ","FILING_STATUS=MR","SCALING_FORMAT=MLN","Sort=A","Dates=H","DateFormat=P","Fill=—","Direction=H","UseDPDF=Y")</f>
        <v>—</v>
      </c>
      <c r="V123" s="13" t="str">
        <f>_xll.BDH("BLUE US Equity","ARDR_CAPITAL_LEASE_YEAR_4","FQ1 2023","FQ1 2023","Currency=USD","Period=FQ","BEST_FPERIOD_OVERRIDE=FQ","FILING_STATUS=MR","SCALING_FORMAT=MLN","Sort=A","Dates=H","DateFormat=P","Fill=—","Direction=H","UseDPDF=Y")</f>
        <v>—</v>
      </c>
      <c r="W123" s="13" t="str">
        <f>_xll.BDH("BLUE US Equity","ARDR_CAPITAL_LEASE_YEAR_4","FQ2 2023","FQ2 2023","Currency=USD","Period=FQ","BEST_FPERIOD_OVERRIDE=FQ","FILING_STATUS=MR","SCALING_FORMAT=MLN","Sort=A","Dates=H","DateFormat=P","Fill=—","Direction=H","UseDPDF=Y")</f>
        <v>—</v>
      </c>
      <c r="X123" s="13" t="str">
        <f>_xll.BDH("BLUE US Equity","ARDR_CAPITAL_LEASE_YEAR_4","FQ3 2023","FQ3 2023","Currency=USD","Period=FQ","BEST_FPERIOD_OVERRIDE=FQ","FILING_STATUS=MR","SCALING_FORMAT=MLN","Sort=A","Dates=H","DateFormat=P","Fill=—","Direction=H","UseDPDF=Y")</f>
        <v>—</v>
      </c>
      <c r="Y123" s="13">
        <f>_xll.BDH("BLUE US Equity","ARDR_CAPITAL_LEASE_YEAR_4","FQ1 2024","FQ1 2024","Currency=USD","Period=FQ","BEST_FPERIOD_OVERRIDE=FQ","FILING_STATUS=MR","SCALING_FORMAT=MLN","Sort=A","Dates=H","DateFormat=P","Fill=—","Direction=H","UseDPDF=Y")</f>
        <v>2.548</v>
      </c>
      <c r="Z123" s="13">
        <f>_xll.BDH("BLUE US Equity","ARDR_CAPITAL_LEASE_YEAR_4","FQ2 2024","FQ2 2024","Currency=USD","Period=FQ","BEST_FPERIOD_OVERRIDE=FQ","FILING_STATUS=MR","SCALING_FORMAT=MLN","Sort=A","Dates=H","DateFormat=P","Fill=—","Direction=H","UseDPDF=Y")</f>
        <v>2.548</v>
      </c>
      <c r="AA123" s="13">
        <f>_xll.BDH("BLUE US Equity","ARDR_CAPITAL_LEASE_YEAR_4","FQ3 2024","FQ3 2024","Currency=USD","Period=FQ","BEST_FPERIOD_OVERRIDE=FQ","FILING_STATUS=MR","SCALING_FORMAT=MLN","Sort=A","Dates=H","DateFormat=P","Fill=—","Direction=H","UseDPDF=Y")</f>
        <v>1.673</v>
      </c>
    </row>
    <row r="124" spans="1:27" x14ac:dyDescent="0.25">
      <c r="A124" s="10" t="s">
        <v>959</v>
      </c>
      <c r="B124" s="10" t="s">
        <v>960</v>
      </c>
      <c r="C124" s="13" t="str">
        <f>_xll.BDH("BLUE US Equity","ARDR_CAPITAL_LEASE_YEAR_5","FQ2 2018","FQ2 2018","Currency=USD","Period=FQ","BEST_FPERIOD_OVERRIDE=FQ","FILING_STATUS=MR","SCALING_FORMAT=MLN","Sort=A","Dates=H","DateFormat=P","Fill=—","Direction=H","UseDPDF=Y")</f>
        <v>—</v>
      </c>
      <c r="D124" s="13" t="str">
        <f>_xll.BDH("BLUE US Equity","ARDR_CAPITAL_LEASE_YEAR_5","FQ3 2018","FQ3 2018","Currency=USD","Period=FQ","BEST_FPERIOD_OVERRIDE=FQ","FILING_STATUS=MR","SCALING_FORMAT=MLN","Sort=A","Dates=H","DateFormat=P","Fill=—","Direction=H","UseDPDF=Y")</f>
        <v>—</v>
      </c>
      <c r="E124" s="13" t="str">
        <f>_xll.BDH("BLUE US Equity","ARDR_CAPITAL_LEASE_YEAR_5","FQ4 2018","FQ4 2018","Currency=USD","Period=FQ","BEST_FPERIOD_OVERRIDE=FQ","FILING_STATUS=MR","SCALING_FORMAT=MLN","Sort=A","Dates=H","DateFormat=P","Fill=—","Direction=H","UseDPDF=Y")</f>
        <v>—</v>
      </c>
      <c r="F124" s="13" t="str">
        <f>_xll.BDH("BLUE US Equity","ARDR_CAPITAL_LEASE_YEAR_5","FQ1 2019","FQ1 2019","Currency=USD","Period=FQ","BEST_FPERIOD_OVERRIDE=FQ","FILING_STATUS=MR","SCALING_FORMAT=MLN","Sort=A","Dates=H","DateFormat=P","Fill=—","Direction=H","UseDPDF=Y")</f>
        <v>—</v>
      </c>
      <c r="G124" s="13" t="str">
        <f>_xll.BDH("BLUE US Equity","ARDR_CAPITAL_LEASE_YEAR_5","FQ2 2019","FQ2 2019","Currency=USD","Period=FQ","BEST_FPERIOD_OVERRIDE=FQ","FILING_STATUS=MR","SCALING_FORMAT=MLN","Sort=A","Dates=H","DateFormat=P","Fill=—","Direction=H","UseDPDF=Y")</f>
        <v>—</v>
      </c>
      <c r="H124" s="13" t="str">
        <f>_xll.BDH("BLUE US Equity","ARDR_CAPITAL_LEASE_YEAR_5","FQ3 2019","FQ3 2019","Currency=USD","Period=FQ","BEST_FPERIOD_OVERRIDE=FQ","FILING_STATUS=MR","SCALING_FORMAT=MLN","Sort=A","Dates=H","DateFormat=P","Fill=—","Direction=H","UseDPDF=Y")</f>
        <v>—</v>
      </c>
      <c r="I124" s="13" t="str">
        <f>_xll.BDH("BLUE US Equity","ARDR_CAPITAL_LEASE_YEAR_5","FQ4 2019","FQ4 2019","Currency=USD","Period=FQ","BEST_FPERIOD_OVERRIDE=FQ","FILING_STATUS=MR","SCALING_FORMAT=MLN","Sort=A","Dates=H","DateFormat=P","Fill=—","Direction=H","UseDPDF=Y")</f>
        <v>—</v>
      </c>
      <c r="J124" s="13" t="str">
        <f>_xll.BDH("BLUE US Equity","ARDR_CAPITAL_LEASE_YEAR_5","FQ1 2020","FQ1 2020","Currency=USD","Period=FQ","BEST_FPERIOD_OVERRIDE=FQ","FILING_STATUS=MR","SCALING_FORMAT=MLN","Sort=A","Dates=H","DateFormat=P","Fill=—","Direction=H","UseDPDF=Y")</f>
        <v>—</v>
      </c>
      <c r="K124" s="13" t="str">
        <f>_xll.BDH("BLUE US Equity","ARDR_CAPITAL_LEASE_YEAR_5","FQ2 2020","FQ2 2020","Currency=USD","Period=FQ","BEST_FPERIOD_OVERRIDE=FQ","FILING_STATUS=MR","SCALING_FORMAT=MLN","Sort=A","Dates=H","DateFormat=P","Fill=—","Direction=H","UseDPDF=Y")</f>
        <v>—</v>
      </c>
      <c r="L124" s="13" t="str">
        <f>_xll.BDH("BLUE US Equity","ARDR_CAPITAL_LEASE_YEAR_5","FQ3 2020","FQ3 2020","Currency=USD","Period=FQ","BEST_FPERIOD_OVERRIDE=FQ","FILING_STATUS=MR","SCALING_FORMAT=MLN","Sort=A","Dates=H","DateFormat=P","Fill=—","Direction=H","UseDPDF=Y")</f>
        <v>—</v>
      </c>
      <c r="M124" s="13" t="str">
        <f>_xll.BDH("BLUE US Equity","ARDR_CAPITAL_LEASE_YEAR_5","FQ4 2020","FQ4 2020","Currency=USD","Period=FQ","BEST_FPERIOD_OVERRIDE=FQ","FILING_STATUS=MR","SCALING_FORMAT=MLN","Sort=A","Dates=H","DateFormat=P","Fill=—","Direction=H","UseDPDF=Y")</f>
        <v>—</v>
      </c>
      <c r="N124" s="13" t="str">
        <f>_xll.BDH("BLUE US Equity","ARDR_CAPITAL_LEASE_YEAR_5","FQ1 2021","FQ1 2021","Currency=USD","Period=FQ","BEST_FPERIOD_OVERRIDE=FQ","FILING_STATUS=MR","SCALING_FORMAT=MLN","Sort=A","Dates=H","DateFormat=P","Fill=—","Direction=H","UseDPDF=Y")</f>
        <v>—</v>
      </c>
      <c r="O124" s="13" t="str">
        <f>_xll.BDH("BLUE US Equity","ARDR_CAPITAL_LEASE_YEAR_5","FQ2 2021","FQ2 2021","Currency=USD","Period=FQ","BEST_FPERIOD_OVERRIDE=FQ","FILING_STATUS=MR","SCALING_FORMAT=MLN","Sort=A","Dates=H","DateFormat=P","Fill=—","Direction=H","UseDPDF=Y")</f>
        <v>—</v>
      </c>
      <c r="P124" s="13" t="str">
        <f>_xll.BDH("BLUE US Equity","ARDR_CAPITAL_LEASE_YEAR_5","FQ3 2021","FQ3 2021","Currency=USD","Period=FQ","BEST_FPERIOD_OVERRIDE=FQ","FILING_STATUS=MR","SCALING_FORMAT=MLN","Sort=A","Dates=H","DateFormat=P","Fill=—","Direction=H","UseDPDF=Y")</f>
        <v>—</v>
      </c>
      <c r="Q124" s="13" t="str">
        <f>_xll.BDH("BLUE US Equity","ARDR_CAPITAL_LEASE_YEAR_5","FQ4 2021","FQ4 2021","Currency=USD","Period=FQ","BEST_FPERIOD_OVERRIDE=FQ","FILING_STATUS=MR","SCALING_FORMAT=MLN","Sort=A","Dates=H","DateFormat=P","Fill=—","Direction=H","UseDPDF=Y")</f>
        <v>—</v>
      </c>
      <c r="R124" s="13" t="str">
        <f>_xll.BDH("BLUE US Equity","ARDR_CAPITAL_LEASE_YEAR_5","FQ1 2022","FQ1 2022","Currency=USD","Period=FQ","BEST_FPERIOD_OVERRIDE=FQ","FILING_STATUS=MR","SCALING_FORMAT=MLN","Sort=A","Dates=H","DateFormat=P","Fill=—","Direction=H","UseDPDF=Y")</f>
        <v>—</v>
      </c>
      <c r="S124" s="13" t="str">
        <f>_xll.BDH("BLUE US Equity","ARDR_CAPITAL_LEASE_YEAR_5","FQ2 2022","FQ2 2022","Currency=USD","Period=FQ","BEST_FPERIOD_OVERRIDE=FQ","FILING_STATUS=MR","SCALING_FORMAT=MLN","Sort=A","Dates=H","DateFormat=P","Fill=—","Direction=H","UseDPDF=Y")</f>
        <v>—</v>
      </c>
      <c r="T124" s="13" t="str">
        <f>_xll.BDH("BLUE US Equity","ARDR_CAPITAL_LEASE_YEAR_5","FQ3 2022","FQ3 2022","Currency=USD","Period=FQ","BEST_FPERIOD_OVERRIDE=FQ","FILING_STATUS=MR","SCALING_FORMAT=MLN","Sort=A","Dates=H","DateFormat=P","Fill=—","Direction=H","UseDPDF=Y")</f>
        <v>—</v>
      </c>
      <c r="U124" s="13" t="str">
        <f>_xll.BDH("BLUE US Equity","ARDR_CAPITAL_LEASE_YEAR_5","FQ4 2022","FQ4 2022","Currency=USD","Period=FQ","BEST_FPERIOD_OVERRIDE=FQ","FILING_STATUS=MR","SCALING_FORMAT=MLN","Sort=A","Dates=H","DateFormat=P","Fill=—","Direction=H","UseDPDF=Y")</f>
        <v>—</v>
      </c>
      <c r="V124" s="13" t="str">
        <f>_xll.BDH("BLUE US Equity","ARDR_CAPITAL_LEASE_YEAR_5","FQ1 2023","FQ1 2023","Currency=USD","Period=FQ","BEST_FPERIOD_OVERRIDE=FQ","FILING_STATUS=MR","SCALING_FORMAT=MLN","Sort=A","Dates=H","DateFormat=P","Fill=—","Direction=H","UseDPDF=Y")</f>
        <v>—</v>
      </c>
      <c r="W124" s="13" t="str">
        <f>_xll.BDH("BLUE US Equity","ARDR_CAPITAL_LEASE_YEAR_5","FQ2 2023","FQ2 2023","Currency=USD","Period=FQ","BEST_FPERIOD_OVERRIDE=FQ","FILING_STATUS=MR","SCALING_FORMAT=MLN","Sort=A","Dates=H","DateFormat=P","Fill=—","Direction=H","UseDPDF=Y")</f>
        <v>—</v>
      </c>
      <c r="X124" s="13" t="str">
        <f>_xll.BDH("BLUE US Equity","ARDR_CAPITAL_LEASE_YEAR_5","FQ3 2023","FQ3 2023","Currency=USD","Period=FQ","BEST_FPERIOD_OVERRIDE=FQ","FILING_STATUS=MR","SCALING_FORMAT=MLN","Sort=A","Dates=H","DateFormat=P","Fill=—","Direction=H","UseDPDF=Y")</f>
        <v>—</v>
      </c>
      <c r="Y124" s="13">
        <f>_xll.BDH("BLUE US Equity","ARDR_CAPITAL_LEASE_YEAR_5","FQ1 2024","FQ1 2024","Currency=USD","Period=FQ","BEST_FPERIOD_OVERRIDE=FQ","FILING_STATUS=MR","SCALING_FORMAT=MLN","Sort=A","Dates=H","DateFormat=P","Fill=—","Direction=H","UseDPDF=Y")</f>
        <v>1.0429999999999999</v>
      </c>
      <c r="Z124" s="13">
        <f>_xll.BDH("BLUE US Equity","ARDR_CAPITAL_LEASE_YEAR_5","FQ2 2024","FQ2 2024","Currency=USD","Period=FQ","BEST_FPERIOD_OVERRIDE=FQ","FILING_STATUS=MR","SCALING_FORMAT=MLN","Sort=A","Dates=H","DateFormat=P","Fill=—","Direction=H","UseDPDF=Y")</f>
        <v>1.0429999999999999</v>
      </c>
      <c r="AA124" s="13">
        <f>_xll.BDH("BLUE US Equity","ARDR_CAPITAL_LEASE_YEAR_5","FQ3 2024","FQ3 2024","Currency=USD","Period=FQ","BEST_FPERIOD_OVERRIDE=FQ","FILING_STATUS=MR","SCALING_FORMAT=MLN","Sort=A","Dates=H","DateFormat=P","Fill=—","Direction=H","UseDPDF=Y")</f>
        <v>0.68500000000000005</v>
      </c>
    </row>
    <row r="125" spans="1:27" x14ac:dyDescent="0.25">
      <c r="A125" s="10" t="s">
        <v>961</v>
      </c>
      <c r="B125" s="10" t="s">
        <v>962</v>
      </c>
      <c r="C125" s="13" t="str">
        <f>_xll.BDH("BLUE US Equity","ARDR_CAPITAL_LEASE_BEYOND_YEAR_5","FQ2 2018","FQ2 2018","Currency=USD","Period=FQ","BEST_FPERIOD_OVERRIDE=FQ","FILING_STATUS=MR","SCALING_FORMAT=MLN","Sort=A","Dates=H","DateFormat=P","Fill=—","Direction=H","UseDPDF=Y")</f>
        <v>—</v>
      </c>
      <c r="D125" s="13" t="str">
        <f>_xll.BDH("BLUE US Equity","ARDR_CAPITAL_LEASE_BEYOND_YEAR_5","FQ3 2018","FQ3 2018","Currency=USD","Period=FQ","BEST_FPERIOD_OVERRIDE=FQ","FILING_STATUS=MR","SCALING_FORMAT=MLN","Sort=A","Dates=H","DateFormat=P","Fill=—","Direction=H","UseDPDF=Y")</f>
        <v>—</v>
      </c>
      <c r="E125" s="13" t="str">
        <f>_xll.BDH("BLUE US Equity","ARDR_CAPITAL_LEASE_BEYOND_YEAR_5","FQ4 2018","FQ4 2018","Currency=USD","Period=FQ","BEST_FPERIOD_OVERRIDE=FQ","FILING_STATUS=MR","SCALING_FORMAT=MLN","Sort=A","Dates=H","DateFormat=P","Fill=—","Direction=H","UseDPDF=Y")</f>
        <v>—</v>
      </c>
      <c r="F125" s="13" t="str">
        <f>_xll.BDH("BLUE US Equity","ARDR_CAPITAL_LEASE_BEYOND_YEAR_5","FQ1 2019","FQ1 2019","Currency=USD","Period=FQ","BEST_FPERIOD_OVERRIDE=FQ","FILING_STATUS=MR","SCALING_FORMAT=MLN","Sort=A","Dates=H","DateFormat=P","Fill=—","Direction=H","UseDPDF=Y")</f>
        <v>—</v>
      </c>
      <c r="G125" s="13" t="str">
        <f>_xll.BDH("BLUE US Equity","ARDR_CAPITAL_LEASE_BEYOND_YEAR_5","FQ2 2019","FQ2 2019","Currency=USD","Period=FQ","BEST_FPERIOD_OVERRIDE=FQ","FILING_STATUS=MR","SCALING_FORMAT=MLN","Sort=A","Dates=H","DateFormat=P","Fill=—","Direction=H","UseDPDF=Y")</f>
        <v>—</v>
      </c>
      <c r="H125" s="13" t="str">
        <f>_xll.BDH("BLUE US Equity","ARDR_CAPITAL_LEASE_BEYOND_YEAR_5","FQ3 2019","FQ3 2019","Currency=USD","Period=FQ","BEST_FPERIOD_OVERRIDE=FQ","FILING_STATUS=MR","SCALING_FORMAT=MLN","Sort=A","Dates=H","DateFormat=P","Fill=—","Direction=H","UseDPDF=Y")</f>
        <v>—</v>
      </c>
      <c r="I125" s="13" t="str">
        <f>_xll.BDH("BLUE US Equity","ARDR_CAPITAL_LEASE_BEYOND_YEAR_5","FQ4 2019","FQ4 2019","Currency=USD","Period=FQ","BEST_FPERIOD_OVERRIDE=FQ","FILING_STATUS=MR","SCALING_FORMAT=MLN","Sort=A","Dates=H","DateFormat=P","Fill=—","Direction=H","UseDPDF=Y")</f>
        <v>—</v>
      </c>
      <c r="J125" s="13" t="str">
        <f>_xll.BDH("BLUE US Equity","ARDR_CAPITAL_LEASE_BEYOND_YEAR_5","FQ1 2020","FQ1 2020","Currency=USD","Period=FQ","BEST_FPERIOD_OVERRIDE=FQ","FILING_STATUS=MR","SCALING_FORMAT=MLN","Sort=A","Dates=H","DateFormat=P","Fill=—","Direction=H","UseDPDF=Y")</f>
        <v>—</v>
      </c>
      <c r="K125" s="13" t="str">
        <f>_xll.BDH("BLUE US Equity","ARDR_CAPITAL_LEASE_BEYOND_YEAR_5","FQ2 2020","FQ2 2020","Currency=USD","Period=FQ","BEST_FPERIOD_OVERRIDE=FQ","FILING_STATUS=MR","SCALING_FORMAT=MLN","Sort=A","Dates=H","DateFormat=P","Fill=—","Direction=H","UseDPDF=Y")</f>
        <v>—</v>
      </c>
      <c r="L125" s="13" t="str">
        <f>_xll.BDH("BLUE US Equity","ARDR_CAPITAL_LEASE_BEYOND_YEAR_5","FQ3 2020","FQ3 2020","Currency=USD","Period=FQ","BEST_FPERIOD_OVERRIDE=FQ","FILING_STATUS=MR","SCALING_FORMAT=MLN","Sort=A","Dates=H","DateFormat=P","Fill=—","Direction=H","UseDPDF=Y")</f>
        <v>—</v>
      </c>
      <c r="M125" s="13" t="str">
        <f>_xll.BDH("BLUE US Equity","ARDR_CAPITAL_LEASE_BEYOND_YEAR_5","FQ4 2020","FQ4 2020","Currency=USD","Period=FQ","BEST_FPERIOD_OVERRIDE=FQ","FILING_STATUS=MR","SCALING_FORMAT=MLN","Sort=A","Dates=H","DateFormat=P","Fill=—","Direction=H","UseDPDF=Y")</f>
        <v>—</v>
      </c>
      <c r="N125" s="13" t="str">
        <f>_xll.BDH("BLUE US Equity","ARDR_CAPITAL_LEASE_BEYOND_YEAR_5","FQ1 2021","FQ1 2021","Currency=USD","Period=FQ","BEST_FPERIOD_OVERRIDE=FQ","FILING_STATUS=MR","SCALING_FORMAT=MLN","Sort=A","Dates=H","DateFormat=P","Fill=—","Direction=H","UseDPDF=Y")</f>
        <v>—</v>
      </c>
      <c r="O125" s="13" t="str">
        <f>_xll.BDH("BLUE US Equity","ARDR_CAPITAL_LEASE_BEYOND_YEAR_5","FQ2 2021","FQ2 2021","Currency=USD","Period=FQ","BEST_FPERIOD_OVERRIDE=FQ","FILING_STATUS=MR","SCALING_FORMAT=MLN","Sort=A","Dates=H","DateFormat=P","Fill=—","Direction=H","UseDPDF=Y")</f>
        <v>—</v>
      </c>
      <c r="P125" s="13" t="str">
        <f>_xll.BDH("BLUE US Equity","ARDR_CAPITAL_LEASE_BEYOND_YEAR_5","FQ3 2021","FQ3 2021","Currency=USD","Period=FQ","BEST_FPERIOD_OVERRIDE=FQ","FILING_STATUS=MR","SCALING_FORMAT=MLN","Sort=A","Dates=H","DateFormat=P","Fill=—","Direction=H","UseDPDF=Y")</f>
        <v>—</v>
      </c>
      <c r="Q125" s="13" t="str">
        <f>_xll.BDH("BLUE US Equity","ARDR_CAPITAL_LEASE_BEYOND_YEAR_5","FQ4 2021","FQ4 2021","Currency=USD","Period=FQ","BEST_FPERIOD_OVERRIDE=FQ","FILING_STATUS=MR","SCALING_FORMAT=MLN","Sort=A","Dates=H","DateFormat=P","Fill=—","Direction=H","UseDPDF=Y")</f>
        <v>—</v>
      </c>
      <c r="R125" s="13" t="str">
        <f>_xll.BDH("BLUE US Equity","ARDR_CAPITAL_LEASE_BEYOND_YEAR_5","FQ1 2022","FQ1 2022","Currency=USD","Period=FQ","BEST_FPERIOD_OVERRIDE=FQ","FILING_STATUS=MR","SCALING_FORMAT=MLN","Sort=A","Dates=H","DateFormat=P","Fill=—","Direction=H","UseDPDF=Y")</f>
        <v>—</v>
      </c>
      <c r="S125" s="13" t="str">
        <f>_xll.BDH("BLUE US Equity","ARDR_CAPITAL_LEASE_BEYOND_YEAR_5","FQ2 2022","FQ2 2022","Currency=USD","Period=FQ","BEST_FPERIOD_OVERRIDE=FQ","FILING_STATUS=MR","SCALING_FORMAT=MLN","Sort=A","Dates=H","DateFormat=P","Fill=—","Direction=H","UseDPDF=Y")</f>
        <v>—</v>
      </c>
      <c r="T125" s="13" t="str">
        <f>_xll.BDH("BLUE US Equity","ARDR_CAPITAL_LEASE_BEYOND_YEAR_5","FQ3 2022","FQ3 2022","Currency=USD","Period=FQ","BEST_FPERIOD_OVERRIDE=FQ","FILING_STATUS=MR","SCALING_FORMAT=MLN","Sort=A","Dates=H","DateFormat=P","Fill=—","Direction=H","UseDPDF=Y")</f>
        <v>—</v>
      </c>
      <c r="U125" s="13" t="str">
        <f>_xll.BDH("BLUE US Equity","ARDR_CAPITAL_LEASE_BEYOND_YEAR_5","FQ4 2022","FQ4 2022","Currency=USD","Period=FQ","BEST_FPERIOD_OVERRIDE=FQ","FILING_STATUS=MR","SCALING_FORMAT=MLN","Sort=A","Dates=H","DateFormat=P","Fill=—","Direction=H","UseDPDF=Y")</f>
        <v>—</v>
      </c>
      <c r="V125" s="13" t="str">
        <f>_xll.BDH("BLUE US Equity","ARDR_CAPITAL_LEASE_BEYOND_YEAR_5","FQ1 2023","FQ1 2023","Currency=USD","Period=FQ","BEST_FPERIOD_OVERRIDE=FQ","FILING_STATUS=MR","SCALING_FORMAT=MLN","Sort=A","Dates=H","DateFormat=P","Fill=—","Direction=H","UseDPDF=Y")</f>
        <v>—</v>
      </c>
      <c r="W125" s="13" t="str">
        <f>_xll.BDH("BLUE US Equity","ARDR_CAPITAL_LEASE_BEYOND_YEAR_5","FQ2 2023","FQ2 2023","Currency=USD","Period=FQ","BEST_FPERIOD_OVERRIDE=FQ","FILING_STATUS=MR","SCALING_FORMAT=MLN","Sort=A","Dates=H","DateFormat=P","Fill=—","Direction=H","UseDPDF=Y")</f>
        <v>—</v>
      </c>
      <c r="X125" s="13" t="str">
        <f>_xll.BDH("BLUE US Equity","ARDR_CAPITAL_LEASE_BEYOND_YEAR_5","FQ3 2023","FQ3 2023","Currency=USD","Period=FQ","BEST_FPERIOD_OVERRIDE=FQ","FILING_STATUS=MR","SCALING_FORMAT=MLN","Sort=A","Dates=H","DateFormat=P","Fill=—","Direction=H","UseDPDF=Y")</f>
        <v>—</v>
      </c>
      <c r="Y125" s="13">
        <f>_xll.BDH("BLUE US Equity","ARDR_CAPITAL_LEASE_BEYOND_YEAR_5","FQ1 2024","FQ1 2024","Currency=USD","Period=FQ","BEST_FPERIOD_OVERRIDE=FQ","FILING_STATUS=MR","SCALING_FORMAT=MLN","Sort=A","Dates=H","DateFormat=P","Fill=—","Direction=H","UseDPDF=Y")</f>
        <v>0</v>
      </c>
      <c r="Z125" s="13">
        <f>_xll.BDH("BLUE US Equity","ARDR_CAPITAL_LEASE_BEYOND_YEAR_5","FQ2 2024","FQ2 2024","Currency=USD","Period=FQ","BEST_FPERIOD_OVERRIDE=FQ","FILING_STATUS=MR","SCALING_FORMAT=MLN","Sort=A","Dates=H","DateFormat=P","Fill=—","Direction=H","UseDPDF=Y")</f>
        <v>0</v>
      </c>
      <c r="AA125" s="13">
        <f>_xll.BDH("BLUE US Equity","ARDR_CAPITAL_LEASE_BEYOND_YEAR_5","FQ3 2024","FQ3 2024","Currency=USD","Period=FQ","BEST_FPERIOD_OVERRIDE=FQ","FILING_STATUS=MR","SCALING_FORMAT=MLN","Sort=A","Dates=H","DateFormat=P","Fill=—","Direction=H","UseDPDF=Y")</f>
        <v>0</v>
      </c>
    </row>
    <row r="126" spans="1:27" x14ac:dyDescent="0.25">
      <c r="A126" s="10" t="s">
        <v>963</v>
      </c>
      <c r="B126" s="10" t="s">
        <v>964</v>
      </c>
      <c r="C126" s="13" t="str">
        <f>_xll.BDH("BLUE US Equity","ARDR_TOTAL_CAPITAL_LEASE","FQ2 2018","FQ2 2018","Currency=USD","Period=FQ","BEST_FPERIOD_OVERRIDE=FQ","FILING_STATUS=MR","SCALING_FORMAT=MLN","Sort=A","Dates=H","DateFormat=P","Fill=—","Direction=H","UseDPDF=Y")</f>
        <v>—</v>
      </c>
      <c r="D126" s="13" t="str">
        <f>_xll.BDH("BLUE US Equity","ARDR_TOTAL_CAPITAL_LEASE","FQ3 2018","FQ3 2018","Currency=USD","Period=FQ","BEST_FPERIOD_OVERRIDE=FQ","FILING_STATUS=MR","SCALING_FORMAT=MLN","Sort=A","Dates=H","DateFormat=P","Fill=—","Direction=H","UseDPDF=Y")</f>
        <v>—</v>
      </c>
      <c r="E126" s="13" t="str">
        <f>_xll.BDH("BLUE US Equity","ARDR_TOTAL_CAPITAL_LEASE","FQ4 2018","FQ4 2018","Currency=USD","Period=FQ","BEST_FPERIOD_OVERRIDE=FQ","FILING_STATUS=MR","SCALING_FORMAT=MLN","Sort=A","Dates=H","DateFormat=P","Fill=—","Direction=H","UseDPDF=Y")</f>
        <v>—</v>
      </c>
      <c r="F126" s="13" t="str">
        <f>_xll.BDH("BLUE US Equity","ARDR_TOTAL_CAPITAL_LEASE","FQ1 2019","FQ1 2019","Currency=USD","Period=FQ","BEST_FPERIOD_OVERRIDE=FQ","FILING_STATUS=MR","SCALING_FORMAT=MLN","Sort=A","Dates=H","DateFormat=P","Fill=—","Direction=H","UseDPDF=Y")</f>
        <v>—</v>
      </c>
      <c r="G126" s="13" t="str">
        <f>_xll.BDH("BLUE US Equity","ARDR_TOTAL_CAPITAL_LEASE","FQ2 2019","FQ2 2019","Currency=USD","Period=FQ","BEST_FPERIOD_OVERRIDE=FQ","FILING_STATUS=MR","SCALING_FORMAT=MLN","Sort=A","Dates=H","DateFormat=P","Fill=—","Direction=H","UseDPDF=Y")</f>
        <v>—</v>
      </c>
      <c r="H126" s="13" t="str">
        <f>_xll.BDH("BLUE US Equity","ARDR_TOTAL_CAPITAL_LEASE","FQ3 2019","FQ3 2019","Currency=USD","Period=FQ","BEST_FPERIOD_OVERRIDE=FQ","FILING_STATUS=MR","SCALING_FORMAT=MLN","Sort=A","Dates=H","DateFormat=P","Fill=—","Direction=H","UseDPDF=Y")</f>
        <v>—</v>
      </c>
      <c r="I126" s="13" t="str">
        <f>_xll.BDH("BLUE US Equity","ARDR_TOTAL_CAPITAL_LEASE","FQ4 2019","FQ4 2019","Currency=USD","Period=FQ","BEST_FPERIOD_OVERRIDE=FQ","FILING_STATUS=MR","SCALING_FORMAT=MLN","Sort=A","Dates=H","DateFormat=P","Fill=—","Direction=H","UseDPDF=Y")</f>
        <v>—</v>
      </c>
      <c r="J126" s="13" t="str">
        <f>_xll.BDH("BLUE US Equity","ARDR_TOTAL_CAPITAL_LEASE","FQ1 2020","FQ1 2020","Currency=USD","Period=FQ","BEST_FPERIOD_OVERRIDE=FQ","FILING_STATUS=MR","SCALING_FORMAT=MLN","Sort=A","Dates=H","DateFormat=P","Fill=—","Direction=H","UseDPDF=Y")</f>
        <v>—</v>
      </c>
      <c r="K126" s="13" t="str">
        <f>_xll.BDH("BLUE US Equity","ARDR_TOTAL_CAPITAL_LEASE","FQ2 2020","FQ2 2020","Currency=USD","Period=FQ","BEST_FPERIOD_OVERRIDE=FQ","FILING_STATUS=MR","SCALING_FORMAT=MLN","Sort=A","Dates=H","DateFormat=P","Fill=—","Direction=H","UseDPDF=Y")</f>
        <v>—</v>
      </c>
      <c r="L126" s="13" t="str">
        <f>_xll.BDH("BLUE US Equity","ARDR_TOTAL_CAPITAL_LEASE","FQ3 2020","FQ3 2020","Currency=USD","Period=FQ","BEST_FPERIOD_OVERRIDE=FQ","FILING_STATUS=MR","SCALING_FORMAT=MLN","Sort=A","Dates=H","DateFormat=P","Fill=—","Direction=H","UseDPDF=Y")</f>
        <v>—</v>
      </c>
      <c r="M126" s="13" t="str">
        <f>_xll.BDH("BLUE US Equity","ARDR_TOTAL_CAPITAL_LEASE","FQ4 2020","FQ4 2020","Currency=USD","Period=FQ","BEST_FPERIOD_OVERRIDE=FQ","FILING_STATUS=MR","SCALING_FORMAT=MLN","Sort=A","Dates=H","DateFormat=P","Fill=—","Direction=H","UseDPDF=Y")</f>
        <v>—</v>
      </c>
      <c r="N126" s="13" t="str">
        <f>_xll.BDH("BLUE US Equity","ARDR_TOTAL_CAPITAL_LEASE","FQ1 2021","FQ1 2021","Currency=USD","Period=FQ","BEST_FPERIOD_OVERRIDE=FQ","FILING_STATUS=MR","SCALING_FORMAT=MLN","Sort=A","Dates=H","DateFormat=P","Fill=—","Direction=H","UseDPDF=Y")</f>
        <v>—</v>
      </c>
      <c r="O126" s="13" t="str">
        <f>_xll.BDH("BLUE US Equity","ARDR_TOTAL_CAPITAL_LEASE","FQ2 2021","FQ2 2021","Currency=USD","Period=FQ","BEST_FPERIOD_OVERRIDE=FQ","FILING_STATUS=MR","SCALING_FORMAT=MLN","Sort=A","Dates=H","DateFormat=P","Fill=—","Direction=H","UseDPDF=Y")</f>
        <v>—</v>
      </c>
      <c r="P126" s="13" t="str">
        <f>_xll.BDH("BLUE US Equity","ARDR_TOTAL_CAPITAL_LEASE","FQ3 2021","FQ3 2021","Currency=USD","Period=FQ","BEST_FPERIOD_OVERRIDE=FQ","FILING_STATUS=MR","SCALING_FORMAT=MLN","Sort=A","Dates=H","DateFormat=P","Fill=—","Direction=H","UseDPDF=Y")</f>
        <v>—</v>
      </c>
      <c r="Q126" s="13" t="str">
        <f>_xll.BDH("BLUE US Equity","ARDR_TOTAL_CAPITAL_LEASE","FQ4 2021","FQ4 2021","Currency=USD","Period=FQ","BEST_FPERIOD_OVERRIDE=FQ","FILING_STATUS=MR","SCALING_FORMAT=MLN","Sort=A","Dates=H","DateFormat=P","Fill=—","Direction=H","UseDPDF=Y")</f>
        <v>—</v>
      </c>
      <c r="R126" s="13" t="str">
        <f>_xll.BDH("BLUE US Equity","ARDR_TOTAL_CAPITAL_LEASE","FQ1 2022","FQ1 2022","Currency=USD","Period=FQ","BEST_FPERIOD_OVERRIDE=FQ","FILING_STATUS=MR","SCALING_FORMAT=MLN","Sort=A","Dates=H","DateFormat=P","Fill=—","Direction=H","UseDPDF=Y")</f>
        <v>—</v>
      </c>
      <c r="S126" s="13" t="str">
        <f>_xll.BDH("BLUE US Equity","ARDR_TOTAL_CAPITAL_LEASE","FQ2 2022","FQ2 2022","Currency=USD","Period=FQ","BEST_FPERIOD_OVERRIDE=FQ","FILING_STATUS=MR","SCALING_FORMAT=MLN","Sort=A","Dates=H","DateFormat=P","Fill=—","Direction=H","UseDPDF=Y")</f>
        <v>—</v>
      </c>
      <c r="T126" s="13" t="str">
        <f>_xll.BDH("BLUE US Equity","ARDR_TOTAL_CAPITAL_LEASE","FQ3 2022","FQ3 2022","Currency=USD","Period=FQ","BEST_FPERIOD_OVERRIDE=FQ","FILING_STATUS=MR","SCALING_FORMAT=MLN","Sort=A","Dates=H","DateFormat=P","Fill=—","Direction=H","UseDPDF=Y")</f>
        <v>—</v>
      </c>
      <c r="U126" s="13" t="str">
        <f>_xll.BDH("BLUE US Equity","ARDR_TOTAL_CAPITAL_LEASE","FQ4 2022","FQ4 2022","Currency=USD","Period=FQ","BEST_FPERIOD_OVERRIDE=FQ","FILING_STATUS=MR","SCALING_FORMAT=MLN","Sort=A","Dates=H","DateFormat=P","Fill=—","Direction=H","UseDPDF=Y")</f>
        <v>—</v>
      </c>
      <c r="V126" s="13" t="str">
        <f>_xll.BDH("BLUE US Equity","ARDR_TOTAL_CAPITAL_LEASE","FQ1 2023","FQ1 2023","Currency=USD","Period=FQ","BEST_FPERIOD_OVERRIDE=FQ","FILING_STATUS=MR","SCALING_FORMAT=MLN","Sort=A","Dates=H","DateFormat=P","Fill=—","Direction=H","UseDPDF=Y")</f>
        <v>—</v>
      </c>
      <c r="W126" s="13" t="str">
        <f>_xll.BDH("BLUE US Equity","ARDR_TOTAL_CAPITAL_LEASE","FQ2 2023","FQ2 2023","Currency=USD","Period=FQ","BEST_FPERIOD_OVERRIDE=FQ","FILING_STATUS=MR","SCALING_FORMAT=MLN","Sort=A","Dates=H","DateFormat=P","Fill=—","Direction=H","UseDPDF=Y")</f>
        <v>—</v>
      </c>
      <c r="X126" s="13" t="str">
        <f>_xll.BDH("BLUE US Equity","ARDR_TOTAL_CAPITAL_LEASE","FQ3 2023","FQ3 2023","Currency=USD","Period=FQ","BEST_FPERIOD_OVERRIDE=FQ","FILING_STATUS=MR","SCALING_FORMAT=MLN","Sort=A","Dates=H","DateFormat=P","Fill=—","Direction=H","UseDPDF=Y")</f>
        <v>—</v>
      </c>
      <c r="Y126" s="13">
        <f>_xll.BDH("BLUE US Equity","ARDR_TOTAL_CAPITAL_LEASE","FQ1 2024","FQ1 2024","Currency=USD","Period=FQ","BEST_FPERIOD_OVERRIDE=FQ","FILING_STATUS=MR","SCALING_FORMAT=MLN","Sort=A","Dates=H","DateFormat=P","Fill=—","Direction=H","UseDPDF=Y")</f>
        <v>150.56</v>
      </c>
      <c r="Z126" s="13">
        <f>_xll.BDH("BLUE US Equity","ARDR_TOTAL_CAPITAL_LEASE","FQ2 2024","FQ2 2024","Currency=USD","Period=FQ","BEST_FPERIOD_OVERRIDE=FQ","FILING_STATUS=MR","SCALING_FORMAT=MLN","Sort=A","Dates=H","DateFormat=P","Fill=—","Direction=H","UseDPDF=Y")</f>
        <v>127.542</v>
      </c>
      <c r="AA126" s="13">
        <f>_xll.BDH("BLUE US Equity","ARDR_TOTAL_CAPITAL_LEASE","FQ3 2024","FQ3 2024","Currency=USD","Period=FQ","BEST_FPERIOD_OVERRIDE=FQ","FILING_STATUS=MR","SCALING_FORMAT=MLN","Sort=A","Dates=H","DateFormat=P","Fill=—","Direction=H","UseDPDF=Y")</f>
        <v>105.88200000000001</v>
      </c>
    </row>
    <row r="127" spans="1:27" x14ac:dyDescent="0.25">
      <c r="A127" s="10" t="s">
        <v>965</v>
      </c>
      <c r="B127" s="10" t="s">
        <v>966</v>
      </c>
      <c r="C127" s="13" t="str">
        <f>_xll.BDH("BLUE US Equity","ARDR_PV_FUTURE_MIN_OP_LEASE_OBL","FQ2 2018","FQ2 2018","Currency=USD","Period=FQ","BEST_FPERIOD_OVERRIDE=FQ","FILING_STATUS=MR","SCALING_FORMAT=MLN","Sort=A","Dates=H","DateFormat=P","Fill=—","Direction=H","UseDPDF=Y")</f>
        <v>—</v>
      </c>
      <c r="D127" s="13" t="str">
        <f>_xll.BDH("BLUE US Equity","ARDR_PV_FUTURE_MIN_OP_LEASE_OBL","FQ3 2018","FQ3 2018","Currency=USD","Period=FQ","BEST_FPERIOD_OVERRIDE=FQ","FILING_STATUS=MR","SCALING_FORMAT=MLN","Sort=A","Dates=H","DateFormat=P","Fill=—","Direction=H","UseDPDF=Y")</f>
        <v>—</v>
      </c>
      <c r="E127" s="13" t="str">
        <f>_xll.BDH("BLUE US Equity","ARDR_PV_FUTURE_MIN_OP_LEASE_OBL","FQ4 2018","FQ4 2018","Currency=USD","Period=FQ","BEST_FPERIOD_OVERRIDE=FQ","FILING_STATUS=MR","SCALING_FORMAT=MLN","Sort=A","Dates=H","DateFormat=P","Fill=—","Direction=H","UseDPDF=Y")</f>
        <v>—</v>
      </c>
      <c r="F127" s="13">
        <f>_xll.BDH("BLUE US Equity","ARDR_PV_FUTURE_MIN_OP_LEASE_OBL","FQ1 2019","FQ1 2019","Currency=USD","Period=FQ","BEST_FPERIOD_OVERRIDE=FQ","FILING_STATUS=MR","SCALING_FORMAT=MLN","Sort=A","Dates=H","DateFormat=P","Fill=—","Direction=H","UseDPDF=Y")</f>
        <v>185.76599999999999</v>
      </c>
      <c r="G127" s="13">
        <f>_xll.BDH("BLUE US Equity","ARDR_PV_FUTURE_MIN_OP_LEASE_OBL","FQ2 2019","FQ2 2019","Currency=USD","Period=FQ","BEST_FPERIOD_OVERRIDE=FQ","FILING_STATUS=MR","SCALING_FORMAT=MLN","Sort=A","Dates=H","DateFormat=P","Fill=—","Direction=H","UseDPDF=Y")</f>
        <v>194.22200000000001</v>
      </c>
      <c r="H127" s="13">
        <f>_xll.BDH("BLUE US Equity","ARDR_PV_FUTURE_MIN_OP_LEASE_OBL","FQ3 2019","FQ3 2019","Currency=USD","Period=FQ","BEST_FPERIOD_OVERRIDE=FQ","FILING_STATUS=MR","SCALING_FORMAT=MLN","Sort=A","Dates=H","DateFormat=P","Fill=—","Direction=H","UseDPDF=Y")</f>
        <v>195.95699999999999</v>
      </c>
      <c r="I127" s="13">
        <f>_xll.BDH("BLUE US Equity","ARDR_PV_FUTURE_MIN_OP_LEASE_OBL","FQ4 2019","FQ4 2019","Currency=USD","Period=FQ","BEST_FPERIOD_OVERRIDE=FQ","FILING_STATUS=MR","SCALING_FORMAT=MLN","Sort=A","Dates=H","DateFormat=P","Fill=—","Direction=H","UseDPDF=Y")</f>
        <v>190.98699999999999</v>
      </c>
      <c r="J127" s="13" t="str">
        <f>_xll.BDH("BLUE US Equity","ARDR_PV_FUTURE_MIN_OP_LEASE_OBL","FQ1 2020","FQ1 2020","Currency=USD","Period=FQ","BEST_FPERIOD_OVERRIDE=FQ","FILING_STATUS=MR","SCALING_FORMAT=MLN","Sort=A","Dates=H","DateFormat=P","Fill=—","Direction=H","UseDPDF=Y")</f>
        <v>—</v>
      </c>
      <c r="K127" s="13" t="str">
        <f>_xll.BDH("BLUE US Equity","ARDR_PV_FUTURE_MIN_OP_LEASE_OBL","FQ2 2020","FQ2 2020","Currency=USD","Period=FQ","BEST_FPERIOD_OVERRIDE=FQ","FILING_STATUS=MR","SCALING_FORMAT=MLN","Sort=A","Dates=H","DateFormat=P","Fill=—","Direction=H","UseDPDF=Y")</f>
        <v>—</v>
      </c>
      <c r="L127" s="13" t="str">
        <f>_xll.BDH("BLUE US Equity","ARDR_PV_FUTURE_MIN_OP_LEASE_OBL","FQ3 2020","FQ3 2020","Currency=USD","Period=FQ","BEST_FPERIOD_OVERRIDE=FQ","FILING_STATUS=MR","SCALING_FORMAT=MLN","Sort=A","Dates=H","DateFormat=P","Fill=—","Direction=H","UseDPDF=Y")</f>
        <v>—</v>
      </c>
      <c r="M127" s="13">
        <f>_xll.BDH("BLUE US Equity","ARDR_PV_FUTURE_MIN_OP_LEASE_OBL","FQ4 2020","FQ4 2020","Currency=USD","Period=FQ","BEST_FPERIOD_OVERRIDE=FQ","FILING_STATUS=MR","SCALING_FORMAT=MLN","Sort=A","Dates=H","DateFormat=P","Fill=—","Direction=H","UseDPDF=Y")</f>
        <v>193.02099999999999</v>
      </c>
      <c r="N127" s="13" t="str">
        <f>_xll.BDH("BLUE US Equity","ARDR_PV_FUTURE_MIN_OP_LEASE_OBL","FQ1 2021","FQ1 2021","Currency=USD","Period=FQ","BEST_FPERIOD_OVERRIDE=FQ","FILING_STATUS=MR","SCALING_FORMAT=MLN","Sort=A","Dates=H","DateFormat=P","Fill=—","Direction=H","UseDPDF=Y")</f>
        <v>—</v>
      </c>
      <c r="O127" s="13" t="str">
        <f>_xll.BDH("BLUE US Equity","ARDR_PV_FUTURE_MIN_OP_LEASE_OBL","FQ2 2021","FQ2 2021","Currency=USD","Period=FQ","BEST_FPERIOD_OVERRIDE=FQ","FILING_STATUS=MR","SCALING_FORMAT=MLN","Sort=A","Dates=H","DateFormat=P","Fill=—","Direction=H","UseDPDF=Y")</f>
        <v>—</v>
      </c>
      <c r="P127" s="13" t="str">
        <f>_xll.BDH("BLUE US Equity","ARDR_PV_FUTURE_MIN_OP_LEASE_OBL","FQ3 2021","FQ3 2021","Currency=USD","Period=FQ","BEST_FPERIOD_OVERRIDE=FQ","FILING_STATUS=MR","SCALING_FORMAT=MLN","Sort=A","Dates=H","DateFormat=P","Fill=—","Direction=H","UseDPDF=Y")</f>
        <v>—</v>
      </c>
      <c r="Q127" s="13">
        <f>_xll.BDH("BLUE US Equity","ARDR_PV_FUTURE_MIN_OP_LEASE_OBL","FQ4 2021","FQ4 2021","Currency=USD","Period=FQ","BEST_FPERIOD_OVERRIDE=FQ","FILING_STATUS=MR","SCALING_FORMAT=MLN","Sort=A","Dates=H","DateFormat=P","Fill=—","Direction=H","UseDPDF=Y")</f>
        <v>89.584000000000003</v>
      </c>
      <c r="R127" s="13" t="str">
        <f>_xll.BDH("BLUE US Equity","ARDR_PV_FUTURE_MIN_OP_LEASE_OBL","FQ1 2022","FQ1 2022","Currency=USD","Period=FQ","BEST_FPERIOD_OVERRIDE=FQ","FILING_STATUS=MR","SCALING_FORMAT=MLN","Sort=A","Dates=H","DateFormat=P","Fill=—","Direction=H","UseDPDF=Y")</f>
        <v>—</v>
      </c>
      <c r="S127" s="13" t="str">
        <f>_xll.BDH("BLUE US Equity","ARDR_PV_FUTURE_MIN_OP_LEASE_OBL","FQ2 2022","FQ2 2022","Currency=USD","Period=FQ","BEST_FPERIOD_OVERRIDE=FQ","FILING_STATUS=MR","SCALING_FORMAT=MLN","Sort=A","Dates=H","DateFormat=P","Fill=—","Direction=H","UseDPDF=Y")</f>
        <v>—</v>
      </c>
      <c r="T127" s="13" t="str">
        <f>_xll.BDH("BLUE US Equity","ARDR_PV_FUTURE_MIN_OP_LEASE_OBL","FQ3 2022","FQ3 2022","Currency=USD","Period=FQ","BEST_FPERIOD_OVERRIDE=FQ","FILING_STATUS=MR","SCALING_FORMAT=MLN","Sort=A","Dates=H","DateFormat=P","Fill=—","Direction=H","UseDPDF=Y")</f>
        <v>—</v>
      </c>
      <c r="U127" s="13">
        <f>_xll.BDH("BLUE US Equity","ARDR_PV_FUTURE_MIN_OP_LEASE_OBL","FQ4 2022","FQ4 2022","Currency=USD","Period=FQ","BEST_FPERIOD_OVERRIDE=FQ","FILING_STATUS=MR","SCALING_FORMAT=MLN","Sort=A","Dates=H","DateFormat=P","Fill=—","Direction=H","UseDPDF=Y")</f>
        <v>281.39</v>
      </c>
      <c r="V127" s="13" t="str">
        <f>_xll.BDH("BLUE US Equity","ARDR_PV_FUTURE_MIN_OP_LEASE_OBL","FQ1 2023","FQ1 2023","Currency=USD","Period=FQ","BEST_FPERIOD_OVERRIDE=FQ","FILING_STATUS=MR","SCALING_FORMAT=MLN","Sort=A","Dates=H","DateFormat=P","Fill=—","Direction=H","UseDPDF=Y")</f>
        <v>—</v>
      </c>
      <c r="W127" s="13" t="str">
        <f>_xll.BDH("BLUE US Equity","ARDR_PV_FUTURE_MIN_OP_LEASE_OBL","FQ2 2023","FQ2 2023","Currency=USD","Period=FQ","BEST_FPERIOD_OVERRIDE=FQ","FILING_STATUS=MR","SCALING_FORMAT=MLN","Sort=A","Dates=H","DateFormat=P","Fill=—","Direction=H","UseDPDF=Y")</f>
        <v>—</v>
      </c>
      <c r="X127" s="13" t="str">
        <f>_xll.BDH("BLUE US Equity","ARDR_PV_FUTURE_MIN_OP_LEASE_OBL","FQ3 2023","FQ3 2023","Currency=USD","Period=FQ","BEST_FPERIOD_OVERRIDE=FQ","FILING_STATUS=MR","SCALING_FORMAT=MLN","Sort=A","Dates=H","DateFormat=P","Fill=—","Direction=H","UseDPDF=Y")</f>
        <v>—</v>
      </c>
      <c r="Y127" s="13" t="str">
        <f>_xll.BDH("BLUE US Equity","ARDR_PV_FUTURE_MIN_OP_LEASE_OBL","FQ1 2024","FQ1 2024","Currency=USD","Period=FQ","BEST_FPERIOD_OVERRIDE=FQ","FILING_STATUS=MR","SCALING_FORMAT=MLN","Sort=A","Dates=H","DateFormat=P","Fill=—","Direction=H","UseDPDF=Y")</f>
        <v>—</v>
      </c>
      <c r="Z127" s="13" t="str">
        <f>_xll.BDH("BLUE US Equity","ARDR_PV_FUTURE_MIN_OP_LEASE_OBL","FQ2 2024","FQ2 2024","Currency=USD","Period=FQ","BEST_FPERIOD_OVERRIDE=FQ","FILING_STATUS=MR","SCALING_FORMAT=MLN","Sort=A","Dates=H","DateFormat=P","Fill=—","Direction=H","UseDPDF=Y")</f>
        <v>—</v>
      </c>
      <c r="AA127" s="13" t="str">
        <f>_xll.BDH("BLUE US Equity","ARDR_PV_FUTURE_MIN_OP_LEASE_OBL","FQ3 2024","FQ3 2024","Currency=USD","Period=FQ","BEST_FPERIOD_OVERRIDE=FQ","FILING_STATUS=MR","SCALING_FORMAT=MLN","Sort=A","Dates=H","DateFormat=P","Fill=—","Direction=H","UseDPDF=Y")</f>
        <v>—</v>
      </c>
    </row>
    <row r="128" spans="1:27" x14ac:dyDescent="0.25">
      <c r="A128" s="10" t="s">
        <v>967</v>
      </c>
      <c r="B128" s="10" t="s">
        <v>968</v>
      </c>
      <c r="C128" s="14" t="str">
        <f>_xll.BDH("BLUE US Equity","ARDR_STOCK_OPTION_VAL_RFR","FQ2 2018","FQ2 2018","Currency=USD","Period=FQ","BEST_FPERIOD_OVERRIDE=FQ","FILING_STATUS=MR","Sort=A","Dates=H","DateFormat=P","Fill=—","Direction=H","UseDPDF=Y")</f>
        <v>—</v>
      </c>
      <c r="D128" s="14" t="str">
        <f>_xll.BDH("BLUE US Equity","ARDR_STOCK_OPTION_VAL_RFR","FQ3 2018","FQ3 2018","Currency=USD","Period=FQ","BEST_FPERIOD_OVERRIDE=FQ","FILING_STATUS=MR","Sort=A","Dates=H","DateFormat=P","Fill=—","Direction=H","UseDPDF=Y")</f>
        <v>—</v>
      </c>
      <c r="E128" s="14">
        <f>_xll.BDH("BLUE US Equity","ARDR_STOCK_OPTION_VAL_RFR","FQ4 2018","FQ4 2018","Currency=USD","Period=FQ","BEST_FPERIOD_OVERRIDE=FQ","FILING_STATUS=MR","Sort=A","Dates=H","DateFormat=P","Fill=—","Direction=H","UseDPDF=Y")</f>
        <v>2.7</v>
      </c>
      <c r="F128" s="14" t="str">
        <f>_xll.BDH("BLUE US Equity","ARDR_STOCK_OPTION_VAL_RFR","FQ1 2019","FQ1 2019","Currency=USD","Period=FQ","BEST_FPERIOD_OVERRIDE=FQ","FILING_STATUS=MR","Sort=A","Dates=H","DateFormat=P","Fill=—","Direction=H","UseDPDF=Y")</f>
        <v>—</v>
      </c>
      <c r="G128" s="14" t="str">
        <f>_xll.BDH("BLUE US Equity","ARDR_STOCK_OPTION_VAL_RFR","FQ2 2019","FQ2 2019","Currency=USD","Period=FQ","BEST_FPERIOD_OVERRIDE=FQ","FILING_STATUS=MR","Sort=A","Dates=H","DateFormat=P","Fill=—","Direction=H","UseDPDF=Y")</f>
        <v>—</v>
      </c>
      <c r="H128" s="14" t="str">
        <f>_xll.BDH("BLUE US Equity","ARDR_STOCK_OPTION_VAL_RFR","FQ3 2019","FQ3 2019","Currency=USD","Period=FQ","BEST_FPERIOD_OVERRIDE=FQ","FILING_STATUS=MR","Sort=A","Dates=H","DateFormat=P","Fill=—","Direction=H","UseDPDF=Y")</f>
        <v>—</v>
      </c>
      <c r="I128" s="14">
        <f>_xll.BDH("BLUE US Equity","ARDR_STOCK_OPTION_VAL_RFR","FQ4 2019","FQ4 2019","Currency=USD","Period=FQ","BEST_FPERIOD_OVERRIDE=FQ","FILING_STATUS=MR","Sort=A","Dates=H","DateFormat=P","Fill=—","Direction=H","UseDPDF=Y")</f>
        <v>2.2999999999999998</v>
      </c>
      <c r="J128" s="14" t="str">
        <f>_xll.BDH("BLUE US Equity","ARDR_STOCK_OPTION_VAL_RFR","FQ1 2020","FQ1 2020","Currency=USD","Period=FQ","BEST_FPERIOD_OVERRIDE=FQ","FILING_STATUS=MR","Sort=A","Dates=H","DateFormat=P","Fill=—","Direction=H","UseDPDF=Y")</f>
        <v>—</v>
      </c>
      <c r="K128" s="14" t="str">
        <f>_xll.BDH("BLUE US Equity","ARDR_STOCK_OPTION_VAL_RFR","FQ2 2020","FQ2 2020","Currency=USD","Period=FQ","BEST_FPERIOD_OVERRIDE=FQ","FILING_STATUS=MR","Sort=A","Dates=H","DateFormat=P","Fill=—","Direction=H","UseDPDF=Y")</f>
        <v>—</v>
      </c>
      <c r="L128" s="14" t="str">
        <f>_xll.BDH("BLUE US Equity","ARDR_STOCK_OPTION_VAL_RFR","FQ3 2020","FQ3 2020","Currency=USD","Period=FQ","BEST_FPERIOD_OVERRIDE=FQ","FILING_STATUS=MR","Sort=A","Dates=H","DateFormat=P","Fill=—","Direction=H","UseDPDF=Y")</f>
        <v>—</v>
      </c>
      <c r="M128" s="14">
        <f>_xll.BDH("BLUE US Equity","ARDR_STOCK_OPTION_VAL_RFR","FQ4 2020","FQ4 2020","Currency=USD","Period=FQ","BEST_FPERIOD_OVERRIDE=FQ","FILING_STATUS=MR","Sort=A","Dates=H","DateFormat=P","Fill=—","Direction=H","UseDPDF=Y")</f>
        <v>1.4</v>
      </c>
      <c r="N128" s="14" t="str">
        <f>_xll.BDH("BLUE US Equity","ARDR_STOCK_OPTION_VAL_RFR","FQ1 2021","FQ1 2021","Currency=USD","Period=FQ","BEST_FPERIOD_OVERRIDE=FQ","FILING_STATUS=MR","Sort=A","Dates=H","DateFormat=P","Fill=—","Direction=H","UseDPDF=Y")</f>
        <v>—</v>
      </c>
      <c r="O128" s="14" t="str">
        <f>_xll.BDH("BLUE US Equity","ARDR_STOCK_OPTION_VAL_RFR","FQ2 2021","FQ2 2021","Currency=USD","Period=FQ","BEST_FPERIOD_OVERRIDE=FQ","FILING_STATUS=MR","Sort=A","Dates=H","DateFormat=P","Fill=—","Direction=H","UseDPDF=Y")</f>
        <v>—</v>
      </c>
      <c r="P128" s="14" t="str">
        <f>_xll.BDH("BLUE US Equity","ARDR_STOCK_OPTION_VAL_RFR","FQ3 2021","FQ3 2021","Currency=USD","Period=FQ","BEST_FPERIOD_OVERRIDE=FQ","FILING_STATUS=MR","Sort=A","Dates=H","DateFormat=P","Fill=—","Direction=H","UseDPDF=Y")</f>
        <v>—</v>
      </c>
      <c r="Q128" s="14">
        <f>_xll.BDH("BLUE US Equity","ARDR_STOCK_OPTION_VAL_RFR","FQ4 2021","FQ4 2021","Currency=USD","Period=FQ","BEST_FPERIOD_OVERRIDE=FQ","FILING_STATUS=MR","Sort=A","Dates=H","DateFormat=P","Fill=—","Direction=H","UseDPDF=Y")</f>
        <v>0.8</v>
      </c>
      <c r="R128" s="14" t="str">
        <f>_xll.BDH("BLUE US Equity","ARDR_STOCK_OPTION_VAL_RFR","FQ1 2022","FQ1 2022","Currency=USD","Period=FQ","BEST_FPERIOD_OVERRIDE=FQ","FILING_STATUS=MR","Sort=A","Dates=H","DateFormat=P","Fill=—","Direction=H","UseDPDF=Y")</f>
        <v>—</v>
      </c>
      <c r="S128" s="14" t="str">
        <f>_xll.BDH("BLUE US Equity","ARDR_STOCK_OPTION_VAL_RFR","FQ2 2022","FQ2 2022","Currency=USD","Period=FQ","BEST_FPERIOD_OVERRIDE=FQ","FILING_STATUS=MR","Sort=A","Dates=H","DateFormat=P","Fill=—","Direction=H","UseDPDF=Y")</f>
        <v>—</v>
      </c>
      <c r="T128" s="14" t="str">
        <f>_xll.BDH("BLUE US Equity","ARDR_STOCK_OPTION_VAL_RFR","FQ3 2022","FQ3 2022","Currency=USD","Period=FQ","BEST_FPERIOD_OVERRIDE=FQ","FILING_STATUS=MR","Sort=A","Dates=H","DateFormat=P","Fill=—","Direction=H","UseDPDF=Y")</f>
        <v>—</v>
      </c>
      <c r="U128" s="14">
        <f>_xll.BDH("BLUE US Equity","ARDR_STOCK_OPTION_VAL_RFR","FQ4 2022","FQ4 2022","Currency=USD","Period=FQ","BEST_FPERIOD_OVERRIDE=FQ","FILING_STATUS=MR","Sort=A","Dates=H","DateFormat=P","Fill=—","Direction=H","UseDPDF=Y")</f>
        <v>1.9</v>
      </c>
      <c r="V128" s="14" t="str">
        <f>_xll.BDH("BLUE US Equity","ARDR_STOCK_OPTION_VAL_RFR","FQ1 2023","FQ1 2023","Currency=USD","Period=FQ","BEST_FPERIOD_OVERRIDE=FQ","FILING_STATUS=MR","Sort=A","Dates=H","DateFormat=P","Fill=—","Direction=H","UseDPDF=Y")</f>
        <v>—</v>
      </c>
      <c r="W128" s="14" t="str">
        <f>_xll.BDH("BLUE US Equity","ARDR_STOCK_OPTION_VAL_RFR","FQ2 2023","FQ2 2023","Currency=USD","Period=FQ","BEST_FPERIOD_OVERRIDE=FQ","FILING_STATUS=MR","Sort=A","Dates=H","DateFormat=P","Fill=—","Direction=H","UseDPDF=Y")</f>
        <v>—</v>
      </c>
      <c r="X128" s="14" t="str">
        <f>_xll.BDH("BLUE US Equity","ARDR_STOCK_OPTION_VAL_RFR","FQ3 2023","FQ3 2023","Currency=USD","Period=FQ","BEST_FPERIOD_OVERRIDE=FQ","FILING_STATUS=MR","Sort=A","Dates=H","DateFormat=P","Fill=—","Direction=H","UseDPDF=Y")</f>
        <v>—</v>
      </c>
      <c r="Y128" s="14" t="str">
        <f>_xll.BDH("BLUE US Equity","ARDR_STOCK_OPTION_VAL_RFR","FQ1 2024","FQ1 2024","Currency=USD","Period=FQ","BEST_FPERIOD_OVERRIDE=FQ","FILING_STATUS=MR","Sort=A","Dates=H","DateFormat=P","Fill=—","Direction=H","UseDPDF=Y")</f>
        <v>—</v>
      </c>
      <c r="Z128" s="14" t="str">
        <f>_xll.BDH("BLUE US Equity","ARDR_STOCK_OPTION_VAL_RFR","FQ2 2024","FQ2 2024","Currency=USD","Period=FQ","BEST_FPERIOD_OVERRIDE=FQ","FILING_STATUS=MR","Sort=A","Dates=H","DateFormat=P","Fill=—","Direction=H","UseDPDF=Y")</f>
        <v>—</v>
      </c>
      <c r="AA128" s="14" t="str">
        <f>_xll.BDH("BLUE US Equity","ARDR_STOCK_OPTION_VAL_RFR","FQ3 2024","FQ3 2024","Currency=USD","Period=FQ","BEST_FPERIOD_OVERRIDE=FQ","FILING_STATUS=MR","Sort=A","Dates=H","DateFormat=P","Fill=—","Direction=H","UseDPDF=Y")</f>
        <v>—</v>
      </c>
    </row>
    <row r="129" spans="1:27" x14ac:dyDescent="0.25">
      <c r="A129" s="10" t="s">
        <v>969</v>
      </c>
      <c r="B129" s="10" t="s">
        <v>970</v>
      </c>
      <c r="C129" s="14" t="str">
        <f>_xll.BDH("BLUE US Equity","ARDR_STOCK_OPTION_VAL_EXP_LIFE","FQ2 2018","FQ2 2018","Currency=USD","Period=FQ","BEST_FPERIOD_OVERRIDE=FQ","FILING_STATUS=MR","Sort=A","Dates=H","DateFormat=P","Fill=—","Direction=H","UseDPDF=Y")</f>
        <v>—</v>
      </c>
      <c r="D129" s="14" t="str">
        <f>_xll.BDH("BLUE US Equity","ARDR_STOCK_OPTION_VAL_EXP_LIFE","FQ3 2018","FQ3 2018","Currency=USD","Period=FQ","BEST_FPERIOD_OVERRIDE=FQ","FILING_STATUS=MR","Sort=A","Dates=H","DateFormat=P","Fill=—","Direction=H","UseDPDF=Y")</f>
        <v>—</v>
      </c>
      <c r="E129" s="14">
        <f>_xll.BDH("BLUE US Equity","ARDR_STOCK_OPTION_VAL_EXP_LIFE","FQ4 2018","FQ4 2018","Currency=USD","Period=FQ","BEST_FPERIOD_OVERRIDE=FQ","FILING_STATUS=MR","Sort=A","Dates=H","DateFormat=P","Fill=—","Direction=H","UseDPDF=Y")</f>
        <v>6</v>
      </c>
      <c r="F129" s="14" t="str">
        <f>_xll.BDH("BLUE US Equity","ARDR_STOCK_OPTION_VAL_EXP_LIFE","FQ1 2019","FQ1 2019","Currency=USD","Period=FQ","BEST_FPERIOD_OVERRIDE=FQ","FILING_STATUS=MR","Sort=A","Dates=H","DateFormat=P","Fill=—","Direction=H","UseDPDF=Y")</f>
        <v>—</v>
      </c>
      <c r="G129" s="14" t="str">
        <f>_xll.BDH("BLUE US Equity","ARDR_STOCK_OPTION_VAL_EXP_LIFE","FQ2 2019","FQ2 2019","Currency=USD","Period=FQ","BEST_FPERIOD_OVERRIDE=FQ","FILING_STATUS=MR","Sort=A","Dates=H","DateFormat=P","Fill=—","Direction=H","UseDPDF=Y")</f>
        <v>—</v>
      </c>
      <c r="H129" s="14" t="str">
        <f>_xll.BDH("BLUE US Equity","ARDR_STOCK_OPTION_VAL_EXP_LIFE","FQ3 2019","FQ3 2019","Currency=USD","Period=FQ","BEST_FPERIOD_OVERRIDE=FQ","FILING_STATUS=MR","Sort=A","Dates=H","DateFormat=P","Fill=—","Direction=H","UseDPDF=Y")</f>
        <v>—</v>
      </c>
      <c r="I129" s="14">
        <f>_xll.BDH("BLUE US Equity","ARDR_STOCK_OPTION_VAL_EXP_LIFE","FQ4 2019","FQ4 2019","Currency=USD","Period=FQ","BEST_FPERIOD_OVERRIDE=FQ","FILING_STATUS=MR","Sort=A","Dates=H","DateFormat=P","Fill=—","Direction=H","UseDPDF=Y")</f>
        <v>6</v>
      </c>
      <c r="J129" s="14" t="str">
        <f>_xll.BDH("BLUE US Equity","ARDR_STOCK_OPTION_VAL_EXP_LIFE","FQ1 2020","FQ1 2020","Currency=USD","Period=FQ","BEST_FPERIOD_OVERRIDE=FQ","FILING_STATUS=MR","Sort=A","Dates=H","DateFormat=P","Fill=—","Direction=H","UseDPDF=Y")</f>
        <v>—</v>
      </c>
      <c r="K129" s="14" t="str">
        <f>_xll.BDH("BLUE US Equity","ARDR_STOCK_OPTION_VAL_EXP_LIFE","FQ2 2020","FQ2 2020","Currency=USD","Period=FQ","BEST_FPERIOD_OVERRIDE=FQ","FILING_STATUS=MR","Sort=A","Dates=H","DateFormat=P","Fill=—","Direction=H","UseDPDF=Y")</f>
        <v>—</v>
      </c>
      <c r="L129" s="14" t="str">
        <f>_xll.BDH("BLUE US Equity","ARDR_STOCK_OPTION_VAL_EXP_LIFE","FQ3 2020","FQ3 2020","Currency=USD","Period=FQ","BEST_FPERIOD_OVERRIDE=FQ","FILING_STATUS=MR","Sort=A","Dates=H","DateFormat=P","Fill=—","Direction=H","UseDPDF=Y")</f>
        <v>—</v>
      </c>
      <c r="M129" s="14">
        <f>_xll.BDH("BLUE US Equity","ARDR_STOCK_OPTION_VAL_EXP_LIFE","FQ4 2020","FQ4 2020","Currency=USD","Period=FQ","BEST_FPERIOD_OVERRIDE=FQ","FILING_STATUS=MR","Sort=A","Dates=H","DateFormat=P","Fill=—","Direction=H","UseDPDF=Y")</f>
        <v>6</v>
      </c>
      <c r="N129" s="14" t="str">
        <f>_xll.BDH("BLUE US Equity","ARDR_STOCK_OPTION_VAL_EXP_LIFE","FQ1 2021","FQ1 2021","Currency=USD","Period=FQ","BEST_FPERIOD_OVERRIDE=FQ","FILING_STATUS=MR","Sort=A","Dates=H","DateFormat=P","Fill=—","Direction=H","UseDPDF=Y")</f>
        <v>—</v>
      </c>
      <c r="O129" s="14" t="str">
        <f>_xll.BDH("BLUE US Equity","ARDR_STOCK_OPTION_VAL_EXP_LIFE","FQ2 2021","FQ2 2021","Currency=USD","Period=FQ","BEST_FPERIOD_OVERRIDE=FQ","FILING_STATUS=MR","Sort=A","Dates=H","DateFormat=P","Fill=—","Direction=H","UseDPDF=Y")</f>
        <v>—</v>
      </c>
      <c r="P129" s="14" t="str">
        <f>_xll.BDH("BLUE US Equity","ARDR_STOCK_OPTION_VAL_EXP_LIFE","FQ3 2021","FQ3 2021","Currency=USD","Period=FQ","BEST_FPERIOD_OVERRIDE=FQ","FILING_STATUS=MR","Sort=A","Dates=H","DateFormat=P","Fill=—","Direction=H","UseDPDF=Y")</f>
        <v>—</v>
      </c>
      <c r="Q129" s="14">
        <f>_xll.BDH("BLUE US Equity","ARDR_STOCK_OPTION_VAL_EXP_LIFE","FQ4 2021","FQ4 2021","Currency=USD","Period=FQ","BEST_FPERIOD_OVERRIDE=FQ","FILING_STATUS=MR","Sort=A","Dates=H","DateFormat=P","Fill=—","Direction=H","UseDPDF=Y")</f>
        <v>6</v>
      </c>
      <c r="R129" s="14" t="str">
        <f>_xll.BDH("BLUE US Equity","ARDR_STOCK_OPTION_VAL_EXP_LIFE","FQ1 2022","FQ1 2022","Currency=USD","Period=FQ","BEST_FPERIOD_OVERRIDE=FQ","FILING_STATUS=MR","Sort=A","Dates=H","DateFormat=P","Fill=—","Direction=H","UseDPDF=Y")</f>
        <v>—</v>
      </c>
      <c r="S129" s="14" t="str">
        <f>_xll.BDH("BLUE US Equity","ARDR_STOCK_OPTION_VAL_EXP_LIFE","FQ2 2022","FQ2 2022","Currency=USD","Period=FQ","BEST_FPERIOD_OVERRIDE=FQ","FILING_STATUS=MR","Sort=A","Dates=H","DateFormat=P","Fill=—","Direction=H","UseDPDF=Y")</f>
        <v>—</v>
      </c>
      <c r="T129" s="14" t="str">
        <f>_xll.BDH("BLUE US Equity","ARDR_STOCK_OPTION_VAL_EXP_LIFE","FQ3 2022","FQ3 2022","Currency=USD","Period=FQ","BEST_FPERIOD_OVERRIDE=FQ","FILING_STATUS=MR","Sort=A","Dates=H","DateFormat=P","Fill=—","Direction=H","UseDPDF=Y")</f>
        <v>—</v>
      </c>
      <c r="U129" s="14">
        <f>_xll.BDH("BLUE US Equity","ARDR_STOCK_OPTION_VAL_EXP_LIFE","FQ4 2022","FQ4 2022","Currency=USD","Period=FQ","BEST_FPERIOD_OVERRIDE=FQ","FILING_STATUS=MR","Sort=A","Dates=H","DateFormat=P","Fill=—","Direction=H","UseDPDF=Y")</f>
        <v>6</v>
      </c>
      <c r="V129" s="14" t="str">
        <f>_xll.BDH("BLUE US Equity","ARDR_STOCK_OPTION_VAL_EXP_LIFE","FQ1 2023","FQ1 2023","Currency=USD","Period=FQ","BEST_FPERIOD_OVERRIDE=FQ","FILING_STATUS=MR","Sort=A","Dates=H","DateFormat=P","Fill=—","Direction=H","UseDPDF=Y")</f>
        <v>—</v>
      </c>
      <c r="W129" s="14" t="str">
        <f>_xll.BDH("BLUE US Equity","ARDR_STOCK_OPTION_VAL_EXP_LIFE","FQ2 2023","FQ2 2023","Currency=USD","Period=FQ","BEST_FPERIOD_OVERRIDE=FQ","FILING_STATUS=MR","Sort=A","Dates=H","DateFormat=P","Fill=—","Direction=H","UseDPDF=Y")</f>
        <v>—</v>
      </c>
      <c r="X129" s="14" t="str">
        <f>_xll.BDH("BLUE US Equity","ARDR_STOCK_OPTION_VAL_EXP_LIFE","FQ3 2023","FQ3 2023","Currency=USD","Period=FQ","BEST_FPERIOD_OVERRIDE=FQ","FILING_STATUS=MR","Sort=A","Dates=H","DateFormat=P","Fill=—","Direction=H","UseDPDF=Y")</f>
        <v>—</v>
      </c>
      <c r="Y129" s="14" t="str">
        <f>_xll.BDH("BLUE US Equity","ARDR_STOCK_OPTION_VAL_EXP_LIFE","FQ1 2024","FQ1 2024","Currency=USD","Period=FQ","BEST_FPERIOD_OVERRIDE=FQ","FILING_STATUS=MR","Sort=A","Dates=H","DateFormat=P","Fill=—","Direction=H","UseDPDF=Y")</f>
        <v>—</v>
      </c>
      <c r="Z129" s="14" t="str">
        <f>_xll.BDH("BLUE US Equity","ARDR_STOCK_OPTION_VAL_EXP_LIFE","FQ2 2024","FQ2 2024","Currency=USD","Period=FQ","BEST_FPERIOD_OVERRIDE=FQ","FILING_STATUS=MR","Sort=A","Dates=H","DateFormat=P","Fill=—","Direction=H","UseDPDF=Y")</f>
        <v>—</v>
      </c>
      <c r="AA129" s="14" t="str">
        <f>_xll.BDH("BLUE US Equity","ARDR_STOCK_OPTION_VAL_EXP_LIFE","FQ3 2024","FQ3 2024","Currency=USD","Period=FQ","BEST_FPERIOD_OVERRIDE=FQ","FILING_STATUS=MR","Sort=A","Dates=H","DateFormat=P","Fill=—","Direction=H","UseDPDF=Y")</f>
        <v>—</v>
      </c>
    </row>
    <row r="130" spans="1:27" x14ac:dyDescent="0.25">
      <c r="A130" s="10" t="s">
        <v>971</v>
      </c>
      <c r="B130" s="10" t="s">
        <v>972</v>
      </c>
      <c r="C130" s="14" t="str">
        <f>_xll.BDH("BLUE US Equity","ARDR_STOCK_OPTION_VAL_EXP_VOL","FQ2 2018","FQ2 2018","Currency=USD","Period=FQ","BEST_FPERIOD_OVERRIDE=FQ","FILING_STATUS=MR","Sort=A","Dates=H","DateFormat=P","Fill=—","Direction=H","UseDPDF=Y")</f>
        <v>—</v>
      </c>
      <c r="D130" s="14" t="str">
        <f>_xll.BDH("BLUE US Equity","ARDR_STOCK_OPTION_VAL_EXP_VOL","FQ3 2018","FQ3 2018","Currency=USD","Period=FQ","BEST_FPERIOD_OVERRIDE=FQ","FILING_STATUS=MR","Sort=A","Dates=H","DateFormat=P","Fill=—","Direction=H","UseDPDF=Y")</f>
        <v>—</v>
      </c>
      <c r="E130" s="14">
        <f>_xll.BDH("BLUE US Equity","ARDR_STOCK_OPTION_VAL_EXP_VOL","FQ4 2018","FQ4 2018","Currency=USD","Period=FQ","BEST_FPERIOD_OVERRIDE=FQ","FILING_STATUS=MR","Sort=A","Dates=H","DateFormat=P","Fill=—","Direction=H","UseDPDF=Y")</f>
        <v>75.5</v>
      </c>
      <c r="F130" s="14" t="str">
        <f>_xll.BDH("BLUE US Equity","ARDR_STOCK_OPTION_VAL_EXP_VOL","FQ1 2019","FQ1 2019","Currency=USD","Period=FQ","BEST_FPERIOD_OVERRIDE=FQ","FILING_STATUS=MR","Sort=A","Dates=H","DateFormat=P","Fill=—","Direction=H","UseDPDF=Y")</f>
        <v>—</v>
      </c>
      <c r="G130" s="14" t="str">
        <f>_xll.BDH("BLUE US Equity","ARDR_STOCK_OPTION_VAL_EXP_VOL","FQ2 2019","FQ2 2019","Currency=USD","Period=FQ","BEST_FPERIOD_OVERRIDE=FQ","FILING_STATUS=MR","Sort=A","Dates=H","DateFormat=P","Fill=—","Direction=H","UseDPDF=Y")</f>
        <v>—</v>
      </c>
      <c r="H130" s="14" t="str">
        <f>_xll.BDH("BLUE US Equity","ARDR_STOCK_OPTION_VAL_EXP_VOL","FQ3 2019","FQ3 2019","Currency=USD","Period=FQ","BEST_FPERIOD_OVERRIDE=FQ","FILING_STATUS=MR","Sort=A","Dates=H","DateFormat=P","Fill=—","Direction=H","UseDPDF=Y")</f>
        <v>—</v>
      </c>
      <c r="I130" s="14">
        <f>_xll.BDH("BLUE US Equity","ARDR_STOCK_OPTION_VAL_EXP_VOL","FQ4 2019","FQ4 2019","Currency=USD","Period=FQ","BEST_FPERIOD_OVERRIDE=FQ","FILING_STATUS=MR","Sort=A","Dates=H","DateFormat=P","Fill=—","Direction=H","UseDPDF=Y")</f>
        <v>70.7</v>
      </c>
      <c r="J130" s="14" t="str">
        <f>_xll.BDH("BLUE US Equity","ARDR_STOCK_OPTION_VAL_EXP_VOL","FQ1 2020","FQ1 2020","Currency=USD","Period=FQ","BEST_FPERIOD_OVERRIDE=FQ","FILING_STATUS=MR","Sort=A","Dates=H","DateFormat=P","Fill=—","Direction=H","UseDPDF=Y")</f>
        <v>—</v>
      </c>
      <c r="K130" s="14" t="str">
        <f>_xll.BDH("BLUE US Equity","ARDR_STOCK_OPTION_VAL_EXP_VOL","FQ2 2020","FQ2 2020","Currency=USD","Period=FQ","BEST_FPERIOD_OVERRIDE=FQ","FILING_STATUS=MR","Sort=A","Dates=H","DateFormat=P","Fill=—","Direction=H","UseDPDF=Y")</f>
        <v>—</v>
      </c>
      <c r="L130" s="14" t="str">
        <f>_xll.BDH("BLUE US Equity","ARDR_STOCK_OPTION_VAL_EXP_VOL","FQ3 2020","FQ3 2020","Currency=USD","Period=FQ","BEST_FPERIOD_OVERRIDE=FQ","FILING_STATUS=MR","Sort=A","Dates=H","DateFormat=P","Fill=—","Direction=H","UseDPDF=Y")</f>
        <v>—</v>
      </c>
      <c r="M130" s="14">
        <f>_xll.BDH("BLUE US Equity","ARDR_STOCK_OPTION_VAL_EXP_VOL","FQ4 2020","FQ4 2020","Currency=USD","Period=FQ","BEST_FPERIOD_OVERRIDE=FQ","FILING_STATUS=MR","Sort=A","Dates=H","DateFormat=P","Fill=—","Direction=H","UseDPDF=Y")</f>
        <v>69.5</v>
      </c>
      <c r="N130" s="14" t="str">
        <f>_xll.BDH("BLUE US Equity","ARDR_STOCK_OPTION_VAL_EXP_VOL","FQ1 2021","FQ1 2021","Currency=USD","Period=FQ","BEST_FPERIOD_OVERRIDE=FQ","FILING_STATUS=MR","Sort=A","Dates=H","DateFormat=P","Fill=—","Direction=H","UseDPDF=Y")</f>
        <v>—</v>
      </c>
      <c r="O130" s="14" t="str">
        <f>_xll.BDH("BLUE US Equity","ARDR_STOCK_OPTION_VAL_EXP_VOL","FQ2 2021","FQ2 2021","Currency=USD","Period=FQ","BEST_FPERIOD_OVERRIDE=FQ","FILING_STATUS=MR","Sort=A","Dates=H","DateFormat=P","Fill=—","Direction=H","UseDPDF=Y")</f>
        <v>—</v>
      </c>
      <c r="P130" s="14" t="str">
        <f>_xll.BDH("BLUE US Equity","ARDR_STOCK_OPTION_VAL_EXP_VOL","FQ3 2021","FQ3 2021","Currency=USD","Period=FQ","BEST_FPERIOD_OVERRIDE=FQ","FILING_STATUS=MR","Sort=A","Dates=H","DateFormat=P","Fill=—","Direction=H","UseDPDF=Y")</f>
        <v>—</v>
      </c>
      <c r="Q130" s="14">
        <f>_xll.BDH("BLUE US Equity","ARDR_STOCK_OPTION_VAL_EXP_VOL","FQ4 2021","FQ4 2021","Currency=USD","Period=FQ","BEST_FPERIOD_OVERRIDE=FQ","FILING_STATUS=MR","Sort=A","Dates=H","DateFormat=P","Fill=—","Direction=H","UseDPDF=Y")</f>
        <v>66.7</v>
      </c>
      <c r="R130" s="14" t="str">
        <f>_xll.BDH("BLUE US Equity","ARDR_STOCK_OPTION_VAL_EXP_VOL","FQ1 2022","FQ1 2022","Currency=USD","Period=FQ","BEST_FPERIOD_OVERRIDE=FQ","FILING_STATUS=MR","Sort=A","Dates=H","DateFormat=P","Fill=—","Direction=H","UseDPDF=Y")</f>
        <v>—</v>
      </c>
      <c r="S130" s="14" t="str">
        <f>_xll.BDH("BLUE US Equity","ARDR_STOCK_OPTION_VAL_EXP_VOL","FQ2 2022","FQ2 2022","Currency=USD","Period=FQ","BEST_FPERIOD_OVERRIDE=FQ","FILING_STATUS=MR","Sort=A","Dates=H","DateFormat=P","Fill=—","Direction=H","UseDPDF=Y")</f>
        <v>—</v>
      </c>
      <c r="T130" s="14" t="str">
        <f>_xll.BDH("BLUE US Equity","ARDR_STOCK_OPTION_VAL_EXP_VOL","FQ3 2022","FQ3 2022","Currency=USD","Period=FQ","BEST_FPERIOD_OVERRIDE=FQ","FILING_STATUS=MR","Sort=A","Dates=H","DateFormat=P","Fill=—","Direction=H","UseDPDF=Y")</f>
        <v>—</v>
      </c>
      <c r="U130" s="14">
        <f>_xll.BDH("BLUE US Equity","ARDR_STOCK_OPTION_VAL_EXP_VOL","FQ4 2022","FQ4 2022","Currency=USD","Period=FQ","BEST_FPERIOD_OVERRIDE=FQ","FILING_STATUS=MR","Sort=A","Dates=H","DateFormat=P","Fill=—","Direction=H","UseDPDF=Y")</f>
        <v>66.400000000000006</v>
      </c>
      <c r="V130" s="14" t="str">
        <f>_xll.BDH("BLUE US Equity","ARDR_STOCK_OPTION_VAL_EXP_VOL","FQ1 2023","FQ1 2023","Currency=USD","Period=FQ","BEST_FPERIOD_OVERRIDE=FQ","FILING_STATUS=MR","Sort=A","Dates=H","DateFormat=P","Fill=—","Direction=H","UseDPDF=Y")</f>
        <v>—</v>
      </c>
      <c r="W130" s="14" t="str">
        <f>_xll.BDH("BLUE US Equity","ARDR_STOCK_OPTION_VAL_EXP_VOL","FQ2 2023","FQ2 2023","Currency=USD","Period=FQ","BEST_FPERIOD_OVERRIDE=FQ","FILING_STATUS=MR","Sort=A","Dates=H","DateFormat=P","Fill=—","Direction=H","UseDPDF=Y")</f>
        <v>—</v>
      </c>
      <c r="X130" s="14" t="str">
        <f>_xll.BDH("BLUE US Equity","ARDR_STOCK_OPTION_VAL_EXP_VOL","FQ3 2023","FQ3 2023","Currency=USD","Period=FQ","BEST_FPERIOD_OVERRIDE=FQ","FILING_STATUS=MR","Sort=A","Dates=H","DateFormat=P","Fill=—","Direction=H","UseDPDF=Y")</f>
        <v>—</v>
      </c>
      <c r="Y130" s="14" t="str">
        <f>_xll.BDH("BLUE US Equity","ARDR_STOCK_OPTION_VAL_EXP_VOL","FQ1 2024","FQ1 2024","Currency=USD","Period=FQ","BEST_FPERIOD_OVERRIDE=FQ","FILING_STATUS=MR","Sort=A","Dates=H","DateFormat=P","Fill=—","Direction=H","UseDPDF=Y")</f>
        <v>—</v>
      </c>
      <c r="Z130" s="14" t="str">
        <f>_xll.BDH("BLUE US Equity","ARDR_STOCK_OPTION_VAL_EXP_VOL","FQ2 2024","FQ2 2024","Currency=USD","Period=FQ","BEST_FPERIOD_OVERRIDE=FQ","FILING_STATUS=MR","Sort=A","Dates=H","DateFormat=P","Fill=—","Direction=H","UseDPDF=Y")</f>
        <v>—</v>
      </c>
      <c r="AA130" s="14" t="str">
        <f>_xll.BDH("BLUE US Equity","ARDR_STOCK_OPTION_VAL_EXP_VOL","FQ3 2024","FQ3 2024","Currency=USD","Period=FQ","BEST_FPERIOD_OVERRIDE=FQ","FILING_STATUS=MR","Sort=A","Dates=H","DateFormat=P","Fill=—","Direction=H","UseDPDF=Y")</f>
        <v>—</v>
      </c>
    </row>
    <row r="131" spans="1:27" x14ac:dyDescent="0.25">
      <c r="A131" s="10" t="s">
        <v>973</v>
      </c>
      <c r="B131" s="10" t="s">
        <v>974</v>
      </c>
      <c r="C131" s="14" t="str">
        <f>_xll.BDH("BLUE US Equity","ARDR_STOCK_OPTION_VAL_DVD_YLD","FQ2 2018","FQ2 2018","Currency=USD","Period=FQ","BEST_FPERIOD_OVERRIDE=FQ","FILING_STATUS=MR","Sort=A","Dates=H","DateFormat=P","Fill=—","Direction=H","UseDPDF=Y")</f>
        <v>—</v>
      </c>
      <c r="D131" s="14" t="str">
        <f>_xll.BDH("BLUE US Equity","ARDR_STOCK_OPTION_VAL_DVD_YLD","FQ3 2018","FQ3 2018","Currency=USD","Period=FQ","BEST_FPERIOD_OVERRIDE=FQ","FILING_STATUS=MR","Sort=A","Dates=H","DateFormat=P","Fill=—","Direction=H","UseDPDF=Y")</f>
        <v>—</v>
      </c>
      <c r="E131" s="14">
        <f>_xll.BDH("BLUE US Equity","ARDR_STOCK_OPTION_VAL_DVD_YLD","FQ4 2018","FQ4 2018","Currency=USD","Period=FQ","BEST_FPERIOD_OVERRIDE=FQ","FILING_STATUS=MR","Sort=A","Dates=H","DateFormat=P","Fill=—","Direction=H","UseDPDF=Y")</f>
        <v>0</v>
      </c>
      <c r="F131" s="14" t="str">
        <f>_xll.BDH("BLUE US Equity","ARDR_STOCK_OPTION_VAL_DVD_YLD","FQ1 2019","FQ1 2019","Currency=USD","Period=FQ","BEST_FPERIOD_OVERRIDE=FQ","FILING_STATUS=MR","Sort=A","Dates=H","DateFormat=P","Fill=—","Direction=H","UseDPDF=Y")</f>
        <v>—</v>
      </c>
      <c r="G131" s="14" t="str">
        <f>_xll.BDH("BLUE US Equity","ARDR_STOCK_OPTION_VAL_DVD_YLD","FQ2 2019","FQ2 2019","Currency=USD","Period=FQ","BEST_FPERIOD_OVERRIDE=FQ","FILING_STATUS=MR","Sort=A","Dates=H","DateFormat=P","Fill=—","Direction=H","UseDPDF=Y")</f>
        <v>—</v>
      </c>
      <c r="H131" s="14" t="str">
        <f>_xll.BDH("BLUE US Equity","ARDR_STOCK_OPTION_VAL_DVD_YLD","FQ3 2019","FQ3 2019","Currency=USD","Period=FQ","BEST_FPERIOD_OVERRIDE=FQ","FILING_STATUS=MR","Sort=A","Dates=H","DateFormat=P","Fill=—","Direction=H","UseDPDF=Y")</f>
        <v>—</v>
      </c>
      <c r="I131" s="14">
        <f>_xll.BDH("BLUE US Equity","ARDR_STOCK_OPTION_VAL_DVD_YLD","FQ4 2019","FQ4 2019","Currency=USD","Period=FQ","BEST_FPERIOD_OVERRIDE=FQ","FILING_STATUS=MR","Sort=A","Dates=H","DateFormat=P","Fill=—","Direction=H","UseDPDF=Y")</f>
        <v>0</v>
      </c>
      <c r="J131" s="14" t="str">
        <f>_xll.BDH("BLUE US Equity","ARDR_STOCK_OPTION_VAL_DVD_YLD","FQ1 2020","FQ1 2020","Currency=USD","Period=FQ","BEST_FPERIOD_OVERRIDE=FQ","FILING_STATUS=MR","Sort=A","Dates=H","DateFormat=P","Fill=—","Direction=H","UseDPDF=Y")</f>
        <v>—</v>
      </c>
      <c r="K131" s="14" t="str">
        <f>_xll.BDH("BLUE US Equity","ARDR_STOCK_OPTION_VAL_DVD_YLD","FQ2 2020","FQ2 2020","Currency=USD","Period=FQ","BEST_FPERIOD_OVERRIDE=FQ","FILING_STATUS=MR","Sort=A","Dates=H","DateFormat=P","Fill=—","Direction=H","UseDPDF=Y")</f>
        <v>—</v>
      </c>
      <c r="L131" s="14" t="str">
        <f>_xll.BDH("BLUE US Equity","ARDR_STOCK_OPTION_VAL_DVD_YLD","FQ3 2020","FQ3 2020","Currency=USD","Period=FQ","BEST_FPERIOD_OVERRIDE=FQ","FILING_STATUS=MR","Sort=A","Dates=H","DateFormat=P","Fill=—","Direction=H","UseDPDF=Y")</f>
        <v>—</v>
      </c>
      <c r="M131" s="14">
        <f>_xll.BDH("BLUE US Equity","ARDR_STOCK_OPTION_VAL_DVD_YLD","FQ4 2020","FQ4 2020","Currency=USD","Period=FQ","BEST_FPERIOD_OVERRIDE=FQ","FILING_STATUS=MR","Sort=A","Dates=H","DateFormat=P","Fill=—","Direction=H","UseDPDF=Y")</f>
        <v>0</v>
      </c>
      <c r="N131" s="14" t="str">
        <f>_xll.BDH("BLUE US Equity","ARDR_STOCK_OPTION_VAL_DVD_YLD","FQ1 2021","FQ1 2021","Currency=USD","Period=FQ","BEST_FPERIOD_OVERRIDE=FQ","FILING_STATUS=MR","Sort=A","Dates=H","DateFormat=P","Fill=—","Direction=H","UseDPDF=Y")</f>
        <v>—</v>
      </c>
      <c r="O131" s="14" t="str">
        <f>_xll.BDH("BLUE US Equity","ARDR_STOCK_OPTION_VAL_DVD_YLD","FQ2 2021","FQ2 2021","Currency=USD","Period=FQ","BEST_FPERIOD_OVERRIDE=FQ","FILING_STATUS=MR","Sort=A","Dates=H","DateFormat=P","Fill=—","Direction=H","UseDPDF=Y")</f>
        <v>—</v>
      </c>
      <c r="P131" s="14" t="str">
        <f>_xll.BDH("BLUE US Equity","ARDR_STOCK_OPTION_VAL_DVD_YLD","FQ3 2021","FQ3 2021","Currency=USD","Period=FQ","BEST_FPERIOD_OVERRIDE=FQ","FILING_STATUS=MR","Sort=A","Dates=H","DateFormat=P","Fill=—","Direction=H","UseDPDF=Y")</f>
        <v>—</v>
      </c>
      <c r="Q131" s="14">
        <f>_xll.BDH("BLUE US Equity","ARDR_STOCK_OPTION_VAL_DVD_YLD","FQ4 2021","FQ4 2021","Currency=USD","Period=FQ","BEST_FPERIOD_OVERRIDE=FQ","FILING_STATUS=MR","Sort=A","Dates=H","DateFormat=P","Fill=—","Direction=H","UseDPDF=Y")</f>
        <v>0</v>
      </c>
      <c r="R131" s="14" t="str">
        <f>_xll.BDH("BLUE US Equity","ARDR_STOCK_OPTION_VAL_DVD_YLD","FQ1 2022","FQ1 2022","Currency=USD","Period=FQ","BEST_FPERIOD_OVERRIDE=FQ","FILING_STATUS=MR","Sort=A","Dates=H","DateFormat=P","Fill=—","Direction=H","UseDPDF=Y")</f>
        <v>—</v>
      </c>
      <c r="S131" s="14" t="str">
        <f>_xll.BDH("BLUE US Equity","ARDR_STOCK_OPTION_VAL_DVD_YLD","FQ2 2022","FQ2 2022","Currency=USD","Period=FQ","BEST_FPERIOD_OVERRIDE=FQ","FILING_STATUS=MR","Sort=A","Dates=H","DateFormat=P","Fill=—","Direction=H","UseDPDF=Y")</f>
        <v>—</v>
      </c>
      <c r="T131" s="14" t="str">
        <f>_xll.BDH("BLUE US Equity","ARDR_STOCK_OPTION_VAL_DVD_YLD","FQ3 2022","FQ3 2022","Currency=USD","Period=FQ","BEST_FPERIOD_OVERRIDE=FQ","FILING_STATUS=MR","Sort=A","Dates=H","DateFormat=P","Fill=—","Direction=H","UseDPDF=Y")</f>
        <v>—</v>
      </c>
      <c r="U131" s="14">
        <f>_xll.BDH("BLUE US Equity","ARDR_STOCK_OPTION_VAL_DVD_YLD","FQ4 2022","FQ4 2022","Currency=USD","Period=FQ","BEST_FPERIOD_OVERRIDE=FQ","FILING_STATUS=MR","Sort=A","Dates=H","DateFormat=P","Fill=—","Direction=H","UseDPDF=Y")</f>
        <v>0</v>
      </c>
      <c r="V131" s="14" t="str">
        <f>_xll.BDH("BLUE US Equity","ARDR_STOCK_OPTION_VAL_DVD_YLD","FQ1 2023","FQ1 2023","Currency=USD","Period=FQ","BEST_FPERIOD_OVERRIDE=FQ","FILING_STATUS=MR","Sort=A","Dates=H","DateFormat=P","Fill=—","Direction=H","UseDPDF=Y")</f>
        <v>—</v>
      </c>
      <c r="W131" s="14" t="str">
        <f>_xll.BDH("BLUE US Equity","ARDR_STOCK_OPTION_VAL_DVD_YLD","FQ2 2023","FQ2 2023","Currency=USD","Period=FQ","BEST_FPERIOD_OVERRIDE=FQ","FILING_STATUS=MR","Sort=A","Dates=H","DateFormat=P","Fill=—","Direction=H","UseDPDF=Y")</f>
        <v>—</v>
      </c>
      <c r="X131" s="14" t="str">
        <f>_xll.BDH("BLUE US Equity","ARDR_STOCK_OPTION_VAL_DVD_YLD","FQ3 2023","FQ3 2023","Currency=USD","Period=FQ","BEST_FPERIOD_OVERRIDE=FQ","FILING_STATUS=MR","Sort=A","Dates=H","DateFormat=P","Fill=—","Direction=H","UseDPDF=Y")</f>
        <v>—</v>
      </c>
      <c r="Y131" s="14" t="str">
        <f>_xll.BDH("BLUE US Equity","ARDR_STOCK_OPTION_VAL_DVD_YLD","FQ1 2024","FQ1 2024","Currency=USD","Period=FQ","BEST_FPERIOD_OVERRIDE=FQ","FILING_STATUS=MR","Sort=A","Dates=H","DateFormat=P","Fill=—","Direction=H","UseDPDF=Y")</f>
        <v>—</v>
      </c>
      <c r="Z131" s="14" t="str">
        <f>_xll.BDH("BLUE US Equity","ARDR_STOCK_OPTION_VAL_DVD_YLD","FQ2 2024","FQ2 2024","Currency=USD","Period=FQ","BEST_FPERIOD_OVERRIDE=FQ","FILING_STATUS=MR","Sort=A","Dates=H","DateFormat=P","Fill=—","Direction=H","UseDPDF=Y")</f>
        <v>—</v>
      </c>
      <c r="AA131" s="14" t="str">
        <f>_xll.BDH("BLUE US Equity","ARDR_STOCK_OPTION_VAL_DVD_YLD","FQ3 2024","FQ3 2024","Currency=USD","Period=FQ","BEST_FPERIOD_OVERRIDE=FQ","FILING_STATUS=MR","Sort=A","Dates=H","DateFormat=P","Fill=—","Direction=H","UseDPDF=Y")</f>
        <v>—</v>
      </c>
    </row>
    <row r="132" spans="1:27" x14ac:dyDescent="0.25">
      <c r="A132" s="10" t="s">
        <v>975</v>
      </c>
      <c r="B132" s="10" t="s">
        <v>976</v>
      </c>
      <c r="C132" s="14">
        <f>_xll.BDH("BLUE US Equity","ARDR_AVG_EXER_PX_OPT_EXERCISABLE","FQ2 2018","FQ2 2018","Currency=USD","Period=FQ","BEST_FPERIOD_OVERRIDE=FQ","FILING_STATUS=MR","Sort=A","Dates=H","DateFormat=P","Fill=—","Direction=H","UseDPDF=Y")</f>
        <v>56.65</v>
      </c>
      <c r="D132" s="14">
        <f>_xll.BDH("BLUE US Equity","ARDR_AVG_EXER_PX_OPT_EXERCISABLE","FQ3 2018","FQ3 2018","Currency=USD","Period=FQ","BEST_FPERIOD_OVERRIDE=FQ","FILING_STATUS=MR","Sort=A","Dates=H","DateFormat=P","Fill=—","Direction=H","UseDPDF=Y")</f>
        <v>60.91</v>
      </c>
      <c r="E132" s="14">
        <f>_xll.BDH("BLUE US Equity","ARDR_AVG_EXER_PX_OPT_EXERCISABLE","FQ4 2018","FQ4 2018","Currency=USD","Period=FQ","BEST_FPERIOD_OVERRIDE=FQ","FILING_STATUS=MR","Sort=A","Dates=H","DateFormat=P","Fill=—","Direction=H","UseDPDF=Y")</f>
        <v>64.8</v>
      </c>
      <c r="F132" s="14">
        <f>_xll.BDH("BLUE US Equity","ARDR_AVG_EXER_PX_OPT_EXERCISABLE","FQ1 2019","FQ1 2019","Currency=USD","Period=FQ","BEST_FPERIOD_OVERRIDE=FQ","FILING_STATUS=MR","Sort=A","Dates=H","DateFormat=P","Fill=—","Direction=H","UseDPDF=Y")</f>
        <v>82.62</v>
      </c>
      <c r="G132" s="14">
        <f>_xll.BDH("BLUE US Equity","ARDR_AVG_EXER_PX_OPT_EXERCISABLE","FQ2 2019","FQ2 2019","Currency=USD","Period=FQ","BEST_FPERIOD_OVERRIDE=FQ","FILING_STATUS=MR","Sort=A","Dates=H","DateFormat=P","Fill=—","Direction=H","UseDPDF=Y")</f>
        <v>88.94</v>
      </c>
      <c r="H132" s="14">
        <f>_xll.BDH("BLUE US Equity","ARDR_AVG_EXER_PX_OPT_EXERCISABLE","FQ3 2019","FQ3 2019","Currency=USD","Period=FQ","BEST_FPERIOD_OVERRIDE=FQ","FILING_STATUS=MR","Sort=A","Dates=H","DateFormat=P","Fill=—","Direction=H","UseDPDF=Y")</f>
        <v>92.49</v>
      </c>
      <c r="I132" s="14">
        <f>_xll.BDH("BLUE US Equity","ARDR_AVG_EXER_PX_OPT_EXERCISABLE","FQ4 2019","FQ4 2019","Currency=USD","Period=FQ","BEST_FPERIOD_OVERRIDE=FQ","FILING_STATUS=MR","Sort=A","Dates=H","DateFormat=P","Fill=—","Direction=H","UseDPDF=Y")</f>
        <v>94.77</v>
      </c>
      <c r="J132" s="14">
        <f>_xll.BDH("BLUE US Equity","ARDR_AVG_EXER_PX_OPT_EXERCISABLE","FQ1 2020","FQ1 2020","Currency=USD","Period=FQ","BEST_FPERIOD_OVERRIDE=FQ","FILING_STATUS=MR","Sort=A","Dates=H","DateFormat=P","Fill=—","Direction=H","UseDPDF=Y")</f>
        <v>99.92</v>
      </c>
      <c r="K132" s="14">
        <f>_xll.BDH("BLUE US Equity","ARDR_AVG_EXER_PX_OPT_EXERCISABLE","FQ2 2020","FQ2 2020","Currency=USD","Period=FQ","BEST_FPERIOD_OVERRIDE=FQ","FILING_STATUS=MR","Sort=A","Dates=H","DateFormat=P","Fill=—","Direction=H","UseDPDF=Y")</f>
        <v>102.07</v>
      </c>
      <c r="L132" s="14">
        <f>_xll.BDH("BLUE US Equity","ARDR_AVG_EXER_PX_OPT_EXERCISABLE","FQ3 2020","FQ3 2020","Currency=USD","Period=FQ","BEST_FPERIOD_OVERRIDE=FQ","FILING_STATUS=MR","Sort=A","Dates=H","DateFormat=P","Fill=—","Direction=H","UseDPDF=Y")</f>
        <v>104.72</v>
      </c>
      <c r="M132" s="14">
        <f>_xll.BDH("BLUE US Equity","ARDR_AVG_EXER_PX_OPT_EXERCISABLE","FQ4 2020","FQ4 2020","Currency=USD","Period=FQ","BEST_FPERIOD_OVERRIDE=FQ","FILING_STATUS=MR","Sort=A","Dates=H","DateFormat=P","Fill=—","Direction=H","UseDPDF=Y")</f>
        <v>107.11</v>
      </c>
      <c r="N132" s="14">
        <f>_xll.BDH("BLUE US Equity","ARDR_AVG_EXER_PX_OPT_EXERCISABLE","FQ1 2021","FQ1 2021","Currency=USD","Period=FQ","BEST_FPERIOD_OVERRIDE=FQ","FILING_STATUS=MR","Sort=A","Dates=H","DateFormat=P","Fill=—","Direction=H","UseDPDF=Y")</f>
        <v>111.17</v>
      </c>
      <c r="O132" s="14">
        <f>_xll.BDH("BLUE US Equity","ARDR_AVG_EXER_PX_OPT_EXERCISABLE","FQ2 2021","FQ2 2021","Currency=USD","Period=FQ","BEST_FPERIOD_OVERRIDE=FQ","FILING_STATUS=MR","Sort=A","Dates=H","DateFormat=P","Fill=—","Direction=H","UseDPDF=Y")</f>
        <v>110.83</v>
      </c>
      <c r="P132" s="14">
        <f>_xll.BDH("BLUE US Equity","ARDR_AVG_EXER_PX_OPT_EXERCISABLE","FQ3 2021","FQ3 2021","Currency=USD","Period=FQ","BEST_FPERIOD_OVERRIDE=FQ","FILING_STATUS=MR","Sort=A","Dates=H","DateFormat=P","Fill=—","Direction=H","UseDPDF=Y")</f>
        <v>111.09</v>
      </c>
      <c r="Q132" s="14">
        <f>_xll.BDH("BLUE US Equity","ARDR_AVG_EXER_PX_OPT_EXERCISABLE","FQ4 2021","FQ4 2021","Currency=USD","Period=FQ","BEST_FPERIOD_OVERRIDE=FQ","FILING_STATUS=MR","Sort=A","Dates=H","DateFormat=P","Fill=—","Direction=H","UseDPDF=Y")</f>
        <v>57.09</v>
      </c>
      <c r="R132" s="14">
        <f>_xll.BDH("BLUE US Equity","ARDR_AVG_EXER_PX_OPT_EXERCISABLE","FQ1 2022","FQ1 2022","Currency=USD","Period=FQ","BEST_FPERIOD_OVERRIDE=FQ","FILING_STATUS=MR","Sort=A","Dates=H","DateFormat=P","Fill=—","Direction=H","UseDPDF=Y")</f>
        <v>52.8</v>
      </c>
      <c r="S132" s="14">
        <f>_xll.BDH("BLUE US Equity","ARDR_AVG_EXER_PX_OPT_EXERCISABLE","FQ2 2022","FQ2 2022","Currency=USD","Period=FQ","BEST_FPERIOD_OVERRIDE=FQ","FILING_STATUS=MR","Sort=A","Dates=H","DateFormat=P","Fill=—","Direction=H","UseDPDF=Y")</f>
        <v>51.24</v>
      </c>
      <c r="T132" s="14">
        <f>_xll.BDH("BLUE US Equity","ARDR_AVG_EXER_PX_OPT_EXERCISABLE","FQ3 2022","FQ3 2022","Currency=USD","Period=FQ","BEST_FPERIOD_OVERRIDE=FQ","FILING_STATUS=MR","Sort=A","Dates=H","DateFormat=P","Fill=—","Direction=H","UseDPDF=Y")</f>
        <v>45.69</v>
      </c>
      <c r="U132" s="14">
        <f>_xll.BDH("BLUE US Equity","ARDR_AVG_EXER_PX_OPT_EXERCISABLE","FQ4 2022","FQ4 2022","Currency=USD","Period=FQ","BEST_FPERIOD_OVERRIDE=FQ","FILING_STATUS=MR","Sort=A","Dates=H","DateFormat=P","Fill=—","Direction=H","UseDPDF=Y")</f>
        <v>42</v>
      </c>
      <c r="V132" s="14">
        <f>_xll.BDH("BLUE US Equity","ARDR_AVG_EXER_PX_OPT_EXERCISABLE","FQ1 2023","FQ1 2023","Currency=USD","Period=FQ","BEST_FPERIOD_OVERRIDE=FQ","FILING_STATUS=MR","Sort=A","Dates=H","DateFormat=P","Fill=—","Direction=H","UseDPDF=Y")</f>
        <v>36.51</v>
      </c>
      <c r="W132" s="14">
        <f>_xll.BDH("BLUE US Equity","ARDR_AVG_EXER_PX_OPT_EXERCISABLE","FQ2 2023","FQ2 2023","Currency=USD","Period=FQ","BEST_FPERIOD_OVERRIDE=FQ","FILING_STATUS=MR","Sort=A","Dates=H","DateFormat=P","Fill=—","Direction=H","UseDPDF=Y")</f>
        <v>34.270000000000003</v>
      </c>
      <c r="X132" s="14">
        <f>_xll.BDH("BLUE US Equity","ARDR_AVG_EXER_PX_OPT_EXERCISABLE","FQ3 2023","FQ3 2023","Currency=USD","Period=FQ","BEST_FPERIOD_OVERRIDE=FQ","FILING_STATUS=MR","Sort=A","Dates=H","DateFormat=P","Fill=—","Direction=H","UseDPDF=Y")</f>
        <v>30.52</v>
      </c>
      <c r="Y132" s="14">
        <f>_xll.BDH("BLUE US Equity","ARDR_AVG_EXER_PX_OPT_EXERCISABLE","FQ1 2024","FQ1 2024","Currency=USD","Period=FQ","BEST_FPERIOD_OVERRIDE=FQ","FILING_STATUS=MR","Sort=A","Dates=H","DateFormat=P","Fill=—","Direction=H","UseDPDF=Y")</f>
        <v>22.75</v>
      </c>
      <c r="Z132" s="14">
        <f>_xll.BDH("BLUE US Equity","ARDR_AVG_EXER_PX_OPT_EXERCISABLE","FQ2 2024","FQ2 2024","Currency=USD","Period=FQ","BEST_FPERIOD_OVERRIDE=FQ","FILING_STATUS=MR","Sort=A","Dates=H","DateFormat=P","Fill=—","Direction=H","UseDPDF=Y")</f>
        <v>19.600000000000001</v>
      </c>
      <c r="AA132" s="14">
        <f>_xll.BDH("BLUE US Equity","ARDR_AVG_EXER_PX_OPT_EXERCISABLE","FQ3 2024","FQ3 2024","Currency=USD","Period=FQ","BEST_FPERIOD_OVERRIDE=FQ","FILING_STATUS=MR","Sort=A","Dates=H","DateFormat=P","Fill=—","Direction=H","UseDPDF=Y")</f>
        <v>18.54</v>
      </c>
    </row>
    <row r="133" spans="1:27" x14ac:dyDescent="0.25">
      <c r="A133" s="10" t="s">
        <v>977</v>
      </c>
      <c r="B133" s="10" t="s">
        <v>978</v>
      </c>
      <c r="C133" s="14">
        <f>_xll.BDH("BLUE US Equity","ARDR_AVG_EXER_PX_OPT_OUTSTANDING","FQ2 2018","FQ2 2018","Currency=USD","Period=FQ","BEST_FPERIOD_OVERRIDE=FQ","FILING_STATUS=MR","Sort=A","Dates=H","DateFormat=P","Fill=—","Direction=H","UseDPDF=Y")</f>
        <v>103.55</v>
      </c>
      <c r="D133" s="14">
        <f>_xll.BDH("BLUE US Equity","ARDR_AVG_EXER_PX_OPT_OUTSTANDING","FQ3 2018","FQ3 2018","Currency=USD","Period=FQ","BEST_FPERIOD_OVERRIDE=FQ","FILING_STATUS=MR","Sort=A","Dates=H","DateFormat=P","Fill=—","Direction=H","UseDPDF=Y")</f>
        <v>107.28</v>
      </c>
      <c r="E133" s="14">
        <f>_xll.BDH("BLUE US Equity","ARDR_AVG_EXER_PX_OPT_OUTSTANDING","FQ4 2018","FQ4 2018","Currency=USD","Period=FQ","BEST_FPERIOD_OVERRIDE=FQ","FILING_STATUS=MR","Sort=A","Dates=H","DateFormat=P","Fill=—","Direction=H","UseDPDF=Y")</f>
        <v>108.56</v>
      </c>
      <c r="F133" s="14">
        <f>_xll.BDH("BLUE US Equity","ARDR_AVG_EXER_PX_OPT_OUTSTANDING","FQ1 2019","FQ1 2019","Currency=USD","Period=FQ","BEST_FPERIOD_OVERRIDE=FQ","FILING_STATUS=MR","Sort=A","Dates=H","DateFormat=P","Fill=—","Direction=H","UseDPDF=Y")</f>
        <v>115.84</v>
      </c>
      <c r="G133" s="14">
        <f>_xll.BDH("BLUE US Equity","ARDR_AVG_EXER_PX_OPT_OUTSTANDING","FQ2 2019","FQ2 2019","Currency=USD","Period=FQ","BEST_FPERIOD_OVERRIDE=FQ","FILING_STATUS=MR","Sort=A","Dates=H","DateFormat=P","Fill=—","Direction=H","UseDPDF=Y")</f>
        <v>117.3</v>
      </c>
      <c r="H133" s="14">
        <f>_xll.BDH("BLUE US Equity","ARDR_AVG_EXER_PX_OPT_OUTSTANDING","FQ3 2019","FQ3 2019","Currency=USD","Period=FQ","BEST_FPERIOD_OVERRIDE=FQ","FILING_STATUS=MR","Sort=A","Dates=H","DateFormat=P","Fill=—","Direction=H","UseDPDF=Y")</f>
        <v>117.63</v>
      </c>
      <c r="I133" s="14">
        <f>_xll.BDH("BLUE US Equity","ARDR_AVG_EXER_PX_OPT_OUTSTANDING","FQ4 2019","FQ4 2019","Currency=USD","Period=FQ","BEST_FPERIOD_OVERRIDE=FQ","FILING_STATUS=MR","Sort=A","Dates=H","DateFormat=P","Fill=—","Direction=H","UseDPDF=Y")</f>
        <v>116.3</v>
      </c>
      <c r="J133" s="14">
        <f>_xll.BDH("BLUE US Equity","ARDR_AVG_EXER_PX_OPT_OUTSTANDING","FQ1 2020","FQ1 2020","Currency=USD","Period=FQ","BEST_FPERIOD_OVERRIDE=FQ","FILING_STATUS=MR","Sort=A","Dates=H","DateFormat=P","Fill=—","Direction=H","UseDPDF=Y")</f>
        <v>108.68</v>
      </c>
      <c r="K133" s="14">
        <f>_xll.BDH("BLUE US Equity","ARDR_AVG_EXER_PX_OPT_OUTSTANDING","FQ2 2020","FQ2 2020","Currency=USD","Period=FQ","BEST_FPERIOD_OVERRIDE=FQ","FILING_STATUS=MR","Sort=A","Dates=H","DateFormat=P","Fill=—","Direction=H","UseDPDF=Y")</f>
        <v>106.9</v>
      </c>
      <c r="L133" s="14">
        <f>_xll.BDH("BLUE US Equity","ARDR_AVG_EXER_PX_OPT_OUTSTANDING","FQ3 2020","FQ3 2020","Currency=USD","Period=FQ","BEST_FPERIOD_OVERRIDE=FQ","FILING_STATUS=MR","Sort=A","Dates=H","DateFormat=P","Fill=—","Direction=H","UseDPDF=Y")</f>
        <v>106.11</v>
      </c>
      <c r="M133" s="14">
        <f>_xll.BDH("BLUE US Equity","ARDR_AVG_EXER_PX_OPT_OUTSTANDING","FQ4 2020","FQ4 2020","Currency=USD","Period=FQ","BEST_FPERIOD_OVERRIDE=FQ","FILING_STATUS=MR","Sort=A","Dates=H","DateFormat=P","Fill=—","Direction=H","UseDPDF=Y")</f>
        <v>105.02</v>
      </c>
      <c r="N133" s="14">
        <f>_xll.BDH("BLUE US Equity","ARDR_AVG_EXER_PX_OPT_OUTSTANDING","FQ1 2021","FQ1 2021","Currency=USD","Period=FQ","BEST_FPERIOD_OVERRIDE=FQ","FILING_STATUS=MR","Sort=A","Dates=H","DateFormat=P","Fill=—","Direction=H","UseDPDF=Y")</f>
        <v>100.08</v>
      </c>
      <c r="O133" s="14">
        <f>_xll.BDH("BLUE US Equity","ARDR_AVG_EXER_PX_OPT_OUTSTANDING","FQ2 2021","FQ2 2021","Currency=USD","Period=FQ","BEST_FPERIOD_OVERRIDE=FQ","FILING_STATUS=MR","Sort=A","Dates=H","DateFormat=P","Fill=—","Direction=H","UseDPDF=Y")</f>
        <v>97.93</v>
      </c>
      <c r="P133" s="14">
        <f>_xll.BDH("BLUE US Equity","ARDR_AVG_EXER_PX_OPT_OUTSTANDING","FQ3 2021","FQ3 2021","Currency=USD","Period=FQ","BEST_FPERIOD_OVERRIDE=FQ","FILING_STATUS=MR","Sort=A","Dates=H","DateFormat=P","Fill=—","Direction=H","UseDPDF=Y")</f>
        <v>92.68</v>
      </c>
      <c r="Q133" s="14">
        <f>_xll.BDH("BLUE US Equity","ARDR_AVG_EXER_PX_OPT_OUTSTANDING","FQ4 2021","FQ4 2021","Currency=USD","Period=FQ","BEST_FPERIOD_OVERRIDE=FQ","FILING_STATUS=MR","Sort=A","Dates=H","DateFormat=P","Fill=—","Direction=H","UseDPDF=Y")</f>
        <v>39.229999999999997</v>
      </c>
      <c r="R133" s="14">
        <f>_xll.BDH("BLUE US Equity","ARDR_AVG_EXER_PX_OPT_OUTSTANDING","FQ1 2022","FQ1 2022","Currency=USD","Period=FQ","BEST_FPERIOD_OVERRIDE=FQ","FILING_STATUS=MR","Sort=A","Dates=H","DateFormat=P","Fill=—","Direction=H","UseDPDF=Y")</f>
        <v>29.14</v>
      </c>
      <c r="S133" s="14">
        <f>_xll.BDH("BLUE US Equity","ARDR_AVG_EXER_PX_OPT_OUTSTANDING","FQ2 2022","FQ2 2022","Currency=USD","Period=FQ","BEST_FPERIOD_OVERRIDE=FQ","FILING_STATUS=MR","Sort=A","Dates=H","DateFormat=P","Fill=—","Direction=H","UseDPDF=Y")</f>
        <v>29.48</v>
      </c>
      <c r="T133" s="14">
        <f>_xll.BDH("BLUE US Equity","ARDR_AVG_EXER_PX_OPT_OUTSTANDING","FQ3 2022","FQ3 2022","Currency=USD","Period=FQ","BEST_FPERIOD_OVERRIDE=FQ","FILING_STATUS=MR","Sort=A","Dates=H","DateFormat=P","Fill=—","Direction=H","UseDPDF=Y")</f>
        <v>27.78</v>
      </c>
      <c r="U133" s="14">
        <f>_xll.BDH("BLUE US Equity","ARDR_AVG_EXER_PX_OPT_OUTSTANDING","FQ4 2022","FQ4 2022","Currency=USD","Period=FQ","BEST_FPERIOD_OVERRIDE=FQ","FILING_STATUS=MR","Sort=A","Dates=H","DateFormat=P","Fill=—","Direction=H","UseDPDF=Y")</f>
        <v>24.38</v>
      </c>
      <c r="V133" s="14">
        <f>_xll.BDH("BLUE US Equity","ARDR_AVG_EXER_PX_OPT_OUTSTANDING","FQ1 2023","FQ1 2023","Currency=USD","Period=FQ","BEST_FPERIOD_OVERRIDE=FQ","FILING_STATUS=MR","Sort=A","Dates=H","DateFormat=P","Fill=—","Direction=H","UseDPDF=Y")</f>
        <v>16.77</v>
      </c>
      <c r="W133" s="14">
        <f>_xll.BDH("BLUE US Equity","ARDR_AVG_EXER_PX_OPT_OUTSTANDING","FQ2 2023","FQ2 2023","Currency=USD","Period=FQ","BEST_FPERIOD_OVERRIDE=FQ","FILING_STATUS=MR","Sort=A","Dates=H","DateFormat=P","Fill=—","Direction=H","UseDPDF=Y")</f>
        <v>15.91</v>
      </c>
      <c r="X133" s="14">
        <f>_xll.BDH("BLUE US Equity","ARDR_AVG_EXER_PX_OPT_OUTSTANDING","FQ3 2023","FQ3 2023","Currency=USD","Period=FQ","BEST_FPERIOD_OVERRIDE=FQ","FILING_STATUS=MR","Sort=A","Dates=H","DateFormat=P","Fill=—","Direction=H","UseDPDF=Y")</f>
        <v>14.35</v>
      </c>
      <c r="Y133" s="14">
        <f>_xll.BDH("BLUE US Equity","ARDR_AVG_EXER_PX_OPT_OUTSTANDING","FQ1 2024","FQ1 2024","Currency=USD","Period=FQ","BEST_FPERIOD_OVERRIDE=FQ","FILING_STATUS=MR","Sort=A","Dates=H","DateFormat=P","Fill=—","Direction=H","UseDPDF=Y")</f>
        <v>9.16</v>
      </c>
      <c r="Z133" s="14">
        <f>_xll.BDH("BLUE US Equity","ARDR_AVG_EXER_PX_OPT_OUTSTANDING","FQ2 2024","FQ2 2024","Currency=USD","Period=FQ","BEST_FPERIOD_OVERRIDE=FQ","FILING_STATUS=MR","Sort=A","Dates=H","DateFormat=P","Fill=—","Direction=H","UseDPDF=Y")</f>
        <v>9.1300000000000008</v>
      </c>
      <c r="AA133" s="14">
        <f>_xll.BDH("BLUE US Equity","ARDR_AVG_EXER_PX_OPT_OUTSTANDING","FQ3 2024","FQ3 2024","Currency=USD","Period=FQ","BEST_FPERIOD_OVERRIDE=FQ","FILING_STATUS=MR","Sort=A","Dates=H","DateFormat=P","Fill=—","Direction=H","UseDPDF=Y")</f>
        <v>8.66</v>
      </c>
    </row>
    <row r="134" spans="1:27" x14ac:dyDescent="0.25">
      <c r="A134" s="10" t="s">
        <v>979</v>
      </c>
      <c r="B134" s="10" t="s">
        <v>980</v>
      </c>
      <c r="C134" s="13">
        <f>_xll.BDH("BLUE US Equity","ARDR_OPTIONS_EXERCISABLE","FQ2 2018","FQ2 2018","Currency=USD","Period=FQ","BEST_FPERIOD_OVERRIDE=FQ","FILING_STATUS=MR","Sort=A","Dates=H","DateFormat=P","Fill=—","Direction=H","UseDPDF=Y")</f>
        <v>1.954</v>
      </c>
      <c r="D134" s="13">
        <f>_xll.BDH("BLUE US Equity","ARDR_OPTIONS_EXERCISABLE","FQ3 2018","FQ3 2018","Currency=USD","Period=FQ","BEST_FPERIOD_OVERRIDE=FQ","FILING_STATUS=MR","Sort=A","Dates=H","DateFormat=P","Fill=—","Direction=H","UseDPDF=Y")</f>
        <v>2.0350000000000001</v>
      </c>
      <c r="E134" s="13">
        <f>_xll.BDH("BLUE US Equity","ARDR_OPTIONS_EXERCISABLE","FQ4 2018","FQ4 2018","Currency=USD","Period=FQ","BEST_FPERIOD_OVERRIDE=FQ","FILING_STATUS=MR","Sort=A","Dates=H","DateFormat=P","Fill=—","Direction=H","UseDPDF=Y")</f>
        <v>2.2000000000000002</v>
      </c>
      <c r="F134" s="13">
        <f>_xll.BDH("BLUE US Equity","ARDR_OPTIONS_EXERCISABLE","FQ1 2019","FQ1 2019","Currency=USD","Period=FQ","BEST_FPERIOD_OVERRIDE=FQ","FILING_STATUS=MR","Sort=A","Dates=H","DateFormat=P","Fill=—","Direction=H","UseDPDF=Y")</f>
        <v>2.3719999999999999</v>
      </c>
      <c r="G134" s="13">
        <f>_xll.BDH("BLUE US Equity","ARDR_OPTIONS_EXERCISABLE","FQ2 2019","FQ2 2019","Currency=USD","Period=FQ","BEST_FPERIOD_OVERRIDE=FQ","FILING_STATUS=MR","Sort=A","Dates=H","DateFormat=P","Fill=—","Direction=H","UseDPDF=Y")</f>
        <v>2.52</v>
      </c>
      <c r="H134" s="13">
        <f>_xll.BDH("BLUE US Equity","ARDR_OPTIONS_EXERCISABLE","FQ3 2019","FQ3 2019","Currency=USD","Period=FQ","BEST_FPERIOD_OVERRIDE=FQ","FILING_STATUS=MR","Sort=A","Dates=H","DateFormat=P","Fill=—","Direction=H","UseDPDF=Y")</f>
        <v>2.68</v>
      </c>
      <c r="I134" s="13">
        <f>_xll.BDH("BLUE US Equity","ARDR_OPTIONS_EXERCISABLE","FQ4 2019","FQ4 2019","Currency=USD","Period=FQ","BEST_FPERIOD_OVERRIDE=FQ","FILING_STATUS=MR","Sort=A","Dates=H","DateFormat=P","Fill=—","Direction=H","UseDPDF=Y")</f>
        <v>2.8530000000000002</v>
      </c>
      <c r="J134" s="13">
        <f>_xll.BDH("BLUE US Equity","ARDR_OPTIONS_EXERCISABLE","FQ1 2020","FQ1 2020","Currency=USD","Period=FQ","BEST_FPERIOD_OVERRIDE=FQ","FILING_STATUS=MR","Sort=A","Dates=H","DateFormat=P","Fill=—","Direction=H","UseDPDF=Y")</f>
        <v>3.2480000000000002</v>
      </c>
      <c r="K134" s="13">
        <f>_xll.BDH("BLUE US Equity","ARDR_OPTIONS_EXERCISABLE","FQ2 2020","FQ2 2020","Currency=USD","Period=FQ","BEST_FPERIOD_OVERRIDE=FQ","FILING_STATUS=MR","Sort=A","Dates=H","DateFormat=P","Fill=—","Direction=H","UseDPDF=Y")</f>
        <v>3.4420000000000002</v>
      </c>
      <c r="L134" s="13">
        <f>_xll.BDH("BLUE US Equity","ARDR_OPTIONS_EXERCISABLE","FQ3 2020","FQ3 2020","Currency=USD","Period=FQ","BEST_FPERIOD_OVERRIDE=FQ","FILING_STATUS=MR","Sort=A","Dates=H","DateFormat=P","Fill=—","Direction=H","UseDPDF=Y")</f>
        <v>3.6110000000000002</v>
      </c>
      <c r="M134" s="13">
        <f>_xll.BDH("BLUE US Equity","ARDR_OPTIONS_EXERCISABLE","FQ4 2020","FQ4 2020","Currency=USD","Period=FQ","BEST_FPERIOD_OVERRIDE=FQ","FILING_STATUS=MR","Sort=A","Dates=H","DateFormat=P","Fill=—","Direction=H","UseDPDF=Y")</f>
        <v>3.669</v>
      </c>
      <c r="N134" s="13">
        <f>_xll.BDH("BLUE US Equity","ARDR_OPTIONS_EXERCISABLE","FQ1 2021","FQ1 2021","Currency=USD","Period=FQ","BEST_FPERIOD_OVERRIDE=FQ","FILING_STATUS=MR","Sort=A","Dates=H","DateFormat=P","Fill=—","Direction=H","UseDPDF=Y")</f>
        <v>3.8290000000000002</v>
      </c>
      <c r="O134" s="13">
        <f>_xll.BDH("BLUE US Equity","ARDR_OPTIONS_EXERCISABLE","FQ2 2021","FQ2 2021","Currency=USD","Period=FQ","BEST_FPERIOD_OVERRIDE=FQ","FILING_STATUS=MR","Sort=A","Dates=H","DateFormat=P","Fill=—","Direction=H","UseDPDF=Y")</f>
        <v>3.8540000000000001</v>
      </c>
      <c r="P134" s="13">
        <f>_xll.BDH("BLUE US Equity","ARDR_OPTIONS_EXERCISABLE","FQ3 2021","FQ3 2021","Currency=USD","Period=FQ","BEST_FPERIOD_OVERRIDE=FQ","FILING_STATUS=MR","Sort=A","Dates=H","DateFormat=P","Fill=—","Direction=H","UseDPDF=Y")</f>
        <v>3.5270000000000001</v>
      </c>
      <c r="Q134" s="13">
        <f>_xll.BDH("BLUE US Equity","ARDR_OPTIONS_EXERCISABLE","FQ4 2021","FQ4 2021","Currency=USD","Period=FQ","BEST_FPERIOD_OVERRIDE=FQ","FILING_STATUS=MR","Sort=A","Dates=H","DateFormat=P","Fill=—","Direction=H","UseDPDF=Y")</f>
        <v>1.835</v>
      </c>
      <c r="R134" s="13">
        <f>_xll.BDH("BLUE US Equity","ARDR_OPTIONS_EXERCISABLE","FQ1 2022","FQ1 2022","Currency=USD","Period=FQ","BEST_FPERIOD_OVERRIDE=FQ","FILING_STATUS=MR","Sort=A","Dates=H","DateFormat=P","Fill=—","Direction=H","UseDPDF=Y")</f>
        <v>1.4059999999999999</v>
      </c>
      <c r="S134" s="13">
        <f>_xll.BDH("BLUE US Equity","ARDR_OPTIONS_EXERCISABLE","FQ2 2022","FQ2 2022","Currency=USD","Period=FQ","BEST_FPERIOD_OVERRIDE=FQ","FILING_STATUS=MR","Sort=A","Dates=H","DateFormat=P","Fill=—","Direction=H","UseDPDF=Y")</f>
        <v>1.296</v>
      </c>
      <c r="T134" s="13">
        <f>_xll.BDH("BLUE US Equity","ARDR_OPTIONS_EXERCISABLE","FQ3 2022","FQ3 2022","Currency=USD","Period=FQ","BEST_FPERIOD_OVERRIDE=FQ","FILING_STATUS=MR","Sort=A","Dates=H","DateFormat=P","Fill=—","Direction=H","UseDPDF=Y")</f>
        <v>1.2310000000000001</v>
      </c>
      <c r="U134" s="13">
        <f>_xll.BDH("BLUE US Equity","ARDR_OPTIONS_EXERCISABLE","FQ4 2022","FQ4 2022","Currency=USD","Period=FQ","BEST_FPERIOD_OVERRIDE=FQ","FILING_STATUS=MR","Sort=A","Dates=H","DateFormat=P","Fill=—","Direction=H","UseDPDF=Y")</f>
        <v>1.123</v>
      </c>
      <c r="V134" s="13">
        <f>_xll.BDH("BLUE US Equity","ARDR_OPTIONS_EXERCISABLE","FQ1 2023","FQ1 2023","Currency=USD","Period=FQ","BEST_FPERIOD_OVERRIDE=FQ","FILING_STATUS=MR","Sort=A","Dates=H","DateFormat=P","Fill=—","Direction=H","UseDPDF=Y")</f>
        <v>1.3129999999999999</v>
      </c>
      <c r="W134" s="13">
        <f>_xll.BDH("BLUE US Equity","ARDR_OPTIONS_EXERCISABLE","FQ2 2023","FQ2 2023","Currency=USD","Period=FQ","BEST_FPERIOD_OVERRIDE=FQ","FILING_STATUS=MR","Sort=A","Dates=H","DateFormat=P","Fill=—","Direction=H","UseDPDF=Y")</f>
        <v>1.425</v>
      </c>
      <c r="X134" s="13">
        <f>_xll.BDH("BLUE US Equity","ARDR_OPTIONS_EXERCISABLE","FQ3 2023","FQ3 2023","Currency=USD","Period=FQ","BEST_FPERIOD_OVERRIDE=FQ","FILING_STATUS=MR","Sort=A","Dates=H","DateFormat=P","Fill=—","Direction=H","UseDPDF=Y")</f>
        <v>1.347</v>
      </c>
      <c r="Y134" s="13">
        <f>_xll.BDH("BLUE US Equity","ARDR_OPTIONS_EXERCISABLE","FQ1 2024","FQ1 2024","Currency=USD","Period=FQ","BEST_FPERIOD_OVERRIDE=FQ","FILING_STATUS=MR","Sort=A","Dates=H","DateFormat=P","Fill=—","Direction=H","UseDPDF=Y")</f>
        <v>1.871</v>
      </c>
      <c r="Z134" s="13">
        <f>_xll.BDH("BLUE US Equity","ARDR_OPTIONS_EXERCISABLE","FQ2 2024","FQ2 2024","Currency=USD","Period=FQ","BEST_FPERIOD_OVERRIDE=FQ","FILING_STATUS=MR","Sort=A","Dates=H","DateFormat=P","Fill=—","Direction=H","UseDPDF=Y")</f>
        <v>2.1960000000000002</v>
      </c>
      <c r="AA134" s="13">
        <f>_xll.BDH("BLUE US Equity","ARDR_OPTIONS_EXERCISABLE","FQ3 2024","FQ3 2024","Currency=USD","Period=FQ","BEST_FPERIOD_OVERRIDE=FQ","FILING_STATUS=MR","Sort=A","Dates=H","DateFormat=P","Fill=—","Direction=H","UseDPDF=Y")</f>
        <v>2.29</v>
      </c>
    </row>
    <row r="135" spans="1:27" x14ac:dyDescent="0.25">
      <c r="A135" s="10" t="s">
        <v>981</v>
      </c>
      <c r="B135" s="10" t="s">
        <v>982</v>
      </c>
      <c r="C135" s="13" t="str">
        <f>_xll.BDH("BLUE US Equity","ARD_CAPITAL_LEASE_INTEREST","FQ2 2018","FQ2 2018","Currency=USD","Period=FQ","BEST_FPERIOD_OVERRIDE=FQ","FILING_STATUS=MR","SCALING_FORMAT=MLN","Sort=A","Dates=H","DateFormat=P","Fill=—","Direction=H","UseDPDF=Y")</f>
        <v>—</v>
      </c>
      <c r="D135" s="13" t="str">
        <f>_xll.BDH("BLUE US Equity","ARD_CAPITAL_LEASE_INTEREST","FQ3 2018","FQ3 2018","Currency=USD","Period=FQ","BEST_FPERIOD_OVERRIDE=FQ","FILING_STATUS=MR","SCALING_FORMAT=MLN","Sort=A","Dates=H","DateFormat=P","Fill=—","Direction=H","UseDPDF=Y")</f>
        <v>—</v>
      </c>
      <c r="E135" s="13" t="str">
        <f>_xll.BDH("BLUE US Equity","ARD_CAPITAL_LEASE_INTEREST","FQ4 2018","FQ4 2018","Currency=USD","Period=FQ","BEST_FPERIOD_OVERRIDE=FQ","FILING_STATUS=MR","SCALING_FORMAT=MLN","Sort=A","Dates=H","DateFormat=P","Fill=—","Direction=H","UseDPDF=Y")</f>
        <v>—</v>
      </c>
      <c r="F135" s="13" t="str">
        <f>_xll.BDH("BLUE US Equity","ARD_CAPITAL_LEASE_INTEREST","FQ1 2019","FQ1 2019","Currency=USD","Period=FQ","BEST_FPERIOD_OVERRIDE=FQ","FILING_STATUS=MR","SCALING_FORMAT=MLN","Sort=A","Dates=H","DateFormat=P","Fill=—","Direction=H","UseDPDF=Y")</f>
        <v>—</v>
      </c>
      <c r="G135" s="13" t="str">
        <f>_xll.BDH("BLUE US Equity","ARD_CAPITAL_LEASE_INTEREST","FQ2 2019","FQ2 2019","Currency=USD","Period=FQ","BEST_FPERIOD_OVERRIDE=FQ","FILING_STATUS=MR","SCALING_FORMAT=MLN","Sort=A","Dates=H","DateFormat=P","Fill=—","Direction=H","UseDPDF=Y")</f>
        <v>—</v>
      </c>
      <c r="H135" s="13" t="str">
        <f>_xll.BDH("BLUE US Equity","ARD_CAPITAL_LEASE_INTEREST","FQ3 2019","FQ3 2019","Currency=USD","Period=FQ","BEST_FPERIOD_OVERRIDE=FQ","FILING_STATUS=MR","SCALING_FORMAT=MLN","Sort=A","Dates=H","DateFormat=P","Fill=—","Direction=H","UseDPDF=Y")</f>
        <v>—</v>
      </c>
      <c r="I135" s="13" t="str">
        <f>_xll.BDH("BLUE US Equity","ARD_CAPITAL_LEASE_INTEREST","FQ4 2019","FQ4 2019","Currency=USD","Period=FQ","BEST_FPERIOD_OVERRIDE=FQ","FILING_STATUS=MR","SCALING_FORMAT=MLN","Sort=A","Dates=H","DateFormat=P","Fill=—","Direction=H","UseDPDF=Y")</f>
        <v>—</v>
      </c>
      <c r="J135" s="13" t="str">
        <f>_xll.BDH("BLUE US Equity","ARD_CAPITAL_LEASE_INTEREST","FQ1 2020","FQ1 2020","Currency=USD","Period=FQ","BEST_FPERIOD_OVERRIDE=FQ","FILING_STATUS=MR","SCALING_FORMAT=MLN","Sort=A","Dates=H","DateFormat=P","Fill=—","Direction=H","UseDPDF=Y")</f>
        <v>—</v>
      </c>
      <c r="K135" s="13" t="str">
        <f>_xll.BDH("BLUE US Equity","ARD_CAPITAL_LEASE_INTEREST","FQ2 2020","FQ2 2020","Currency=USD","Period=FQ","BEST_FPERIOD_OVERRIDE=FQ","FILING_STATUS=MR","SCALING_FORMAT=MLN","Sort=A","Dates=H","DateFormat=P","Fill=—","Direction=H","UseDPDF=Y")</f>
        <v>—</v>
      </c>
      <c r="L135" s="13" t="str">
        <f>_xll.BDH("BLUE US Equity","ARD_CAPITAL_LEASE_INTEREST","FQ3 2020","FQ3 2020","Currency=USD","Period=FQ","BEST_FPERIOD_OVERRIDE=FQ","FILING_STATUS=MR","SCALING_FORMAT=MLN","Sort=A","Dates=H","DateFormat=P","Fill=—","Direction=H","UseDPDF=Y")</f>
        <v>—</v>
      </c>
      <c r="M135" s="13" t="str">
        <f>_xll.BDH("BLUE US Equity","ARD_CAPITAL_LEASE_INTEREST","FQ4 2020","FQ4 2020","Currency=USD","Period=FQ","BEST_FPERIOD_OVERRIDE=FQ","FILING_STATUS=MR","SCALING_FORMAT=MLN","Sort=A","Dates=H","DateFormat=P","Fill=—","Direction=H","UseDPDF=Y")</f>
        <v>—</v>
      </c>
      <c r="N135" s="13" t="str">
        <f>_xll.BDH("BLUE US Equity","ARD_CAPITAL_LEASE_INTEREST","FQ1 2021","FQ1 2021","Currency=USD","Period=FQ","BEST_FPERIOD_OVERRIDE=FQ","FILING_STATUS=MR","SCALING_FORMAT=MLN","Sort=A","Dates=H","DateFormat=P","Fill=—","Direction=H","UseDPDF=Y")</f>
        <v>—</v>
      </c>
      <c r="O135" s="13" t="str">
        <f>_xll.BDH("BLUE US Equity","ARD_CAPITAL_LEASE_INTEREST","FQ2 2021","FQ2 2021","Currency=USD","Period=FQ","BEST_FPERIOD_OVERRIDE=FQ","FILING_STATUS=MR","SCALING_FORMAT=MLN","Sort=A","Dates=H","DateFormat=P","Fill=—","Direction=H","UseDPDF=Y")</f>
        <v>—</v>
      </c>
      <c r="P135" s="13" t="str">
        <f>_xll.BDH("BLUE US Equity","ARD_CAPITAL_LEASE_INTEREST","FQ3 2021","FQ3 2021","Currency=USD","Period=FQ","BEST_FPERIOD_OVERRIDE=FQ","FILING_STATUS=MR","SCALING_FORMAT=MLN","Sort=A","Dates=H","DateFormat=P","Fill=—","Direction=H","UseDPDF=Y")</f>
        <v>—</v>
      </c>
      <c r="Q135" s="13" t="str">
        <f>_xll.BDH("BLUE US Equity","ARD_CAPITAL_LEASE_INTEREST","FQ4 2021","FQ4 2021","Currency=USD","Period=FQ","BEST_FPERIOD_OVERRIDE=FQ","FILING_STATUS=MR","SCALING_FORMAT=MLN","Sort=A","Dates=H","DateFormat=P","Fill=—","Direction=H","UseDPDF=Y")</f>
        <v>—</v>
      </c>
      <c r="R135" s="13" t="str">
        <f>_xll.BDH("BLUE US Equity","ARD_CAPITAL_LEASE_INTEREST","FQ1 2022","FQ1 2022","Currency=USD","Period=FQ","BEST_FPERIOD_OVERRIDE=FQ","FILING_STATUS=MR","SCALING_FORMAT=MLN","Sort=A","Dates=H","DateFormat=P","Fill=—","Direction=H","UseDPDF=Y")</f>
        <v>—</v>
      </c>
      <c r="S135" s="13" t="str">
        <f>_xll.BDH("BLUE US Equity","ARD_CAPITAL_LEASE_INTEREST","FQ2 2022","FQ2 2022","Currency=USD","Period=FQ","BEST_FPERIOD_OVERRIDE=FQ","FILING_STATUS=MR","SCALING_FORMAT=MLN","Sort=A","Dates=H","DateFormat=P","Fill=—","Direction=H","UseDPDF=Y")</f>
        <v>—</v>
      </c>
      <c r="T135" s="13" t="str">
        <f>_xll.BDH("BLUE US Equity","ARD_CAPITAL_LEASE_INTEREST","FQ3 2022","FQ3 2022","Currency=USD","Period=FQ","BEST_FPERIOD_OVERRIDE=FQ","FILING_STATUS=MR","SCALING_FORMAT=MLN","Sort=A","Dates=H","DateFormat=P","Fill=—","Direction=H","UseDPDF=Y")</f>
        <v>—</v>
      </c>
      <c r="U135" s="13" t="str">
        <f>_xll.BDH("BLUE US Equity","ARD_CAPITAL_LEASE_INTEREST","FQ4 2022","FQ4 2022","Currency=USD","Period=FQ","BEST_FPERIOD_OVERRIDE=FQ","FILING_STATUS=MR","SCALING_FORMAT=MLN","Sort=A","Dates=H","DateFormat=P","Fill=—","Direction=H","UseDPDF=Y")</f>
        <v>—</v>
      </c>
      <c r="V135" s="13" t="str">
        <f>_xll.BDH("BLUE US Equity","ARD_CAPITAL_LEASE_INTEREST","FQ1 2023","FQ1 2023","Currency=USD","Period=FQ","BEST_FPERIOD_OVERRIDE=FQ","FILING_STATUS=MR","SCALING_FORMAT=MLN","Sort=A","Dates=H","DateFormat=P","Fill=—","Direction=H","UseDPDF=Y")</f>
        <v>—</v>
      </c>
      <c r="W135" s="13" t="str">
        <f>_xll.BDH("BLUE US Equity","ARD_CAPITAL_LEASE_INTEREST","FQ2 2023","FQ2 2023","Currency=USD","Period=FQ","BEST_FPERIOD_OVERRIDE=FQ","FILING_STATUS=MR","SCALING_FORMAT=MLN","Sort=A","Dates=H","DateFormat=P","Fill=—","Direction=H","UseDPDF=Y")</f>
        <v>—</v>
      </c>
      <c r="X135" s="13" t="str">
        <f>_xll.BDH("BLUE US Equity","ARD_CAPITAL_LEASE_INTEREST","FQ3 2023","FQ3 2023","Currency=USD","Period=FQ","BEST_FPERIOD_OVERRIDE=FQ","FILING_STATUS=MR","SCALING_FORMAT=MLN","Sort=A","Dates=H","DateFormat=P","Fill=—","Direction=H","UseDPDF=Y")</f>
        <v>—</v>
      </c>
      <c r="Y135" s="13">
        <f>_xll.BDH("BLUE US Equity","ARD_CAPITAL_LEASE_INTEREST","FQ1 2024","FQ1 2024","Currency=USD","Period=FQ","BEST_FPERIOD_OVERRIDE=FQ","FILING_STATUS=MR","SCALING_FORMAT=MLN","Sort=A","Dates=H","DateFormat=P","Fill=—","Direction=H","UseDPDF=Y")</f>
        <v>10.259</v>
      </c>
      <c r="Z135" s="13">
        <f>_xll.BDH("BLUE US Equity","ARD_CAPITAL_LEASE_INTEREST","FQ2 2024","FQ2 2024","Currency=USD","Period=FQ","BEST_FPERIOD_OVERRIDE=FQ","FILING_STATUS=MR","SCALING_FORMAT=MLN","Sort=A","Dates=H","DateFormat=P","Fill=—","Direction=H","UseDPDF=Y")</f>
        <v>6.5519999999999996</v>
      </c>
      <c r="AA135" s="13">
        <f>_xll.BDH("BLUE US Equity","ARD_CAPITAL_LEASE_INTEREST","FQ3 2024","FQ3 2024","Currency=USD","Period=FQ","BEST_FPERIOD_OVERRIDE=FQ","FILING_STATUS=MR","SCALING_FORMAT=MLN","Sort=A","Dates=H","DateFormat=P","Fill=—","Direction=H","UseDPDF=Y")</f>
        <v>4.0359999999999996</v>
      </c>
    </row>
    <row r="136" spans="1:27" x14ac:dyDescent="0.25">
      <c r="A136" s="10" t="s">
        <v>983</v>
      </c>
      <c r="B136" s="10" t="s">
        <v>984</v>
      </c>
      <c r="C136" s="13" t="str">
        <f>_xll.BDH("BLUE US Equity","ARDR_DEFERRED_TAX_ALLOWANCE","FQ2 2018","FQ2 2018","Currency=USD","Period=FQ","BEST_FPERIOD_OVERRIDE=FQ","FILING_STATUS=MR","SCALING_FORMAT=MLN","Sort=A","Dates=H","DateFormat=P","Fill=—","Direction=H","UseDPDF=Y")</f>
        <v>—</v>
      </c>
      <c r="D136" s="13" t="str">
        <f>_xll.BDH("BLUE US Equity","ARDR_DEFERRED_TAX_ALLOWANCE","FQ3 2018","FQ3 2018","Currency=USD","Period=FQ","BEST_FPERIOD_OVERRIDE=FQ","FILING_STATUS=MR","SCALING_FORMAT=MLN","Sort=A","Dates=H","DateFormat=P","Fill=—","Direction=H","UseDPDF=Y")</f>
        <v>—</v>
      </c>
      <c r="E136" s="13">
        <f>_xll.BDH("BLUE US Equity","ARDR_DEFERRED_TAX_ALLOWANCE","FQ4 2018","FQ4 2018","Currency=USD","Period=FQ","BEST_FPERIOD_OVERRIDE=FQ","FILING_STATUS=MR","SCALING_FORMAT=MLN","Sort=A","Dates=H","DateFormat=P","Fill=—","Direction=H","UseDPDF=Y")</f>
        <v>543.495</v>
      </c>
      <c r="F136" s="13" t="str">
        <f>_xll.BDH("BLUE US Equity","ARDR_DEFERRED_TAX_ALLOWANCE","FQ1 2019","FQ1 2019","Currency=USD","Period=FQ","BEST_FPERIOD_OVERRIDE=FQ","FILING_STATUS=MR","SCALING_FORMAT=MLN","Sort=A","Dates=H","DateFormat=P","Fill=—","Direction=H","UseDPDF=Y")</f>
        <v>—</v>
      </c>
      <c r="G136" s="13" t="str">
        <f>_xll.BDH("BLUE US Equity","ARDR_DEFERRED_TAX_ALLOWANCE","FQ2 2019","FQ2 2019","Currency=USD","Period=FQ","BEST_FPERIOD_OVERRIDE=FQ","FILING_STATUS=MR","SCALING_FORMAT=MLN","Sort=A","Dates=H","DateFormat=P","Fill=—","Direction=H","UseDPDF=Y")</f>
        <v>—</v>
      </c>
      <c r="H136" s="13" t="str">
        <f>_xll.BDH("BLUE US Equity","ARDR_DEFERRED_TAX_ALLOWANCE","FQ3 2019","FQ3 2019","Currency=USD","Period=FQ","BEST_FPERIOD_OVERRIDE=FQ","FILING_STATUS=MR","SCALING_FORMAT=MLN","Sort=A","Dates=H","DateFormat=P","Fill=—","Direction=H","UseDPDF=Y")</f>
        <v>—</v>
      </c>
      <c r="I136" s="13">
        <f>_xll.BDH("BLUE US Equity","ARDR_DEFERRED_TAX_ALLOWANCE","FQ4 2019","FQ4 2019","Currency=USD","Period=FQ","BEST_FPERIOD_OVERRIDE=FQ","FILING_STATUS=MR","SCALING_FORMAT=MLN","Sort=A","Dates=H","DateFormat=P","Fill=—","Direction=H","UseDPDF=Y")</f>
        <v>744.56899999999996</v>
      </c>
      <c r="J136" s="13" t="str">
        <f>_xll.BDH("BLUE US Equity","ARDR_DEFERRED_TAX_ALLOWANCE","FQ1 2020","FQ1 2020","Currency=USD","Period=FQ","BEST_FPERIOD_OVERRIDE=FQ","FILING_STATUS=MR","SCALING_FORMAT=MLN","Sort=A","Dates=H","DateFormat=P","Fill=—","Direction=H","UseDPDF=Y")</f>
        <v>—</v>
      </c>
      <c r="K136" s="13" t="str">
        <f>_xll.BDH("BLUE US Equity","ARDR_DEFERRED_TAX_ALLOWANCE","FQ2 2020","FQ2 2020","Currency=USD","Period=FQ","BEST_FPERIOD_OVERRIDE=FQ","FILING_STATUS=MR","SCALING_FORMAT=MLN","Sort=A","Dates=H","DateFormat=P","Fill=—","Direction=H","UseDPDF=Y")</f>
        <v>—</v>
      </c>
      <c r="L136" s="13" t="str">
        <f>_xll.BDH("BLUE US Equity","ARDR_DEFERRED_TAX_ALLOWANCE","FQ3 2020","FQ3 2020","Currency=USD","Period=FQ","BEST_FPERIOD_OVERRIDE=FQ","FILING_STATUS=MR","SCALING_FORMAT=MLN","Sort=A","Dates=H","DateFormat=P","Fill=—","Direction=H","UseDPDF=Y")</f>
        <v>—</v>
      </c>
      <c r="M136" s="13">
        <f>_xll.BDH("BLUE US Equity","ARDR_DEFERRED_TAX_ALLOWANCE","FQ4 2020","FQ4 2020","Currency=USD","Period=FQ","BEST_FPERIOD_OVERRIDE=FQ","FILING_STATUS=MR","SCALING_FORMAT=MLN","Sort=A","Dates=H","DateFormat=P","Fill=—","Direction=H","UseDPDF=Y")</f>
        <v>843.38499999999999</v>
      </c>
      <c r="N136" s="13" t="str">
        <f>_xll.BDH("BLUE US Equity","ARDR_DEFERRED_TAX_ALLOWANCE","FQ1 2021","FQ1 2021","Currency=USD","Period=FQ","BEST_FPERIOD_OVERRIDE=FQ","FILING_STATUS=MR","SCALING_FORMAT=MLN","Sort=A","Dates=H","DateFormat=P","Fill=—","Direction=H","UseDPDF=Y")</f>
        <v>—</v>
      </c>
      <c r="O136" s="13" t="str">
        <f>_xll.BDH("BLUE US Equity","ARDR_DEFERRED_TAX_ALLOWANCE","FQ2 2021","FQ2 2021","Currency=USD","Period=FQ","BEST_FPERIOD_OVERRIDE=FQ","FILING_STATUS=MR","SCALING_FORMAT=MLN","Sort=A","Dates=H","DateFormat=P","Fill=—","Direction=H","UseDPDF=Y")</f>
        <v>—</v>
      </c>
      <c r="P136" s="13" t="str">
        <f>_xll.BDH("BLUE US Equity","ARDR_DEFERRED_TAX_ALLOWANCE","FQ3 2021","FQ3 2021","Currency=USD","Period=FQ","BEST_FPERIOD_OVERRIDE=FQ","FILING_STATUS=MR","SCALING_FORMAT=MLN","Sort=A","Dates=H","DateFormat=P","Fill=—","Direction=H","UseDPDF=Y")</f>
        <v>—</v>
      </c>
      <c r="Q136" s="13">
        <f>_xll.BDH("BLUE US Equity","ARDR_DEFERRED_TAX_ALLOWANCE","FQ4 2021","FQ4 2021","Currency=USD","Period=FQ","BEST_FPERIOD_OVERRIDE=FQ","FILING_STATUS=MR","SCALING_FORMAT=MLN","Sort=A","Dates=H","DateFormat=P","Fill=—","Direction=H","UseDPDF=Y")</f>
        <v>1026.749</v>
      </c>
      <c r="R136" s="13" t="str">
        <f>_xll.BDH("BLUE US Equity","ARDR_DEFERRED_TAX_ALLOWANCE","FQ1 2022","FQ1 2022","Currency=USD","Period=FQ","BEST_FPERIOD_OVERRIDE=FQ","FILING_STATUS=MR","SCALING_FORMAT=MLN","Sort=A","Dates=H","DateFormat=P","Fill=—","Direction=H","UseDPDF=Y")</f>
        <v>—</v>
      </c>
      <c r="S136" s="13" t="str">
        <f>_xll.BDH("BLUE US Equity","ARDR_DEFERRED_TAX_ALLOWANCE","FQ2 2022","FQ2 2022","Currency=USD","Period=FQ","BEST_FPERIOD_OVERRIDE=FQ","FILING_STATUS=MR","SCALING_FORMAT=MLN","Sort=A","Dates=H","DateFormat=P","Fill=—","Direction=H","UseDPDF=Y")</f>
        <v>—</v>
      </c>
      <c r="T136" s="13" t="str">
        <f>_xll.BDH("BLUE US Equity","ARDR_DEFERRED_TAX_ALLOWANCE","FQ3 2022","FQ3 2022","Currency=USD","Period=FQ","BEST_FPERIOD_OVERRIDE=FQ","FILING_STATUS=MR","SCALING_FORMAT=MLN","Sort=A","Dates=H","DateFormat=P","Fill=—","Direction=H","UseDPDF=Y")</f>
        <v>—</v>
      </c>
      <c r="U136" s="13">
        <f>_xll.BDH("BLUE US Equity","ARDR_DEFERRED_TAX_ALLOWANCE","FQ4 2022","FQ4 2022","Currency=USD","Period=FQ","BEST_FPERIOD_OVERRIDE=FQ","FILING_STATUS=MR","SCALING_FORMAT=MLN","Sort=A","Dates=H","DateFormat=P","Fill=—","Direction=H","UseDPDF=Y")</f>
        <v>1098.6379999999999</v>
      </c>
      <c r="V136" s="13" t="str">
        <f>_xll.BDH("BLUE US Equity","ARDR_DEFERRED_TAX_ALLOWANCE","FQ1 2023","FQ1 2023","Currency=USD","Period=FQ","BEST_FPERIOD_OVERRIDE=FQ","FILING_STATUS=MR","SCALING_FORMAT=MLN","Sort=A","Dates=H","DateFormat=P","Fill=—","Direction=H","UseDPDF=Y")</f>
        <v>—</v>
      </c>
      <c r="W136" s="13" t="str">
        <f>_xll.BDH("BLUE US Equity","ARDR_DEFERRED_TAX_ALLOWANCE","FQ2 2023","FQ2 2023","Currency=USD","Period=FQ","BEST_FPERIOD_OVERRIDE=FQ","FILING_STATUS=MR","SCALING_FORMAT=MLN","Sort=A","Dates=H","DateFormat=P","Fill=—","Direction=H","UseDPDF=Y")</f>
        <v>—</v>
      </c>
      <c r="X136" s="13" t="str">
        <f>_xll.BDH("BLUE US Equity","ARDR_DEFERRED_TAX_ALLOWANCE","FQ3 2023","FQ3 2023","Currency=USD","Period=FQ","BEST_FPERIOD_OVERRIDE=FQ","FILING_STATUS=MR","SCALING_FORMAT=MLN","Sort=A","Dates=H","DateFormat=P","Fill=—","Direction=H","UseDPDF=Y")</f>
        <v>—</v>
      </c>
      <c r="Y136" s="13" t="str">
        <f>_xll.BDH("BLUE US Equity","ARDR_DEFERRED_TAX_ALLOWANCE","FQ1 2024","FQ1 2024","Currency=USD","Period=FQ","BEST_FPERIOD_OVERRIDE=FQ","FILING_STATUS=MR","SCALING_FORMAT=MLN","Sort=A","Dates=H","DateFormat=P","Fill=—","Direction=H","UseDPDF=Y")</f>
        <v>—</v>
      </c>
      <c r="Z136" s="13" t="str">
        <f>_xll.BDH("BLUE US Equity","ARDR_DEFERRED_TAX_ALLOWANCE","FQ2 2024","FQ2 2024","Currency=USD","Period=FQ","BEST_FPERIOD_OVERRIDE=FQ","FILING_STATUS=MR","SCALING_FORMAT=MLN","Sort=A","Dates=H","DateFormat=P","Fill=—","Direction=H","UseDPDF=Y")</f>
        <v>—</v>
      </c>
      <c r="AA136" s="13" t="str">
        <f>_xll.BDH("BLUE US Equity","ARDR_DEFERRED_TAX_ALLOWANCE","FQ3 2024","FQ3 2024","Currency=USD","Period=FQ","BEST_FPERIOD_OVERRIDE=FQ","FILING_STATUS=MR","SCALING_FORMAT=MLN","Sort=A","Dates=H","DateFormat=P","Fill=—","Direction=H","UseDPDF=Y")</f>
        <v>—</v>
      </c>
    </row>
    <row r="137" spans="1:27" x14ac:dyDescent="0.25">
      <c r="A137" s="10" t="s">
        <v>985</v>
      </c>
      <c r="B137" s="10" t="s">
        <v>986</v>
      </c>
      <c r="C137" s="13">
        <f>_xll.BDH("BLUE US Equity","ARDR_FV_ASSETS_REC_L1_CASH_SECS","FQ2 2018","FQ2 2018","Currency=USD","Period=FQ","BEST_FPERIOD_OVERRIDE=FQ","FILING_STATUS=MR","SCALING_FORMAT=MLN","Sort=A","Dates=H","DateFormat=P","Fill=—","Direction=H","UseDPDF=Y")</f>
        <v>333.94900000000001</v>
      </c>
      <c r="D137" s="13" t="str">
        <f>_xll.BDH("BLUE US Equity","ARDR_FV_ASSETS_REC_L1_CASH_SECS","FQ3 2018","FQ3 2018","Currency=USD","Period=FQ","BEST_FPERIOD_OVERRIDE=FQ","FILING_STATUS=MR","SCALING_FORMAT=MLN","Sort=A","Dates=H","DateFormat=P","Fill=—","Direction=H","UseDPDF=Y")</f>
        <v>—</v>
      </c>
      <c r="E137" s="13">
        <f>_xll.BDH("BLUE US Equity","ARDR_FV_ASSETS_REC_L1_CASH_SECS","FQ4 2018","FQ4 2018","Currency=USD","Period=FQ","BEST_FPERIOD_OVERRIDE=FQ","FILING_STATUS=MR","SCALING_FORMAT=MLN","Sort=A","Dates=H","DateFormat=P","Fill=—","Direction=H","UseDPDF=Y")</f>
        <v>370.80500000000001</v>
      </c>
      <c r="F137" s="13">
        <f>_xll.BDH("BLUE US Equity","ARDR_FV_ASSETS_REC_L1_CASH_SECS","FQ1 2019","FQ1 2019","Currency=USD","Period=FQ","BEST_FPERIOD_OVERRIDE=FQ","FILING_STATUS=MR","SCALING_FORMAT=MLN","Sort=A","Dates=H","DateFormat=P","Fill=—","Direction=H","UseDPDF=Y")</f>
        <v>233.429</v>
      </c>
      <c r="G137" s="13">
        <f>_xll.BDH("BLUE US Equity","ARDR_FV_ASSETS_REC_L1_CASH_SECS","FQ2 2019","FQ2 2019","Currency=USD","Period=FQ","BEST_FPERIOD_OVERRIDE=FQ","FILING_STATUS=MR","SCALING_FORMAT=MLN","Sort=A","Dates=H","DateFormat=P","Fill=—","Direction=H","UseDPDF=Y")</f>
        <v>296.97800000000001</v>
      </c>
      <c r="H137" s="13">
        <f>_xll.BDH("BLUE US Equity","ARDR_FV_ASSETS_REC_L1_CASH_SECS","FQ3 2019","FQ3 2019","Currency=USD","Period=FQ","BEST_FPERIOD_OVERRIDE=FQ","FILING_STATUS=MR","SCALING_FORMAT=MLN","Sort=A","Dates=H","DateFormat=P","Fill=—","Direction=H","UseDPDF=Y")</f>
        <v>312.815</v>
      </c>
      <c r="I137" s="13">
        <f>_xll.BDH("BLUE US Equity","ARDR_FV_ASSETS_REC_L1_CASH_SECS","FQ4 2019","FQ4 2019","Currency=USD","Period=FQ","BEST_FPERIOD_OVERRIDE=FQ","FILING_STATUS=MR","SCALING_FORMAT=MLN","Sort=A","Dates=H","DateFormat=P","Fill=—","Direction=H","UseDPDF=Y")</f>
        <v>324.11500000000001</v>
      </c>
      <c r="J137" s="13">
        <f>_xll.BDH("BLUE US Equity","ARDR_FV_ASSETS_REC_L1_CASH_SECS","FQ1 2020","FQ1 2020","Currency=USD","Period=FQ","BEST_FPERIOD_OVERRIDE=FQ","FILING_STATUS=MR","SCALING_FORMAT=MLN","Sort=A","Dates=H","DateFormat=P","Fill=—","Direction=H","UseDPDF=Y")</f>
        <v>344.98</v>
      </c>
      <c r="K137" s="13">
        <f>_xll.BDH("BLUE US Equity","ARDR_FV_ASSETS_REC_L1_CASH_SECS","FQ2 2020","FQ2 2020","Currency=USD","Period=FQ","BEST_FPERIOD_OVERRIDE=FQ","FILING_STATUS=MR","SCALING_FORMAT=MLN","Sort=A","Dates=H","DateFormat=P","Fill=—","Direction=H","UseDPDF=Y")</f>
        <v>1208.2950000000001</v>
      </c>
      <c r="L137" s="13">
        <f>_xll.BDH("BLUE US Equity","ARDR_FV_ASSETS_REC_L1_CASH_SECS","FQ3 2020","FQ3 2020","Currency=USD","Period=FQ","BEST_FPERIOD_OVERRIDE=FQ","FILING_STATUS=MR","SCALING_FORMAT=MLN","Sort=A","Dates=H","DateFormat=P","Fill=—","Direction=H","UseDPDF=Y")</f>
        <v>265.76600000000002</v>
      </c>
      <c r="M137" s="13">
        <f>_xll.BDH("BLUE US Equity","ARDR_FV_ASSETS_REC_L1_CASH_SECS","FQ4 2020","FQ4 2020","Currency=USD","Period=FQ","BEST_FPERIOD_OVERRIDE=FQ","FILING_STATUS=MR","SCALING_FORMAT=MLN","Sort=A","Dates=H","DateFormat=P","Fill=—","Direction=H","UseDPDF=Y")</f>
        <v>266.28199999999998</v>
      </c>
      <c r="N137" s="13">
        <f>_xll.BDH("BLUE US Equity","ARDR_FV_ASSETS_REC_L1_CASH_SECS","FQ1 2021","FQ1 2021","Currency=USD","Period=FQ","BEST_FPERIOD_OVERRIDE=FQ","FILING_STATUS=MR","SCALING_FORMAT=MLN","Sort=A","Dates=H","DateFormat=P","Fill=—","Direction=H","UseDPDF=Y")</f>
        <v>413.42200000000003</v>
      </c>
      <c r="O137" s="13">
        <f>_xll.BDH("BLUE US Equity","ARDR_FV_ASSETS_REC_L1_CASH_SECS","FQ2 2021","FQ2 2021","Currency=USD","Period=FQ","BEST_FPERIOD_OVERRIDE=FQ","FILING_STATUS=MR","SCALING_FORMAT=MLN","Sort=A","Dates=H","DateFormat=P","Fill=—","Direction=H","UseDPDF=Y")</f>
        <v>313.45299999999997</v>
      </c>
      <c r="P137" s="13">
        <f>_xll.BDH("BLUE US Equity","ARDR_FV_ASSETS_REC_L1_CASH_SECS","FQ3 2021","FQ3 2021","Currency=USD","Period=FQ","BEST_FPERIOD_OVERRIDE=FQ","FILING_STATUS=MR","SCALING_FORMAT=MLN","Sort=A","Dates=H","DateFormat=P","Fill=—","Direction=H","UseDPDF=Y")</f>
        <v>380.56200000000001</v>
      </c>
      <c r="Q137" s="13">
        <f>_xll.BDH("BLUE US Equity","ARDR_FV_ASSETS_REC_L1_CASH_SECS","FQ4 2021","FQ4 2021","Currency=USD","Period=FQ","BEST_FPERIOD_OVERRIDE=FQ","FILING_STATUS=MR","SCALING_FORMAT=MLN","Sort=A","Dates=H","DateFormat=P","Fill=—","Direction=H","UseDPDF=Y")</f>
        <v>164.83699999999999</v>
      </c>
      <c r="R137" s="13">
        <f>_xll.BDH("BLUE US Equity","ARDR_FV_ASSETS_REC_L1_CASH_SECS","FQ1 2022","FQ1 2022","Currency=USD","Period=FQ","BEST_FPERIOD_OVERRIDE=FQ","FILING_STATUS=MR","SCALING_FORMAT=MLN","Sort=A","Dates=H","DateFormat=P","Fill=—","Direction=H","UseDPDF=Y")</f>
        <v>107.44199999999999</v>
      </c>
      <c r="S137" s="13">
        <f>_xll.BDH("BLUE US Equity","ARDR_FV_ASSETS_REC_L1_CASH_SECS","FQ2 2022","FQ2 2022","Currency=USD","Period=FQ","BEST_FPERIOD_OVERRIDE=FQ","FILING_STATUS=MR","SCALING_FORMAT=MLN","Sort=A","Dates=H","DateFormat=P","Fill=—","Direction=H","UseDPDF=Y")</f>
        <v>81.498999999999995</v>
      </c>
      <c r="T137" s="13">
        <f>_xll.BDH("BLUE US Equity","ARDR_FV_ASSETS_REC_L1_CASH_SECS","FQ3 2022","FQ3 2022","Currency=USD","Period=FQ","BEST_FPERIOD_OVERRIDE=FQ","FILING_STATUS=MR","SCALING_FORMAT=MLN","Sort=A","Dates=H","DateFormat=P","Fill=—","Direction=H","UseDPDF=Y")</f>
        <v>66.477999999999994</v>
      </c>
      <c r="U137" s="13">
        <f>_xll.BDH("BLUE US Equity","ARDR_FV_ASSETS_REC_L1_CASH_SECS","FQ4 2022","FQ4 2022","Currency=USD","Period=FQ","BEST_FPERIOD_OVERRIDE=FQ","FILING_STATUS=MR","SCALING_FORMAT=MLN","Sort=A","Dates=H","DateFormat=P","Fill=—","Direction=H","UseDPDF=Y")</f>
        <v>113.006</v>
      </c>
      <c r="V137" s="13">
        <f>_xll.BDH("BLUE US Equity","ARDR_FV_ASSETS_REC_L1_CASH_SECS","FQ1 2023","FQ1 2023","Currency=USD","Period=FQ","BEST_FPERIOD_OVERRIDE=FQ","FILING_STATUS=MR","SCALING_FORMAT=MLN","Sort=A","Dates=H","DateFormat=P","Fill=—","Direction=H","UseDPDF=Y")</f>
        <v>239.04499999999999</v>
      </c>
      <c r="W137" s="13">
        <f>_xll.BDH("BLUE US Equity","ARDR_FV_ASSETS_REC_L1_CASH_SECS","FQ2 2023","FQ2 2023","Currency=USD","Period=FQ","BEST_FPERIOD_OVERRIDE=FQ","FILING_STATUS=MR","SCALING_FORMAT=MLN","Sort=A","Dates=H","DateFormat=P","Fill=—","Direction=H","UseDPDF=Y")</f>
        <v>172.87200000000001</v>
      </c>
      <c r="X137" s="13">
        <f>_xll.BDH("BLUE US Equity","ARDR_FV_ASSETS_REC_L1_CASH_SECS","FQ3 2023","FQ3 2023","Currency=USD","Period=FQ","BEST_FPERIOD_OVERRIDE=FQ","FILING_STATUS=MR","SCALING_FORMAT=MLN","Sort=A","Dates=H","DateFormat=P","Fill=—","Direction=H","UseDPDF=Y")</f>
        <v>165.34700000000001</v>
      </c>
      <c r="Y137" s="13">
        <f>_xll.BDH("BLUE US Equity","ARDR_FV_ASSETS_REC_L1_CASH_SECS","FQ1 2024","FQ1 2024","Currency=USD","Period=FQ","BEST_FPERIOD_OVERRIDE=FQ","FILING_STATUS=MR","SCALING_FORMAT=MLN","Sort=A","Dates=H","DateFormat=P","Fill=—","Direction=H","UseDPDF=Y")</f>
        <v>212.047</v>
      </c>
      <c r="Z137" s="13">
        <f>_xll.BDH("BLUE US Equity","ARDR_FV_ASSETS_REC_L1_CASH_SECS","FQ2 2024","FQ2 2024","Currency=USD","Period=FQ","BEST_FPERIOD_OVERRIDE=FQ","FILING_STATUS=MR","SCALING_FORMAT=MLN","Sort=A","Dates=H","DateFormat=P","Fill=—","Direction=H","UseDPDF=Y")</f>
        <v>144.06700000000001</v>
      </c>
      <c r="AA137" s="13">
        <f>_xll.BDH("BLUE US Equity","ARDR_FV_ASSETS_REC_L1_CASH_SECS","FQ3 2024","FQ3 2024","Currency=USD","Period=FQ","BEST_FPERIOD_OVERRIDE=FQ","FILING_STATUS=MR","SCALING_FORMAT=MLN","Sort=A","Dates=H","DateFormat=P","Fill=—","Direction=H","UseDPDF=Y")</f>
        <v>70.650999999999996</v>
      </c>
    </row>
    <row r="138" spans="1:27" x14ac:dyDescent="0.25">
      <c r="A138" s="10" t="s">
        <v>987</v>
      </c>
      <c r="B138" s="10" t="s">
        <v>988</v>
      </c>
      <c r="C138" s="13" t="str">
        <f>_xll.BDH("BLUE US Equity","ARDR_FV_ASSETS_REC_L1_AFS_TREAS","FQ2 2018","FQ2 2018","Currency=USD","Period=FQ","BEST_FPERIOD_OVERRIDE=FQ","FILING_STATUS=MR","SCALING_FORMAT=MLN","Sort=A","Dates=H","DateFormat=P","Fill=—","Direction=H","UseDPDF=Y")</f>
        <v>—</v>
      </c>
      <c r="D138" s="13" t="str">
        <f>_xll.BDH("BLUE US Equity","ARDR_FV_ASSETS_REC_L1_AFS_TREAS","FQ3 2018","FQ3 2018","Currency=USD","Period=FQ","BEST_FPERIOD_OVERRIDE=FQ","FILING_STATUS=MR","SCALING_FORMAT=MLN","Sort=A","Dates=H","DateFormat=P","Fill=—","Direction=H","UseDPDF=Y")</f>
        <v>—</v>
      </c>
      <c r="E138" s="13" t="str">
        <f>_xll.BDH("BLUE US Equity","ARDR_FV_ASSETS_REC_L1_AFS_TREAS","FQ4 2018","FQ4 2018","Currency=USD","Period=FQ","BEST_FPERIOD_OVERRIDE=FQ","FILING_STATUS=MR","SCALING_FORMAT=MLN","Sort=A","Dates=H","DateFormat=P","Fill=—","Direction=H","UseDPDF=Y")</f>
        <v>—</v>
      </c>
      <c r="F138" s="13">
        <f>_xll.BDH("BLUE US Equity","ARDR_FV_ASSETS_REC_L1_AFS_TREAS","FQ1 2019","FQ1 2019","Currency=USD","Period=FQ","BEST_FPERIOD_OVERRIDE=FQ","FILING_STATUS=MR","SCALING_FORMAT=MLN","Sort=A","Dates=H","DateFormat=P","Fill=—","Direction=H","UseDPDF=Y")</f>
        <v>0</v>
      </c>
      <c r="G138" s="13" t="str">
        <f>_xll.BDH("BLUE US Equity","ARDR_FV_ASSETS_REC_L1_AFS_TREAS","FQ2 2019","FQ2 2019","Currency=USD","Period=FQ","BEST_FPERIOD_OVERRIDE=FQ","FILING_STATUS=MR","SCALING_FORMAT=MLN","Sort=A","Dates=H","DateFormat=P","Fill=—","Direction=H","UseDPDF=Y")</f>
        <v>—</v>
      </c>
      <c r="H138" s="13">
        <f>_xll.BDH("BLUE US Equity","ARDR_FV_ASSETS_REC_L1_AFS_TREAS","FQ3 2019","FQ3 2019","Currency=USD","Period=FQ","BEST_FPERIOD_OVERRIDE=FQ","FILING_STATUS=MR","SCALING_FORMAT=MLN","Sort=A","Dates=H","DateFormat=P","Fill=—","Direction=H","UseDPDF=Y")</f>
        <v>0</v>
      </c>
      <c r="I138" s="13" t="str">
        <f>_xll.BDH("BLUE US Equity","ARDR_FV_ASSETS_REC_L1_AFS_TREAS","FQ4 2019","FQ4 2019","Currency=USD","Period=FQ","BEST_FPERIOD_OVERRIDE=FQ","FILING_STATUS=MR","SCALING_FORMAT=MLN","Sort=A","Dates=H","DateFormat=P","Fill=—","Direction=H","UseDPDF=Y")</f>
        <v>—</v>
      </c>
      <c r="J138" s="13">
        <f>_xll.BDH("BLUE US Equity","ARDR_FV_ASSETS_REC_L1_AFS_TREAS","FQ1 2020","FQ1 2020","Currency=USD","Period=FQ","BEST_FPERIOD_OVERRIDE=FQ","FILING_STATUS=MR","SCALING_FORMAT=MLN","Sort=A","Dates=H","DateFormat=P","Fill=—","Direction=H","UseDPDF=Y")</f>
        <v>0</v>
      </c>
      <c r="K138" s="13" t="str">
        <f>_xll.BDH("BLUE US Equity","ARDR_FV_ASSETS_REC_L1_AFS_TREAS","FQ2 2020","FQ2 2020","Currency=USD","Period=FQ","BEST_FPERIOD_OVERRIDE=FQ","FILING_STATUS=MR","SCALING_FORMAT=MLN","Sort=A","Dates=H","DateFormat=P","Fill=—","Direction=H","UseDPDF=Y")</f>
        <v>—</v>
      </c>
      <c r="L138" s="13">
        <f>_xll.BDH("BLUE US Equity","ARDR_FV_ASSETS_REC_L1_AFS_TREAS","FQ3 2020","FQ3 2020","Currency=USD","Period=FQ","BEST_FPERIOD_OVERRIDE=FQ","FILING_STATUS=MR","SCALING_FORMAT=MLN","Sort=A","Dates=H","DateFormat=P","Fill=—","Direction=H","UseDPDF=Y")</f>
        <v>0</v>
      </c>
      <c r="M138" s="13" t="str">
        <f>_xll.BDH("BLUE US Equity","ARDR_FV_ASSETS_REC_L1_AFS_TREAS","FQ4 2020","FQ4 2020","Currency=USD","Period=FQ","BEST_FPERIOD_OVERRIDE=FQ","FILING_STATUS=MR","SCALING_FORMAT=MLN","Sort=A","Dates=H","DateFormat=P","Fill=—","Direction=H","UseDPDF=Y")</f>
        <v>—</v>
      </c>
      <c r="N138" s="13">
        <f>_xll.BDH("BLUE US Equity","ARDR_FV_ASSETS_REC_L1_AFS_TREAS","FQ1 2021","FQ1 2021","Currency=USD","Period=FQ","BEST_FPERIOD_OVERRIDE=FQ","FILING_STATUS=MR","SCALING_FORMAT=MLN","Sort=A","Dates=H","DateFormat=P","Fill=—","Direction=H","UseDPDF=Y")</f>
        <v>0</v>
      </c>
      <c r="O138" s="13" t="str">
        <f>_xll.BDH("BLUE US Equity","ARDR_FV_ASSETS_REC_L1_AFS_TREAS","FQ2 2021","FQ2 2021","Currency=USD","Period=FQ","BEST_FPERIOD_OVERRIDE=FQ","FILING_STATUS=MR","SCALING_FORMAT=MLN","Sort=A","Dates=H","DateFormat=P","Fill=—","Direction=H","UseDPDF=Y")</f>
        <v>—</v>
      </c>
      <c r="P138" s="13">
        <f>_xll.BDH("BLUE US Equity","ARDR_FV_ASSETS_REC_L1_AFS_TREAS","FQ3 2021","FQ3 2021","Currency=USD","Period=FQ","BEST_FPERIOD_OVERRIDE=FQ","FILING_STATUS=MR","SCALING_FORMAT=MLN","Sort=A","Dates=H","DateFormat=P","Fill=—","Direction=H","UseDPDF=Y")</f>
        <v>0</v>
      </c>
      <c r="Q138" s="13" t="str">
        <f>_xll.BDH("BLUE US Equity","ARDR_FV_ASSETS_REC_L1_AFS_TREAS","FQ4 2021","FQ4 2021","Currency=USD","Period=FQ","BEST_FPERIOD_OVERRIDE=FQ","FILING_STATUS=MR","SCALING_FORMAT=MLN","Sort=A","Dates=H","DateFormat=P","Fill=—","Direction=H","UseDPDF=Y")</f>
        <v>—</v>
      </c>
      <c r="R138" s="13">
        <f>_xll.BDH("BLUE US Equity","ARDR_FV_ASSETS_REC_L1_AFS_TREAS","FQ1 2022","FQ1 2022","Currency=USD","Period=FQ","BEST_FPERIOD_OVERRIDE=FQ","FILING_STATUS=MR","SCALING_FORMAT=MLN","Sort=A","Dates=H","DateFormat=P","Fill=—","Direction=H","UseDPDF=Y")</f>
        <v>0</v>
      </c>
      <c r="S138" s="13">
        <f>_xll.BDH("BLUE US Equity","ARDR_FV_ASSETS_REC_L1_AFS_TREAS","FQ2 2022","FQ2 2022","Currency=USD","Period=FQ","BEST_FPERIOD_OVERRIDE=FQ","FILING_STATUS=MR","SCALING_FORMAT=MLN","Sort=A","Dates=H","DateFormat=P","Fill=—","Direction=H","UseDPDF=Y")</f>
        <v>0</v>
      </c>
      <c r="T138" s="13">
        <f>_xll.BDH("BLUE US Equity","ARDR_FV_ASSETS_REC_L1_AFS_TREAS","FQ3 2022","FQ3 2022","Currency=USD","Period=FQ","BEST_FPERIOD_OVERRIDE=FQ","FILING_STATUS=MR","SCALING_FORMAT=MLN","Sort=A","Dates=H","DateFormat=P","Fill=—","Direction=H","UseDPDF=Y")</f>
        <v>0</v>
      </c>
      <c r="U138" s="13">
        <f>_xll.BDH("BLUE US Equity","ARDR_FV_ASSETS_REC_L1_AFS_TREAS","FQ4 2022","FQ4 2022","Currency=USD","Period=FQ","BEST_FPERIOD_OVERRIDE=FQ","FILING_STATUS=MR","SCALING_FORMAT=MLN","Sort=A","Dates=H","DateFormat=P","Fill=—","Direction=H","UseDPDF=Y")</f>
        <v>0</v>
      </c>
      <c r="V138" s="13">
        <f>_xll.BDH("BLUE US Equity","ARDR_FV_ASSETS_REC_L1_AFS_TREAS","FQ1 2023","FQ1 2023","Currency=USD","Period=FQ","BEST_FPERIOD_OVERRIDE=FQ","FILING_STATUS=MR","SCALING_FORMAT=MLN","Sort=A","Dates=H","DateFormat=P","Fill=—","Direction=H","UseDPDF=Y")</f>
        <v>0</v>
      </c>
      <c r="W138" s="13">
        <f>_xll.BDH("BLUE US Equity","ARDR_FV_ASSETS_REC_L1_AFS_TREAS","FQ2 2023","FQ2 2023","Currency=USD","Period=FQ","BEST_FPERIOD_OVERRIDE=FQ","FILING_STATUS=MR","SCALING_FORMAT=MLN","Sort=A","Dates=H","DateFormat=P","Fill=—","Direction=H","UseDPDF=Y")</f>
        <v>0</v>
      </c>
      <c r="X138" s="13" t="str">
        <f>_xll.BDH("BLUE US Equity","ARDR_FV_ASSETS_REC_L1_AFS_TREAS","FQ3 2023","FQ3 2023","Currency=USD","Period=FQ","BEST_FPERIOD_OVERRIDE=FQ","FILING_STATUS=MR","SCALING_FORMAT=MLN","Sort=A","Dates=H","DateFormat=P","Fill=—","Direction=H","UseDPDF=Y")</f>
        <v>—</v>
      </c>
      <c r="Y138" s="13">
        <f>_xll.BDH("BLUE US Equity","ARDR_FV_ASSETS_REC_L1_AFS_TREAS","FQ1 2024","FQ1 2024","Currency=USD","Period=FQ","BEST_FPERIOD_OVERRIDE=FQ","FILING_STATUS=MR","SCALING_FORMAT=MLN","Sort=A","Dates=H","DateFormat=P","Fill=—","Direction=H","UseDPDF=Y")</f>
        <v>0</v>
      </c>
      <c r="Z138" s="13">
        <f>_xll.BDH("BLUE US Equity","ARDR_FV_ASSETS_REC_L1_AFS_TREAS","FQ2 2024","FQ2 2024","Currency=USD","Period=FQ","BEST_FPERIOD_OVERRIDE=FQ","FILING_STATUS=MR","SCALING_FORMAT=MLN","Sort=A","Dates=H","DateFormat=P","Fill=—","Direction=H","UseDPDF=Y")</f>
        <v>0</v>
      </c>
      <c r="AA138" s="13">
        <f>_xll.BDH("BLUE US Equity","ARDR_FV_ASSETS_REC_L1_AFS_TREAS","FQ3 2024","FQ3 2024","Currency=USD","Period=FQ","BEST_FPERIOD_OVERRIDE=FQ","FILING_STATUS=MR","SCALING_FORMAT=MLN","Sort=A","Dates=H","DateFormat=P","Fill=—","Direction=H","UseDPDF=Y")</f>
        <v>0</v>
      </c>
    </row>
    <row r="139" spans="1:27" x14ac:dyDescent="0.25">
      <c r="A139" s="10" t="s">
        <v>989</v>
      </c>
      <c r="B139" s="10" t="s">
        <v>990</v>
      </c>
      <c r="C139" s="13" t="str">
        <f>_xll.BDH("BLUE US Equity","ARDR_FV_ASTS_REC_L1_AFS_CORP_BDS","FQ2 2018","FQ2 2018","Currency=USD","Period=FQ","BEST_FPERIOD_OVERRIDE=FQ","FILING_STATUS=MR","SCALING_FORMAT=MLN","Sort=A","Dates=H","DateFormat=P","Fill=—","Direction=H","UseDPDF=Y")</f>
        <v>—</v>
      </c>
      <c r="D139" s="13" t="str">
        <f>_xll.BDH("BLUE US Equity","ARDR_FV_ASTS_REC_L1_AFS_CORP_BDS","FQ3 2018","FQ3 2018","Currency=USD","Period=FQ","BEST_FPERIOD_OVERRIDE=FQ","FILING_STATUS=MR","SCALING_FORMAT=MLN","Sort=A","Dates=H","DateFormat=P","Fill=—","Direction=H","UseDPDF=Y")</f>
        <v>—</v>
      </c>
      <c r="E139" s="13" t="str">
        <f>_xll.BDH("BLUE US Equity","ARDR_FV_ASTS_REC_L1_AFS_CORP_BDS","FQ4 2018","FQ4 2018","Currency=USD","Period=FQ","BEST_FPERIOD_OVERRIDE=FQ","FILING_STATUS=MR","SCALING_FORMAT=MLN","Sort=A","Dates=H","DateFormat=P","Fill=—","Direction=H","UseDPDF=Y")</f>
        <v>—</v>
      </c>
      <c r="F139" s="13">
        <f>_xll.BDH("BLUE US Equity","ARDR_FV_ASTS_REC_L1_AFS_CORP_BDS","FQ1 2019","FQ1 2019","Currency=USD","Period=FQ","BEST_FPERIOD_OVERRIDE=FQ","FILING_STATUS=MR","SCALING_FORMAT=MLN","Sort=A","Dates=H","DateFormat=P","Fill=—","Direction=H","UseDPDF=Y")</f>
        <v>0</v>
      </c>
      <c r="G139" s="13" t="str">
        <f>_xll.BDH("BLUE US Equity","ARDR_FV_ASTS_REC_L1_AFS_CORP_BDS","FQ2 2019","FQ2 2019","Currency=USD","Period=FQ","BEST_FPERIOD_OVERRIDE=FQ","FILING_STATUS=MR","SCALING_FORMAT=MLN","Sort=A","Dates=H","DateFormat=P","Fill=—","Direction=H","UseDPDF=Y")</f>
        <v>—</v>
      </c>
      <c r="H139" s="13">
        <f>_xll.BDH("BLUE US Equity","ARDR_FV_ASTS_REC_L1_AFS_CORP_BDS","FQ3 2019","FQ3 2019","Currency=USD","Period=FQ","BEST_FPERIOD_OVERRIDE=FQ","FILING_STATUS=MR","SCALING_FORMAT=MLN","Sort=A","Dates=H","DateFormat=P","Fill=—","Direction=H","UseDPDF=Y")</f>
        <v>0</v>
      </c>
      <c r="I139" s="13" t="str">
        <f>_xll.BDH("BLUE US Equity","ARDR_FV_ASTS_REC_L1_AFS_CORP_BDS","FQ4 2019","FQ4 2019","Currency=USD","Period=FQ","BEST_FPERIOD_OVERRIDE=FQ","FILING_STATUS=MR","SCALING_FORMAT=MLN","Sort=A","Dates=H","DateFormat=P","Fill=—","Direction=H","UseDPDF=Y")</f>
        <v>—</v>
      </c>
      <c r="J139" s="13">
        <f>_xll.BDH("BLUE US Equity","ARDR_FV_ASTS_REC_L1_AFS_CORP_BDS","FQ1 2020","FQ1 2020","Currency=USD","Period=FQ","BEST_FPERIOD_OVERRIDE=FQ","FILING_STATUS=MR","SCALING_FORMAT=MLN","Sort=A","Dates=H","DateFormat=P","Fill=—","Direction=H","UseDPDF=Y")</f>
        <v>0</v>
      </c>
      <c r="K139" s="13" t="str">
        <f>_xll.BDH("BLUE US Equity","ARDR_FV_ASTS_REC_L1_AFS_CORP_BDS","FQ2 2020","FQ2 2020","Currency=USD","Period=FQ","BEST_FPERIOD_OVERRIDE=FQ","FILING_STATUS=MR","SCALING_FORMAT=MLN","Sort=A","Dates=H","DateFormat=P","Fill=—","Direction=H","UseDPDF=Y")</f>
        <v>—</v>
      </c>
      <c r="L139" s="13">
        <f>_xll.BDH("BLUE US Equity","ARDR_FV_ASTS_REC_L1_AFS_CORP_BDS","FQ3 2020","FQ3 2020","Currency=USD","Period=FQ","BEST_FPERIOD_OVERRIDE=FQ","FILING_STATUS=MR","SCALING_FORMAT=MLN","Sort=A","Dates=H","DateFormat=P","Fill=—","Direction=H","UseDPDF=Y")</f>
        <v>0</v>
      </c>
      <c r="M139" s="13" t="str">
        <f>_xll.BDH("BLUE US Equity","ARDR_FV_ASTS_REC_L1_AFS_CORP_BDS","FQ4 2020","FQ4 2020","Currency=USD","Period=FQ","BEST_FPERIOD_OVERRIDE=FQ","FILING_STATUS=MR","SCALING_FORMAT=MLN","Sort=A","Dates=H","DateFormat=P","Fill=—","Direction=H","UseDPDF=Y")</f>
        <v>—</v>
      </c>
      <c r="N139" s="13">
        <f>_xll.BDH("BLUE US Equity","ARDR_FV_ASTS_REC_L1_AFS_CORP_BDS","FQ1 2021","FQ1 2021","Currency=USD","Period=FQ","BEST_FPERIOD_OVERRIDE=FQ","FILING_STATUS=MR","SCALING_FORMAT=MLN","Sort=A","Dates=H","DateFormat=P","Fill=—","Direction=H","UseDPDF=Y")</f>
        <v>0</v>
      </c>
      <c r="O139" s="13" t="str">
        <f>_xll.BDH("BLUE US Equity","ARDR_FV_ASTS_REC_L1_AFS_CORP_BDS","FQ2 2021","FQ2 2021","Currency=USD","Period=FQ","BEST_FPERIOD_OVERRIDE=FQ","FILING_STATUS=MR","SCALING_FORMAT=MLN","Sort=A","Dates=H","DateFormat=P","Fill=—","Direction=H","UseDPDF=Y")</f>
        <v>—</v>
      </c>
      <c r="P139" s="13">
        <f>_xll.BDH("BLUE US Equity","ARDR_FV_ASTS_REC_L1_AFS_CORP_BDS","FQ3 2021","FQ3 2021","Currency=USD","Period=FQ","BEST_FPERIOD_OVERRIDE=FQ","FILING_STATUS=MR","SCALING_FORMAT=MLN","Sort=A","Dates=H","DateFormat=P","Fill=—","Direction=H","UseDPDF=Y")</f>
        <v>0</v>
      </c>
      <c r="Q139" s="13" t="str">
        <f>_xll.BDH("BLUE US Equity","ARDR_FV_ASTS_REC_L1_AFS_CORP_BDS","FQ4 2021","FQ4 2021","Currency=USD","Period=FQ","BEST_FPERIOD_OVERRIDE=FQ","FILING_STATUS=MR","SCALING_FORMAT=MLN","Sort=A","Dates=H","DateFormat=P","Fill=—","Direction=H","UseDPDF=Y")</f>
        <v>—</v>
      </c>
      <c r="R139" s="13">
        <f>_xll.BDH("BLUE US Equity","ARDR_FV_ASTS_REC_L1_AFS_CORP_BDS","FQ1 2022","FQ1 2022","Currency=USD","Period=FQ","BEST_FPERIOD_OVERRIDE=FQ","FILING_STATUS=MR","SCALING_FORMAT=MLN","Sort=A","Dates=H","DateFormat=P","Fill=—","Direction=H","UseDPDF=Y")</f>
        <v>0</v>
      </c>
      <c r="S139" s="13">
        <f>_xll.BDH("BLUE US Equity","ARDR_FV_ASTS_REC_L1_AFS_CORP_BDS","FQ2 2022","FQ2 2022","Currency=USD","Period=FQ","BEST_FPERIOD_OVERRIDE=FQ","FILING_STATUS=MR","SCALING_FORMAT=MLN","Sort=A","Dates=H","DateFormat=P","Fill=—","Direction=H","UseDPDF=Y")</f>
        <v>0</v>
      </c>
      <c r="T139" s="13">
        <f>_xll.BDH("BLUE US Equity","ARDR_FV_ASTS_REC_L1_AFS_CORP_BDS","FQ3 2022","FQ3 2022","Currency=USD","Period=FQ","BEST_FPERIOD_OVERRIDE=FQ","FILING_STATUS=MR","SCALING_FORMAT=MLN","Sort=A","Dates=H","DateFormat=P","Fill=—","Direction=H","UseDPDF=Y")</f>
        <v>0</v>
      </c>
      <c r="U139" s="13">
        <f>_xll.BDH("BLUE US Equity","ARDR_FV_ASTS_REC_L1_AFS_CORP_BDS","FQ4 2022","FQ4 2022","Currency=USD","Period=FQ","BEST_FPERIOD_OVERRIDE=FQ","FILING_STATUS=MR","SCALING_FORMAT=MLN","Sort=A","Dates=H","DateFormat=P","Fill=—","Direction=H","UseDPDF=Y")</f>
        <v>0</v>
      </c>
      <c r="V139" s="13">
        <f>_xll.BDH("BLUE US Equity","ARDR_FV_ASTS_REC_L1_AFS_CORP_BDS","FQ1 2023","FQ1 2023","Currency=USD","Period=FQ","BEST_FPERIOD_OVERRIDE=FQ","FILING_STATUS=MR","SCALING_FORMAT=MLN","Sort=A","Dates=H","DateFormat=P","Fill=—","Direction=H","UseDPDF=Y")</f>
        <v>0</v>
      </c>
      <c r="W139" s="13">
        <f>_xll.BDH("BLUE US Equity","ARDR_FV_ASTS_REC_L1_AFS_CORP_BDS","FQ2 2023","FQ2 2023","Currency=USD","Period=FQ","BEST_FPERIOD_OVERRIDE=FQ","FILING_STATUS=MR","SCALING_FORMAT=MLN","Sort=A","Dates=H","DateFormat=P","Fill=—","Direction=H","UseDPDF=Y")</f>
        <v>0</v>
      </c>
      <c r="X139" s="13" t="str">
        <f>_xll.BDH("BLUE US Equity","ARDR_FV_ASTS_REC_L1_AFS_CORP_BDS","FQ3 2023","FQ3 2023","Currency=USD","Period=FQ","BEST_FPERIOD_OVERRIDE=FQ","FILING_STATUS=MR","SCALING_FORMAT=MLN","Sort=A","Dates=H","DateFormat=P","Fill=—","Direction=H","UseDPDF=Y")</f>
        <v>—</v>
      </c>
      <c r="Y139" s="13" t="str">
        <f>_xll.BDH("BLUE US Equity","ARDR_FV_ASTS_REC_L1_AFS_CORP_BDS","FQ1 2024","FQ1 2024","Currency=USD","Period=FQ","BEST_FPERIOD_OVERRIDE=FQ","FILING_STATUS=MR","SCALING_FORMAT=MLN","Sort=A","Dates=H","DateFormat=P","Fill=—","Direction=H","UseDPDF=Y")</f>
        <v>—</v>
      </c>
      <c r="Z139" s="13" t="str">
        <f>_xll.BDH("BLUE US Equity","ARDR_FV_ASTS_REC_L1_AFS_CORP_BDS","FQ2 2024","FQ2 2024","Currency=USD","Period=FQ","BEST_FPERIOD_OVERRIDE=FQ","FILING_STATUS=MR","SCALING_FORMAT=MLN","Sort=A","Dates=H","DateFormat=P","Fill=—","Direction=H","UseDPDF=Y")</f>
        <v>—</v>
      </c>
      <c r="AA139" s="13">
        <f>_xll.BDH("BLUE US Equity","ARDR_FV_ASTS_REC_L1_AFS_CORP_BDS","FQ3 2024","FQ3 2024","Currency=USD","Period=FQ","BEST_FPERIOD_OVERRIDE=FQ","FILING_STATUS=MR","SCALING_FORMAT=MLN","Sort=A","Dates=H","DateFormat=P","Fill=—","Direction=H","UseDPDF=Y")</f>
        <v>0</v>
      </c>
    </row>
    <row r="140" spans="1:27" x14ac:dyDescent="0.25">
      <c r="A140" s="10" t="s">
        <v>991</v>
      </c>
      <c r="B140" s="10" t="s">
        <v>992</v>
      </c>
      <c r="C140" s="13" t="str">
        <f>_xll.BDH("BLUE US Equity","ARDR_FV_ASTS_REC_L1_AFS_CDO_CLO","FQ2 2018","FQ2 2018","Currency=USD","Period=FQ","BEST_FPERIOD_OVERRIDE=FQ","FILING_STATUS=MR","SCALING_FORMAT=MLN","Sort=A","Dates=H","DateFormat=P","Fill=—","Direction=H","UseDPDF=Y")</f>
        <v>—</v>
      </c>
      <c r="D140" s="13" t="str">
        <f>_xll.BDH("BLUE US Equity","ARDR_FV_ASTS_REC_L1_AFS_CDO_CLO","FQ3 2018","FQ3 2018","Currency=USD","Period=FQ","BEST_FPERIOD_OVERRIDE=FQ","FILING_STATUS=MR","SCALING_FORMAT=MLN","Sort=A","Dates=H","DateFormat=P","Fill=—","Direction=H","UseDPDF=Y")</f>
        <v>—</v>
      </c>
      <c r="E140" s="13" t="str">
        <f>_xll.BDH("BLUE US Equity","ARDR_FV_ASTS_REC_L1_AFS_CDO_CLO","FQ4 2018","FQ4 2018","Currency=USD","Period=FQ","BEST_FPERIOD_OVERRIDE=FQ","FILING_STATUS=MR","SCALING_FORMAT=MLN","Sort=A","Dates=H","DateFormat=P","Fill=—","Direction=H","UseDPDF=Y")</f>
        <v>—</v>
      </c>
      <c r="F140" s="13">
        <f>_xll.BDH("BLUE US Equity","ARDR_FV_ASTS_REC_L1_AFS_CDO_CLO","FQ1 2019","FQ1 2019","Currency=USD","Period=FQ","BEST_FPERIOD_OVERRIDE=FQ","FILING_STATUS=MR","SCALING_FORMAT=MLN","Sort=A","Dates=H","DateFormat=P","Fill=—","Direction=H","UseDPDF=Y")</f>
        <v>0</v>
      </c>
      <c r="G140" s="13">
        <f>_xll.BDH("BLUE US Equity","ARDR_FV_ASTS_REC_L1_AFS_CDO_CLO","FQ2 2019","FQ2 2019","Currency=USD","Period=FQ","BEST_FPERIOD_OVERRIDE=FQ","FILING_STATUS=MR","SCALING_FORMAT=MLN","Sort=A","Dates=H","DateFormat=P","Fill=—","Direction=H","UseDPDF=Y")</f>
        <v>0</v>
      </c>
      <c r="H140" s="13">
        <f>_xll.BDH("BLUE US Equity","ARDR_FV_ASTS_REC_L1_AFS_CDO_CLO","FQ3 2019","FQ3 2019","Currency=USD","Period=FQ","BEST_FPERIOD_OVERRIDE=FQ","FILING_STATUS=MR","SCALING_FORMAT=MLN","Sort=A","Dates=H","DateFormat=P","Fill=—","Direction=H","UseDPDF=Y")</f>
        <v>0</v>
      </c>
      <c r="I140" s="13" t="str">
        <f>_xll.BDH("BLUE US Equity","ARDR_FV_ASTS_REC_L1_AFS_CDO_CLO","FQ4 2019","FQ4 2019","Currency=USD","Period=FQ","BEST_FPERIOD_OVERRIDE=FQ","FILING_STATUS=MR","SCALING_FORMAT=MLN","Sort=A","Dates=H","DateFormat=P","Fill=—","Direction=H","UseDPDF=Y")</f>
        <v>—</v>
      </c>
      <c r="J140" s="13">
        <f>_xll.BDH("BLUE US Equity","ARDR_FV_ASTS_REC_L1_AFS_CDO_CLO","FQ1 2020","FQ1 2020","Currency=USD","Period=FQ","BEST_FPERIOD_OVERRIDE=FQ","FILING_STATUS=MR","SCALING_FORMAT=MLN","Sort=A","Dates=H","DateFormat=P","Fill=—","Direction=H","UseDPDF=Y")</f>
        <v>0</v>
      </c>
      <c r="K140" s="13" t="str">
        <f>_xll.BDH("BLUE US Equity","ARDR_FV_ASTS_REC_L1_AFS_CDO_CLO","FQ2 2020","FQ2 2020","Currency=USD","Period=FQ","BEST_FPERIOD_OVERRIDE=FQ","FILING_STATUS=MR","SCALING_FORMAT=MLN","Sort=A","Dates=H","DateFormat=P","Fill=—","Direction=H","UseDPDF=Y")</f>
        <v>—</v>
      </c>
      <c r="L140" s="13">
        <f>_xll.BDH("BLUE US Equity","ARDR_FV_ASTS_REC_L1_AFS_CDO_CLO","FQ3 2020","FQ3 2020","Currency=USD","Period=FQ","BEST_FPERIOD_OVERRIDE=FQ","FILING_STATUS=MR","SCALING_FORMAT=MLN","Sort=A","Dates=H","DateFormat=P","Fill=—","Direction=H","UseDPDF=Y")</f>
        <v>0</v>
      </c>
      <c r="M140" s="13" t="str">
        <f>_xll.BDH("BLUE US Equity","ARDR_FV_ASTS_REC_L1_AFS_CDO_CLO","FQ4 2020","FQ4 2020","Currency=USD","Period=FQ","BEST_FPERIOD_OVERRIDE=FQ","FILING_STATUS=MR","SCALING_FORMAT=MLN","Sort=A","Dates=H","DateFormat=P","Fill=—","Direction=H","UseDPDF=Y")</f>
        <v>—</v>
      </c>
      <c r="N140" s="13" t="str">
        <f>_xll.BDH("BLUE US Equity","ARDR_FV_ASTS_REC_L1_AFS_CDO_CLO","FQ1 2021","FQ1 2021","Currency=USD","Period=FQ","BEST_FPERIOD_OVERRIDE=FQ","FILING_STATUS=MR","SCALING_FORMAT=MLN","Sort=A","Dates=H","DateFormat=P","Fill=—","Direction=H","UseDPDF=Y")</f>
        <v>—</v>
      </c>
      <c r="O140" s="13" t="str">
        <f>_xll.BDH("BLUE US Equity","ARDR_FV_ASTS_REC_L1_AFS_CDO_CLO","FQ2 2021","FQ2 2021","Currency=USD","Period=FQ","BEST_FPERIOD_OVERRIDE=FQ","FILING_STATUS=MR","SCALING_FORMAT=MLN","Sort=A","Dates=H","DateFormat=P","Fill=—","Direction=H","UseDPDF=Y")</f>
        <v>—</v>
      </c>
      <c r="P140" s="13" t="str">
        <f>_xll.BDH("BLUE US Equity","ARDR_FV_ASTS_REC_L1_AFS_CDO_CLO","FQ3 2021","FQ3 2021","Currency=USD","Period=FQ","BEST_FPERIOD_OVERRIDE=FQ","FILING_STATUS=MR","SCALING_FORMAT=MLN","Sort=A","Dates=H","DateFormat=P","Fill=—","Direction=H","UseDPDF=Y")</f>
        <v>—</v>
      </c>
      <c r="Q140" s="13" t="str">
        <f>_xll.BDH("BLUE US Equity","ARDR_FV_ASTS_REC_L1_AFS_CDO_CLO","FQ4 2021","FQ4 2021","Currency=USD","Period=FQ","BEST_FPERIOD_OVERRIDE=FQ","FILING_STATUS=MR","SCALING_FORMAT=MLN","Sort=A","Dates=H","DateFormat=P","Fill=—","Direction=H","UseDPDF=Y")</f>
        <v>—</v>
      </c>
      <c r="R140" s="13" t="str">
        <f>_xll.BDH("BLUE US Equity","ARDR_FV_ASTS_REC_L1_AFS_CDO_CLO","FQ1 2022","FQ1 2022","Currency=USD","Period=FQ","BEST_FPERIOD_OVERRIDE=FQ","FILING_STATUS=MR","SCALING_FORMAT=MLN","Sort=A","Dates=H","DateFormat=P","Fill=—","Direction=H","UseDPDF=Y")</f>
        <v>—</v>
      </c>
      <c r="S140" s="13" t="str">
        <f>_xll.BDH("BLUE US Equity","ARDR_FV_ASTS_REC_L1_AFS_CDO_CLO","FQ2 2022","FQ2 2022","Currency=USD","Period=FQ","BEST_FPERIOD_OVERRIDE=FQ","FILING_STATUS=MR","SCALING_FORMAT=MLN","Sort=A","Dates=H","DateFormat=P","Fill=—","Direction=H","UseDPDF=Y")</f>
        <v>—</v>
      </c>
      <c r="T140" s="13" t="str">
        <f>_xll.BDH("BLUE US Equity","ARDR_FV_ASTS_REC_L1_AFS_CDO_CLO","FQ3 2022","FQ3 2022","Currency=USD","Period=FQ","BEST_FPERIOD_OVERRIDE=FQ","FILING_STATUS=MR","SCALING_FORMAT=MLN","Sort=A","Dates=H","DateFormat=P","Fill=—","Direction=H","UseDPDF=Y")</f>
        <v>—</v>
      </c>
      <c r="U140" s="13" t="str">
        <f>_xll.BDH("BLUE US Equity","ARDR_FV_ASTS_REC_L1_AFS_CDO_CLO","FQ4 2022","FQ4 2022","Currency=USD","Period=FQ","BEST_FPERIOD_OVERRIDE=FQ","FILING_STATUS=MR","SCALING_FORMAT=MLN","Sort=A","Dates=H","DateFormat=P","Fill=—","Direction=H","UseDPDF=Y")</f>
        <v>—</v>
      </c>
      <c r="V140" s="13" t="str">
        <f>_xll.BDH("BLUE US Equity","ARDR_FV_ASTS_REC_L1_AFS_CDO_CLO","FQ1 2023","FQ1 2023","Currency=USD","Period=FQ","BEST_FPERIOD_OVERRIDE=FQ","FILING_STATUS=MR","SCALING_FORMAT=MLN","Sort=A","Dates=H","DateFormat=P","Fill=—","Direction=H","UseDPDF=Y")</f>
        <v>—</v>
      </c>
      <c r="W140" s="13" t="str">
        <f>_xll.BDH("BLUE US Equity","ARDR_FV_ASTS_REC_L1_AFS_CDO_CLO","FQ2 2023","FQ2 2023","Currency=USD","Period=FQ","BEST_FPERIOD_OVERRIDE=FQ","FILING_STATUS=MR","SCALING_FORMAT=MLN","Sort=A","Dates=H","DateFormat=P","Fill=—","Direction=H","UseDPDF=Y")</f>
        <v>—</v>
      </c>
      <c r="X140" s="13" t="str">
        <f>_xll.BDH("BLUE US Equity","ARDR_FV_ASTS_REC_L1_AFS_CDO_CLO","FQ3 2023","FQ3 2023","Currency=USD","Period=FQ","BEST_FPERIOD_OVERRIDE=FQ","FILING_STATUS=MR","SCALING_FORMAT=MLN","Sort=A","Dates=H","DateFormat=P","Fill=—","Direction=H","UseDPDF=Y")</f>
        <v>—</v>
      </c>
      <c r="Y140" s="13" t="str">
        <f>_xll.BDH("BLUE US Equity","ARDR_FV_ASTS_REC_L1_AFS_CDO_CLO","FQ1 2024","FQ1 2024","Currency=USD","Period=FQ","BEST_FPERIOD_OVERRIDE=FQ","FILING_STATUS=MR","SCALING_FORMAT=MLN","Sort=A","Dates=H","DateFormat=P","Fill=—","Direction=H","UseDPDF=Y")</f>
        <v>—</v>
      </c>
      <c r="Z140" s="13" t="str">
        <f>_xll.BDH("BLUE US Equity","ARDR_FV_ASTS_REC_L1_AFS_CDO_CLO","FQ2 2024","FQ2 2024","Currency=USD","Period=FQ","BEST_FPERIOD_OVERRIDE=FQ","FILING_STATUS=MR","SCALING_FORMAT=MLN","Sort=A","Dates=H","DateFormat=P","Fill=—","Direction=H","UseDPDF=Y")</f>
        <v>—</v>
      </c>
      <c r="AA140" s="13" t="str">
        <f>_xll.BDH("BLUE US Equity","ARDR_FV_ASTS_REC_L1_AFS_CDO_CLO","FQ3 2024","FQ3 2024","Currency=USD","Period=FQ","BEST_FPERIOD_OVERRIDE=FQ","FILING_STATUS=MR","SCALING_FORMAT=MLN","Sort=A","Dates=H","DateFormat=P","Fill=—","Direction=H","UseDPDF=Y")</f>
        <v>—</v>
      </c>
    </row>
    <row r="141" spans="1:27" x14ac:dyDescent="0.25">
      <c r="A141" s="10" t="s">
        <v>993</v>
      </c>
      <c r="B141" s="10" t="s">
        <v>994</v>
      </c>
      <c r="C141" s="13">
        <f>_xll.BDH("BLUE US Equity","ARDR_FV_ASSETS_REC_L1_OTHER","FQ2 2018","FQ2 2018","Currency=USD","Period=FQ","BEST_FPERIOD_OVERRIDE=FQ","FILING_STATUS=MR","SCALING_FORMAT=MLN","Sort=A","Dates=H","DateFormat=P","Fill=—","Direction=H","UseDPDF=Y")</f>
        <v>0</v>
      </c>
      <c r="D141" s="13" t="str">
        <f>_xll.BDH("BLUE US Equity","ARDR_FV_ASSETS_REC_L1_OTHER","FQ3 2018","FQ3 2018","Currency=USD","Period=FQ","BEST_FPERIOD_OVERRIDE=FQ","FILING_STATUS=MR","SCALING_FORMAT=MLN","Sort=A","Dates=H","DateFormat=P","Fill=—","Direction=H","UseDPDF=Y")</f>
        <v>—</v>
      </c>
      <c r="E141" s="13" t="str">
        <f>_xll.BDH("BLUE US Equity","ARDR_FV_ASSETS_REC_L1_OTHER","FQ4 2018","FQ4 2018","Currency=USD","Period=FQ","BEST_FPERIOD_OVERRIDE=FQ","FILING_STATUS=MR","SCALING_FORMAT=MLN","Sort=A","Dates=H","DateFormat=P","Fill=—","Direction=H","UseDPDF=Y")</f>
        <v>—</v>
      </c>
      <c r="F141" s="13">
        <f>_xll.BDH("BLUE US Equity","ARDR_FV_ASSETS_REC_L1_OTHER","FQ1 2019","FQ1 2019","Currency=USD","Period=FQ","BEST_FPERIOD_OVERRIDE=FQ","FILING_STATUS=MR","SCALING_FORMAT=MLN","Sort=A","Dates=H","DateFormat=P","Fill=—","Direction=H","UseDPDF=Y")</f>
        <v>0</v>
      </c>
      <c r="G141" s="13" t="str">
        <f>_xll.BDH("BLUE US Equity","ARDR_FV_ASSETS_REC_L1_OTHER","FQ2 2019","FQ2 2019","Currency=USD","Period=FQ","BEST_FPERIOD_OVERRIDE=FQ","FILING_STATUS=MR","SCALING_FORMAT=MLN","Sort=A","Dates=H","DateFormat=P","Fill=—","Direction=H","UseDPDF=Y")</f>
        <v>—</v>
      </c>
      <c r="H141" s="13">
        <f>_xll.BDH("BLUE US Equity","ARDR_FV_ASSETS_REC_L1_OTHER","FQ3 2019","FQ3 2019","Currency=USD","Period=FQ","BEST_FPERIOD_OVERRIDE=FQ","FILING_STATUS=MR","SCALING_FORMAT=MLN","Sort=A","Dates=H","DateFormat=P","Fill=—","Direction=H","UseDPDF=Y")</f>
        <v>0</v>
      </c>
      <c r="I141" s="13" t="str">
        <f>_xll.BDH("BLUE US Equity","ARDR_FV_ASSETS_REC_L1_OTHER","FQ4 2019","FQ4 2019","Currency=USD","Period=FQ","BEST_FPERIOD_OVERRIDE=FQ","FILING_STATUS=MR","SCALING_FORMAT=MLN","Sort=A","Dates=H","DateFormat=P","Fill=—","Direction=H","UseDPDF=Y")</f>
        <v>—</v>
      </c>
      <c r="J141" s="13">
        <f>_xll.BDH("BLUE US Equity","ARDR_FV_ASSETS_REC_L1_OTHER","FQ1 2020","FQ1 2020","Currency=USD","Period=FQ","BEST_FPERIOD_OVERRIDE=FQ","FILING_STATUS=MR","SCALING_FORMAT=MLN","Sort=A","Dates=H","DateFormat=P","Fill=—","Direction=H","UseDPDF=Y")</f>
        <v>0</v>
      </c>
      <c r="K141" s="13" t="str">
        <f>_xll.BDH("BLUE US Equity","ARDR_FV_ASSETS_REC_L1_OTHER","FQ2 2020","FQ2 2020","Currency=USD","Period=FQ","BEST_FPERIOD_OVERRIDE=FQ","FILING_STATUS=MR","SCALING_FORMAT=MLN","Sort=A","Dates=H","DateFormat=P","Fill=—","Direction=H","UseDPDF=Y")</f>
        <v>—</v>
      </c>
      <c r="L141" s="13" t="str">
        <f>_xll.BDH("BLUE US Equity","ARDR_FV_ASSETS_REC_L1_OTHER","FQ3 2020","FQ3 2020","Currency=USD","Period=FQ","BEST_FPERIOD_OVERRIDE=FQ","FILING_STATUS=MR","SCALING_FORMAT=MLN","Sort=A","Dates=H","DateFormat=P","Fill=—","Direction=H","UseDPDF=Y")</f>
        <v>—</v>
      </c>
      <c r="M141" s="13" t="str">
        <f>_xll.BDH("BLUE US Equity","ARDR_FV_ASSETS_REC_L1_OTHER","FQ4 2020","FQ4 2020","Currency=USD","Period=FQ","BEST_FPERIOD_OVERRIDE=FQ","FILING_STATUS=MR","SCALING_FORMAT=MLN","Sort=A","Dates=H","DateFormat=P","Fill=—","Direction=H","UseDPDF=Y")</f>
        <v>—</v>
      </c>
      <c r="N141" s="13">
        <f>_xll.BDH("BLUE US Equity","ARDR_FV_ASSETS_REC_L1_OTHER","FQ1 2021","FQ1 2021","Currency=USD","Period=FQ","BEST_FPERIOD_OVERRIDE=FQ","FILING_STATUS=MR","SCALING_FORMAT=MLN","Sort=A","Dates=H","DateFormat=P","Fill=—","Direction=H","UseDPDF=Y")</f>
        <v>0</v>
      </c>
      <c r="O141" s="13" t="str">
        <f>_xll.BDH("BLUE US Equity","ARDR_FV_ASSETS_REC_L1_OTHER","FQ2 2021","FQ2 2021","Currency=USD","Period=FQ","BEST_FPERIOD_OVERRIDE=FQ","FILING_STATUS=MR","SCALING_FORMAT=MLN","Sort=A","Dates=H","DateFormat=P","Fill=—","Direction=H","UseDPDF=Y")</f>
        <v>—</v>
      </c>
      <c r="P141" s="13">
        <f>_xll.BDH("BLUE US Equity","ARDR_FV_ASSETS_REC_L1_OTHER","FQ3 2021","FQ3 2021","Currency=USD","Period=FQ","BEST_FPERIOD_OVERRIDE=FQ","FILING_STATUS=MR","SCALING_FORMAT=MLN","Sort=A","Dates=H","DateFormat=P","Fill=—","Direction=H","UseDPDF=Y")</f>
        <v>0</v>
      </c>
      <c r="Q141" s="13" t="str">
        <f>_xll.BDH("BLUE US Equity","ARDR_FV_ASSETS_REC_L1_OTHER","FQ4 2021","FQ4 2021","Currency=USD","Period=FQ","BEST_FPERIOD_OVERRIDE=FQ","FILING_STATUS=MR","SCALING_FORMAT=MLN","Sort=A","Dates=H","DateFormat=P","Fill=—","Direction=H","UseDPDF=Y")</f>
        <v>—</v>
      </c>
      <c r="R141" s="13">
        <f>_xll.BDH("BLUE US Equity","ARDR_FV_ASSETS_REC_L1_OTHER","FQ1 2022","FQ1 2022","Currency=USD","Period=FQ","BEST_FPERIOD_OVERRIDE=FQ","FILING_STATUS=MR","SCALING_FORMAT=MLN","Sort=A","Dates=H","DateFormat=P","Fill=—","Direction=H","UseDPDF=Y")</f>
        <v>0</v>
      </c>
      <c r="S141" s="13">
        <f>_xll.BDH("BLUE US Equity","ARDR_FV_ASSETS_REC_L1_OTHER","FQ2 2022","FQ2 2022","Currency=USD","Period=FQ","BEST_FPERIOD_OVERRIDE=FQ","FILING_STATUS=MR","SCALING_FORMAT=MLN","Sort=A","Dates=H","DateFormat=P","Fill=—","Direction=H","UseDPDF=Y")</f>
        <v>0</v>
      </c>
      <c r="T141" s="13">
        <f>_xll.BDH("BLUE US Equity","ARDR_FV_ASSETS_REC_L1_OTHER","FQ3 2022","FQ3 2022","Currency=USD","Period=FQ","BEST_FPERIOD_OVERRIDE=FQ","FILING_STATUS=MR","SCALING_FORMAT=MLN","Sort=A","Dates=H","DateFormat=P","Fill=—","Direction=H","UseDPDF=Y")</f>
        <v>0</v>
      </c>
      <c r="U141" s="13" t="str">
        <f>_xll.BDH("BLUE US Equity","ARDR_FV_ASSETS_REC_L1_OTHER","FQ4 2022","FQ4 2022","Currency=USD","Period=FQ","BEST_FPERIOD_OVERRIDE=FQ","FILING_STATUS=MR","SCALING_FORMAT=MLN","Sort=A","Dates=H","DateFormat=P","Fill=—","Direction=H","UseDPDF=Y")</f>
        <v>—</v>
      </c>
      <c r="V141" s="13">
        <f>_xll.BDH("BLUE US Equity","ARDR_FV_ASSETS_REC_L1_OTHER","FQ1 2023","FQ1 2023","Currency=USD","Period=FQ","BEST_FPERIOD_OVERRIDE=FQ","FILING_STATUS=MR","SCALING_FORMAT=MLN","Sort=A","Dates=H","DateFormat=P","Fill=—","Direction=H","UseDPDF=Y")</f>
        <v>0</v>
      </c>
      <c r="W141" s="13" t="str">
        <f>_xll.BDH("BLUE US Equity","ARDR_FV_ASSETS_REC_L1_OTHER","FQ2 2023","FQ2 2023","Currency=USD","Period=FQ","BEST_FPERIOD_OVERRIDE=FQ","FILING_STATUS=MR","SCALING_FORMAT=MLN","Sort=A","Dates=H","DateFormat=P","Fill=—","Direction=H","UseDPDF=Y")</f>
        <v>—</v>
      </c>
      <c r="X141" s="13" t="str">
        <f>_xll.BDH("BLUE US Equity","ARDR_FV_ASSETS_REC_L1_OTHER","FQ3 2023","FQ3 2023","Currency=USD","Period=FQ","BEST_FPERIOD_OVERRIDE=FQ","FILING_STATUS=MR","SCALING_FORMAT=MLN","Sort=A","Dates=H","DateFormat=P","Fill=—","Direction=H","UseDPDF=Y")</f>
        <v>—</v>
      </c>
      <c r="Y141" s="13">
        <f>_xll.BDH("BLUE US Equity","ARDR_FV_ASSETS_REC_L1_OTHER","FQ1 2024","FQ1 2024","Currency=USD","Period=FQ","BEST_FPERIOD_OVERRIDE=FQ","FILING_STATUS=MR","SCALING_FORMAT=MLN","Sort=A","Dates=H","DateFormat=P","Fill=—","Direction=H","UseDPDF=Y")</f>
        <v>0</v>
      </c>
      <c r="Z141" s="13">
        <f>_xll.BDH("BLUE US Equity","ARDR_FV_ASSETS_REC_L1_OTHER","FQ2 2024","FQ2 2024","Currency=USD","Period=FQ","BEST_FPERIOD_OVERRIDE=FQ","FILING_STATUS=MR","SCALING_FORMAT=MLN","Sort=A","Dates=H","DateFormat=P","Fill=—","Direction=H","UseDPDF=Y")</f>
        <v>0</v>
      </c>
      <c r="AA141" s="13" t="str">
        <f>_xll.BDH("BLUE US Equity","ARDR_FV_ASSETS_REC_L1_OTHER","FQ3 2024","FQ3 2024","Currency=USD","Period=FQ","BEST_FPERIOD_OVERRIDE=FQ","FILING_STATUS=MR","SCALING_FORMAT=MLN","Sort=A","Dates=H","DateFormat=P","Fill=—","Direction=H","UseDPDF=Y")</f>
        <v>—</v>
      </c>
    </row>
    <row r="142" spans="1:27" x14ac:dyDescent="0.25">
      <c r="A142" s="10" t="s">
        <v>995</v>
      </c>
      <c r="B142" s="10" t="s">
        <v>996</v>
      </c>
      <c r="C142" s="13">
        <f>_xll.BDH("BLUE US Equity","ARDR_FV_ASTS_REC_L2_CASH_SECS","FQ2 2018","FQ2 2018","Currency=USD","Period=FQ","BEST_FPERIOD_OVERRIDE=FQ","FILING_STATUS=MR","SCALING_FORMAT=MLN","Sort=A","Dates=H","DateFormat=P","Fill=—","Direction=H","UseDPDF=Y")</f>
        <v>0</v>
      </c>
      <c r="D142" s="13" t="str">
        <f>_xll.BDH("BLUE US Equity","ARDR_FV_ASTS_REC_L2_CASH_SECS","FQ3 2018","FQ3 2018","Currency=USD","Period=FQ","BEST_FPERIOD_OVERRIDE=FQ","FILING_STATUS=MR","SCALING_FORMAT=MLN","Sort=A","Dates=H","DateFormat=P","Fill=—","Direction=H","UseDPDF=Y")</f>
        <v>—</v>
      </c>
      <c r="E142" s="13">
        <f>_xll.BDH("BLUE US Equity","ARDR_FV_ASTS_REC_L2_CASH_SECS","FQ4 2018","FQ4 2018","Currency=USD","Period=FQ","BEST_FPERIOD_OVERRIDE=FQ","FILING_STATUS=MR","SCALING_FORMAT=MLN","Sort=A","Dates=H","DateFormat=P","Fill=—","Direction=H","UseDPDF=Y")</f>
        <v>1520.6220000000001</v>
      </c>
      <c r="F142" s="13">
        <f>_xll.BDH("BLUE US Equity","ARDR_FV_ASTS_REC_L2_CASH_SECS","FQ1 2019","FQ1 2019","Currency=USD","Period=FQ","BEST_FPERIOD_OVERRIDE=FQ","FILING_STATUS=MR","SCALING_FORMAT=MLN","Sort=A","Dates=H","DateFormat=P","Fill=—","Direction=H","UseDPDF=Y")</f>
        <v>7.3920000000000003</v>
      </c>
      <c r="G142" s="13">
        <f>_xll.BDH("BLUE US Equity","ARDR_FV_ASTS_REC_L2_CASH_SECS","FQ2 2019","FQ2 2019","Currency=USD","Period=FQ","BEST_FPERIOD_OVERRIDE=FQ","FILING_STATUS=MR","SCALING_FORMAT=MLN","Sort=A","Dates=H","DateFormat=P","Fill=—","Direction=H","UseDPDF=Y")</f>
        <v>0</v>
      </c>
      <c r="H142" s="13">
        <f>_xll.BDH("BLUE US Equity","ARDR_FV_ASTS_REC_L2_CASH_SECS","FQ3 2019","FQ3 2019","Currency=USD","Period=FQ","BEST_FPERIOD_OVERRIDE=FQ","FILING_STATUS=MR","SCALING_FORMAT=MLN","Sort=A","Dates=H","DateFormat=P","Fill=—","Direction=H","UseDPDF=Y")</f>
        <v>0</v>
      </c>
      <c r="I142" s="13">
        <f>_xll.BDH("BLUE US Equity","ARDR_FV_ASTS_REC_L2_CASH_SECS","FQ4 2019","FQ4 2019","Currency=USD","Period=FQ","BEST_FPERIOD_OVERRIDE=FQ","FILING_STATUS=MR","SCALING_FORMAT=MLN","Sort=A","Dates=H","DateFormat=P","Fill=—","Direction=H","UseDPDF=Y")</f>
        <v>913.851</v>
      </c>
      <c r="J142" s="13">
        <f>_xll.BDH("BLUE US Equity","ARDR_FV_ASTS_REC_L2_CASH_SECS","FQ1 2020","FQ1 2020","Currency=USD","Period=FQ","BEST_FPERIOD_OVERRIDE=FQ","FILING_STATUS=MR","SCALING_FORMAT=MLN","Sort=A","Dates=H","DateFormat=P","Fill=—","Direction=H","UseDPDF=Y")</f>
        <v>9.9990000000000006</v>
      </c>
      <c r="K142" s="13">
        <f>_xll.BDH("BLUE US Equity","ARDR_FV_ASTS_REC_L2_CASH_SECS","FQ2 2020","FQ2 2020","Currency=USD","Period=FQ","BEST_FPERIOD_OVERRIDE=FQ","FILING_STATUS=MR","SCALING_FORMAT=MLN","Sort=A","Dates=H","DateFormat=P","Fill=—","Direction=H","UseDPDF=Y")</f>
        <v>390.49799999999999</v>
      </c>
      <c r="L142" s="13">
        <f>_xll.BDH("BLUE US Equity","ARDR_FV_ASTS_REC_L2_CASH_SECS","FQ3 2020","FQ3 2020","Currency=USD","Period=FQ","BEST_FPERIOD_OVERRIDE=FQ","FILING_STATUS=MR","SCALING_FORMAT=MLN","Sort=A","Dates=H","DateFormat=P","Fill=—","Direction=H","UseDPDF=Y")</f>
        <v>62.2</v>
      </c>
      <c r="M142" s="13">
        <f>_xll.BDH("BLUE US Equity","ARDR_FV_ASTS_REC_L2_CASH_SECS","FQ4 2020","FQ4 2020","Currency=USD","Period=FQ","BEST_FPERIOD_OVERRIDE=FQ","FILING_STATUS=MR","SCALING_FORMAT=MLN","Sort=A","Dates=H","DateFormat=P","Fill=—","Direction=H","UseDPDF=Y")</f>
        <v>0</v>
      </c>
      <c r="N142" s="13">
        <f>_xll.BDH("BLUE US Equity","ARDR_FV_ASTS_REC_L2_CASH_SECS","FQ1 2021","FQ1 2021","Currency=USD","Period=FQ","BEST_FPERIOD_OVERRIDE=FQ","FILING_STATUS=MR","SCALING_FORMAT=MLN","Sort=A","Dates=H","DateFormat=P","Fill=—","Direction=H","UseDPDF=Y")</f>
        <v>28.998999999999999</v>
      </c>
      <c r="O142" s="13">
        <f>_xll.BDH("BLUE US Equity","ARDR_FV_ASTS_REC_L2_CASH_SECS","FQ2 2021","FQ2 2021","Currency=USD","Period=FQ","BEST_FPERIOD_OVERRIDE=FQ","FILING_STATUS=MR","SCALING_FORMAT=MLN","Sort=A","Dates=H","DateFormat=P","Fill=—","Direction=H","UseDPDF=Y")</f>
        <v>42.634999999999998</v>
      </c>
      <c r="P142" s="13">
        <f>_xll.BDH("BLUE US Equity","ARDR_FV_ASTS_REC_L2_CASH_SECS","FQ3 2021","FQ3 2021","Currency=USD","Period=FQ","BEST_FPERIOD_OVERRIDE=FQ","FILING_STATUS=MR","SCALING_FORMAT=MLN","Sort=A","Dates=H","DateFormat=P","Fill=—","Direction=H","UseDPDF=Y")</f>
        <v>24.998999999999999</v>
      </c>
      <c r="Q142" s="13">
        <f>_xll.BDH("BLUE US Equity","ARDR_FV_ASTS_REC_L2_CASH_SECS","FQ4 2021","FQ4 2021","Currency=USD","Period=FQ","BEST_FPERIOD_OVERRIDE=FQ","FILING_STATUS=MR","SCALING_FORMAT=MLN","Sort=A","Dates=H","DateFormat=P","Fill=—","Direction=H","UseDPDF=Y")</f>
        <v>1.4E-2</v>
      </c>
      <c r="R142" s="13">
        <f>_xll.BDH("BLUE US Equity","ARDR_FV_ASTS_REC_L2_CASH_SECS","FQ1 2022","FQ1 2022","Currency=USD","Period=FQ","BEST_FPERIOD_OVERRIDE=FQ","FILING_STATUS=MR","SCALING_FORMAT=MLN","Sort=A","Dates=H","DateFormat=P","Fill=—","Direction=H","UseDPDF=Y")</f>
        <v>0</v>
      </c>
      <c r="S142" s="13">
        <f>_xll.BDH("BLUE US Equity","ARDR_FV_ASTS_REC_L2_CASH_SECS","FQ2 2022","FQ2 2022","Currency=USD","Period=FQ","BEST_FPERIOD_OVERRIDE=FQ","FILING_STATUS=MR","SCALING_FORMAT=MLN","Sort=A","Dates=H","DateFormat=P","Fill=—","Direction=H","UseDPDF=Y")</f>
        <v>0</v>
      </c>
      <c r="T142" s="13">
        <f>_xll.BDH("BLUE US Equity","ARDR_FV_ASTS_REC_L2_CASH_SECS","FQ3 2022","FQ3 2022","Currency=USD","Period=FQ","BEST_FPERIOD_OVERRIDE=FQ","FILING_STATUS=MR","SCALING_FORMAT=MLN","Sort=A","Dates=H","DateFormat=P","Fill=—","Direction=H","UseDPDF=Y")</f>
        <v>0</v>
      </c>
      <c r="U142" s="13">
        <f>_xll.BDH("BLUE US Equity","ARDR_FV_ASTS_REC_L2_CASH_SECS","FQ4 2022","FQ4 2022","Currency=USD","Period=FQ","BEST_FPERIOD_OVERRIDE=FQ","FILING_STATUS=MR","SCALING_FORMAT=MLN","Sort=A","Dates=H","DateFormat=P","Fill=—","Direction=H","UseDPDF=Y")</f>
        <v>0</v>
      </c>
      <c r="V142" s="13">
        <f>_xll.BDH("BLUE US Equity","ARDR_FV_ASTS_REC_L2_CASH_SECS","FQ1 2023","FQ1 2023","Currency=USD","Period=FQ","BEST_FPERIOD_OVERRIDE=FQ","FILING_STATUS=MR","SCALING_FORMAT=MLN","Sort=A","Dates=H","DateFormat=P","Fill=—","Direction=H","UseDPDF=Y")</f>
        <v>0</v>
      </c>
      <c r="W142" s="13">
        <f>_xll.BDH("BLUE US Equity","ARDR_FV_ASTS_REC_L2_CASH_SECS","FQ2 2023","FQ2 2023","Currency=USD","Period=FQ","BEST_FPERIOD_OVERRIDE=FQ","FILING_STATUS=MR","SCALING_FORMAT=MLN","Sort=A","Dates=H","DateFormat=P","Fill=—","Direction=H","UseDPDF=Y")</f>
        <v>0</v>
      </c>
      <c r="X142" s="13">
        <f>_xll.BDH("BLUE US Equity","ARDR_FV_ASTS_REC_L2_CASH_SECS","FQ3 2023","FQ3 2023","Currency=USD","Period=FQ","BEST_FPERIOD_OVERRIDE=FQ","FILING_STATUS=MR","SCALING_FORMAT=MLN","Sort=A","Dates=H","DateFormat=P","Fill=—","Direction=H","UseDPDF=Y")</f>
        <v>0</v>
      </c>
      <c r="Y142" s="13">
        <f>_xll.BDH("BLUE US Equity","ARDR_FV_ASTS_REC_L2_CASH_SECS","FQ1 2024","FQ1 2024","Currency=USD","Period=FQ","BEST_FPERIOD_OVERRIDE=FQ","FILING_STATUS=MR","SCALING_FORMAT=MLN","Sort=A","Dates=H","DateFormat=P","Fill=—","Direction=H","UseDPDF=Y")</f>
        <v>0</v>
      </c>
      <c r="Z142" s="13">
        <f>_xll.BDH("BLUE US Equity","ARDR_FV_ASTS_REC_L2_CASH_SECS","FQ2 2024","FQ2 2024","Currency=USD","Period=FQ","BEST_FPERIOD_OVERRIDE=FQ","FILING_STATUS=MR","SCALING_FORMAT=MLN","Sort=A","Dates=H","DateFormat=P","Fill=—","Direction=H","UseDPDF=Y")</f>
        <v>0</v>
      </c>
      <c r="AA142" s="13">
        <f>_xll.BDH("BLUE US Equity","ARDR_FV_ASTS_REC_L2_CASH_SECS","FQ3 2024","FQ3 2024","Currency=USD","Period=FQ","BEST_FPERIOD_OVERRIDE=FQ","FILING_STATUS=MR","SCALING_FORMAT=MLN","Sort=A","Dates=H","DateFormat=P","Fill=—","Direction=H","UseDPDF=Y")</f>
        <v>0</v>
      </c>
    </row>
    <row r="143" spans="1:27" x14ac:dyDescent="0.25">
      <c r="A143" s="10" t="s">
        <v>997</v>
      </c>
      <c r="B143" s="10" t="s">
        <v>998</v>
      </c>
      <c r="C143" s="13">
        <f>_xll.BDH("BLUE US Equity","ARDR_FV_ASTS_REC_L2_TRAD_TREAS","FQ2 2018","FQ2 2018","Currency=USD","Period=FQ","BEST_FPERIOD_OVERRIDE=FQ","FILING_STATUS=MR","SCALING_FORMAT=MLN","Sort=A","Dates=H","DateFormat=P","Fill=—","Direction=H","UseDPDF=Y")</f>
        <v>1111.3340000000001</v>
      </c>
      <c r="D143" s="13" t="str">
        <f>_xll.BDH("BLUE US Equity","ARDR_FV_ASTS_REC_L2_TRAD_TREAS","FQ3 2018","FQ3 2018","Currency=USD","Period=FQ","BEST_FPERIOD_OVERRIDE=FQ","FILING_STATUS=MR","SCALING_FORMAT=MLN","Sort=A","Dates=H","DateFormat=P","Fill=—","Direction=H","UseDPDF=Y")</f>
        <v>—</v>
      </c>
      <c r="E143" s="13" t="str">
        <f>_xll.BDH("BLUE US Equity","ARDR_FV_ASTS_REC_L2_TRAD_TREAS","FQ4 2018","FQ4 2018","Currency=USD","Period=FQ","BEST_FPERIOD_OVERRIDE=FQ","FILING_STATUS=MR","SCALING_FORMAT=MLN","Sort=A","Dates=H","DateFormat=P","Fill=—","Direction=H","UseDPDF=Y")</f>
        <v>—</v>
      </c>
      <c r="F143" s="13" t="str">
        <f>_xll.BDH("BLUE US Equity","ARDR_FV_ASTS_REC_L2_TRAD_TREAS","FQ1 2019","FQ1 2019","Currency=USD","Period=FQ","BEST_FPERIOD_OVERRIDE=FQ","FILING_STATUS=MR","SCALING_FORMAT=MLN","Sort=A","Dates=H","DateFormat=P","Fill=—","Direction=H","UseDPDF=Y")</f>
        <v>—</v>
      </c>
      <c r="G143" s="13" t="str">
        <f>_xll.BDH("BLUE US Equity","ARDR_FV_ASTS_REC_L2_TRAD_TREAS","FQ2 2019","FQ2 2019","Currency=USD","Period=FQ","BEST_FPERIOD_OVERRIDE=FQ","FILING_STATUS=MR","SCALING_FORMAT=MLN","Sort=A","Dates=H","DateFormat=P","Fill=—","Direction=H","UseDPDF=Y")</f>
        <v>—</v>
      </c>
      <c r="H143" s="13" t="str">
        <f>_xll.BDH("BLUE US Equity","ARDR_FV_ASTS_REC_L2_TRAD_TREAS","FQ3 2019","FQ3 2019","Currency=USD","Period=FQ","BEST_FPERIOD_OVERRIDE=FQ","FILING_STATUS=MR","SCALING_FORMAT=MLN","Sort=A","Dates=H","DateFormat=P","Fill=—","Direction=H","UseDPDF=Y")</f>
        <v>—</v>
      </c>
      <c r="I143" s="13" t="str">
        <f>_xll.BDH("BLUE US Equity","ARDR_FV_ASTS_REC_L2_TRAD_TREAS","FQ4 2019","FQ4 2019","Currency=USD","Period=FQ","BEST_FPERIOD_OVERRIDE=FQ","FILING_STATUS=MR","SCALING_FORMAT=MLN","Sort=A","Dates=H","DateFormat=P","Fill=—","Direction=H","UseDPDF=Y")</f>
        <v>—</v>
      </c>
      <c r="J143" s="13" t="str">
        <f>_xll.BDH("BLUE US Equity","ARDR_FV_ASTS_REC_L2_TRAD_TREAS","FQ1 2020","FQ1 2020","Currency=USD","Period=FQ","BEST_FPERIOD_OVERRIDE=FQ","FILING_STATUS=MR","SCALING_FORMAT=MLN","Sort=A","Dates=H","DateFormat=P","Fill=—","Direction=H","UseDPDF=Y")</f>
        <v>—</v>
      </c>
      <c r="K143" s="13" t="str">
        <f>_xll.BDH("BLUE US Equity","ARDR_FV_ASTS_REC_L2_TRAD_TREAS","FQ2 2020","FQ2 2020","Currency=USD","Period=FQ","BEST_FPERIOD_OVERRIDE=FQ","FILING_STATUS=MR","SCALING_FORMAT=MLN","Sort=A","Dates=H","DateFormat=P","Fill=—","Direction=H","UseDPDF=Y")</f>
        <v>—</v>
      </c>
      <c r="L143" s="13" t="str">
        <f>_xll.BDH("BLUE US Equity","ARDR_FV_ASTS_REC_L2_TRAD_TREAS","FQ3 2020","FQ3 2020","Currency=USD","Period=FQ","BEST_FPERIOD_OVERRIDE=FQ","FILING_STATUS=MR","SCALING_FORMAT=MLN","Sort=A","Dates=H","DateFormat=P","Fill=—","Direction=H","UseDPDF=Y")</f>
        <v>—</v>
      </c>
      <c r="M143" s="13" t="str">
        <f>_xll.BDH("BLUE US Equity","ARDR_FV_ASTS_REC_L2_TRAD_TREAS","FQ4 2020","FQ4 2020","Currency=USD","Period=FQ","BEST_FPERIOD_OVERRIDE=FQ","FILING_STATUS=MR","SCALING_FORMAT=MLN","Sort=A","Dates=H","DateFormat=P","Fill=—","Direction=H","UseDPDF=Y")</f>
        <v>—</v>
      </c>
      <c r="N143" s="13" t="str">
        <f>_xll.BDH("BLUE US Equity","ARDR_FV_ASTS_REC_L2_TRAD_TREAS","FQ1 2021","FQ1 2021","Currency=USD","Period=FQ","BEST_FPERIOD_OVERRIDE=FQ","FILING_STATUS=MR","SCALING_FORMAT=MLN","Sort=A","Dates=H","DateFormat=P","Fill=—","Direction=H","UseDPDF=Y")</f>
        <v>—</v>
      </c>
      <c r="O143" s="13">
        <f>_xll.BDH("BLUE US Equity","ARDR_FV_ASTS_REC_L2_TRAD_TREAS","FQ2 2021","FQ2 2021","Currency=USD","Period=FQ","BEST_FPERIOD_OVERRIDE=FQ","FILING_STATUS=MR","SCALING_FORMAT=MLN","Sort=A","Dates=H","DateFormat=P","Fill=—","Direction=H","UseDPDF=Y")</f>
        <v>346.45600000000002</v>
      </c>
      <c r="P143" s="13" t="str">
        <f>_xll.BDH("BLUE US Equity","ARDR_FV_ASTS_REC_L2_TRAD_TREAS","FQ3 2021","FQ3 2021","Currency=USD","Period=FQ","BEST_FPERIOD_OVERRIDE=FQ","FILING_STATUS=MR","SCALING_FORMAT=MLN","Sort=A","Dates=H","DateFormat=P","Fill=—","Direction=H","UseDPDF=Y")</f>
        <v>—</v>
      </c>
      <c r="Q143" s="13" t="str">
        <f>_xll.BDH("BLUE US Equity","ARDR_FV_ASTS_REC_L2_TRAD_TREAS","FQ4 2021","FQ4 2021","Currency=USD","Period=FQ","BEST_FPERIOD_OVERRIDE=FQ","FILING_STATUS=MR","SCALING_FORMAT=MLN","Sort=A","Dates=H","DateFormat=P","Fill=—","Direction=H","UseDPDF=Y")</f>
        <v>—</v>
      </c>
      <c r="R143" s="13" t="str">
        <f>_xll.BDH("BLUE US Equity","ARDR_FV_ASTS_REC_L2_TRAD_TREAS","FQ1 2022","FQ1 2022","Currency=USD","Period=FQ","BEST_FPERIOD_OVERRIDE=FQ","FILING_STATUS=MR","SCALING_FORMAT=MLN","Sort=A","Dates=H","DateFormat=P","Fill=—","Direction=H","UseDPDF=Y")</f>
        <v>—</v>
      </c>
      <c r="S143" s="13" t="str">
        <f>_xll.BDH("BLUE US Equity","ARDR_FV_ASTS_REC_L2_TRAD_TREAS","FQ2 2022","FQ2 2022","Currency=USD","Period=FQ","BEST_FPERIOD_OVERRIDE=FQ","FILING_STATUS=MR","SCALING_FORMAT=MLN","Sort=A","Dates=H","DateFormat=P","Fill=—","Direction=H","UseDPDF=Y")</f>
        <v>—</v>
      </c>
      <c r="T143" s="13" t="str">
        <f>_xll.BDH("BLUE US Equity","ARDR_FV_ASTS_REC_L2_TRAD_TREAS","FQ3 2022","FQ3 2022","Currency=USD","Period=FQ","BEST_FPERIOD_OVERRIDE=FQ","FILING_STATUS=MR","SCALING_FORMAT=MLN","Sort=A","Dates=H","DateFormat=P","Fill=—","Direction=H","UseDPDF=Y")</f>
        <v>—</v>
      </c>
      <c r="U143" s="13" t="str">
        <f>_xll.BDH("BLUE US Equity","ARDR_FV_ASTS_REC_L2_TRAD_TREAS","FQ4 2022","FQ4 2022","Currency=USD","Period=FQ","BEST_FPERIOD_OVERRIDE=FQ","FILING_STATUS=MR","SCALING_FORMAT=MLN","Sort=A","Dates=H","DateFormat=P","Fill=—","Direction=H","UseDPDF=Y")</f>
        <v>—</v>
      </c>
      <c r="V143" s="13" t="str">
        <f>_xll.BDH("BLUE US Equity","ARDR_FV_ASTS_REC_L2_TRAD_TREAS","FQ1 2023","FQ1 2023","Currency=USD","Period=FQ","BEST_FPERIOD_OVERRIDE=FQ","FILING_STATUS=MR","SCALING_FORMAT=MLN","Sort=A","Dates=H","DateFormat=P","Fill=—","Direction=H","UseDPDF=Y")</f>
        <v>—</v>
      </c>
      <c r="W143" s="13" t="str">
        <f>_xll.BDH("BLUE US Equity","ARDR_FV_ASTS_REC_L2_TRAD_TREAS","FQ2 2023","FQ2 2023","Currency=USD","Period=FQ","BEST_FPERIOD_OVERRIDE=FQ","FILING_STATUS=MR","SCALING_FORMAT=MLN","Sort=A","Dates=H","DateFormat=P","Fill=—","Direction=H","UseDPDF=Y")</f>
        <v>—</v>
      </c>
      <c r="X143" s="13" t="str">
        <f>_xll.BDH("BLUE US Equity","ARDR_FV_ASTS_REC_L2_TRAD_TREAS","FQ3 2023","FQ3 2023","Currency=USD","Period=FQ","BEST_FPERIOD_OVERRIDE=FQ","FILING_STATUS=MR","SCALING_FORMAT=MLN","Sort=A","Dates=H","DateFormat=P","Fill=—","Direction=H","UseDPDF=Y")</f>
        <v>—</v>
      </c>
      <c r="Y143" s="13" t="str">
        <f>_xll.BDH("BLUE US Equity","ARDR_FV_ASTS_REC_L2_TRAD_TREAS","FQ1 2024","FQ1 2024","Currency=USD","Period=FQ","BEST_FPERIOD_OVERRIDE=FQ","FILING_STATUS=MR","SCALING_FORMAT=MLN","Sort=A","Dates=H","DateFormat=P","Fill=—","Direction=H","UseDPDF=Y")</f>
        <v>—</v>
      </c>
      <c r="Z143" s="13" t="str">
        <f>_xll.BDH("BLUE US Equity","ARDR_FV_ASTS_REC_L2_TRAD_TREAS","FQ2 2024","FQ2 2024","Currency=USD","Period=FQ","BEST_FPERIOD_OVERRIDE=FQ","FILING_STATUS=MR","SCALING_FORMAT=MLN","Sort=A","Dates=H","DateFormat=P","Fill=—","Direction=H","UseDPDF=Y")</f>
        <v>—</v>
      </c>
      <c r="AA143" s="13" t="str">
        <f>_xll.BDH("BLUE US Equity","ARDR_FV_ASTS_REC_L2_TRAD_TREAS","FQ3 2024","FQ3 2024","Currency=USD","Period=FQ","BEST_FPERIOD_OVERRIDE=FQ","FILING_STATUS=MR","SCALING_FORMAT=MLN","Sort=A","Dates=H","DateFormat=P","Fill=—","Direction=H","UseDPDF=Y")</f>
        <v>—</v>
      </c>
    </row>
    <row r="144" spans="1:27" x14ac:dyDescent="0.25">
      <c r="A144" s="10" t="s">
        <v>999</v>
      </c>
      <c r="B144" s="10" t="s">
        <v>1000</v>
      </c>
      <c r="C144" s="13">
        <f>_xll.BDH("BLUE US Equity","ARDR_FV_ASTS_REC_L2_TRAD_CDO_CLO","FQ2 2018","FQ2 2018","Currency=USD","Period=FQ","BEST_FPERIOD_OVERRIDE=FQ","FILING_STATUS=MR","SCALING_FORMAT=MLN","Sort=A","Dates=H","DateFormat=P","Fill=—","Direction=H","UseDPDF=Y")</f>
        <v>11.96</v>
      </c>
      <c r="D144" s="13" t="str">
        <f>_xll.BDH("BLUE US Equity","ARDR_FV_ASTS_REC_L2_TRAD_CDO_CLO","FQ3 2018","FQ3 2018","Currency=USD","Period=FQ","BEST_FPERIOD_OVERRIDE=FQ","FILING_STATUS=MR","SCALING_FORMAT=MLN","Sort=A","Dates=H","DateFormat=P","Fill=—","Direction=H","UseDPDF=Y")</f>
        <v>—</v>
      </c>
      <c r="E144" s="13" t="str">
        <f>_xll.BDH("BLUE US Equity","ARDR_FV_ASTS_REC_L2_TRAD_CDO_CLO","FQ4 2018","FQ4 2018","Currency=USD","Period=FQ","BEST_FPERIOD_OVERRIDE=FQ","FILING_STATUS=MR","SCALING_FORMAT=MLN","Sort=A","Dates=H","DateFormat=P","Fill=—","Direction=H","UseDPDF=Y")</f>
        <v>—</v>
      </c>
      <c r="F144" s="13" t="str">
        <f>_xll.BDH("BLUE US Equity","ARDR_FV_ASTS_REC_L2_TRAD_CDO_CLO","FQ1 2019","FQ1 2019","Currency=USD","Period=FQ","BEST_FPERIOD_OVERRIDE=FQ","FILING_STATUS=MR","SCALING_FORMAT=MLN","Sort=A","Dates=H","DateFormat=P","Fill=—","Direction=H","UseDPDF=Y")</f>
        <v>—</v>
      </c>
      <c r="G144" s="13" t="str">
        <f>_xll.BDH("BLUE US Equity","ARDR_FV_ASTS_REC_L2_TRAD_CDO_CLO","FQ2 2019","FQ2 2019","Currency=USD","Period=FQ","BEST_FPERIOD_OVERRIDE=FQ","FILING_STATUS=MR","SCALING_FORMAT=MLN","Sort=A","Dates=H","DateFormat=P","Fill=—","Direction=H","UseDPDF=Y")</f>
        <v>—</v>
      </c>
      <c r="H144" s="13" t="str">
        <f>_xll.BDH("BLUE US Equity","ARDR_FV_ASTS_REC_L2_TRAD_CDO_CLO","FQ3 2019","FQ3 2019","Currency=USD","Period=FQ","BEST_FPERIOD_OVERRIDE=FQ","FILING_STATUS=MR","SCALING_FORMAT=MLN","Sort=A","Dates=H","DateFormat=P","Fill=—","Direction=H","UseDPDF=Y")</f>
        <v>—</v>
      </c>
      <c r="I144" s="13" t="str">
        <f>_xll.BDH("BLUE US Equity","ARDR_FV_ASTS_REC_L2_TRAD_CDO_CLO","FQ4 2019","FQ4 2019","Currency=USD","Period=FQ","BEST_FPERIOD_OVERRIDE=FQ","FILING_STATUS=MR","SCALING_FORMAT=MLN","Sort=A","Dates=H","DateFormat=P","Fill=—","Direction=H","UseDPDF=Y")</f>
        <v>—</v>
      </c>
      <c r="J144" s="13" t="str">
        <f>_xll.BDH("BLUE US Equity","ARDR_FV_ASTS_REC_L2_TRAD_CDO_CLO","FQ1 2020","FQ1 2020","Currency=USD","Period=FQ","BEST_FPERIOD_OVERRIDE=FQ","FILING_STATUS=MR","SCALING_FORMAT=MLN","Sort=A","Dates=H","DateFormat=P","Fill=—","Direction=H","UseDPDF=Y")</f>
        <v>—</v>
      </c>
      <c r="K144" s="13" t="str">
        <f>_xll.BDH("BLUE US Equity","ARDR_FV_ASTS_REC_L2_TRAD_CDO_CLO","FQ2 2020","FQ2 2020","Currency=USD","Period=FQ","BEST_FPERIOD_OVERRIDE=FQ","FILING_STATUS=MR","SCALING_FORMAT=MLN","Sort=A","Dates=H","DateFormat=P","Fill=—","Direction=H","UseDPDF=Y")</f>
        <v>—</v>
      </c>
      <c r="L144" s="13" t="str">
        <f>_xll.BDH("BLUE US Equity","ARDR_FV_ASTS_REC_L2_TRAD_CDO_CLO","FQ3 2020","FQ3 2020","Currency=USD","Period=FQ","BEST_FPERIOD_OVERRIDE=FQ","FILING_STATUS=MR","SCALING_FORMAT=MLN","Sort=A","Dates=H","DateFormat=P","Fill=—","Direction=H","UseDPDF=Y")</f>
        <v>—</v>
      </c>
      <c r="M144" s="13" t="str">
        <f>_xll.BDH("BLUE US Equity","ARDR_FV_ASTS_REC_L2_TRAD_CDO_CLO","FQ4 2020","FQ4 2020","Currency=USD","Period=FQ","BEST_FPERIOD_OVERRIDE=FQ","FILING_STATUS=MR","SCALING_FORMAT=MLN","Sort=A","Dates=H","DateFormat=P","Fill=—","Direction=H","UseDPDF=Y")</f>
        <v>—</v>
      </c>
      <c r="N144" s="13" t="str">
        <f>_xll.BDH("BLUE US Equity","ARDR_FV_ASTS_REC_L2_TRAD_CDO_CLO","FQ1 2021","FQ1 2021","Currency=USD","Period=FQ","BEST_FPERIOD_OVERRIDE=FQ","FILING_STATUS=MR","SCALING_FORMAT=MLN","Sort=A","Dates=H","DateFormat=P","Fill=—","Direction=H","UseDPDF=Y")</f>
        <v>—</v>
      </c>
      <c r="O144" s="13">
        <f>_xll.BDH("BLUE US Equity","ARDR_FV_ASTS_REC_L2_TRAD_CDO_CLO","FQ2 2021","FQ2 2021","Currency=USD","Period=FQ","BEST_FPERIOD_OVERRIDE=FQ","FILING_STATUS=MR","SCALING_FORMAT=MLN","Sort=A","Dates=H","DateFormat=P","Fill=—","Direction=H","UseDPDF=Y")</f>
        <v>239.084</v>
      </c>
      <c r="P144" s="13" t="str">
        <f>_xll.BDH("BLUE US Equity","ARDR_FV_ASTS_REC_L2_TRAD_CDO_CLO","FQ3 2021","FQ3 2021","Currency=USD","Period=FQ","BEST_FPERIOD_OVERRIDE=FQ","FILING_STATUS=MR","SCALING_FORMAT=MLN","Sort=A","Dates=H","DateFormat=P","Fill=—","Direction=H","UseDPDF=Y")</f>
        <v>—</v>
      </c>
      <c r="Q144" s="13" t="str">
        <f>_xll.BDH("BLUE US Equity","ARDR_FV_ASTS_REC_L2_TRAD_CDO_CLO","FQ4 2021","FQ4 2021","Currency=USD","Period=FQ","BEST_FPERIOD_OVERRIDE=FQ","FILING_STATUS=MR","SCALING_FORMAT=MLN","Sort=A","Dates=H","DateFormat=P","Fill=—","Direction=H","UseDPDF=Y")</f>
        <v>—</v>
      </c>
      <c r="R144" s="13" t="str">
        <f>_xll.BDH("BLUE US Equity","ARDR_FV_ASTS_REC_L2_TRAD_CDO_CLO","FQ1 2022","FQ1 2022","Currency=USD","Period=FQ","BEST_FPERIOD_OVERRIDE=FQ","FILING_STATUS=MR","SCALING_FORMAT=MLN","Sort=A","Dates=H","DateFormat=P","Fill=—","Direction=H","UseDPDF=Y")</f>
        <v>—</v>
      </c>
      <c r="S144" s="13" t="str">
        <f>_xll.BDH("BLUE US Equity","ARDR_FV_ASTS_REC_L2_TRAD_CDO_CLO","FQ2 2022","FQ2 2022","Currency=USD","Period=FQ","BEST_FPERIOD_OVERRIDE=FQ","FILING_STATUS=MR","SCALING_FORMAT=MLN","Sort=A","Dates=H","DateFormat=P","Fill=—","Direction=H","UseDPDF=Y")</f>
        <v>—</v>
      </c>
      <c r="T144" s="13" t="str">
        <f>_xll.BDH("BLUE US Equity","ARDR_FV_ASTS_REC_L2_TRAD_CDO_CLO","FQ3 2022","FQ3 2022","Currency=USD","Period=FQ","BEST_FPERIOD_OVERRIDE=FQ","FILING_STATUS=MR","SCALING_FORMAT=MLN","Sort=A","Dates=H","DateFormat=P","Fill=—","Direction=H","UseDPDF=Y")</f>
        <v>—</v>
      </c>
      <c r="U144" s="13" t="str">
        <f>_xll.BDH("BLUE US Equity","ARDR_FV_ASTS_REC_L2_TRAD_CDO_CLO","FQ4 2022","FQ4 2022","Currency=USD","Period=FQ","BEST_FPERIOD_OVERRIDE=FQ","FILING_STATUS=MR","SCALING_FORMAT=MLN","Sort=A","Dates=H","DateFormat=P","Fill=—","Direction=H","UseDPDF=Y")</f>
        <v>—</v>
      </c>
      <c r="V144" s="13" t="str">
        <f>_xll.BDH("BLUE US Equity","ARDR_FV_ASTS_REC_L2_TRAD_CDO_CLO","FQ1 2023","FQ1 2023","Currency=USD","Period=FQ","BEST_FPERIOD_OVERRIDE=FQ","FILING_STATUS=MR","SCALING_FORMAT=MLN","Sort=A","Dates=H","DateFormat=P","Fill=—","Direction=H","UseDPDF=Y")</f>
        <v>—</v>
      </c>
      <c r="W144" s="13" t="str">
        <f>_xll.BDH("BLUE US Equity","ARDR_FV_ASTS_REC_L2_TRAD_CDO_CLO","FQ2 2023","FQ2 2023","Currency=USD","Period=FQ","BEST_FPERIOD_OVERRIDE=FQ","FILING_STATUS=MR","SCALING_FORMAT=MLN","Sort=A","Dates=H","DateFormat=P","Fill=—","Direction=H","UseDPDF=Y")</f>
        <v>—</v>
      </c>
      <c r="X144" s="13" t="str">
        <f>_xll.BDH("BLUE US Equity","ARDR_FV_ASTS_REC_L2_TRAD_CDO_CLO","FQ3 2023","FQ3 2023","Currency=USD","Period=FQ","BEST_FPERIOD_OVERRIDE=FQ","FILING_STATUS=MR","SCALING_FORMAT=MLN","Sort=A","Dates=H","DateFormat=P","Fill=—","Direction=H","UseDPDF=Y")</f>
        <v>—</v>
      </c>
      <c r="Y144" s="13" t="str">
        <f>_xll.BDH("BLUE US Equity","ARDR_FV_ASTS_REC_L2_TRAD_CDO_CLO","FQ1 2024","FQ1 2024","Currency=USD","Period=FQ","BEST_FPERIOD_OVERRIDE=FQ","FILING_STATUS=MR","SCALING_FORMAT=MLN","Sort=A","Dates=H","DateFormat=P","Fill=—","Direction=H","UseDPDF=Y")</f>
        <v>—</v>
      </c>
      <c r="Z144" s="13" t="str">
        <f>_xll.BDH("BLUE US Equity","ARDR_FV_ASTS_REC_L2_TRAD_CDO_CLO","FQ2 2024","FQ2 2024","Currency=USD","Period=FQ","BEST_FPERIOD_OVERRIDE=FQ","FILING_STATUS=MR","SCALING_FORMAT=MLN","Sort=A","Dates=H","DateFormat=P","Fill=—","Direction=H","UseDPDF=Y")</f>
        <v>—</v>
      </c>
      <c r="AA144" s="13" t="str">
        <f>_xll.BDH("BLUE US Equity","ARDR_FV_ASTS_REC_L2_TRAD_CDO_CLO","FQ3 2024","FQ3 2024","Currency=USD","Period=FQ","BEST_FPERIOD_OVERRIDE=FQ","FILING_STATUS=MR","SCALING_FORMAT=MLN","Sort=A","Dates=H","DateFormat=P","Fill=—","Direction=H","UseDPDF=Y")</f>
        <v>—</v>
      </c>
    </row>
    <row r="145" spans="1:27" x14ac:dyDescent="0.25">
      <c r="A145" s="10" t="s">
        <v>1001</v>
      </c>
      <c r="B145" s="10" t="s">
        <v>1002</v>
      </c>
      <c r="C145" s="13" t="str">
        <f>_xll.BDH("BLUE US Equity","ARDR_FV_ASSETS_REC_L2_AFS_TREAS","FQ2 2018","FQ2 2018","Currency=USD","Period=FQ","BEST_FPERIOD_OVERRIDE=FQ","FILING_STATUS=MR","SCALING_FORMAT=MLN","Sort=A","Dates=H","DateFormat=P","Fill=—","Direction=H","UseDPDF=Y")</f>
        <v>—</v>
      </c>
      <c r="D145" s="13" t="str">
        <f>_xll.BDH("BLUE US Equity","ARDR_FV_ASSETS_REC_L2_AFS_TREAS","FQ3 2018","FQ3 2018","Currency=USD","Period=FQ","BEST_FPERIOD_OVERRIDE=FQ","FILING_STATUS=MR","SCALING_FORMAT=MLN","Sort=A","Dates=H","DateFormat=P","Fill=—","Direction=H","UseDPDF=Y")</f>
        <v>—</v>
      </c>
      <c r="E145" s="13" t="str">
        <f>_xll.BDH("BLUE US Equity","ARDR_FV_ASSETS_REC_L2_AFS_TREAS","FQ4 2018","FQ4 2018","Currency=USD","Period=FQ","BEST_FPERIOD_OVERRIDE=FQ","FILING_STATUS=MR","SCALING_FORMAT=MLN","Sort=A","Dates=H","DateFormat=P","Fill=—","Direction=H","UseDPDF=Y")</f>
        <v>—</v>
      </c>
      <c r="F145" s="13">
        <f>_xll.BDH("BLUE US Equity","ARDR_FV_ASSETS_REC_L2_AFS_TREAS","FQ1 2019","FQ1 2019","Currency=USD","Period=FQ","BEST_FPERIOD_OVERRIDE=FQ","FILING_STATUS=MR","SCALING_FORMAT=MLN","Sort=A","Dates=H","DateFormat=P","Fill=—","Direction=H","UseDPDF=Y")</f>
        <v>1357.845</v>
      </c>
      <c r="G145" s="13">
        <f>_xll.BDH("BLUE US Equity","ARDR_FV_ASSETS_REC_L2_AFS_TREAS","FQ2 2019","FQ2 2019","Currency=USD","Period=FQ","BEST_FPERIOD_OVERRIDE=FQ","FILING_STATUS=MR","SCALING_FORMAT=MLN","Sort=A","Dates=H","DateFormat=P","Fill=—","Direction=H","UseDPDF=Y")</f>
        <v>1063.171</v>
      </c>
      <c r="H145" s="13">
        <f>_xll.BDH("BLUE US Equity","ARDR_FV_ASSETS_REC_L2_AFS_TREAS","FQ3 2019","FQ3 2019","Currency=USD","Period=FQ","BEST_FPERIOD_OVERRIDE=FQ","FILING_STATUS=MR","SCALING_FORMAT=MLN","Sort=A","Dates=H","DateFormat=P","Fill=—","Direction=H","UseDPDF=Y")</f>
        <v>873.07399999999996</v>
      </c>
      <c r="I145" s="13" t="str">
        <f>_xll.BDH("BLUE US Equity","ARDR_FV_ASSETS_REC_L2_AFS_TREAS","FQ4 2019","FQ4 2019","Currency=USD","Period=FQ","BEST_FPERIOD_OVERRIDE=FQ","FILING_STATUS=MR","SCALING_FORMAT=MLN","Sort=A","Dates=H","DateFormat=P","Fill=—","Direction=H","UseDPDF=Y")</f>
        <v>—</v>
      </c>
      <c r="J145" s="13">
        <f>_xll.BDH("BLUE US Equity","ARDR_FV_ASSETS_REC_L2_AFS_TREAS","FQ1 2020","FQ1 2020","Currency=USD","Period=FQ","BEST_FPERIOD_OVERRIDE=FQ","FILING_STATUS=MR","SCALING_FORMAT=MLN","Sort=A","Dates=H","DateFormat=P","Fill=—","Direction=H","UseDPDF=Y")</f>
        <v>380.27699999999999</v>
      </c>
      <c r="K145" s="13" t="str">
        <f>_xll.BDH("BLUE US Equity","ARDR_FV_ASSETS_REC_L2_AFS_TREAS","FQ2 2020","FQ2 2020","Currency=USD","Period=FQ","BEST_FPERIOD_OVERRIDE=FQ","FILING_STATUS=MR","SCALING_FORMAT=MLN","Sort=A","Dates=H","DateFormat=P","Fill=—","Direction=H","UseDPDF=Y")</f>
        <v>—</v>
      </c>
      <c r="L145" s="13">
        <f>_xll.BDH("BLUE US Equity","ARDR_FV_ASSETS_REC_L2_AFS_TREAS","FQ3 2020","FQ3 2020","Currency=USD","Period=FQ","BEST_FPERIOD_OVERRIDE=FQ","FILING_STATUS=MR","SCALING_FORMAT=MLN","Sort=A","Dates=H","DateFormat=P","Fill=—","Direction=H","UseDPDF=Y")</f>
        <v>779.05799999999999</v>
      </c>
      <c r="M145" s="13" t="str">
        <f>_xll.BDH("BLUE US Equity","ARDR_FV_ASSETS_REC_L2_AFS_TREAS","FQ4 2020","FQ4 2020","Currency=USD","Period=FQ","BEST_FPERIOD_OVERRIDE=FQ","FILING_STATUS=MR","SCALING_FORMAT=MLN","Sort=A","Dates=H","DateFormat=P","Fill=—","Direction=H","UseDPDF=Y")</f>
        <v>—</v>
      </c>
      <c r="N145" s="13">
        <f>_xll.BDH("BLUE US Equity","ARDR_FV_ASSETS_REC_L2_AFS_TREAS","FQ1 2021","FQ1 2021","Currency=USD","Period=FQ","BEST_FPERIOD_OVERRIDE=FQ","FILING_STATUS=MR","SCALING_FORMAT=MLN","Sort=A","Dates=H","DateFormat=P","Fill=—","Direction=H","UseDPDF=Y")</f>
        <v>429.279</v>
      </c>
      <c r="O145" s="13" t="str">
        <f>_xll.BDH("BLUE US Equity","ARDR_FV_ASSETS_REC_L2_AFS_TREAS","FQ2 2021","FQ2 2021","Currency=USD","Period=FQ","BEST_FPERIOD_OVERRIDE=FQ","FILING_STATUS=MR","SCALING_FORMAT=MLN","Sort=A","Dates=H","DateFormat=P","Fill=—","Direction=H","UseDPDF=Y")</f>
        <v>—</v>
      </c>
      <c r="P145" s="13">
        <f>_xll.BDH("BLUE US Equity","ARDR_FV_ASSETS_REC_L2_AFS_TREAS","FQ3 2021","FQ3 2021","Currency=USD","Period=FQ","BEST_FPERIOD_OVERRIDE=FQ","FILING_STATUS=MR","SCALING_FORMAT=MLN","Sort=A","Dates=H","DateFormat=P","Fill=—","Direction=H","UseDPDF=Y")</f>
        <v>312.49200000000002</v>
      </c>
      <c r="Q145" s="13" t="str">
        <f>_xll.BDH("BLUE US Equity","ARDR_FV_ASSETS_REC_L2_AFS_TREAS","FQ4 2021","FQ4 2021","Currency=USD","Period=FQ","BEST_FPERIOD_OVERRIDE=FQ","FILING_STATUS=MR","SCALING_FORMAT=MLN","Sort=A","Dates=H","DateFormat=P","Fill=—","Direction=H","UseDPDF=Y")</f>
        <v>—</v>
      </c>
      <c r="R145" s="13">
        <f>_xll.BDH("BLUE US Equity","ARDR_FV_ASSETS_REC_L2_AFS_TREAS","FQ1 2022","FQ1 2022","Currency=USD","Period=FQ","BEST_FPERIOD_OVERRIDE=FQ","FILING_STATUS=MR","SCALING_FORMAT=MLN","Sort=A","Dates=H","DateFormat=P","Fill=—","Direction=H","UseDPDF=Y")</f>
        <v>115.705</v>
      </c>
      <c r="S145" s="13">
        <f>_xll.BDH("BLUE US Equity","ARDR_FV_ASSETS_REC_L2_AFS_TREAS","FQ2 2022","FQ2 2022","Currency=USD","Period=FQ","BEST_FPERIOD_OVERRIDE=FQ","FILING_STATUS=MR","SCALING_FORMAT=MLN","Sort=A","Dates=H","DateFormat=P","Fill=—","Direction=H","UseDPDF=Y")</f>
        <v>75.962999999999994</v>
      </c>
      <c r="T145" s="13">
        <f>_xll.BDH("BLUE US Equity","ARDR_FV_ASSETS_REC_L2_AFS_TREAS","FQ3 2022","FQ3 2022","Currency=USD","Period=FQ","BEST_FPERIOD_OVERRIDE=FQ","FILING_STATUS=MR","SCALING_FORMAT=MLN","Sort=A","Dates=H","DateFormat=P","Fill=—","Direction=H","UseDPDF=Y")</f>
        <v>68.241</v>
      </c>
      <c r="U145" s="13">
        <f>_xll.BDH("BLUE US Equity","ARDR_FV_ASSETS_REC_L2_AFS_TREAS","FQ4 2022","FQ4 2022","Currency=USD","Period=FQ","BEST_FPERIOD_OVERRIDE=FQ","FILING_STATUS=MR","SCALING_FORMAT=MLN","Sort=A","Dates=H","DateFormat=P","Fill=—","Direction=H","UseDPDF=Y")</f>
        <v>66.236999999999995</v>
      </c>
      <c r="V145" s="13">
        <f>_xll.BDH("BLUE US Equity","ARDR_FV_ASSETS_REC_L2_AFS_TREAS","FQ1 2023","FQ1 2023","Currency=USD","Period=FQ","BEST_FPERIOD_OVERRIDE=FQ","FILING_STATUS=MR","SCALING_FORMAT=MLN","Sort=A","Dates=H","DateFormat=P","Fill=—","Direction=H","UseDPDF=Y")</f>
        <v>78.721000000000004</v>
      </c>
      <c r="W145" s="13">
        <f>_xll.BDH("BLUE US Equity","ARDR_FV_ASSETS_REC_L2_AFS_TREAS","FQ2 2023","FQ2 2023","Currency=USD","Period=FQ","BEST_FPERIOD_OVERRIDE=FQ","FILING_STATUS=MR","SCALING_FORMAT=MLN","Sort=A","Dates=H","DateFormat=P","Fill=—","Direction=H","UseDPDF=Y")</f>
        <v>71.933999999999997</v>
      </c>
      <c r="X145" s="13">
        <f>_xll.BDH("BLUE US Equity","ARDR_FV_ASSETS_REC_L2_AFS_TREAS","FQ3 2023","FQ3 2023","Currency=USD","Period=FQ","BEST_FPERIOD_OVERRIDE=FQ","FILING_STATUS=MR","SCALING_FORMAT=MLN","Sort=A","Dates=H","DateFormat=P","Fill=—","Direction=H","UseDPDF=Y")</f>
        <v>8.9459999999999997</v>
      </c>
      <c r="Y145" s="13">
        <f>_xll.BDH("BLUE US Equity","ARDR_FV_ASSETS_REC_L2_AFS_TREAS","FQ1 2024","FQ1 2024","Currency=USD","Period=FQ","BEST_FPERIOD_OVERRIDE=FQ","FILING_STATUS=MR","SCALING_FORMAT=MLN","Sort=A","Dates=H","DateFormat=P","Fill=—","Direction=H","UseDPDF=Y")</f>
        <v>0</v>
      </c>
      <c r="Z145" s="13">
        <f>_xll.BDH("BLUE US Equity","ARDR_FV_ASSETS_REC_L2_AFS_TREAS","FQ2 2024","FQ2 2024","Currency=USD","Period=FQ","BEST_FPERIOD_OVERRIDE=FQ","FILING_STATUS=MR","SCALING_FORMAT=MLN","Sort=A","Dates=H","DateFormat=P","Fill=—","Direction=H","UseDPDF=Y")</f>
        <v>0</v>
      </c>
      <c r="AA145" s="13">
        <f>_xll.BDH("BLUE US Equity","ARDR_FV_ASSETS_REC_L2_AFS_TREAS","FQ3 2024","FQ3 2024","Currency=USD","Period=FQ","BEST_FPERIOD_OVERRIDE=FQ","FILING_STATUS=MR","SCALING_FORMAT=MLN","Sort=A","Dates=H","DateFormat=P","Fill=—","Direction=H","UseDPDF=Y")</f>
        <v>0</v>
      </c>
    </row>
    <row r="146" spans="1:27" x14ac:dyDescent="0.25">
      <c r="A146" s="10" t="s">
        <v>1003</v>
      </c>
      <c r="B146" s="10" t="s">
        <v>1004</v>
      </c>
      <c r="C146" s="13" t="str">
        <f>_xll.BDH("BLUE US Equity","ARDR_FV_ASTS_REC_L2_AFS_CORP_BDS","FQ2 2018","FQ2 2018","Currency=USD","Period=FQ","BEST_FPERIOD_OVERRIDE=FQ","FILING_STATUS=MR","SCALING_FORMAT=MLN","Sort=A","Dates=H","DateFormat=P","Fill=—","Direction=H","UseDPDF=Y")</f>
        <v>—</v>
      </c>
      <c r="D146" s="13" t="str">
        <f>_xll.BDH("BLUE US Equity","ARDR_FV_ASTS_REC_L2_AFS_CORP_BDS","FQ3 2018","FQ3 2018","Currency=USD","Period=FQ","BEST_FPERIOD_OVERRIDE=FQ","FILING_STATUS=MR","SCALING_FORMAT=MLN","Sort=A","Dates=H","DateFormat=P","Fill=—","Direction=H","UseDPDF=Y")</f>
        <v>—</v>
      </c>
      <c r="E146" s="13" t="str">
        <f>_xll.BDH("BLUE US Equity","ARDR_FV_ASTS_REC_L2_AFS_CORP_BDS","FQ4 2018","FQ4 2018","Currency=USD","Period=FQ","BEST_FPERIOD_OVERRIDE=FQ","FILING_STATUS=MR","SCALING_FORMAT=MLN","Sort=A","Dates=H","DateFormat=P","Fill=—","Direction=H","UseDPDF=Y")</f>
        <v>—</v>
      </c>
      <c r="F146" s="13">
        <f>_xll.BDH("BLUE US Equity","ARDR_FV_ASTS_REC_L2_AFS_CORP_BDS","FQ1 2019","FQ1 2019","Currency=USD","Period=FQ","BEST_FPERIOD_OVERRIDE=FQ","FILING_STATUS=MR","SCALING_FORMAT=MLN","Sort=A","Dates=H","DateFormat=P","Fill=—","Direction=H","UseDPDF=Y")</f>
        <v>83.597999999999999</v>
      </c>
      <c r="G146" s="13">
        <f>_xll.BDH("BLUE US Equity","ARDR_FV_ASTS_REC_L2_AFS_CORP_BDS","FQ2 2019","FQ2 2019","Currency=USD","Period=FQ","BEST_FPERIOD_OVERRIDE=FQ","FILING_STATUS=MR","SCALING_FORMAT=MLN","Sort=A","Dates=H","DateFormat=P","Fill=—","Direction=H","UseDPDF=Y")</f>
        <v>114.441</v>
      </c>
      <c r="H146" s="13">
        <f>_xll.BDH("BLUE US Equity","ARDR_FV_ASTS_REC_L2_AFS_CORP_BDS","FQ3 2019","FQ3 2019","Currency=USD","Period=FQ","BEST_FPERIOD_OVERRIDE=FQ","FILING_STATUS=MR","SCALING_FORMAT=MLN","Sort=A","Dates=H","DateFormat=P","Fill=—","Direction=H","UseDPDF=Y")</f>
        <v>174.98400000000001</v>
      </c>
      <c r="I146" s="13" t="str">
        <f>_xll.BDH("BLUE US Equity","ARDR_FV_ASTS_REC_L2_AFS_CORP_BDS","FQ4 2019","FQ4 2019","Currency=USD","Period=FQ","BEST_FPERIOD_OVERRIDE=FQ","FILING_STATUS=MR","SCALING_FORMAT=MLN","Sort=A","Dates=H","DateFormat=P","Fill=—","Direction=H","UseDPDF=Y")</f>
        <v>—</v>
      </c>
      <c r="J146" s="13">
        <f>_xll.BDH("BLUE US Equity","ARDR_FV_ASTS_REC_L2_AFS_CORP_BDS","FQ1 2020","FQ1 2020","Currency=USD","Period=FQ","BEST_FPERIOD_OVERRIDE=FQ","FILING_STATUS=MR","SCALING_FORMAT=MLN","Sort=A","Dates=H","DateFormat=P","Fill=—","Direction=H","UseDPDF=Y")</f>
        <v>207.21100000000001</v>
      </c>
      <c r="K146" s="13" t="str">
        <f>_xll.BDH("BLUE US Equity","ARDR_FV_ASTS_REC_L2_AFS_CORP_BDS","FQ2 2020","FQ2 2020","Currency=USD","Period=FQ","BEST_FPERIOD_OVERRIDE=FQ","FILING_STATUS=MR","SCALING_FORMAT=MLN","Sort=A","Dates=H","DateFormat=P","Fill=—","Direction=H","UseDPDF=Y")</f>
        <v>—</v>
      </c>
      <c r="L146" s="13">
        <f>_xll.BDH("BLUE US Equity","ARDR_FV_ASTS_REC_L2_AFS_CORP_BDS","FQ3 2020","FQ3 2020","Currency=USD","Period=FQ","BEST_FPERIOD_OVERRIDE=FQ","FILING_STATUS=MR","SCALING_FORMAT=MLN","Sort=A","Dates=H","DateFormat=P","Fill=—","Direction=H","UseDPDF=Y")</f>
        <v>238.905</v>
      </c>
      <c r="M146" s="13" t="str">
        <f>_xll.BDH("BLUE US Equity","ARDR_FV_ASTS_REC_L2_AFS_CORP_BDS","FQ4 2020","FQ4 2020","Currency=USD","Period=FQ","BEST_FPERIOD_OVERRIDE=FQ","FILING_STATUS=MR","SCALING_FORMAT=MLN","Sort=A","Dates=H","DateFormat=P","Fill=—","Direction=H","UseDPDF=Y")</f>
        <v>—</v>
      </c>
      <c r="N146" s="13">
        <f>_xll.BDH("BLUE US Equity","ARDR_FV_ASTS_REC_L2_AFS_CORP_BDS","FQ1 2021","FQ1 2021","Currency=USD","Period=FQ","BEST_FPERIOD_OVERRIDE=FQ","FILING_STATUS=MR","SCALING_FORMAT=MLN","Sort=A","Dates=H","DateFormat=P","Fill=—","Direction=H","UseDPDF=Y")</f>
        <v>142.89599999999999</v>
      </c>
      <c r="O146" s="13" t="str">
        <f>_xll.BDH("BLUE US Equity","ARDR_FV_ASTS_REC_L2_AFS_CORP_BDS","FQ2 2021","FQ2 2021","Currency=USD","Period=FQ","BEST_FPERIOD_OVERRIDE=FQ","FILING_STATUS=MR","SCALING_FORMAT=MLN","Sort=A","Dates=H","DateFormat=P","Fill=—","Direction=H","UseDPDF=Y")</f>
        <v>—</v>
      </c>
      <c r="P146" s="13">
        <f>_xll.BDH("BLUE US Equity","ARDR_FV_ASTS_REC_L2_AFS_CORP_BDS","FQ3 2021","FQ3 2021","Currency=USD","Period=FQ","BEST_FPERIOD_OVERRIDE=FQ","FILING_STATUS=MR","SCALING_FORMAT=MLN","Sort=A","Dates=H","DateFormat=P","Fill=—","Direction=H","UseDPDF=Y")</f>
        <v>111.58799999999999</v>
      </c>
      <c r="Q146" s="13" t="str">
        <f>_xll.BDH("BLUE US Equity","ARDR_FV_ASTS_REC_L2_AFS_CORP_BDS","FQ4 2021","FQ4 2021","Currency=USD","Period=FQ","BEST_FPERIOD_OVERRIDE=FQ","FILING_STATUS=MR","SCALING_FORMAT=MLN","Sort=A","Dates=H","DateFormat=P","Fill=—","Direction=H","UseDPDF=Y")</f>
        <v>—</v>
      </c>
      <c r="R146" s="13">
        <f>_xll.BDH("BLUE US Equity","ARDR_FV_ASTS_REC_L2_AFS_CORP_BDS","FQ1 2022","FQ1 2022","Currency=USD","Period=FQ","BEST_FPERIOD_OVERRIDE=FQ","FILING_STATUS=MR","SCALING_FORMAT=MLN","Sort=A","Dates=H","DateFormat=P","Fill=—","Direction=H","UseDPDF=Y")</f>
        <v>33.667000000000002</v>
      </c>
      <c r="S146" s="13">
        <f>_xll.BDH("BLUE US Equity","ARDR_FV_ASTS_REC_L2_AFS_CORP_BDS","FQ2 2022","FQ2 2022","Currency=USD","Period=FQ","BEST_FPERIOD_OVERRIDE=FQ","FILING_STATUS=MR","SCALING_FORMAT=MLN","Sort=A","Dates=H","DateFormat=P","Fill=—","Direction=H","UseDPDF=Y")</f>
        <v>13.189</v>
      </c>
      <c r="T146" s="13">
        <f>_xll.BDH("BLUE US Equity","ARDR_FV_ASTS_REC_L2_AFS_CORP_BDS","FQ3 2022","FQ3 2022","Currency=USD","Period=FQ","BEST_FPERIOD_OVERRIDE=FQ","FILING_STATUS=MR","SCALING_FORMAT=MLN","Sort=A","Dates=H","DateFormat=P","Fill=—","Direction=H","UseDPDF=Y")</f>
        <v>6.3209999999999997</v>
      </c>
      <c r="U146" s="13">
        <f>_xll.BDH("BLUE US Equity","ARDR_FV_ASTS_REC_L2_AFS_CORP_BDS","FQ4 2022","FQ4 2022","Currency=USD","Period=FQ","BEST_FPERIOD_OVERRIDE=FQ","FILING_STATUS=MR","SCALING_FORMAT=MLN","Sort=A","Dates=H","DateFormat=P","Fill=—","Direction=H","UseDPDF=Y")</f>
        <v>2.4980000000000002</v>
      </c>
      <c r="V146" s="13">
        <f>_xll.BDH("BLUE US Equity","ARDR_FV_ASTS_REC_L2_AFS_CORP_BDS","FQ1 2023","FQ1 2023","Currency=USD","Period=FQ","BEST_FPERIOD_OVERRIDE=FQ","FILING_STATUS=MR","SCALING_FORMAT=MLN","Sort=A","Dates=H","DateFormat=P","Fill=—","Direction=H","UseDPDF=Y")</f>
        <v>0.49099999999999999</v>
      </c>
      <c r="W146" s="13">
        <f>_xll.BDH("BLUE US Equity","ARDR_FV_ASTS_REC_L2_AFS_CORP_BDS","FQ2 2023","FQ2 2023","Currency=USD","Period=FQ","BEST_FPERIOD_OVERRIDE=FQ","FILING_STATUS=MR","SCALING_FORMAT=MLN","Sort=A","Dates=H","DateFormat=P","Fill=—","Direction=H","UseDPDF=Y")</f>
        <v>0.497</v>
      </c>
      <c r="X146" s="13" t="str">
        <f>_xll.BDH("BLUE US Equity","ARDR_FV_ASTS_REC_L2_AFS_CORP_BDS","FQ3 2023","FQ3 2023","Currency=USD","Period=FQ","BEST_FPERIOD_OVERRIDE=FQ","FILING_STATUS=MR","SCALING_FORMAT=MLN","Sort=A","Dates=H","DateFormat=P","Fill=—","Direction=H","UseDPDF=Y")</f>
        <v>—</v>
      </c>
      <c r="Y146" s="13" t="str">
        <f>_xll.BDH("BLUE US Equity","ARDR_FV_ASTS_REC_L2_AFS_CORP_BDS","FQ1 2024","FQ1 2024","Currency=USD","Period=FQ","BEST_FPERIOD_OVERRIDE=FQ","FILING_STATUS=MR","SCALING_FORMAT=MLN","Sort=A","Dates=H","DateFormat=P","Fill=—","Direction=H","UseDPDF=Y")</f>
        <v>—</v>
      </c>
      <c r="Z146" s="13" t="str">
        <f>_xll.BDH("BLUE US Equity","ARDR_FV_ASTS_REC_L2_AFS_CORP_BDS","FQ2 2024","FQ2 2024","Currency=USD","Period=FQ","BEST_FPERIOD_OVERRIDE=FQ","FILING_STATUS=MR","SCALING_FORMAT=MLN","Sort=A","Dates=H","DateFormat=P","Fill=—","Direction=H","UseDPDF=Y")</f>
        <v>—</v>
      </c>
      <c r="AA146" s="13">
        <f>_xll.BDH("BLUE US Equity","ARDR_FV_ASTS_REC_L2_AFS_CORP_BDS","FQ3 2024","FQ3 2024","Currency=USD","Period=FQ","BEST_FPERIOD_OVERRIDE=FQ","FILING_STATUS=MR","SCALING_FORMAT=MLN","Sort=A","Dates=H","DateFormat=P","Fill=—","Direction=H","UseDPDF=Y")</f>
        <v>0</v>
      </c>
    </row>
    <row r="147" spans="1:27" x14ac:dyDescent="0.25">
      <c r="A147" s="10" t="s">
        <v>1005</v>
      </c>
      <c r="B147" s="10" t="s">
        <v>1006</v>
      </c>
      <c r="C147" s="13" t="str">
        <f>_xll.BDH("BLUE US Equity","ARDR_FV_ASTS_REC_L2_AFS_CDO_CLO","FQ2 2018","FQ2 2018","Currency=USD","Period=FQ","BEST_FPERIOD_OVERRIDE=FQ","FILING_STATUS=MR","SCALING_FORMAT=MLN","Sort=A","Dates=H","DateFormat=P","Fill=—","Direction=H","UseDPDF=Y")</f>
        <v>—</v>
      </c>
      <c r="D147" s="13" t="str">
        <f>_xll.BDH("BLUE US Equity","ARDR_FV_ASTS_REC_L2_AFS_CDO_CLO","FQ3 2018","FQ3 2018","Currency=USD","Period=FQ","BEST_FPERIOD_OVERRIDE=FQ","FILING_STATUS=MR","SCALING_FORMAT=MLN","Sort=A","Dates=H","DateFormat=P","Fill=—","Direction=H","UseDPDF=Y")</f>
        <v>—</v>
      </c>
      <c r="E147" s="13" t="str">
        <f>_xll.BDH("BLUE US Equity","ARDR_FV_ASTS_REC_L2_AFS_CDO_CLO","FQ4 2018","FQ4 2018","Currency=USD","Period=FQ","BEST_FPERIOD_OVERRIDE=FQ","FILING_STATUS=MR","SCALING_FORMAT=MLN","Sort=A","Dates=H","DateFormat=P","Fill=—","Direction=H","UseDPDF=Y")</f>
        <v>—</v>
      </c>
      <c r="F147" s="13">
        <f>_xll.BDH("BLUE US Equity","ARDR_FV_ASTS_REC_L2_AFS_CDO_CLO","FQ1 2019","FQ1 2019","Currency=USD","Period=FQ","BEST_FPERIOD_OVERRIDE=FQ","FILING_STATUS=MR","SCALING_FORMAT=MLN","Sort=A","Dates=H","DateFormat=P","Fill=—","Direction=H","UseDPDF=Y")</f>
        <v>5.96</v>
      </c>
      <c r="G147" s="13">
        <f>_xll.BDH("BLUE US Equity","ARDR_FV_ASTS_REC_L2_AFS_CDO_CLO","FQ2 2019","FQ2 2019","Currency=USD","Period=FQ","BEST_FPERIOD_OVERRIDE=FQ","FILING_STATUS=MR","SCALING_FORMAT=MLN","Sort=A","Dates=H","DateFormat=P","Fill=—","Direction=H","UseDPDF=Y")</f>
        <v>4.5199999999999996</v>
      </c>
      <c r="H147" s="13">
        <f>_xll.BDH("BLUE US Equity","ARDR_FV_ASTS_REC_L2_AFS_CDO_CLO","FQ3 2019","FQ3 2019","Currency=USD","Period=FQ","BEST_FPERIOD_OVERRIDE=FQ","FILING_STATUS=MR","SCALING_FORMAT=MLN","Sort=A","Dates=H","DateFormat=P","Fill=—","Direction=H","UseDPDF=Y")</f>
        <v>1.4</v>
      </c>
      <c r="I147" s="13" t="str">
        <f>_xll.BDH("BLUE US Equity","ARDR_FV_ASTS_REC_L2_AFS_CDO_CLO","FQ4 2019","FQ4 2019","Currency=USD","Period=FQ","BEST_FPERIOD_OVERRIDE=FQ","FILING_STATUS=MR","SCALING_FORMAT=MLN","Sort=A","Dates=H","DateFormat=P","Fill=—","Direction=H","UseDPDF=Y")</f>
        <v>—</v>
      </c>
      <c r="J147" s="13">
        <f>_xll.BDH("BLUE US Equity","ARDR_FV_ASTS_REC_L2_AFS_CDO_CLO","FQ1 2020","FQ1 2020","Currency=USD","Period=FQ","BEST_FPERIOD_OVERRIDE=FQ","FILING_STATUS=MR","SCALING_FORMAT=MLN","Sort=A","Dates=H","DateFormat=P","Fill=—","Direction=H","UseDPDF=Y")</f>
        <v>0.24</v>
      </c>
      <c r="K147" s="13" t="str">
        <f>_xll.BDH("BLUE US Equity","ARDR_FV_ASTS_REC_L2_AFS_CDO_CLO","FQ2 2020","FQ2 2020","Currency=USD","Period=FQ","BEST_FPERIOD_OVERRIDE=FQ","FILING_STATUS=MR","SCALING_FORMAT=MLN","Sort=A","Dates=H","DateFormat=P","Fill=—","Direction=H","UseDPDF=Y")</f>
        <v>—</v>
      </c>
      <c r="L147" s="13">
        <f>_xll.BDH("BLUE US Equity","ARDR_FV_ASTS_REC_L2_AFS_CDO_CLO","FQ3 2020","FQ3 2020","Currency=USD","Period=FQ","BEST_FPERIOD_OVERRIDE=FQ","FILING_STATUS=MR","SCALING_FORMAT=MLN","Sort=A","Dates=H","DateFormat=P","Fill=—","Direction=H","UseDPDF=Y")</f>
        <v>91.941000000000003</v>
      </c>
      <c r="M147" s="13" t="str">
        <f>_xll.BDH("BLUE US Equity","ARDR_FV_ASTS_REC_L2_AFS_CDO_CLO","FQ4 2020","FQ4 2020","Currency=USD","Period=FQ","BEST_FPERIOD_OVERRIDE=FQ","FILING_STATUS=MR","SCALING_FORMAT=MLN","Sort=A","Dates=H","DateFormat=P","Fill=—","Direction=H","UseDPDF=Y")</f>
        <v>—</v>
      </c>
      <c r="N147" s="13" t="str">
        <f>_xll.BDH("BLUE US Equity","ARDR_FV_ASTS_REC_L2_AFS_CDO_CLO","FQ1 2021","FQ1 2021","Currency=USD","Period=FQ","BEST_FPERIOD_OVERRIDE=FQ","FILING_STATUS=MR","SCALING_FORMAT=MLN","Sort=A","Dates=H","DateFormat=P","Fill=—","Direction=H","UseDPDF=Y")</f>
        <v>—</v>
      </c>
      <c r="O147" s="13" t="str">
        <f>_xll.BDH("BLUE US Equity","ARDR_FV_ASTS_REC_L2_AFS_CDO_CLO","FQ2 2021","FQ2 2021","Currency=USD","Period=FQ","BEST_FPERIOD_OVERRIDE=FQ","FILING_STATUS=MR","SCALING_FORMAT=MLN","Sort=A","Dates=H","DateFormat=P","Fill=—","Direction=H","UseDPDF=Y")</f>
        <v>—</v>
      </c>
      <c r="P147" s="13" t="str">
        <f>_xll.BDH("BLUE US Equity","ARDR_FV_ASTS_REC_L2_AFS_CDO_CLO","FQ3 2021","FQ3 2021","Currency=USD","Period=FQ","BEST_FPERIOD_OVERRIDE=FQ","FILING_STATUS=MR","SCALING_FORMAT=MLN","Sort=A","Dates=H","DateFormat=P","Fill=—","Direction=H","UseDPDF=Y")</f>
        <v>—</v>
      </c>
      <c r="Q147" s="13" t="str">
        <f>_xll.BDH("BLUE US Equity","ARDR_FV_ASTS_REC_L2_AFS_CDO_CLO","FQ4 2021","FQ4 2021","Currency=USD","Period=FQ","BEST_FPERIOD_OVERRIDE=FQ","FILING_STATUS=MR","SCALING_FORMAT=MLN","Sort=A","Dates=H","DateFormat=P","Fill=—","Direction=H","UseDPDF=Y")</f>
        <v>—</v>
      </c>
      <c r="R147" s="13" t="str">
        <f>_xll.BDH("BLUE US Equity","ARDR_FV_ASTS_REC_L2_AFS_CDO_CLO","FQ1 2022","FQ1 2022","Currency=USD","Period=FQ","BEST_FPERIOD_OVERRIDE=FQ","FILING_STATUS=MR","SCALING_FORMAT=MLN","Sort=A","Dates=H","DateFormat=P","Fill=—","Direction=H","UseDPDF=Y")</f>
        <v>—</v>
      </c>
      <c r="S147" s="13" t="str">
        <f>_xll.BDH("BLUE US Equity","ARDR_FV_ASTS_REC_L2_AFS_CDO_CLO","FQ2 2022","FQ2 2022","Currency=USD","Period=FQ","BEST_FPERIOD_OVERRIDE=FQ","FILING_STATUS=MR","SCALING_FORMAT=MLN","Sort=A","Dates=H","DateFormat=P","Fill=—","Direction=H","UseDPDF=Y")</f>
        <v>—</v>
      </c>
      <c r="T147" s="13" t="str">
        <f>_xll.BDH("BLUE US Equity","ARDR_FV_ASTS_REC_L2_AFS_CDO_CLO","FQ3 2022","FQ3 2022","Currency=USD","Period=FQ","BEST_FPERIOD_OVERRIDE=FQ","FILING_STATUS=MR","SCALING_FORMAT=MLN","Sort=A","Dates=H","DateFormat=P","Fill=—","Direction=H","UseDPDF=Y")</f>
        <v>—</v>
      </c>
      <c r="U147" s="13" t="str">
        <f>_xll.BDH("BLUE US Equity","ARDR_FV_ASTS_REC_L2_AFS_CDO_CLO","FQ4 2022","FQ4 2022","Currency=USD","Period=FQ","BEST_FPERIOD_OVERRIDE=FQ","FILING_STATUS=MR","SCALING_FORMAT=MLN","Sort=A","Dates=H","DateFormat=P","Fill=—","Direction=H","UseDPDF=Y")</f>
        <v>—</v>
      </c>
      <c r="V147" s="13" t="str">
        <f>_xll.BDH("BLUE US Equity","ARDR_FV_ASTS_REC_L2_AFS_CDO_CLO","FQ1 2023","FQ1 2023","Currency=USD","Period=FQ","BEST_FPERIOD_OVERRIDE=FQ","FILING_STATUS=MR","SCALING_FORMAT=MLN","Sort=A","Dates=H","DateFormat=P","Fill=—","Direction=H","UseDPDF=Y")</f>
        <v>—</v>
      </c>
      <c r="W147" s="13" t="str">
        <f>_xll.BDH("BLUE US Equity","ARDR_FV_ASTS_REC_L2_AFS_CDO_CLO","FQ2 2023","FQ2 2023","Currency=USD","Period=FQ","BEST_FPERIOD_OVERRIDE=FQ","FILING_STATUS=MR","SCALING_FORMAT=MLN","Sort=A","Dates=H","DateFormat=P","Fill=—","Direction=H","UseDPDF=Y")</f>
        <v>—</v>
      </c>
      <c r="X147" s="13" t="str">
        <f>_xll.BDH("BLUE US Equity","ARDR_FV_ASTS_REC_L2_AFS_CDO_CLO","FQ3 2023","FQ3 2023","Currency=USD","Period=FQ","BEST_FPERIOD_OVERRIDE=FQ","FILING_STATUS=MR","SCALING_FORMAT=MLN","Sort=A","Dates=H","DateFormat=P","Fill=—","Direction=H","UseDPDF=Y")</f>
        <v>—</v>
      </c>
      <c r="Y147" s="13" t="str">
        <f>_xll.BDH("BLUE US Equity","ARDR_FV_ASTS_REC_L2_AFS_CDO_CLO","FQ1 2024","FQ1 2024","Currency=USD","Period=FQ","BEST_FPERIOD_OVERRIDE=FQ","FILING_STATUS=MR","SCALING_FORMAT=MLN","Sort=A","Dates=H","DateFormat=P","Fill=—","Direction=H","UseDPDF=Y")</f>
        <v>—</v>
      </c>
      <c r="Z147" s="13" t="str">
        <f>_xll.BDH("BLUE US Equity","ARDR_FV_ASTS_REC_L2_AFS_CDO_CLO","FQ2 2024","FQ2 2024","Currency=USD","Period=FQ","BEST_FPERIOD_OVERRIDE=FQ","FILING_STATUS=MR","SCALING_FORMAT=MLN","Sort=A","Dates=H","DateFormat=P","Fill=—","Direction=H","UseDPDF=Y")</f>
        <v>—</v>
      </c>
      <c r="AA147" s="13" t="str">
        <f>_xll.BDH("BLUE US Equity","ARDR_FV_ASTS_REC_L2_AFS_CDO_CLO","FQ3 2024","FQ3 2024","Currency=USD","Period=FQ","BEST_FPERIOD_OVERRIDE=FQ","FILING_STATUS=MR","SCALING_FORMAT=MLN","Sort=A","Dates=H","DateFormat=P","Fill=—","Direction=H","UseDPDF=Y")</f>
        <v>—</v>
      </c>
    </row>
    <row r="148" spans="1:27" x14ac:dyDescent="0.25">
      <c r="A148" s="10" t="s">
        <v>1007</v>
      </c>
      <c r="B148" s="10" t="s">
        <v>1008</v>
      </c>
      <c r="C148" s="13" t="str">
        <f>_xll.BDH("BLUE US Equity","ARDR_FV_ASSETS_REC_L2_OTH","FQ2 2018","FQ2 2018","Currency=USD","Period=FQ","BEST_FPERIOD_OVERRIDE=FQ","FILING_STATUS=MR","SCALING_FORMAT=MLN","Sort=A","Dates=H","DateFormat=P","Fill=—","Direction=H","UseDPDF=Y")</f>
        <v>—</v>
      </c>
      <c r="D148" s="13" t="str">
        <f>_xll.BDH("BLUE US Equity","ARDR_FV_ASSETS_REC_L2_OTH","FQ3 2018","FQ3 2018","Currency=USD","Period=FQ","BEST_FPERIOD_OVERRIDE=FQ","FILING_STATUS=MR","SCALING_FORMAT=MLN","Sort=A","Dates=H","DateFormat=P","Fill=—","Direction=H","UseDPDF=Y")</f>
        <v>—</v>
      </c>
      <c r="E148" s="13" t="str">
        <f>_xll.BDH("BLUE US Equity","ARDR_FV_ASSETS_REC_L2_OTH","FQ4 2018","FQ4 2018","Currency=USD","Period=FQ","BEST_FPERIOD_OVERRIDE=FQ","FILING_STATUS=MR","SCALING_FORMAT=MLN","Sort=A","Dates=H","DateFormat=P","Fill=—","Direction=H","UseDPDF=Y")</f>
        <v>—</v>
      </c>
      <c r="F148" s="13">
        <f>_xll.BDH("BLUE US Equity","ARDR_FV_ASSETS_REC_L2_OTH","FQ1 2019","FQ1 2019","Currency=USD","Period=FQ","BEST_FPERIOD_OVERRIDE=FQ","FILING_STATUS=MR","SCALING_FORMAT=MLN","Sort=A","Dates=H","DateFormat=P","Fill=—","Direction=H","UseDPDF=Y")</f>
        <v>42.542000000000002</v>
      </c>
      <c r="G148" s="13">
        <f>_xll.BDH("BLUE US Equity","ARDR_FV_ASSETS_REC_L2_OTH","FQ2 2019","FQ2 2019","Currency=USD","Period=FQ","BEST_FPERIOD_OVERRIDE=FQ","FILING_STATUS=MR","SCALING_FORMAT=MLN","Sort=A","Dates=H","DateFormat=P","Fill=—","Direction=H","UseDPDF=Y")</f>
        <v>62.692</v>
      </c>
      <c r="H148" s="13">
        <f>_xll.BDH("BLUE US Equity","ARDR_FV_ASSETS_REC_L2_OTH","FQ3 2019","FQ3 2019","Currency=USD","Period=FQ","BEST_FPERIOD_OVERRIDE=FQ","FILING_STATUS=MR","SCALING_FORMAT=MLN","Sort=A","Dates=H","DateFormat=P","Fill=—","Direction=H","UseDPDF=Y")</f>
        <v>43.613999999999997</v>
      </c>
      <c r="I148" s="13" t="str">
        <f>_xll.BDH("BLUE US Equity","ARDR_FV_ASSETS_REC_L2_OTH","FQ4 2019","FQ4 2019","Currency=USD","Period=FQ","BEST_FPERIOD_OVERRIDE=FQ","FILING_STATUS=MR","SCALING_FORMAT=MLN","Sort=A","Dates=H","DateFormat=P","Fill=—","Direction=H","UseDPDF=Y")</f>
        <v>—</v>
      </c>
      <c r="J148" s="13">
        <f>_xll.BDH("BLUE US Equity","ARDR_FV_ASSETS_REC_L2_OTH","FQ1 2020","FQ1 2020","Currency=USD","Period=FQ","BEST_FPERIOD_OVERRIDE=FQ","FILING_STATUS=MR","SCALING_FORMAT=MLN","Sort=A","Dates=H","DateFormat=P","Fill=—","Direction=H","UseDPDF=Y")</f>
        <v>75.650000000000006</v>
      </c>
      <c r="K148" s="13" t="str">
        <f>_xll.BDH("BLUE US Equity","ARDR_FV_ASSETS_REC_L2_OTH","FQ2 2020","FQ2 2020","Currency=USD","Period=FQ","BEST_FPERIOD_OVERRIDE=FQ","FILING_STATUS=MR","SCALING_FORMAT=MLN","Sort=A","Dates=H","DateFormat=P","Fill=—","Direction=H","UseDPDF=Y")</f>
        <v>—</v>
      </c>
      <c r="L148" s="13" t="str">
        <f>_xll.BDH("BLUE US Equity","ARDR_FV_ASSETS_REC_L2_OTH","FQ3 2020","FQ3 2020","Currency=USD","Period=FQ","BEST_FPERIOD_OVERRIDE=FQ","FILING_STATUS=MR","SCALING_FORMAT=MLN","Sort=A","Dates=H","DateFormat=P","Fill=—","Direction=H","UseDPDF=Y")</f>
        <v>—</v>
      </c>
      <c r="M148" s="13">
        <f>_xll.BDH("BLUE US Equity","ARDR_FV_ASSETS_REC_L2_OTH","FQ4 2020","FQ4 2020","Currency=USD","Period=FQ","BEST_FPERIOD_OVERRIDE=FQ","FILING_STATUS=MR","SCALING_FORMAT=MLN","Sort=A","Dates=H","DateFormat=P","Fill=—","Direction=H","UseDPDF=Y")</f>
        <v>475.39100000000002</v>
      </c>
      <c r="N148" s="13">
        <f>_xll.BDH("BLUE US Equity","ARDR_FV_ASSETS_REC_L2_OTH","FQ1 2021","FQ1 2021","Currency=USD","Period=FQ","BEST_FPERIOD_OVERRIDE=FQ","FILING_STATUS=MR","SCALING_FORMAT=MLN","Sort=A","Dates=H","DateFormat=P","Fill=—","Direction=H","UseDPDF=Y")</f>
        <v>78.954999999999998</v>
      </c>
      <c r="O148" s="13" t="str">
        <f>_xll.BDH("BLUE US Equity","ARDR_FV_ASSETS_REC_L2_OTH","FQ2 2021","FQ2 2021","Currency=USD","Period=FQ","BEST_FPERIOD_OVERRIDE=FQ","FILING_STATUS=MR","SCALING_FORMAT=MLN","Sort=A","Dates=H","DateFormat=P","Fill=—","Direction=H","UseDPDF=Y")</f>
        <v>—</v>
      </c>
      <c r="P148" s="13">
        <f>_xll.BDH("BLUE US Equity","ARDR_FV_ASSETS_REC_L2_OTH","FQ3 2021","FQ3 2021","Currency=USD","Period=FQ","BEST_FPERIOD_OVERRIDE=FQ","FILING_STATUS=MR","SCALING_FORMAT=MLN","Sort=A","Dates=H","DateFormat=P","Fill=—","Direction=H","UseDPDF=Y")</f>
        <v>141.089</v>
      </c>
      <c r="Q148" s="13">
        <f>_xll.BDH("BLUE US Equity","ARDR_FV_ASSETS_REC_L2_OTH","FQ4 2021","FQ4 2021","Currency=USD","Period=FQ","BEST_FPERIOD_OVERRIDE=FQ","FILING_STATUS=MR","SCALING_FORMAT=MLN","Sort=A","Dates=H","DateFormat=P","Fill=—","Direction=H","UseDPDF=Y")</f>
        <v>231.76599999999999</v>
      </c>
      <c r="R148" s="13">
        <f>_xll.BDH("BLUE US Equity","ARDR_FV_ASSETS_REC_L2_OTH","FQ1 2022","FQ1 2022","Currency=USD","Period=FQ","BEST_FPERIOD_OVERRIDE=FQ","FILING_STATUS=MR","SCALING_FORMAT=MLN","Sort=A","Dates=H","DateFormat=P","Fill=—","Direction=H","UseDPDF=Y")</f>
        <v>9.8230000000000004</v>
      </c>
      <c r="S148" s="13">
        <f>_xll.BDH("BLUE US Equity","ARDR_FV_ASSETS_REC_L2_OTH","FQ2 2022","FQ2 2022","Currency=USD","Period=FQ","BEST_FPERIOD_OVERRIDE=FQ","FILING_STATUS=MR","SCALING_FORMAT=MLN","Sort=A","Dates=H","DateFormat=P","Fill=—","Direction=H","UseDPDF=Y")</f>
        <v>2.4990000000000001</v>
      </c>
      <c r="T148" s="13">
        <f>_xll.BDH("BLUE US Equity","ARDR_FV_ASSETS_REC_L2_OTH","FQ3 2022","FQ3 2022","Currency=USD","Period=FQ","BEST_FPERIOD_OVERRIDE=FQ","FILING_STATUS=MR","SCALING_FORMAT=MLN","Sort=A","Dates=H","DateFormat=P","Fill=—","Direction=H","UseDPDF=Y")</f>
        <v>0</v>
      </c>
      <c r="U148" s="13" t="str">
        <f>_xll.BDH("BLUE US Equity","ARDR_FV_ASSETS_REC_L2_OTH","FQ4 2022","FQ4 2022","Currency=USD","Period=FQ","BEST_FPERIOD_OVERRIDE=FQ","FILING_STATUS=MR","SCALING_FORMAT=MLN","Sort=A","Dates=H","DateFormat=P","Fill=—","Direction=H","UseDPDF=Y")</f>
        <v>—</v>
      </c>
      <c r="V148" s="13">
        <f>_xll.BDH("BLUE US Equity","ARDR_FV_ASSETS_REC_L2_OTH","FQ1 2023","FQ1 2023","Currency=USD","Period=FQ","BEST_FPERIOD_OVERRIDE=FQ","FILING_STATUS=MR","SCALING_FORMAT=MLN","Sort=A","Dates=H","DateFormat=P","Fill=—","Direction=H","UseDPDF=Y")</f>
        <v>0</v>
      </c>
      <c r="W148" s="13" t="str">
        <f>_xll.BDH("BLUE US Equity","ARDR_FV_ASSETS_REC_L2_OTH","FQ2 2023","FQ2 2023","Currency=USD","Period=FQ","BEST_FPERIOD_OVERRIDE=FQ","FILING_STATUS=MR","SCALING_FORMAT=MLN","Sort=A","Dates=H","DateFormat=P","Fill=—","Direction=H","UseDPDF=Y")</f>
        <v>—</v>
      </c>
      <c r="X148" s="13" t="str">
        <f>_xll.BDH("BLUE US Equity","ARDR_FV_ASSETS_REC_L2_OTH","FQ3 2023","FQ3 2023","Currency=USD","Period=FQ","BEST_FPERIOD_OVERRIDE=FQ","FILING_STATUS=MR","SCALING_FORMAT=MLN","Sort=A","Dates=H","DateFormat=P","Fill=—","Direction=H","UseDPDF=Y")</f>
        <v>—</v>
      </c>
      <c r="Y148" s="13">
        <f>_xll.BDH("BLUE US Equity","ARDR_FV_ASSETS_REC_L2_OTH","FQ1 2024","FQ1 2024","Currency=USD","Period=FQ","BEST_FPERIOD_OVERRIDE=FQ","FILING_STATUS=MR","SCALING_FORMAT=MLN","Sort=A","Dates=H","DateFormat=P","Fill=—","Direction=H","UseDPDF=Y")</f>
        <v>0</v>
      </c>
      <c r="Z148" s="13">
        <f>_xll.BDH("BLUE US Equity","ARDR_FV_ASSETS_REC_L2_OTH","FQ2 2024","FQ2 2024","Currency=USD","Period=FQ","BEST_FPERIOD_OVERRIDE=FQ","FILING_STATUS=MR","SCALING_FORMAT=MLN","Sort=A","Dates=H","DateFormat=P","Fill=—","Direction=H","UseDPDF=Y")</f>
        <v>0</v>
      </c>
      <c r="AA148" s="13" t="str">
        <f>_xll.BDH("BLUE US Equity","ARDR_FV_ASSETS_REC_L2_OTH","FQ3 2024","FQ3 2024","Currency=USD","Period=FQ","BEST_FPERIOD_OVERRIDE=FQ","FILING_STATUS=MR","SCALING_FORMAT=MLN","Sort=A","Dates=H","DateFormat=P","Fill=—","Direction=H","UseDPDF=Y")</f>
        <v>—</v>
      </c>
    </row>
    <row r="149" spans="1:27" x14ac:dyDescent="0.25">
      <c r="A149" s="10" t="s">
        <v>1009</v>
      </c>
      <c r="B149" s="10" t="s">
        <v>1010</v>
      </c>
      <c r="C149" s="13" t="str">
        <f>_xll.BDH("BLUE US Equity","ARDR_FV_ASTS_REC_L3_CASH_SECS","FQ2 2018","FQ2 2018","Currency=USD","Period=FQ","BEST_FPERIOD_OVERRIDE=FQ","FILING_STATUS=MR","SCALING_FORMAT=MLN","Sort=A","Dates=H","DateFormat=P","Fill=—","Direction=H","UseDPDF=Y")</f>
        <v>—</v>
      </c>
      <c r="D149" s="13" t="str">
        <f>_xll.BDH("BLUE US Equity","ARDR_FV_ASTS_REC_L3_CASH_SECS","FQ3 2018","FQ3 2018","Currency=USD","Period=FQ","BEST_FPERIOD_OVERRIDE=FQ","FILING_STATUS=MR","SCALING_FORMAT=MLN","Sort=A","Dates=H","DateFormat=P","Fill=—","Direction=H","UseDPDF=Y")</f>
        <v>—</v>
      </c>
      <c r="E149" s="13" t="str">
        <f>_xll.BDH("BLUE US Equity","ARDR_FV_ASTS_REC_L3_CASH_SECS","FQ4 2018","FQ4 2018","Currency=USD","Period=FQ","BEST_FPERIOD_OVERRIDE=FQ","FILING_STATUS=MR","SCALING_FORMAT=MLN","Sort=A","Dates=H","DateFormat=P","Fill=—","Direction=H","UseDPDF=Y")</f>
        <v>—</v>
      </c>
      <c r="F149" s="13">
        <f>_xll.BDH("BLUE US Equity","ARDR_FV_ASTS_REC_L3_CASH_SECS","FQ1 2019","FQ1 2019","Currency=USD","Period=FQ","BEST_FPERIOD_OVERRIDE=FQ","FILING_STATUS=MR","SCALING_FORMAT=MLN","Sort=A","Dates=H","DateFormat=P","Fill=—","Direction=H","UseDPDF=Y")</f>
        <v>0</v>
      </c>
      <c r="G149" s="13">
        <f>_xll.BDH("BLUE US Equity","ARDR_FV_ASTS_REC_L3_CASH_SECS","FQ2 2019","FQ2 2019","Currency=USD","Period=FQ","BEST_FPERIOD_OVERRIDE=FQ","FILING_STATUS=MR","SCALING_FORMAT=MLN","Sort=A","Dates=H","DateFormat=P","Fill=—","Direction=H","UseDPDF=Y")</f>
        <v>0</v>
      </c>
      <c r="H149" s="13">
        <f>_xll.BDH("BLUE US Equity","ARDR_FV_ASTS_REC_L3_CASH_SECS","FQ3 2019","FQ3 2019","Currency=USD","Period=FQ","BEST_FPERIOD_OVERRIDE=FQ","FILING_STATUS=MR","SCALING_FORMAT=MLN","Sort=A","Dates=H","DateFormat=P","Fill=—","Direction=H","UseDPDF=Y")</f>
        <v>0</v>
      </c>
      <c r="I149" s="13" t="str">
        <f>_xll.BDH("BLUE US Equity","ARDR_FV_ASTS_REC_L3_CASH_SECS","FQ4 2019","FQ4 2019","Currency=USD","Period=FQ","BEST_FPERIOD_OVERRIDE=FQ","FILING_STATUS=MR","SCALING_FORMAT=MLN","Sort=A","Dates=H","DateFormat=P","Fill=—","Direction=H","UseDPDF=Y")</f>
        <v>—</v>
      </c>
      <c r="J149" s="13">
        <f>_xll.BDH("BLUE US Equity","ARDR_FV_ASTS_REC_L3_CASH_SECS","FQ1 2020","FQ1 2020","Currency=USD","Period=FQ","BEST_FPERIOD_OVERRIDE=FQ","FILING_STATUS=MR","SCALING_FORMAT=MLN","Sort=A","Dates=H","DateFormat=P","Fill=—","Direction=H","UseDPDF=Y")</f>
        <v>0</v>
      </c>
      <c r="K149" s="13" t="str">
        <f>_xll.BDH("BLUE US Equity","ARDR_FV_ASTS_REC_L3_CASH_SECS","FQ2 2020","FQ2 2020","Currency=USD","Period=FQ","BEST_FPERIOD_OVERRIDE=FQ","FILING_STATUS=MR","SCALING_FORMAT=MLN","Sort=A","Dates=H","DateFormat=P","Fill=—","Direction=H","UseDPDF=Y")</f>
        <v>—</v>
      </c>
      <c r="L149" s="13">
        <f>_xll.BDH("BLUE US Equity","ARDR_FV_ASTS_REC_L3_CASH_SECS","FQ3 2020","FQ3 2020","Currency=USD","Period=FQ","BEST_FPERIOD_OVERRIDE=FQ","FILING_STATUS=MR","SCALING_FORMAT=MLN","Sort=A","Dates=H","DateFormat=P","Fill=—","Direction=H","UseDPDF=Y")</f>
        <v>0</v>
      </c>
      <c r="M149" s="13">
        <f>_xll.BDH("BLUE US Equity","ARDR_FV_ASTS_REC_L3_CASH_SECS","FQ4 2020","FQ4 2020","Currency=USD","Period=FQ","BEST_FPERIOD_OVERRIDE=FQ","FILING_STATUS=MR","SCALING_FORMAT=MLN","Sort=A","Dates=H","DateFormat=P","Fill=—","Direction=H","UseDPDF=Y")</f>
        <v>0</v>
      </c>
      <c r="N149" s="13">
        <f>_xll.BDH("BLUE US Equity","ARDR_FV_ASTS_REC_L3_CASH_SECS","FQ1 2021","FQ1 2021","Currency=USD","Period=FQ","BEST_FPERIOD_OVERRIDE=FQ","FILING_STATUS=MR","SCALING_FORMAT=MLN","Sort=A","Dates=H","DateFormat=P","Fill=—","Direction=H","UseDPDF=Y")</f>
        <v>0</v>
      </c>
      <c r="O149" s="13" t="str">
        <f>_xll.BDH("BLUE US Equity","ARDR_FV_ASTS_REC_L3_CASH_SECS","FQ2 2021","FQ2 2021","Currency=USD","Period=FQ","BEST_FPERIOD_OVERRIDE=FQ","FILING_STATUS=MR","SCALING_FORMAT=MLN","Sort=A","Dates=H","DateFormat=P","Fill=—","Direction=H","UseDPDF=Y")</f>
        <v>—</v>
      </c>
      <c r="P149" s="13">
        <f>_xll.BDH("BLUE US Equity","ARDR_FV_ASTS_REC_L3_CASH_SECS","FQ3 2021","FQ3 2021","Currency=USD","Period=FQ","BEST_FPERIOD_OVERRIDE=FQ","FILING_STATUS=MR","SCALING_FORMAT=MLN","Sort=A","Dates=H","DateFormat=P","Fill=—","Direction=H","UseDPDF=Y")</f>
        <v>0</v>
      </c>
      <c r="Q149" s="13">
        <f>_xll.BDH("BLUE US Equity","ARDR_FV_ASTS_REC_L3_CASH_SECS","FQ4 2021","FQ4 2021","Currency=USD","Period=FQ","BEST_FPERIOD_OVERRIDE=FQ","FILING_STATUS=MR","SCALING_FORMAT=MLN","Sort=A","Dates=H","DateFormat=P","Fill=—","Direction=H","UseDPDF=Y")</f>
        <v>0</v>
      </c>
      <c r="R149" s="13">
        <f>_xll.BDH("BLUE US Equity","ARDR_FV_ASTS_REC_L3_CASH_SECS","FQ1 2022","FQ1 2022","Currency=USD","Period=FQ","BEST_FPERIOD_OVERRIDE=FQ","FILING_STATUS=MR","SCALING_FORMAT=MLN","Sort=A","Dates=H","DateFormat=P","Fill=—","Direction=H","UseDPDF=Y")</f>
        <v>0</v>
      </c>
      <c r="S149" s="13">
        <f>_xll.BDH("BLUE US Equity","ARDR_FV_ASTS_REC_L3_CASH_SECS","FQ2 2022","FQ2 2022","Currency=USD","Period=FQ","BEST_FPERIOD_OVERRIDE=FQ","FILING_STATUS=MR","SCALING_FORMAT=MLN","Sort=A","Dates=H","DateFormat=P","Fill=—","Direction=H","UseDPDF=Y")</f>
        <v>0</v>
      </c>
      <c r="T149" s="13">
        <f>_xll.BDH("BLUE US Equity","ARDR_FV_ASTS_REC_L3_CASH_SECS","FQ3 2022","FQ3 2022","Currency=USD","Period=FQ","BEST_FPERIOD_OVERRIDE=FQ","FILING_STATUS=MR","SCALING_FORMAT=MLN","Sort=A","Dates=H","DateFormat=P","Fill=—","Direction=H","UseDPDF=Y")</f>
        <v>0</v>
      </c>
      <c r="U149" s="13">
        <f>_xll.BDH("BLUE US Equity","ARDR_FV_ASTS_REC_L3_CASH_SECS","FQ4 2022","FQ4 2022","Currency=USD","Period=FQ","BEST_FPERIOD_OVERRIDE=FQ","FILING_STATUS=MR","SCALING_FORMAT=MLN","Sort=A","Dates=H","DateFormat=P","Fill=—","Direction=H","UseDPDF=Y")</f>
        <v>0</v>
      </c>
      <c r="V149" s="13">
        <f>_xll.BDH("BLUE US Equity","ARDR_FV_ASTS_REC_L3_CASH_SECS","FQ1 2023","FQ1 2023","Currency=USD","Period=FQ","BEST_FPERIOD_OVERRIDE=FQ","FILING_STATUS=MR","SCALING_FORMAT=MLN","Sort=A","Dates=H","DateFormat=P","Fill=—","Direction=H","UseDPDF=Y")</f>
        <v>0</v>
      </c>
      <c r="W149" s="13">
        <f>_xll.BDH("BLUE US Equity","ARDR_FV_ASTS_REC_L3_CASH_SECS","FQ2 2023","FQ2 2023","Currency=USD","Period=FQ","BEST_FPERIOD_OVERRIDE=FQ","FILING_STATUS=MR","SCALING_FORMAT=MLN","Sort=A","Dates=H","DateFormat=P","Fill=—","Direction=H","UseDPDF=Y")</f>
        <v>0</v>
      </c>
      <c r="X149" s="13">
        <f>_xll.BDH("BLUE US Equity","ARDR_FV_ASTS_REC_L3_CASH_SECS","FQ3 2023","FQ3 2023","Currency=USD","Period=FQ","BEST_FPERIOD_OVERRIDE=FQ","FILING_STATUS=MR","SCALING_FORMAT=MLN","Sort=A","Dates=H","DateFormat=P","Fill=—","Direction=H","UseDPDF=Y")</f>
        <v>0</v>
      </c>
      <c r="Y149" s="13">
        <f>_xll.BDH("BLUE US Equity","ARDR_FV_ASTS_REC_L3_CASH_SECS","FQ1 2024","FQ1 2024","Currency=USD","Period=FQ","BEST_FPERIOD_OVERRIDE=FQ","FILING_STATUS=MR","SCALING_FORMAT=MLN","Sort=A","Dates=H","DateFormat=P","Fill=—","Direction=H","UseDPDF=Y")</f>
        <v>0</v>
      </c>
      <c r="Z149" s="13">
        <f>_xll.BDH("BLUE US Equity","ARDR_FV_ASTS_REC_L3_CASH_SECS","FQ2 2024","FQ2 2024","Currency=USD","Period=FQ","BEST_FPERIOD_OVERRIDE=FQ","FILING_STATUS=MR","SCALING_FORMAT=MLN","Sort=A","Dates=H","DateFormat=P","Fill=—","Direction=H","UseDPDF=Y")</f>
        <v>0</v>
      </c>
      <c r="AA149" s="13">
        <f>_xll.BDH("BLUE US Equity","ARDR_FV_ASTS_REC_L3_CASH_SECS","FQ3 2024","FQ3 2024","Currency=USD","Period=FQ","BEST_FPERIOD_OVERRIDE=FQ","FILING_STATUS=MR","SCALING_FORMAT=MLN","Sort=A","Dates=H","DateFormat=P","Fill=—","Direction=H","UseDPDF=Y")</f>
        <v>0</v>
      </c>
    </row>
    <row r="150" spans="1:27" x14ac:dyDescent="0.25">
      <c r="A150" s="10" t="s">
        <v>1011</v>
      </c>
      <c r="B150" s="10" t="s">
        <v>1012</v>
      </c>
      <c r="C150" s="13" t="str">
        <f>_xll.BDH("BLUE US Equity","ARDR_FV_ASSETS_REC_L3_AFS_TREAS","FQ2 2018","FQ2 2018","Currency=USD","Period=FQ","BEST_FPERIOD_OVERRIDE=FQ","FILING_STATUS=MR","SCALING_FORMAT=MLN","Sort=A","Dates=H","DateFormat=P","Fill=—","Direction=H","UseDPDF=Y")</f>
        <v>—</v>
      </c>
      <c r="D150" s="13" t="str">
        <f>_xll.BDH("BLUE US Equity","ARDR_FV_ASSETS_REC_L3_AFS_TREAS","FQ3 2018","FQ3 2018","Currency=USD","Period=FQ","BEST_FPERIOD_OVERRIDE=FQ","FILING_STATUS=MR","SCALING_FORMAT=MLN","Sort=A","Dates=H","DateFormat=P","Fill=—","Direction=H","UseDPDF=Y")</f>
        <v>—</v>
      </c>
      <c r="E150" s="13" t="str">
        <f>_xll.BDH("BLUE US Equity","ARDR_FV_ASSETS_REC_L3_AFS_TREAS","FQ4 2018","FQ4 2018","Currency=USD","Period=FQ","BEST_FPERIOD_OVERRIDE=FQ","FILING_STATUS=MR","SCALING_FORMAT=MLN","Sort=A","Dates=H","DateFormat=P","Fill=—","Direction=H","UseDPDF=Y")</f>
        <v>—</v>
      </c>
      <c r="F150" s="13">
        <f>_xll.BDH("BLUE US Equity","ARDR_FV_ASSETS_REC_L3_AFS_TREAS","FQ1 2019","FQ1 2019","Currency=USD","Period=FQ","BEST_FPERIOD_OVERRIDE=FQ","FILING_STATUS=MR","SCALING_FORMAT=MLN","Sort=A","Dates=H","DateFormat=P","Fill=—","Direction=H","UseDPDF=Y")</f>
        <v>0</v>
      </c>
      <c r="G150" s="13">
        <f>_xll.BDH("BLUE US Equity","ARDR_FV_ASSETS_REC_L3_AFS_TREAS","FQ2 2019","FQ2 2019","Currency=USD","Period=FQ","BEST_FPERIOD_OVERRIDE=FQ","FILING_STATUS=MR","SCALING_FORMAT=MLN","Sort=A","Dates=H","DateFormat=P","Fill=—","Direction=H","UseDPDF=Y")</f>
        <v>0</v>
      </c>
      <c r="H150" s="13">
        <f>_xll.BDH("BLUE US Equity","ARDR_FV_ASSETS_REC_L3_AFS_TREAS","FQ3 2019","FQ3 2019","Currency=USD","Period=FQ","BEST_FPERIOD_OVERRIDE=FQ","FILING_STATUS=MR","SCALING_FORMAT=MLN","Sort=A","Dates=H","DateFormat=P","Fill=—","Direction=H","UseDPDF=Y")</f>
        <v>0</v>
      </c>
      <c r="I150" s="13" t="str">
        <f>_xll.BDH("BLUE US Equity","ARDR_FV_ASSETS_REC_L3_AFS_TREAS","FQ4 2019","FQ4 2019","Currency=USD","Period=FQ","BEST_FPERIOD_OVERRIDE=FQ","FILING_STATUS=MR","SCALING_FORMAT=MLN","Sort=A","Dates=H","DateFormat=P","Fill=—","Direction=H","UseDPDF=Y")</f>
        <v>—</v>
      </c>
      <c r="J150" s="13">
        <f>_xll.BDH("BLUE US Equity","ARDR_FV_ASSETS_REC_L3_AFS_TREAS","FQ1 2020","FQ1 2020","Currency=USD","Period=FQ","BEST_FPERIOD_OVERRIDE=FQ","FILING_STATUS=MR","SCALING_FORMAT=MLN","Sort=A","Dates=H","DateFormat=P","Fill=—","Direction=H","UseDPDF=Y")</f>
        <v>0</v>
      </c>
      <c r="K150" s="13" t="str">
        <f>_xll.BDH("BLUE US Equity","ARDR_FV_ASSETS_REC_L3_AFS_TREAS","FQ2 2020","FQ2 2020","Currency=USD","Period=FQ","BEST_FPERIOD_OVERRIDE=FQ","FILING_STATUS=MR","SCALING_FORMAT=MLN","Sort=A","Dates=H","DateFormat=P","Fill=—","Direction=H","UseDPDF=Y")</f>
        <v>—</v>
      </c>
      <c r="L150" s="13">
        <f>_xll.BDH("BLUE US Equity","ARDR_FV_ASSETS_REC_L3_AFS_TREAS","FQ3 2020","FQ3 2020","Currency=USD","Period=FQ","BEST_FPERIOD_OVERRIDE=FQ","FILING_STATUS=MR","SCALING_FORMAT=MLN","Sort=A","Dates=H","DateFormat=P","Fill=—","Direction=H","UseDPDF=Y")</f>
        <v>0</v>
      </c>
      <c r="M150" s="13" t="str">
        <f>_xll.BDH("BLUE US Equity","ARDR_FV_ASSETS_REC_L3_AFS_TREAS","FQ4 2020","FQ4 2020","Currency=USD","Period=FQ","BEST_FPERIOD_OVERRIDE=FQ","FILING_STATUS=MR","SCALING_FORMAT=MLN","Sort=A","Dates=H","DateFormat=P","Fill=—","Direction=H","UseDPDF=Y")</f>
        <v>—</v>
      </c>
      <c r="N150" s="13">
        <f>_xll.BDH("BLUE US Equity","ARDR_FV_ASSETS_REC_L3_AFS_TREAS","FQ1 2021","FQ1 2021","Currency=USD","Period=FQ","BEST_FPERIOD_OVERRIDE=FQ","FILING_STATUS=MR","SCALING_FORMAT=MLN","Sort=A","Dates=H","DateFormat=P","Fill=—","Direction=H","UseDPDF=Y")</f>
        <v>0</v>
      </c>
      <c r="O150" s="13" t="str">
        <f>_xll.BDH("BLUE US Equity","ARDR_FV_ASSETS_REC_L3_AFS_TREAS","FQ2 2021","FQ2 2021","Currency=USD","Period=FQ","BEST_FPERIOD_OVERRIDE=FQ","FILING_STATUS=MR","SCALING_FORMAT=MLN","Sort=A","Dates=H","DateFormat=P","Fill=—","Direction=H","UseDPDF=Y")</f>
        <v>—</v>
      </c>
      <c r="P150" s="13">
        <f>_xll.BDH("BLUE US Equity","ARDR_FV_ASSETS_REC_L3_AFS_TREAS","FQ3 2021","FQ3 2021","Currency=USD","Period=FQ","BEST_FPERIOD_OVERRIDE=FQ","FILING_STATUS=MR","SCALING_FORMAT=MLN","Sort=A","Dates=H","DateFormat=P","Fill=—","Direction=H","UseDPDF=Y")</f>
        <v>0</v>
      </c>
      <c r="Q150" s="13" t="str">
        <f>_xll.BDH("BLUE US Equity","ARDR_FV_ASSETS_REC_L3_AFS_TREAS","FQ4 2021","FQ4 2021","Currency=USD","Period=FQ","BEST_FPERIOD_OVERRIDE=FQ","FILING_STATUS=MR","SCALING_FORMAT=MLN","Sort=A","Dates=H","DateFormat=P","Fill=—","Direction=H","UseDPDF=Y")</f>
        <v>—</v>
      </c>
      <c r="R150" s="13">
        <f>_xll.BDH("BLUE US Equity","ARDR_FV_ASSETS_REC_L3_AFS_TREAS","FQ1 2022","FQ1 2022","Currency=USD","Period=FQ","BEST_FPERIOD_OVERRIDE=FQ","FILING_STATUS=MR","SCALING_FORMAT=MLN","Sort=A","Dates=H","DateFormat=P","Fill=—","Direction=H","UseDPDF=Y")</f>
        <v>0</v>
      </c>
      <c r="S150" s="13">
        <f>_xll.BDH("BLUE US Equity","ARDR_FV_ASSETS_REC_L3_AFS_TREAS","FQ2 2022","FQ2 2022","Currency=USD","Period=FQ","BEST_FPERIOD_OVERRIDE=FQ","FILING_STATUS=MR","SCALING_FORMAT=MLN","Sort=A","Dates=H","DateFormat=P","Fill=—","Direction=H","UseDPDF=Y")</f>
        <v>0</v>
      </c>
      <c r="T150" s="13">
        <f>_xll.BDH("BLUE US Equity","ARDR_FV_ASSETS_REC_L3_AFS_TREAS","FQ3 2022","FQ3 2022","Currency=USD","Period=FQ","BEST_FPERIOD_OVERRIDE=FQ","FILING_STATUS=MR","SCALING_FORMAT=MLN","Sort=A","Dates=H","DateFormat=P","Fill=—","Direction=H","UseDPDF=Y")</f>
        <v>0</v>
      </c>
      <c r="U150" s="13">
        <f>_xll.BDH("BLUE US Equity","ARDR_FV_ASSETS_REC_L3_AFS_TREAS","FQ4 2022","FQ4 2022","Currency=USD","Period=FQ","BEST_FPERIOD_OVERRIDE=FQ","FILING_STATUS=MR","SCALING_FORMAT=MLN","Sort=A","Dates=H","DateFormat=P","Fill=—","Direction=H","UseDPDF=Y")</f>
        <v>0</v>
      </c>
      <c r="V150" s="13">
        <f>_xll.BDH("BLUE US Equity","ARDR_FV_ASSETS_REC_L3_AFS_TREAS","FQ1 2023","FQ1 2023","Currency=USD","Period=FQ","BEST_FPERIOD_OVERRIDE=FQ","FILING_STATUS=MR","SCALING_FORMAT=MLN","Sort=A","Dates=H","DateFormat=P","Fill=—","Direction=H","UseDPDF=Y")</f>
        <v>0</v>
      </c>
      <c r="W150" s="13">
        <f>_xll.BDH("BLUE US Equity","ARDR_FV_ASSETS_REC_L3_AFS_TREAS","FQ2 2023","FQ2 2023","Currency=USD","Period=FQ","BEST_FPERIOD_OVERRIDE=FQ","FILING_STATUS=MR","SCALING_FORMAT=MLN","Sort=A","Dates=H","DateFormat=P","Fill=—","Direction=H","UseDPDF=Y")</f>
        <v>0</v>
      </c>
      <c r="X150" s="13">
        <f>_xll.BDH("BLUE US Equity","ARDR_FV_ASSETS_REC_L3_AFS_TREAS","FQ3 2023","FQ3 2023","Currency=USD","Period=FQ","BEST_FPERIOD_OVERRIDE=FQ","FILING_STATUS=MR","SCALING_FORMAT=MLN","Sort=A","Dates=H","DateFormat=P","Fill=—","Direction=H","UseDPDF=Y")</f>
        <v>0</v>
      </c>
      <c r="Y150" s="13">
        <f>_xll.BDH("BLUE US Equity","ARDR_FV_ASSETS_REC_L3_AFS_TREAS","FQ1 2024","FQ1 2024","Currency=USD","Period=FQ","BEST_FPERIOD_OVERRIDE=FQ","FILING_STATUS=MR","SCALING_FORMAT=MLN","Sort=A","Dates=H","DateFormat=P","Fill=—","Direction=H","UseDPDF=Y")</f>
        <v>0</v>
      </c>
      <c r="Z150" s="13">
        <f>_xll.BDH("BLUE US Equity","ARDR_FV_ASSETS_REC_L3_AFS_TREAS","FQ2 2024","FQ2 2024","Currency=USD","Period=FQ","BEST_FPERIOD_OVERRIDE=FQ","FILING_STATUS=MR","SCALING_FORMAT=MLN","Sort=A","Dates=H","DateFormat=P","Fill=—","Direction=H","UseDPDF=Y")</f>
        <v>0</v>
      </c>
      <c r="AA150" s="13" t="str">
        <f>_xll.BDH("BLUE US Equity","ARDR_FV_ASSETS_REC_L3_AFS_TREAS","FQ3 2024","FQ3 2024","Currency=USD","Period=FQ","BEST_FPERIOD_OVERRIDE=FQ","FILING_STATUS=MR","SCALING_FORMAT=MLN","Sort=A","Dates=H","DateFormat=P","Fill=—","Direction=H","UseDPDF=Y")</f>
        <v>—</v>
      </c>
    </row>
    <row r="151" spans="1:27" x14ac:dyDescent="0.25">
      <c r="A151" s="10" t="s">
        <v>1013</v>
      </c>
      <c r="B151" s="10" t="s">
        <v>1014</v>
      </c>
      <c r="C151" s="13" t="str">
        <f>_xll.BDH("BLUE US Equity","ARDR_FV_ASTS_REC_L3_AFS_CORP_BDS","FQ2 2018","FQ2 2018","Currency=USD","Period=FQ","BEST_FPERIOD_OVERRIDE=FQ","FILING_STATUS=MR","SCALING_FORMAT=MLN","Sort=A","Dates=H","DateFormat=P","Fill=—","Direction=H","UseDPDF=Y")</f>
        <v>—</v>
      </c>
      <c r="D151" s="13" t="str">
        <f>_xll.BDH("BLUE US Equity","ARDR_FV_ASTS_REC_L3_AFS_CORP_BDS","FQ3 2018","FQ3 2018","Currency=USD","Period=FQ","BEST_FPERIOD_OVERRIDE=FQ","FILING_STATUS=MR","SCALING_FORMAT=MLN","Sort=A","Dates=H","DateFormat=P","Fill=—","Direction=H","UseDPDF=Y")</f>
        <v>—</v>
      </c>
      <c r="E151" s="13" t="str">
        <f>_xll.BDH("BLUE US Equity","ARDR_FV_ASTS_REC_L3_AFS_CORP_BDS","FQ4 2018","FQ4 2018","Currency=USD","Period=FQ","BEST_FPERIOD_OVERRIDE=FQ","FILING_STATUS=MR","SCALING_FORMAT=MLN","Sort=A","Dates=H","DateFormat=P","Fill=—","Direction=H","UseDPDF=Y")</f>
        <v>—</v>
      </c>
      <c r="F151" s="13">
        <f>_xll.BDH("BLUE US Equity","ARDR_FV_ASTS_REC_L3_AFS_CORP_BDS","FQ1 2019","FQ1 2019","Currency=USD","Period=FQ","BEST_FPERIOD_OVERRIDE=FQ","FILING_STATUS=MR","SCALING_FORMAT=MLN","Sort=A","Dates=H","DateFormat=P","Fill=—","Direction=H","UseDPDF=Y")</f>
        <v>0</v>
      </c>
      <c r="G151" s="13">
        <f>_xll.BDH("BLUE US Equity","ARDR_FV_ASTS_REC_L3_AFS_CORP_BDS","FQ2 2019","FQ2 2019","Currency=USD","Period=FQ","BEST_FPERIOD_OVERRIDE=FQ","FILING_STATUS=MR","SCALING_FORMAT=MLN","Sort=A","Dates=H","DateFormat=P","Fill=—","Direction=H","UseDPDF=Y")</f>
        <v>0</v>
      </c>
      <c r="H151" s="13">
        <f>_xll.BDH("BLUE US Equity","ARDR_FV_ASTS_REC_L3_AFS_CORP_BDS","FQ3 2019","FQ3 2019","Currency=USD","Period=FQ","BEST_FPERIOD_OVERRIDE=FQ","FILING_STATUS=MR","SCALING_FORMAT=MLN","Sort=A","Dates=H","DateFormat=P","Fill=—","Direction=H","UseDPDF=Y")</f>
        <v>0</v>
      </c>
      <c r="I151" s="13" t="str">
        <f>_xll.BDH("BLUE US Equity","ARDR_FV_ASTS_REC_L3_AFS_CORP_BDS","FQ4 2019","FQ4 2019","Currency=USD","Period=FQ","BEST_FPERIOD_OVERRIDE=FQ","FILING_STATUS=MR","SCALING_FORMAT=MLN","Sort=A","Dates=H","DateFormat=P","Fill=—","Direction=H","UseDPDF=Y")</f>
        <v>—</v>
      </c>
      <c r="J151" s="13">
        <f>_xll.BDH("BLUE US Equity","ARDR_FV_ASTS_REC_L3_AFS_CORP_BDS","FQ1 2020","FQ1 2020","Currency=USD","Period=FQ","BEST_FPERIOD_OVERRIDE=FQ","FILING_STATUS=MR","SCALING_FORMAT=MLN","Sort=A","Dates=H","DateFormat=P","Fill=—","Direction=H","UseDPDF=Y")</f>
        <v>0</v>
      </c>
      <c r="K151" s="13" t="str">
        <f>_xll.BDH("BLUE US Equity","ARDR_FV_ASTS_REC_L3_AFS_CORP_BDS","FQ2 2020","FQ2 2020","Currency=USD","Period=FQ","BEST_FPERIOD_OVERRIDE=FQ","FILING_STATUS=MR","SCALING_FORMAT=MLN","Sort=A","Dates=H","DateFormat=P","Fill=—","Direction=H","UseDPDF=Y")</f>
        <v>—</v>
      </c>
      <c r="L151" s="13">
        <f>_xll.BDH("BLUE US Equity","ARDR_FV_ASTS_REC_L3_AFS_CORP_BDS","FQ3 2020","FQ3 2020","Currency=USD","Period=FQ","BEST_FPERIOD_OVERRIDE=FQ","FILING_STATUS=MR","SCALING_FORMAT=MLN","Sort=A","Dates=H","DateFormat=P","Fill=—","Direction=H","UseDPDF=Y")</f>
        <v>0</v>
      </c>
      <c r="M151" s="13" t="str">
        <f>_xll.BDH("BLUE US Equity","ARDR_FV_ASTS_REC_L3_AFS_CORP_BDS","FQ4 2020","FQ4 2020","Currency=USD","Period=FQ","BEST_FPERIOD_OVERRIDE=FQ","FILING_STATUS=MR","SCALING_FORMAT=MLN","Sort=A","Dates=H","DateFormat=P","Fill=—","Direction=H","UseDPDF=Y")</f>
        <v>—</v>
      </c>
      <c r="N151" s="13">
        <f>_xll.BDH("BLUE US Equity","ARDR_FV_ASTS_REC_L3_AFS_CORP_BDS","FQ1 2021","FQ1 2021","Currency=USD","Period=FQ","BEST_FPERIOD_OVERRIDE=FQ","FILING_STATUS=MR","SCALING_FORMAT=MLN","Sort=A","Dates=H","DateFormat=P","Fill=—","Direction=H","UseDPDF=Y")</f>
        <v>0</v>
      </c>
      <c r="O151" s="13" t="str">
        <f>_xll.BDH("BLUE US Equity","ARDR_FV_ASTS_REC_L3_AFS_CORP_BDS","FQ2 2021","FQ2 2021","Currency=USD","Period=FQ","BEST_FPERIOD_OVERRIDE=FQ","FILING_STATUS=MR","SCALING_FORMAT=MLN","Sort=A","Dates=H","DateFormat=P","Fill=—","Direction=H","UseDPDF=Y")</f>
        <v>—</v>
      </c>
      <c r="P151" s="13">
        <f>_xll.BDH("BLUE US Equity","ARDR_FV_ASTS_REC_L3_AFS_CORP_BDS","FQ3 2021","FQ3 2021","Currency=USD","Period=FQ","BEST_FPERIOD_OVERRIDE=FQ","FILING_STATUS=MR","SCALING_FORMAT=MLN","Sort=A","Dates=H","DateFormat=P","Fill=—","Direction=H","UseDPDF=Y")</f>
        <v>0</v>
      </c>
      <c r="Q151" s="13" t="str">
        <f>_xll.BDH("BLUE US Equity","ARDR_FV_ASTS_REC_L3_AFS_CORP_BDS","FQ4 2021","FQ4 2021","Currency=USD","Period=FQ","BEST_FPERIOD_OVERRIDE=FQ","FILING_STATUS=MR","SCALING_FORMAT=MLN","Sort=A","Dates=H","DateFormat=P","Fill=—","Direction=H","UseDPDF=Y")</f>
        <v>—</v>
      </c>
      <c r="R151" s="13">
        <f>_xll.BDH("BLUE US Equity","ARDR_FV_ASTS_REC_L3_AFS_CORP_BDS","FQ1 2022","FQ1 2022","Currency=USD","Period=FQ","BEST_FPERIOD_OVERRIDE=FQ","FILING_STATUS=MR","SCALING_FORMAT=MLN","Sort=A","Dates=H","DateFormat=P","Fill=—","Direction=H","UseDPDF=Y")</f>
        <v>0</v>
      </c>
      <c r="S151" s="13">
        <f>_xll.BDH("BLUE US Equity","ARDR_FV_ASTS_REC_L3_AFS_CORP_BDS","FQ2 2022","FQ2 2022","Currency=USD","Period=FQ","BEST_FPERIOD_OVERRIDE=FQ","FILING_STATUS=MR","SCALING_FORMAT=MLN","Sort=A","Dates=H","DateFormat=P","Fill=—","Direction=H","UseDPDF=Y")</f>
        <v>0</v>
      </c>
      <c r="T151" s="13">
        <f>_xll.BDH("BLUE US Equity","ARDR_FV_ASTS_REC_L3_AFS_CORP_BDS","FQ3 2022","FQ3 2022","Currency=USD","Period=FQ","BEST_FPERIOD_OVERRIDE=FQ","FILING_STATUS=MR","SCALING_FORMAT=MLN","Sort=A","Dates=H","DateFormat=P","Fill=—","Direction=H","UseDPDF=Y")</f>
        <v>0</v>
      </c>
      <c r="U151" s="13">
        <f>_xll.BDH("BLUE US Equity","ARDR_FV_ASTS_REC_L3_AFS_CORP_BDS","FQ4 2022","FQ4 2022","Currency=USD","Period=FQ","BEST_FPERIOD_OVERRIDE=FQ","FILING_STATUS=MR","SCALING_FORMAT=MLN","Sort=A","Dates=H","DateFormat=P","Fill=—","Direction=H","UseDPDF=Y")</f>
        <v>0</v>
      </c>
      <c r="V151" s="13">
        <f>_xll.BDH("BLUE US Equity","ARDR_FV_ASTS_REC_L3_AFS_CORP_BDS","FQ1 2023","FQ1 2023","Currency=USD","Period=FQ","BEST_FPERIOD_OVERRIDE=FQ","FILING_STATUS=MR","SCALING_FORMAT=MLN","Sort=A","Dates=H","DateFormat=P","Fill=—","Direction=H","UseDPDF=Y")</f>
        <v>0</v>
      </c>
      <c r="W151" s="13" t="str">
        <f>_xll.BDH("BLUE US Equity","ARDR_FV_ASTS_REC_L3_AFS_CORP_BDS","FQ2 2023","FQ2 2023","Currency=USD","Period=FQ","BEST_FPERIOD_OVERRIDE=FQ","FILING_STATUS=MR","SCALING_FORMAT=MLN","Sort=A","Dates=H","DateFormat=P","Fill=—","Direction=H","UseDPDF=Y")</f>
        <v>—</v>
      </c>
      <c r="X151" s="13" t="str">
        <f>_xll.BDH("BLUE US Equity","ARDR_FV_ASTS_REC_L3_AFS_CORP_BDS","FQ3 2023","FQ3 2023","Currency=USD","Period=FQ","BEST_FPERIOD_OVERRIDE=FQ","FILING_STATUS=MR","SCALING_FORMAT=MLN","Sort=A","Dates=H","DateFormat=P","Fill=—","Direction=H","UseDPDF=Y")</f>
        <v>—</v>
      </c>
      <c r="Y151" s="13" t="str">
        <f>_xll.BDH("BLUE US Equity","ARDR_FV_ASTS_REC_L3_AFS_CORP_BDS","FQ1 2024","FQ1 2024","Currency=USD","Period=FQ","BEST_FPERIOD_OVERRIDE=FQ","FILING_STATUS=MR","SCALING_FORMAT=MLN","Sort=A","Dates=H","DateFormat=P","Fill=—","Direction=H","UseDPDF=Y")</f>
        <v>—</v>
      </c>
      <c r="Z151" s="13" t="str">
        <f>_xll.BDH("BLUE US Equity","ARDR_FV_ASTS_REC_L3_AFS_CORP_BDS","FQ2 2024","FQ2 2024","Currency=USD","Period=FQ","BEST_FPERIOD_OVERRIDE=FQ","FILING_STATUS=MR","SCALING_FORMAT=MLN","Sort=A","Dates=H","DateFormat=P","Fill=—","Direction=H","UseDPDF=Y")</f>
        <v>—</v>
      </c>
      <c r="AA151" s="13">
        <f>_xll.BDH("BLUE US Equity","ARDR_FV_ASTS_REC_L3_AFS_CORP_BDS","FQ3 2024","FQ3 2024","Currency=USD","Period=FQ","BEST_FPERIOD_OVERRIDE=FQ","FILING_STATUS=MR","SCALING_FORMAT=MLN","Sort=A","Dates=H","DateFormat=P","Fill=—","Direction=H","UseDPDF=Y")</f>
        <v>1.0620000000000001</v>
      </c>
    </row>
    <row r="152" spans="1:27" x14ac:dyDescent="0.25">
      <c r="A152" s="10" t="s">
        <v>1015</v>
      </c>
      <c r="B152" s="10" t="s">
        <v>1016</v>
      </c>
      <c r="C152" s="13" t="str">
        <f>_xll.BDH("BLUE US Equity","ARDR_FV_ASTS_REC_L3_AFS_CDO_CLO","FQ2 2018","FQ2 2018","Currency=USD","Period=FQ","BEST_FPERIOD_OVERRIDE=FQ","FILING_STATUS=MR","SCALING_FORMAT=MLN","Sort=A","Dates=H","DateFormat=P","Fill=—","Direction=H","UseDPDF=Y")</f>
        <v>—</v>
      </c>
      <c r="D152" s="13" t="str">
        <f>_xll.BDH("BLUE US Equity","ARDR_FV_ASTS_REC_L3_AFS_CDO_CLO","FQ3 2018","FQ3 2018","Currency=USD","Period=FQ","BEST_FPERIOD_OVERRIDE=FQ","FILING_STATUS=MR","SCALING_FORMAT=MLN","Sort=A","Dates=H","DateFormat=P","Fill=—","Direction=H","UseDPDF=Y")</f>
        <v>—</v>
      </c>
      <c r="E152" s="13" t="str">
        <f>_xll.BDH("BLUE US Equity","ARDR_FV_ASTS_REC_L3_AFS_CDO_CLO","FQ4 2018","FQ4 2018","Currency=USD","Period=FQ","BEST_FPERIOD_OVERRIDE=FQ","FILING_STATUS=MR","SCALING_FORMAT=MLN","Sort=A","Dates=H","DateFormat=P","Fill=—","Direction=H","UseDPDF=Y")</f>
        <v>—</v>
      </c>
      <c r="F152" s="13">
        <f>_xll.BDH("BLUE US Equity","ARDR_FV_ASTS_REC_L3_AFS_CDO_CLO","FQ1 2019","FQ1 2019","Currency=USD","Period=FQ","BEST_FPERIOD_OVERRIDE=FQ","FILING_STATUS=MR","SCALING_FORMAT=MLN","Sort=A","Dates=H","DateFormat=P","Fill=—","Direction=H","UseDPDF=Y")</f>
        <v>0</v>
      </c>
      <c r="G152" s="13">
        <f>_xll.BDH("BLUE US Equity","ARDR_FV_ASTS_REC_L3_AFS_CDO_CLO","FQ2 2019","FQ2 2019","Currency=USD","Period=FQ","BEST_FPERIOD_OVERRIDE=FQ","FILING_STATUS=MR","SCALING_FORMAT=MLN","Sort=A","Dates=H","DateFormat=P","Fill=—","Direction=H","UseDPDF=Y")</f>
        <v>0</v>
      </c>
      <c r="H152" s="13">
        <f>_xll.BDH("BLUE US Equity","ARDR_FV_ASTS_REC_L3_AFS_CDO_CLO","FQ3 2019","FQ3 2019","Currency=USD","Period=FQ","BEST_FPERIOD_OVERRIDE=FQ","FILING_STATUS=MR","SCALING_FORMAT=MLN","Sort=A","Dates=H","DateFormat=P","Fill=—","Direction=H","UseDPDF=Y")</f>
        <v>0</v>
      </c>
      <c r="I152" s="13" t="str">
        <f>_xll.BDH("BLUE US Equity","ARDR_FV_ASTS_REC_L3_AFS_CDO_CLO","FQ4 2019","FQ4 2019","Currency=USD","Period=FQ","BEST_FPERIOD_OVERRIDE=FQ","FILING_STATUS=MR","SCALING_FORMAT=MLN","Sort=A","Dates=H","DateFormat=P","Fill=—","Direction=H","UseDPDF=Y")</f>
        <v>—</v>
      </c>
      <c r="J152" s="13">
        <f>_xll.BDH("BLUE US Equity","ARDR_FV_ASTS_REC_L3_AFS_CDO_CLO","FQ1 2020","FQ1 2020","Currency=USD","Period=FQ","BEST_FPERIOD_OVERRIDE=FQ","FILING_STATUS=MR","SCALING_FORMAT=MLN","Sort=A","Dates=H","DateFormat=P","Fill=—","Direction=H","UseDPDF=Y")</f>
        <v>0</v>
      </c>
      <c r="K152" s="13" t="str">
        <f>_xll.BDH("BLUE US Equity","ARDR_FV_ASTS_REC_L3_AFS_CDO_CLO","FQ2 2020","FQ2 2020","Currency=USD","Period=FQ","BEST_FPERIOD_OVERRIDE=FQ","FILING_STATUS=MR","SCALING_FORMAT=MLN","Sort=A","Dates=H","DateFormat=P","Fill=—","Direction=H","UseDPDF=Y")</f>
        <v>—</v>
      </c>
      <c r="L152" s="13">
        <f>_xll.BDH("BLUE US Equity","ARDR_FV_ASTS_REC_L3_AFS_CDO_CLO","FQ3 2020","FQ3 2020","Currency=USD","Period=FQ","BEST_FPERIOD_OVERRIDE=FQ","FILING_STATUS=MR","SCALING_FORMAT=MLN","Sort=A","Dates=H","DateFormat=P","Fill=—","Direction=H","UseDPDF=Y")</f>
        <v>0</v>
      </c>
      <c r="M152" s="13" t="str">
        <f>_xll.BDH("BLUE US Equity","ARDR_FV_ASTS_REC_L3_AFS_CDO_CLO","FQ4 2020","FQ4 2020","Currency=USD","Period=FQ","BEST_FPERIOD_OVERRIDE=FQ","FILING_STATUS=MR","SCALING_FORMAT=MLN","Sort=A","Dates=H","DateFormat=P","Fill=—","Direction=H","UseDPDF=Y")</f>
        <v>—</v>
      </c>
      <c r="N152" s="13" t="str">
        <f>_xll.BDH("BLUE US Equity","ARDR_FV_ASTS_REC_L3_AFS_CDO_CLO","FQ1 2021","FQ1 2021","Currency=USD","Period=FQ","BEST_FPERIOD_OVERRIDE=FQ","FILING_STATUS=MR","SCALING_FORMAT=MLN","Sort=A","Dates=H","DateFormat=P","Fill=—","Direction=H","UseDPDF=Y")</f>
        <v>—</v>
      </c>
      <c r="O152" s="13" t="str">
        <f>_xll.BDH("BLUE US Equity","ARDR_FV_ASTS_REC_L3_AFS_CDO_CLO","FQ2 2021","FQ2 2021","Currency=USD","Period=FQ","BEST_FPERIOD_OVERRIDE=FQ","FILING_STATUS=MR","SCALING_FORMAT=MLN","Sort=A","Dates=H","DateFormat=P","Fill=—","Direction=H","UseDPDF=Y")</f>
        <v>—</v>
      </c>
      <c r="P152" s="13" t="str">
        <f>_xll.BDH("BLUE US Equity","ARDR_FV_ASTS_REC_L3_AFS_CDO_CLO","FQ3 2021","FQ3 2021","Currency=USD","Period=FQ","BEST_FPERIOD_OVERRIDE=FQ","FILING_STATUS=MR","SCALING_FORMAT=MLN","Sort=A","Dates=H","DateFormat=P","Fill=—","Direction=H","UseDPDF=Y")</f>
        <v>—</v>
      </c>
      <c r="Q152" s="13" t="str">
        <f>_xll.BDH("BLUE US Equity","ARDR_FV_ASTS_REC_L3_AFS_CDO_CLO","FQ4 2021","FQ4 2021","Currency=USD","Period=FQ","BEST_FPERIOD_OVERRIDE=FQ","FILING_STATUS=MR","SCALING_FORMAT=MLN","Sort=A","Dates=H","DateFormat=P","Fill=—","Direction=H","UseDPDF=Y")</f>
        <v>—</v>
      </c>
      <c r="R152" s="13" t="str">
        <f>_xll.BDH("BLUE US Equity","ARDR_FV_ASTS_REC_L3_AFS_CDO_CLO","FQ1 2022","FQ1 2022","Currency=USD","Period=FQ","BEST_FPERIOD_OVERRIDE=FQ","FILING_STATUS=MR","SCALING_FORMAT=MLN","Sort=A","Dates=H","DateFormat=P","Fill=—","Direction=H","UseDPDF=Y")</f>
        <v>—</v>
      </c>
      <c r="S152" s="13" t="str">
        <f>_xll.BDH("BLUE US Equity","ARDR_FV_ASTS_REC_L3_AFS_CDO_CLO","FQ2 2022","FQ2 2022","Currency=USD","Period=FQ","BEST_FPERIOD_OVERRIDE=FQ","FILING_STATUS=MR","SCALING_FORMAT=MLN","Sort=A","Dates=H","DateFormat=P","Fill=—","Direction=H","UseDPDF=Y")</f>
        <v>—</v>
      </c>
      <c r="T152" s="13" t="str">
        <f>_xll.BDH("BLUE US Equity","ARDR_FV_ASTS_REC_L3_AFS_CDO_CLO","FQ3 2022","FQ3 2022","Currency=USD","Period=FQ","BEST_FPERIOD_OVERRIDE=FQ","FILING_STATUS=MR","SCALING_FORMAT=MLN","Sort=A","Dates=H","DateFormat=P","Fill=—","Direction=H","UseDPDF=Y")</f>
        <v>—</v>
      </c>
      <c r="U152" s="13" t="str">
        <f>_xll.BDH("BLUE US Equity","ARDR_FV_ASTS_REC_L3_AFS_CDO_CLO","FQ4 2022","FQ4 2022","Currency=USD","Period=FQ","BEST_FPERIOD_OVERRIDE=FQ","FILING_STATUS=MR","SCALING_FORMAT=MLN","Sort=A","Dates=H","DateFormat=P","Fill=—","Direction=H","UseDPDF=Y")</f>
        <v>—</v>
      </c>
      <c r="V152" s="13" t="str">
        <f>_xll.BDH("BLUE US Equity","ARDR_FV_ASTS_REC_L3_AFS_CDO_CLO","FQ1 2023","FQ1 2023","Currency=USD","Period=FQ","BEST_FPERIOD_OVERRIDE=FQ","FILING_STATUS=MR","SCALING_FORMAT=MLN","Sort=A","Dates=H","DateFormat=P","Fill=—","Direction=H","UseDPDF=Y")</f>
        <v>—</v>
      </c>
      <c r="W152" s="13" t="str">
        <f>_xll.BDH("BLUE US Equity","ARDR_FV_ASTS_REC_L3_AFS_CDO_CLO","FQ2 2023","FQ2 2023","Currency=USD","Period=FQ","BEST_FPERIOD_OVERRIDE=FQ","FILING_STATUS=MR","SCALING_FORMAT=MLN","Sort=A","Dates=H","DateFormat=P","Fill=—","Direction=H","UseDPDF=Y")</f>
        <v>—</v>
      </c>
      <c r="X152" s="13" t="str">
        <f>_xll.BDH("BLUE US Equity","ARDR_FV_ASTS_REC_L3_AFS_CDO_CLO","FQ3 2023","FQ3 2023","Currency=USD","Period=FQ","BEST_FPERIOD_OVERRIDE=FQ","FILING_STATUS=MR","SCALING_FORMAT=MLN","Sort=A","Dates=H","DateFormat=P","Fill=—","Direction=H","UseDPDF=Y")</f>
        <v>—</v>
      </c>
      <c r="Y152" s="13" t="str">
        <f>_xll.BDH("BLUE US Equity","ARDR_FV_ASTS_REC_L3_AFS_CDO_CLO","FQ1 2024","FQ1 2024","Currency=USD","Period=FQ","BEST_FPERIOD_OVERRIDE=FQ","FILING_STATUS=MR","SCALING_FORMAT=MLN","Sort=A","Dates=H","DateFormat=P","Fill=—","Direction=H","UseDPDF=Y")</f>
        <v>—</v>
      </c>
      <c r="Z152" s="13" t="str">
        <f>_xll.BDH("BLUE US Equity","ARDR_FV_ASTS_REC_L3_AFS_CDO_CLO","FQ2 2024","FQ2 2024","Currency=USD","Period=FQ","BEST_FPERIOD_OVERRIDE=FQ","FILING_STATUS=MR","SCALING_FORMAT=MLN","Sort=A","Dates=H","DateFormat=P","Fill=—","Direction=H","UseDPDF=Y")</f>
        <v>—</v>
      </c>
      <c r="AA152" s="13" t="str">
        <f>_xll.BDH("BLUE US Equity","ARDR_FV_ASTS_REC_L3_AFS_CDO_CLO","FQ3 2024","FQ3 2024","Currency=USD","Period=FQ","BEST_FPERIOD_OVERRIDE=FQ","FILING_STATUS=MR","SCALING_FORMAT=MLN","Sort=A","Dates=H","DateFormat=P","Fill=—","Direction=H","UseDPDF=Y")</f>
        <v>—</v>
      </c>
    </row>
    <row r="153" spans="1:27" x14ac:dyDescent="0.25">
      <c r="A153" s="10" t="s">
        <v>1017</v>
      </c>
      <c r="B153" s="10" t="s">
        <v>1018</v>
      </c>
      <c r="C153" s="13" t="str">
        <f>_xll.BDH("BLUE US Equity","ARDR_FV_ASSETS_REC_L3_OTHER","FQ2 2018","FQ2 2018","Currency=USD","Period=FQ","BEST_FPERIOD_OVERRIDE=FQ","FILING_STATUS=MR","SCALING_FORMAT=MLN","Sort=A","Dates=H","DateFormat=P","Fill=—","Direction=H","UseDPDF=Y")</f>
        <v>—</v>
      </c>
      <c r="D153" s="13" t="str">
        <f>_xll.BDH("BLUE US Equity","ARDR_FV_ASSETS_REC_L3_OTHER","FQ3 2018","FQ3 2018","Currency=USD","Period=FQ","BEST_FPERIOD_OVERRIDE=FQ","FILING_STATUS=MR","SCALING_FORMAT=MLN","Sort=A","Dates=H","DateFormat=P","Fill=—","Direction=H","UseDPDF=Y")</f>
        <v>—</v>
      </c>
      <c r="E153" s="13" t="str">
        <f>_xll.BDH("BLUE US Equity","ARDR_FV_ASSETS_REC_L3_OTHER","FQ4 2018","FQ4 2018","Currency=USD","Period=FQ","BEST_FPERIOD_OVERRIDE=FQ","FILING_STATUS=MR","SCALING_FORMAT=MLN","Sort=A","Dates=H","DateFormat=P","Fill=—","Direction=H","UseDPDF=Y")</f>
        <v>—</v>
      </c>
      <c r="F153" s="13">
        <f>_xll.BDH("BLUE US Equity","ARDR_FV_ASSETS_REC_L3_OTHER","FQ1 2019","FQ1 2019","Currency=USD","Period=FQ","BEST_FPERIOD_OVERRIDE=FQ","FILING_STATUS=MR","SCALING_FORMAT=MLN","Sort=A","Dates=H","DateFormat=P","Fill=—","Direction=H","UseDPDF=Y")</f>
        <v>0</v>
      </c>
      <c r="G153" s="13">
        <f>_xll.BDH("BLUE US Equity","ARDR_FV_ASSETS_REC_L3_OTHER","FQ2 2019","FQ2 2019","Currency=USD","Period=FQ","BEST_FPERIOD_OVERRIDE=FQ","FILING_STATUS=MR","SCALING_FORMAT=MLN","Sort=A","Dates=H","DateFormat=P","Fill=—","Direction=H","UseDPDF=Y")</f>
        <v>0</v>
      </c>
      <c r="H153" s="13">
        <f>_xll.BDH("BLUE US Equity","ARDR_FV_ASSETS_REC_L3_OTHER","FQ3 2019","FQ3 2019","Currency=USD","Period=FQ","BEST_FPERIOD_OVERRIDE=FQ","FILING_STATUS=MR","SCALING_FORMAT=MLN","Sort=A","Dates=H","DateFormat=P","Fill=—","Direction=H","UseDPDF=Y")</f>
        <v>0</v>
      </c>
      <c r="I153" s="13" t="str">
        <f>_xll.BDH("BLUE US Equity","ARDR_FV_ASSETS_REC_L3_OTHER","FQ4 2019","FQ4 2019","Currency=USD","Period=FQ","BEST_FPERIOD_OVERRIDE=FQ","FILING_STATUS=MR","SCALING_FORMAT=MLN","Sort=A","Dates=H","DateFormat=P","Fill=—","Direction=H","UseDPDF=Y")</f>
        <v>—</v>
      </c>
      <c r="J153" s="13">
        <f>_xll.BDH("BLUE US Equity","ARDR_FV_ASSETS_REC_L3_OTHER","FQ1 2020","FQ1 2020","Currency=USD","Period=FQ","BEST_FPERIOD_OVERRIDE=FQ","FILING_STATUS=MR","SCALING_FORMAT=MLN","Sort=A","Dates=H","DateFormat=P","Fill=—","Direction=H","UseDPDF=Y")</f>
        <v>0</v>
      </c>
      <c r="K153" s="13" t="str">
        <f>_xll.BDH("BLUE US Equity","ARDR_FV_ASSETS_REC_L3_OTHER","FQ2 2020","FQ2 2020","Currency=USD","Period=FQ","BEST_FPERIOD_OVERRIDE=FQ","FILING_STATUS=MR","SCALING_FORMAT=MLN","Sort=A","Dates=H","DateFormat=P","Fill=—","Direction=H","UseDPDF=Y")</f>
        <v>—</v>
      </c>
      <c r="L153" s="13" t="str">
        <f>_xll.BDH("BLUE US Equity","ARDR_FV_ASSETS_REC_L3_OTHER","FQ3 2020","FQ3 2020","Currency=USD","Period=FQ","BEST_FPERIOD_OVERRIDE=FQ","FILING_STATUS=MR","SCALING_FORMAT=MLN","Sort=A","Dates=H","DateFormat=P","Fill=—","Direction=H","UseDPDF=Y")</f>
        <v>—</v>
      </c>
      <c r="M153" s="13" t="str">
        <f>_xll.BDH("BLUE US Equity","ARDR_FV_ASSETS_REC_L3_OTHER","FQ4 2020","FQ4 2020","Currency=USD","Period=FQ","BEST_FPERIOD_OVERRIDE=FQ","FILING_STATUS=MR","SCALING_FORMAT=MLN","Sort=A","Dates=H","DateFormat=P","Fill=—","Direction=H","UseDPDF=Y")</f>
        <v>—</v>
      </c>
      <c r="N153" s="13">
        <f>_xll.BDH("BLUE US Equity","ARDR_FV_ASSETS_REC_L3_OTHER","FQ1 2021","FQ1 2021","Currency=USD","Period=FQ","BEST_FPERIOD_OVERRIDE=FQ","FILING_STATUS=MR","SCALING_FORMAT=MLN","Sort=A","Dates=H","DateFormat=P","Fill=—","Direction=H","UseDPDF=Y")</f>
        <v>0</v>
      </c>
      <c r="O153" s="13" t="str">
        <f>_xll.BDH("BLUE US Equity","ARDR_FV_ASSETS_REC_L3_OTHER","FQ2 2021","FQ2 2021","Currency=USD","Period=FQ","BEST_FPERIOD_OVERRIDE=FQ","FILING_STATUS=MR","SCALING_FORMAT=MLN","Sort=A","Dates=H","DateFormat=P","Fill=—","Direction=H","UseDPDF=Y")</f>
        <v>—</v>
      </c>
      <c r="P153" s="13">
        <f>_xll.BDH("BLUE US Equity","ARDR_FV_ASSETS_REC_L3_OTHER","FQ3 2021","FQ3 2021","Currency=USD","Period=FQ","BEST_FPERIOD_OVERRIDE=FQ","FILING_STATUS=MR","SCALING_FORMAT=MLN","Sort=A","Dates=H","DateFormat=P","Fill=—","Direction=H","UseDPDF=Y")</f>
        <v>0</v>
      </c>
      <c r="Q153" s="13" t="str">
        <f>_xll.BDH("BLUE US Equity","ARDR_FV_ASSETS_REC_L3_OTHER","FQ4 2021","FQ4 2021","Currency=USD","Period=FQ","BEST_FPERIOD_OVERRIDE=FQ","FILING_STATUS=MR","SCALING_FORMAT=MLN","Sort=A","Dates=H","DateFormat=P","Fill=—","Direction=H","UseDPDF=Y")</f>
        <v>—</v>
      </c>
      <c r="R153" s="13">
        <f>_xll.BDH("BLUE US Equity","ARDR_FV_ASSETS_REC_L3_OTHER","FQ1 2022","FQ1 2022","Currency=USD","Period=FQ","BEST_FPERIOD_OVERRIDE=FQ","FILING_STATUS=MR","SCALING_FORMAT=MLN","Sort=A","Dates=H","DateFormat=P","Fill=—","Direction=H","UseDPDF=Y")</f>
        <v>0</v>
      </c>
      <c r="S153" s="13">
        <f>_xll.BDH("BLUE US Equity","ARDR_FV_ASSETS_REC_L3_OTHER","FQ2 2022","FQ2 2022","Currency=USD","Period=FQ","BEST_FPERIOD_OVERRIDE=FQ","FILING_STATUS=MR","SCALING_FORMAT=MLN","Sort=A","Dates=H","DateFormat=P","Fill=—","Direction=H","UseDPDF=Y")</f>
        <v>0</v>
      </c>
      <c r="T153" s="13">
        <f>_xll.BDH("BLUE US Equity","ARDR_FV_ASSETS_REC_L3_OTHER","FQ3 2022","FQ3 2022","Currency=USD","Period=FQ","BEST_FPERIOD_OVERRIDE=FQ","FILING_STATUS=MR","SCALING_FORMAT=MLN","Sort=A","Dates=H","DateFormat=P","Fill=—","Direction=H","UseDPDF=Y")</f>
        <v>0</v>
      </c>
      <c r="U153" s="13" t="str">
        <f>_xll.BDH("BLUE US Equity","ARDR_FV_ASSETS_REC_L3_OTHER","FQ4 2022","FQ4 2022","Currency=USD","Period=FQ","BEST_FPERIOD_OVERRIDE=FQ","FILING_STATUS=MR","SCALING_FORMAT=MLN","Sort=A","Dates=H","DateFormat=P","Fill=—","Direction=H","UseDPDF=Y")</f>
        <v>—</v>
      </c>
      <c r="V153" s="13">
        <f>_xll.BDH("BLUE US Equity","ARDR_FV_ASSETS_REC_L3_OTHER","FQ1 2023","FQ1 2023","Currency=USD","Period=FQ","BEST_FPERIOD_OVERRIDE=FQ","FILING_STATUS=MR","SCALING_FORMAT=MLN","Sort=A","Dates=H","DateFormat=P","Fill=—","Direction=H","UseDPDF=Y")</f>
        <v>0</v>
      </c>
      <c r="W153" s="13" t="str">
        <f>_xll.BDH("BLUE US Equity","ARDR_FV_ASSETS_REC_L3_OTHER","FQ2 2023","FQ2 2023","Currency=USD","Period=FQ","BEST_FPERIOD_OVERRIDE=FQ","FILING_STATUS=MR","SCALING_FORMAT=MLN","Sort=A","Dates=H","DateFormat=P","Fill=—","Direction=H","UseDPDF=Y")</f>
        <v>—</v>
      </c>
      <c r="X153" s="13" t="str">
        <f>_xll.BDH("BLUE US Equity","ARDR_FV_ASSETS_REC_L3_OTHER","FQ3 2023","FQ3 2023","Currency=USD","Period=FQ","BEST_FPERIOD_OVERRIDE=FQ","FILING_STATUS=MR","SCALING_FORMAT=MLN","Sort=A","Dates=H","DateFormat=P","Fill=—","Direction=H","UseDPDF=Y")</f>
        <v>—</v>
      </c>
      <c r="Y153" s="13">
        <f>_xll.BDH("BLUE US Equity","ARDR_FV_ASSETS_REC_L3_OTHER","FQ1 2024","FQ1 2024","Currency=USD","Period=FQ","BEST_FPERIOD_OVERRIDE=FQ","FILING_STATUS=MR","SCALING_FORMAT=MLN","Sort=A","Dates=H","DateFormat=P","Fill=—","Direction=H","UseDPDF=Y")</f>
        <v>1.1200000000000001</v>
      </c>
      <c r="Z153" s="13">
        <f>_xll.BDH("BLUE US Equity","ARDR_FV_ASSETS_REC_L3_OTHER","FQ2 2024","FQ2 2024","Currency=USD","Period=FQ","BEST_FPERIOD_OVERRIDE=FQ","FILING_STATUS=MR","SCALING_FORMAT=MLN","Sort=A","Dates=H","DateFormat=P","Fill=—","Direction=H","UseDPDF=Y")</f>
        <v>1.44</v>
      </c>
      <c r="AA153" s="13">
        <f>_xll.BDH("BLUE US Equity","ARDR_FV_ASSETS_REC_L3_OTHER","FQ3 2024","FQ3 2024","Currency=USD","Period=FQ","BEST_FPERIOD_OVERRIDE=FQ","FILING_STATUS=MR","SCALING_FORMAT=MLN","Sort=A","Dates=H","DateFormat=P","Fill=—","Direction=H","UseDPDF=Y")</f>
        <v>0.98699999999999999</v>
      </c>
    </row>
    <row r="154" spans="1:27" x14ac:dyDescent="0.25">
      <c r="A154" s="10" t="s">
        <v>1019</v>
      </c>
      <c r="B154" s="10" t="s">
        <v>1020</v>
      </c>
      <c r="C154" s="13" t="str">
        <f>_xll.BDH("BLUE US Equity","ARDR_FV_ASSETS_REC_TOT_CASH_SECS","FQ2 2018","FQ2 2018","Currency=USD","Period=FQ","BEST_FPERIOD_OVERRIDE=FQ","FILING_STATUS=MR","SCALING_FORMAT=MLN","Sort=A","Dates=H","DateFormat=P","Fill=—","Direction=H","UseDPDF=Y")</f>
        <v>—</v>
      </c>
      <c r="D154" s="13" t="str">
        <f>_xll.BDH("BLUE US Equity","ARDR_FV_ASSETS_REC_TOT_CASH_SECS","FQ3 2018","FQ3 2018","Currency=USD","Period=FQ","BEST_FPERIOD_OVERRIDE=FQ","FILING_STATUS=MR","SCALING_FORMAT=MLN","Sort=A","Dates=H","DateFormat=P","Fill=—","Direction=H","UseDPDF=Y")</f>
        <v>—</v>
      </c>
      <c r="E154" s="13" t="str">
        <f>_xll.BDH("BLUE US Equity","ARDR_FV_ASSETS_REC_TOT_CASH_SECS","FQ4 2018","FQ4 2018","Currency=USD","Period=FQ","BEST_FPERIOD_OVERRIDE=FQ","FILING_STATUS=MR","SCALING_FORMAT=MLN","Sort=A","Dates=H","DateFormat=P","Fill=—","Direction=H","UseDPDF=Y")</f>
        <v>—</v>
      </c>
      <c r="F154" s="13" t="str">
        <f>_xll.BDH("BLUE US Equity","ARDR_FV_ASSETS_REC_TOT_CASH_SECS","FQ1 2019","FQ1 2019","Currency=USD","Period=FQ","BEST_FPERIOD_OVERRIDE=FQ","FILING_STATUS=MR","SCALING_FORMAT=MLN","Sort=A","Dates=H","DateFormat=P","Fill=—","Direction=H","UseDPDF=Y")</f>
        <v>—</v>
      </c>
      <c r="G154" s="13" t="str">
        <f>_xll.BDH("BLUE US Equity","ARDR_FV_ASSETS_REC_TOT_CASH_SECS","FQ2 2019","FQ2 2019","Currency=USD","Period=FQ","BEST_FPERIOD_OVERRIDE=FQ","FILING_STATUS=MR","SCALING_FORMAT=MLN","Sort=A","Dates=H","DateFormat=P","Fill=—","Direction=H","UseDPDF=Y")</f>
        <v>—</v>
      </c>
      <c r="H154" s="13">
        <f>_xll.BDH("BLUE US Equity","ARDR_FV_ASSETS_REC_TOT_CASH_SECS","FQ3 2019","FQ3 2019","Currency=USD","Period=FQ","BEST_FPERIOD_OVERRIDE=FQ","FILING_STATUS=MR","SCALING_FORMAT=MLN","Sort=A","Dates=H","DateFormat=P","Fill=—","Direction=H","UseDPDF=Y")</f>
        <v>1405.8869999999999</v>
      </c>
      <c r="I154" s="13" t="str">
        <f>_xll.BDH("BLUE US Equity","ARDR_FV_ASSETS_REC_TOT_CASH_SECS","FQ4 2019","FQ4 2019","Currency=USD","Period=FQ","BEST_FPERIOD_OVERRIDE=FQ","FILING_STATUS=MR","SCALING_FORMAT=MLN","Sort=A","Dates=H","DateFormat=P","Fill=—","Direction=H","UseDPDF=Y")</f>
        <v>—</v>
      </c>
      <c r="J154" s="13" t="str">
        <f>_xll.BDH("BLUE US Equity","ARDR_FV_ASSETS_REC_TOT_CASH_SECS","FQ1 2020","FQ1 2020","Currency=USD","Period=FQ","BEST_FPERIOD_OVERRIDE=FQ","FILING_STATUS=MR","SCALING_FORMAT=MLN","Sort=A","Dates=H","DateFormat=P","Fill=—","Direction=H","UseDPDF=Y")</f>
        <v>—</v>
      </c>
      <c r="K154" s="13" t="str">
        <f>_xll.BDH("BLUE US Equity","ARDR_FV_ASSETS_REC_TOT_CASH_SECS","FQ2 2020","FQ2 2020","Currency=USD","Period=FQ","BEST_FPERIOD_OVERRIDE=FQ","FILING_STATUS=MR","SCALING_FORMAT=MLN","Sort=A","Dates=H","DateFormat=P","Fill=—","Direction=H","UseDPDF=Y")</f>
        <v>—</v>
      </c>
      <c r="L154" s="13">
        <f>_xll.BDH("BLUE US Equity","ARDR_FV_ASSETS_REC_TOT_CASH_SECS","FQ3 2020","FQ3 2020","Currency=USD","Period=FQ","BEST_FPERIOD_OVERRIDE=FQ","FILING_STATUS=MR","SCALING_FORMAT=MLN","Sort=A","Dates=H","DateFormat=P","Fill=—","Direction=H","UseDPDF=Y")</f>
        <v>327.96600000000001</v>
      </c>
      <c r="M154" s="13">
        <f>_xll.BDH("BLUE US Equity","ARDR_FV_ASSETS_REC_TOT_CASH_SECS","FQ4 2020","FQ4 2020","Currency=USD","Period=FQ","BEST_FPERIOD_OVERRIDE=FQ","FILING_STATUS=MR","SCALING_FORMAT=MLN","Sort=A","Dates=H","DateFormat=P","Fill=—","Direction=H","UseDPDF=Y")</f>
        <v>266.28199999999998</v>
      </c>
      <c r="N154" s="13" t="str">
        <f>_xll.BDH("BLUE US Equity","ARDR_FV_ASSETS_REC_TOT_CASH_SECS","FQ1 2021","FQ1 2021","Currency=USD","Period=FQ","BEST_FPERIOD_OVERRIDE=FQ","FILING_STATUS=MR","SCALING_FORMAT=MLN","Sort=A","Dates=H","DateFormat=P","Fill=—","Direction=H","UseDPDF=Y")</f>
        <v>—</v>
      </c>
      <c r="O154" s="13" t="str">
        <f>_xll.BDH("BLUE US Equity","ARDR_FV_ASSETS_REC_TOT_CASH_SECS","FQ2 2021","FQ2 2021","Currency=USD","Period=FQ","BEST_FPERIOD_OVERRIDE=FQ","FILING_STATUS=MR","SCALING_FORMAT=MLN","Sort=A","Dates=H","DateFormat=P","Fill=—","Direction=H","UseDPDF=Y")</f>
        <v>—</v>
      </c>
      <c r="P154" s="13">
        <f>_xll.BDH("BLUE US Equity","ARDR_FV_ASSETS_REC_TOT_CASH_SECS","FQ3 2021","FQ3 2021","Currency=USD","Period=FQ","BEST_FPERIOD_OVERRIDE=FQ","FILING_STATUS=MR","SCALING_FORMAT=MLN","Sort=A","Dates=H","DateFormat=P","Fill=—","Direction=H","UseDPDF=Y")</f>
        <v>405.56099999999998</v>
      </c>
      <c r="Q154" s="13">
        <f>_xll.BDH("BLUE US Equity","ARDR_FV_ASSETS_REC_TOT_CASH_SECS","FQ4 2021","FQ4 2021","Currency=USD","Period=FQ","BEST_FPERIOD_OVERRIDE=FQ","FILING_STATUS=MR","SCALING_FORMAT=MLN","Sort=A","Dates=H","DateFormat=P","Fill=—","Direction=H","UseDPDF=Y")</f>
        <v>164.851</v>
      </c>
      <c r="R154" s="13" t="str">
        <f>_xll.BDH("BLUE US Equity","ARDR_FV_ASSETS_REC_TOT_CASH_SECS","FQ1 2022","FQ1 2022","Currency=USD","Period=FQ","BEST_FPERIOD_OVERRIDE=FQ","FILING_STATUS=MR","SCALING_FORMAT=MLN","Sort=A","Dates=H","DateFormat=P","Fill=—","Direction=H","UseDPDF=Y")</f>
        <v>—</v>
      </c>
      <c r="S154" s="13" t="str">
        <f>_xll.BDH("BLUE US Equity","ARDR_FV_ASSETS_REC_TOT_CASH_SECS","FQ2 2022","FQ2 2022","Currency=USD","Period=FQ","BEST_FPERIOD_OVERRIDE=FQ","FILING_STATUS=MR","SCALING_FORMAT=MLN","Sort=A","Dates=H","DateFormat=P","Fill=—","Direction=H","UseDPDF=Y")</f>
        <v>—</v>
      </c>
      <c r="T154" s="13">
        <f>_xll.BDH("BLUE US Equity","ARDR_FV_ASSETS_REC_TOT_CASH_SECS","FQ3 2022","FQ3 2022","Currency=USD","Period=FQ","BEST_FPERIOD_OVERRIDE=FQ","FILING_STATUS=MR","SCALING_FORMAT=MLN","Sort=A","Dates=H","DateFormat=P","Fill=—","Direction=H","UseDPDF=Y")</f>
        <v>66.477999999999994</v>
      </c>
      <c r="U154" s="13">
        <f>_xll.BDH("BLUE US Equity","ARDR_FV_ASSETS_REC_TOT_CASH_SECS","FQ4 2022","FQ4 2022","Currency=USD","Period=FQ","BEST_FPERIOD_OVERRIDE=FQ","FILING_STATUS=MR","SCALING_FORMAT=MLN","Sort=A","Dates=H","DateFormat=P","Fill=—","Direction=H","UseDPDF=Y")</f>
        <v>113.006</v>
      </c>
      <c r="V154" s="13" t="str">
        <f>_xll.BDH("BLUE US Equity","ARDR_FV_ASSETS_REC_TOT_CASH_SECS","FQ1 2023","FQ1 2023","Currency=USD","Period=FQ","BEST_FPERIOD_OVERRIDE=FQ","FILING_STATUS=MR","SCALING_FORMAT=MLN","Sort=A","Dates=H","DateFormat=P","Fill=—","Direction=H","UseDPDF=Y")</f>
        <v>—</v>
      </c>
      <c r="W154" s="13" t="str">
        <f>_xll.BDH("BLUE US Equity","ARDR_FV_ASSETS_REC_TOT_CASH_SECS","FQ2 2023","FQ2 2023","Currency=USD","Period=FQ","BEST_FPERIOD_OVERRIDE=FQ","FILING_STATUS=MR","SCALING_FORMAT=MLN","Sort=A","Dates=H","DateFormat=P","Fill=—","Direction=H","UseDPDF=Y")</f>
        <v>—</v>
      </c>
      <c r="X154" s="13">
        <f>_xll.BDH("BLUE US Equity","ARDR_FV_ASSETS_REC_TOT_CASH_SECS","FQ3 2023","FQ3 2023","Currency=USD","Period=FQ","BEST_FPERIOD_OVERRIDE=FQ","FILING_STATUS=MR","SCALING_FORMAT=MLN","Sort=A","Dates=H","DateFormat=P","Fill=—","Direction=H","UseDPDF=Y")</f>
        <v>165.34700000000001</v>
      </c>
      <c r="Y154" s="13">
        <f>_xll.BDH("BLUE US Equity","ARDR_FV_ASSETS_REC_TOT_CASH_SECS","FQ1 2024","FQ1 2024","Currency=USD","Period=FQ","BEST_FPERIOD_OVERRIDE=FQ","FILING_STATUS=MR","SCALING_FORMAT=MLN","Sort=A","Dates=H","DateFormat=P","Fill=—","Direction=H","UseDPDF=Y")</f>
        <v>212.047</v>
      </c>
      <c r="Z154" s="13">
        <f>_xll.BDH("BLUE US Equity","ARDR_FV_ASSETS_REC_TOT_CASH_SECS","FQ2 2024","FQ2 2024","Currency=USD","Period=FQ","BEST_FPERIOD_OVERRIDE=FQ","FILING_STATUS=MR","SCALING_FORMAT=MLN","Sort=A","Dates=H","DateFormat=P","Fill=—","Direction=H","UseDPDF=Y")</f>
        <v>144.06700000000001</v>
      </c>
      <c r="AA154" s="13">
        <f>_xll.BDH("BLUE US Equity","ARDR_FV_ASSETS_REC_TOT_CASH_SECS","FQ3 2024","FQ3 2024","Currency=USD","Period=FQ","BEST_FPERIOD_OVERRIDE=FQ","FILING_STATUS=MR","SCALING_FORMAT=MLN","Sort=A","Dates=H","DateFormat=P","Fill=—","Direction=H","UseDPDF=Y")</f>
        <v>70.650999999999996</v>
      </c>
    </row>
    <row r="155" spans="1:27" x14ac:dyDescent="0.25">
      <c r="A155" s="10" t="s">
        <v>1021</v>
      </c>
      <c r="B155" s="10" t="s">
        <v>1022</v>
      </c>
      <c r="C155" s="13" t="str">
        <f>_xll.BDH("BLUE US Equity","ARDR_FV_ASSETS_REC_TOT_AFS","FQ2 2018","FQ2 2018","Currency=USD","Period=FQ","BEST_FPERIOD_OVERRIDE=FQ","FILING_STATUS=MR","SCALING_FORMAT=MLN","Sort=A","Dates=H","DateFormat=P","Fill=—","Direction=H","UseDPDF=Y")</f>
        <v>—</v>
      </c>
      <c r="D155" s="13" t="str">
        <f>_xll.BDH("BLUE US Equity","ARDR_FV_ASSETS_REC_TOT_AFS","FQ3 2018","FQ3 2018","Currency=USD","Period=FQ","BEST_FPERIOD_OVERRIDE=FQ","FILING_STATUS=MR","SCALING_FORMAT=MLN","Sort=A","Dates=H","DateFormat=P","Fill=—","Direction=H","UseDPDF=Y")</f>
        <v>—</v>
      </c>
      <c r="E155" s="13" t="str">
        <f>_xll.BDH("BLUE US Equity","ARDR_FV_ASSETS_REC_TOT_AFS","FQ4 2018","FQ4 2018","Currency=USD","Period=FQ","BEST_FPERIOD_OVERRIDE=FQ","FILING_STATUS=MR","SCALING_FORMAT=MLN","Sort=A","Dates=H","DateFormat=P","Fill=—","Direction=H","UseDPDF=Y")</f>
        <v>—</v>
      </c>
      <c r="F155" s="13" t="str">
        <f>_xll.BDH("BLUE US Equity","ARDR_FV_ASSETS_REC_TOT_AFS","FQ1 2019","FQ1 2019","Currency=USD","Period=FQ","BEST_FPERIOD_OVERRIDE=FQ","FILING_STATUS=MR","SCALING_FORMAT=MLN","Sort=A","Dates=H","DateFormat=P","Fill=—","Direction=H","UseDPDF=Y")</f>
        <v>—</v>
      </c>
      <c r="G155" s="13" t="str">
        <f>_xll.BDH("BLUE US Equity","ARDR_FV_ASSETS_REC_TOT_AFS","FQ2 2019","FQ2 2019","Currency=USD","Period=FQ","BEST_FPERIOD_OVERRIDE=FQ","FILING_STATUS=MR","SCALING_FORMAT=MLN","Sort=A","Dates=H","DateFormat=P","Fill=—","Direction=H","UseDPDF=Y")</f>
        <v>—</v>
      </c>
      <c r="H155" s="13" t="str">
        <f>_xll.BDH("BLUE US Equity","ARDR_FV_ASSETS_REC_TOT_AFS","FQ3 2019","FQ3 2019","Currency=USD","Period=FQ","BEST_FPERIOD_OVERRIDE=FQ","FILING_STATUS=MR","SCALING_FORMAT=MLN","Sort=A","Dates=H","DateFormat=P","Fill=—","Direction=H","UseDPDF=Y")</f>
        <v>—</v>
      </c>
      <c r="I155" s="13" t="str">
        <f>_xll.BDH("BLUE US Equity","ARDR_FV_ASSETS_REC_TOT_AFS","FQ4 2019","FQ4 2019","Currency=USD","Period=FQ","BEST_FPERIOD_OVERRIDE=FQ","FILING_STATUS=MR","SCALING_FORMAT=MLN","Sort=A","Dates=H","DateFormat=P","Fill=—","Direction=H","UseDPDF=Y")</f>
        <v>—</v>
      </c>
      <c r="J155" s="13" t="str">
        <f>_xll.BDH("BLUE US Equity","ARDR_FV_ASSETS_REC_TOT_AFS","FQ1 2020","FQ1 2020","Currency=USD","Period=FQ","BEST_FPERIOD_OVERRIDE=FQ","FILING_STATUS=MR","SCALING_FORMAT=MLN","Sort=A","Dates=H","DateFormat=P","Fill=—","Direction=H","UseDPDF=Y")</f>
        <v>—</v>
      </c>
      <c r="K155" s="13" t="str">
        <f>_xll.BDH("BLUE US Equity","ARDR_FV_ASSETS_REC_TOT_AFS","FQ2 2020","FQ2 2020","Currency=USD","Period=FQ","BEST_FPERIOD_OVERRIDE=FQ","FILING_STATUS=MR","SCALING_FORMAT=MLN","Sort=A","Dates=H","DateFormat=P","Fill=—","Direction=H","UseDPDF=Y")</f>
        <v>—</v>
      </c>
      <c r="L155" s="13" t="str">
        <f>_xll.BDH("BLUE US Equity","ARDR_FV_ASSETS_REC_TOT_AFS","FQ3 2020","FQ3 2020","Currency=USD","Period=FQ","BEST_FPERIOD_OVERRIDE=FQ","FILING_STATUS=MR","SCALING_FORMAT=MLN","Sort=A","Dates=H","DateFormat=P","Fill=—","Direction=H","UseDPDF=Y")</f>
        <v>—</v>
      </c>
      <c r="M155" s="13" t="str">
        <f>_xll.BDH("BLUE US Equity","ARDR_FV_ASSETS_REC_TOT_AFS","FQ4 2020","FQ4 2020","Currency=USD","Period=FQ","BEST_FPERIOD_OVERRIDE=FQ","FILING_STATUS=MR","SCALING_FORMAT=MLN","Sort=A","Dates=H","DateFormat=P","Fill=—","Direction=H","UseDPDF=Y")</f>
        <v>—</v>
      </c>
      <c r="N155" s="13" t="str">
        <f>_xll.BDH("BLUE US Equity","ARDR_FV_ASSETS_REC_TOT_AFS","FQ1 2021","FQ1 2021","Currency=USD","Period=FQ","BEST_FPERIOD_OVERRIDE=FQ","FILING_STATUS=MR","SCALING_FORMAT=MLN","Sort=A","Dates=H","DateFormat=P","Fill=—","Direction=H","UseDPDF=Y")</f>
        <v>—</v>
      </c>
      <c r="O155" s="13" t="str">
        <f>_xll.BDH("BLUE US Equity","ARDR_FV_ASSETS_REC_TOT_AFS","FQ2 2021","FQ2 2021","Currency=USD","Period=FQ","BEST_FPERIOD_OVERRIDE=FQ","FILING_STATUS=MR","SCALING_FORMAT=MLN","Sort=A","Dates=H","DateFormat=P","Fill=—","Direction=H","UseDPDF=Y")</f>
        <v>—</v>
      </c>
      <c r="P155" s="13" t="str">
        <f>_xll.BDH("BLUE US Equity","ARDR_FV_ASSETS_REC_TOT_AFS","FQ3 2021","FQ3 2021","Currency=USD","Period=FQ","BEST_FPERIOD_OVERRIDE=FQ","FILING_STATUS=MR","SCALING_FORMAT=MLN","Sort=A","Dates=H","DateFormat=P","Fill=—","Direction=H","UseDPDF=Y")</f>
        <v>—</v>
      </c>
      <c r="Q155" s="13" t="str">
        <f>_xll.BDH("BLUE US Equity","ARDR_FV_ASSETS_REC_TOT_AFS","FQ4 2021","FQ4 2021","Currency=USD","Period=FQ","BEST_FPERIOD_OVERRIDE=FQ","FILING_STATUS=MR","SCALING_FORMAT=MLN","Sort=A","Dates=H","DateFormat=P","Fill=—","Direction=H","UseDPDF=Y")</f>
        <v>—</v>
      </c>
      <c r="R155" s="13" t="str">
        <f>_xll.BDH("BLUE US Equity","ARDR_FV_ASSETS_REC_TOT_AFS","FQ1 2022","FQ1 2022","Currency=USD","Period=FQ","BEST_FPERIOD_OVERRIDE=FQ","FILING_STATUS=MR","SCALING_FORMAT=MLN","Sort=A","Dates=H","DateFormat=P","Fill=—","Direction=H","UseDPDF=Y")</f>
        <v>—</v>
      </c>
      <c r="S155" s="13" t="str">
        <f>_xll.BDH("BLUE US Equity","ARDR_FV_ASSETS_REC_TOT_AFS","FQ2 2022","FQ2 2022","Currency=USD","Period=FQ","BEST_FPERIOD_OVERRIDE=FQ","FILING_STATUS=MR","SCALING_FORMAT=MLN","Sort=A","Dates=H","DateFormat=P","Fill=—","Direction=H","UseDPDF=Y")</f>
        <v>—</v>
      </c>
      <c r="T155" s="13" t="str">
        <f>_xll.BDH("BLUE US Equity","ARDR_FV_ASSETS_REC_TOT_AFS","FQ3 2022","FQ3 2022","Currency=USD","Period=FQ","BEST_FPERIOD_OVERRIDE=FQ","FILING_STATUS=MR","SCALING_FORMAT=MLN","Sort=A","Dates=H","DateFormat=P","Fill=—","Direction=H","UseDPDF=Y")</f>
        <v>—</v>
      </c>
      <c r="U155" s="13" t="str">
        <f>_xll.BDH("BLUE US Equity","ARDR_FV_ASSETS_REC_TOT_AFS","FQ4 2022","FQ4 2022","Currency=USD","Period=FQ","BEST_FPERIOD_OVERRIDE=FQ","FILING_STATUS=MR","SCALING_FORMAT=MLN","Sort=A","Dates=H","DateFormat=P","Fill=—","Direction=H","UseDPDF=Y")</f>
        <v>—</v>
      </c>
      <c r="V155" s="13" t="str">
        <f>_xll.BDH("BLUE US Equity","ARDR_FV_ASSETS_REC_TOT_AFS","FQ1 2023","FQ1 2023","Currency=USD","Period=FQ","BEST_FPERIOD_OVERRIDE=FQ","FILING_STATUS=MR","SCALING_FORMAT=MLN","Sort=A","Dates=H","DateFormat=P","Fill=—","Direction=H","UseDPDF=Y")</f>
        <v>—</v>
      </c>
      <c r="W155" s="13" t="str">
        <f>_xll.BDH("BLUE US Equity","ARDR_FV_ASSETS_REC_TOT_AFS","FQ2 2023","FQ2 2023","Currency=USD","Period=FQ","BEST_FPERIOD_OVERRIDE=FQ","FILING_STATUS=MR","SCALING_FORMAT=MLN","Sort=A","Dates=H","DateFormat=P","Fill=—","Direction=H","UseDPDF=Y")</f>
        <v>—</v>
      </c>
      <c r="X155" s="13" t="str">
        <f>_xll.BDH("BLUE US Equity","ARDR_FV_ASSETS_REC_TOT_AFS","FQ3 2023","FQ3 2023","Currency=USD","Period=FQ","BEST_FPERIOD_OVERRIDE=FQ","FILING_STATUS=MR","SCALING_FORMAT=MLN","Sort=A","Dates=H","DateFormat=P","Fill=—","Direction=H","UseDPDF=Y")</f>
        <v>—</v>
      </c>
      <c r="Y155" s="13" t="str">
        <f>_xll.BDH("BLUE US Equity","ARDR_FV_ASSETS_REC_TOT_AFS","FQ1 2024","FQ1 2024","Currency=USD","Period=FQ","BEST_FPERIOD_OVERRIDE=FQ","FILING_STATUS=MR","SCALING_FORMAT=MLN","Sort=A","Dates=H","DateFormat=P","Fill=—","Direction=H","UseDPDF=Y")</f>
        <v>—</v>
      </c>
      <c r="Z155" s="13">
        <f>_xll.BDH("BLUE US Equity","ARDR_FV_ASSETS_REC_TOT_AFS","FQ2 2024","FQ2 2024","Currency=USD","Period=FQ","BEST_FPERIOD_OVERRIDE=FQ","FILING_STATUS=MR","SCALING_FORMAT=MLN","Sort=A","Dates=H","DateFormat=P","Fill=—","Direction=H","UseDPDF=Y")</f>
        <v>0</v>
      </c>
      <c r="AA155" s="13" t="str">
        <f>_xll.BDH("BLUE US Equity","ARDR_FV_ASSETS_REC_TOT_AFS","FQ3 2024","FQ3 2024","Currency=USD","Period=FQ","BEST_FPERIOD_OVERRIDE=FQ","FILING_STATUS=MR","SCALING_FORMAT=MLN","Sort=A","Dates=H","DateFormat=P","Fill=—","Direction=H","UseDPDF=Y")</f>
        <v>—</v>
      </c>
    </row>
    <row r="156" spans="1:27" x14ac:dyDescent="0.25">
      <c r="A156" s="10" t="s">
        <v>1023</v>
      </c>
      <c r="B156" s="10" t="s">
        <v>1024</v>
      </c>
      <c r="C156" s="13" t="str">
        <f>_xll.BDH("BLUE US Equity","ARDR_FV_ASSETS_REC_TOT_OTHER","FQ2 2018","FQ2 2018","Currency=USD","Period=FQ","BEST_FPERIOD_OVERRIDE=FQ","FILING_STATUS=MR","SCALING_FORMAT=MLN","Sort=A","Dates=H","DateFormat=P","Fill=—","Direction=H","UseDPDF=Y")</f>
        <v>—</v>
      </c>
      <c r="D156" s="13" t="str">
        <f>_xll.BDH("BLUE US Equity","ARDR_FV_ASSETS_REC_TOT_OTHER","FQ3 2018","FQ3 2018","Currency=USD","Period=FQ","BEST_FPERIOD_OVERRIDE=FQ","FILING_STATUS=MR","SCALING_FORMAT=MLN","Sort=A","Dates=H","DateFormat=P","Fill=—","Direction=H","UseDPDF=Y")</f>
        <v>—</v>
      </c>
      <c r="E156" s="13" t="str">
        <f>_xll.BDH("BLUE US Equity","ARDR_FV_ASSETS_REC_TOT_OTHER","FQ4 2018","FQ4 2018","Currency=USD","Period=FQ","BEST_FPERIOD_OVERRIDE=FQ","FILING_STATUS=MR","SCALING_FORMAT=MLN","Sort=A","Dates=H","DateFormat=P","Fill=—","Direction=H","UseDPDF=Y")</f>
        <v>—</v>
      </c>
      <c r="F156" s="13" t="str">
        <f>_xll.BDH("BLUE US Equity","ARDR_FV_ASSETS_REC_TOT_OTHER","FQ1 2019","FQ1 2019","Currency=USD","Period=FQ","BEST_FPERIOD_OVERRIDE=FQ","FILING_STATUS=MR","SCALING_FORMAT=MLN","Sort=A","Dates=H","DateFormat=P","Fill=—","Direction=H","UseDPDF=Y")</f>
        <v>—</v>
      </c>
      <c r="G156" s="13" t="str">
        <f>_xll.BDH("BLUE US Equity","ARDR_FV_ASSETS_REC_TOT_OTHER","FQ2 2019","FQ2 2019","Currency=USD","Period=FQ","BEST_FPERIOD_OVERRIDE=FQ","FILING_STATUS=MR","SCALING_FORMAT=MLN","Sort=A","Dates=H","DateFormat=P","Fill=—","Direction=H","UseDPDF=Y")</f>
        <v>—</v>
      </c>
      <c r="H156" s="13" t="str">
        <f>_xll.BDH("BLUE US Equity","ARDR_FV_ASSETS_REC_TOT_OTHER","FQ3 2019","FQ3 2019","Currency=USD","Period=FQ","BEST_FPERIOD_OVERRIDE=FQ","FILING_STATUS=MR","SCALING_FORMAT=MLN","Sort=A","Dates=H","DateFormat=P","Fill=—","Direction=H","UseDPDF=Y")</f>
        <v>—</v>
      </c>
      <c r="I156" s="13" t="str">
        <f>_xll.BDH("BLUE US Equity","ARDR_FV_ASSETS_REC_TOT_OTHER","FQ4 2019","FQ4 2019","Currency=USD","Period=FQ","BEST_FPERIOD_OVERRIDE=FQ","FILING_STATUS=MR","SCALING_FORMAT=MLN","Sort=A","Dates=H","DateFormat=P","Fill=—","Direction=H","UseDPDF=Y")</f>
        <v>—</v>
      </c>
      <c r="J156" s="13" t="str">
        <f>_xll.BDH("BLUE US Equity","ARDR_FV_ASSETS_REC_TOT_OTHER","FQ1 2020","FQ1 2020","Currency=USD","Period=FQ","BEST_FPERIOD_OVERRIDE=FQ","FILING_STATUS=MR","SCALING_FORMAT=MLN","Sort=A","Dates=H","DateFormat=P","Fill=—","Direction=H","UseDPDF=Y")</f>
        <v>—</v>
      </c>
      <c r="K156" s="13" t="str">
        <f>_xll.BDH("BLUE US Equity","ARDR_FV_ASSETS_REC_TOT_OTHER","FQ2 2020","FQ2 2020","Currency=USD","Period=FQ","BEST_FPERIOD_OVERRIDE=FQ","FILING_STATUS=MR","SCALING_FORMAT=MLN","Sort=A","Dates=H","DateFormat=P","Fill=—","Direction=H","UseDPDF=Y")</f>
        <v>—</v>
      </c>
      <c r="L156" s="13" t="str">
        <f>_xll.BDH("BLUE US Equity","ARDR_FV_ASSETS_REC_TOT_OTHER","FQ3 2020","FQ3 2020","Currency=USD","Period=FQ","BEST_FPERIOD_OVERRIDE=FQ","FILING_STATUS=MR","SCALING_FORMAT=MLN","Sort=A","Dates=H","DateFormat=P","Fill=—","Direction=H","UseDPDF=Y")</f>
        <v>—</v>
      </c>
      <c r="M156" s="13">
        <f>_xll.BDH("BLUE US Equity","ARDR_FV_ASSETS_REC_TOT_OTHER","FQ4 2020","FQ4 2020","Currency=USD","Period=FQ","BEST_FPERIOD_OVERRIDE=FQ","FILING_STATUS=MR","SCALING_FORMAT=MLN","Sort=A","Dates=H","DateFormat=P","Fill=—","Direction=H","UseDPDF=Y")</f>
        <v>475.39100000000002</v>
      </c>
      <c r="N156" s="13" t="str">
        <f>_xll.BDH("BLUE US Equity","ARDR_FV_ASSETS_REC_TOT_OTHER","FQ1 2021","FQ1 2021","Currency=USD","Period=FQ","BEST_FPERIOD_OVERRIDE=FQ","FILING_STATUS=MR","SCALING_FORMAT=MLN","Sort=A","Dates=H","DateFormat=P","Fill=—","Direction=H","UseDPDF=Y")</f>
        <v>—</v>
      </c>
      <c r="O156" s="13" t="str">
        <f>_xll.BDH("BLUE US Equity","ARDR_FV_ASSETS_REC_TOT_OTHER","FQ2 2021","FQ2 2021","Currency=USD","Period=FQ","BEST_FPERIOD_OVERRIDE=FQ","FILING_STATUS=MR","SCALING_FORMAT=MLN","Sort=A","Dates=H","DateFormat=P","Fill=—","Direction=H","UseDPDF=Y")</f>
        <v>—</v>
      </c>
      <c r="P156" s="13">
        <f>_xll.BDH("BLUE US Equity","ARDR_FV_ASSETS_REC_TOT_OTHER","FQ3 2021","FQ3 2021","Currency=USD","Period=FQ","BEST_FPERIOD_OVERRIDE=FQ","FILING_STATUS=MR","SCALING_FORMAT=MLN","Sort=A","Dates=H","DateFormat=P","Fill=—","Direction=H","UseDPDF=Y")</f>
        <v>141.089</v>
      </c>
      <c r="Q156" s="13">
        <f>_xll.BDH("BLUE US Equity","ARDR_FV_ASSETS_REC_TOT_OTHER","FQ4 2021","FQ4 2021","Currency=USD","Period=FQ","BEST_FPERIOD_OVERRIDE=FQ","FILING_STATUS=MR","SCALING_FORMAT=MLN","Sort=A","Dates=H","DateFormat=P","Fill=—","Direction=H","UseDPDF=Y")</f>
        <v>231.76599999999999</v>
      </c>
      <c r="R156" s="13" t="str">
        <f>_xll.BDH("BLUE US Equity","ARDR_FV_ASSETS_REC_TOT_OTHER","FQ1 2022","FQ1 2022","Currency=USD","Period=FQ","BEST_FPERIOD_OVERRIDE=FQ","FILING_STATUS=MR","SCALING_FORMAT=MLN","Sort=A","Dates=H","DateFormat=P","Fill=—","Direction=H","UseDPDF=Y")</f>
        <v>—</v>
      </c>
      <c r="S156" s="13" t="str">
        <f>_xll.BDH("BLUE US Equity","ARDR_FV_ASSETS_REC_TOT_OTHER","FQ2 2022","FQ2 2022","Currency=USD","Period=FQ","BEST_FPERIOD_OVERRIDE=FQ","FILING_STATUS=MR","SCALING_FORMAT=MLN","Sort=A","Dates=H","DateFormat=P","Fill=—","Direction=H","UseDPDF=Y")</f>
        <v>—</v>
      </c>
      <c r="T156" s="13">
        <f>_xll.BDH("BLUE US Equity","ARDR_FV_ASSETS_REC_TOT_OTHER","FQ3 2022","FQ3 2022","Currency=USD","Period=FQ","BEST_FPERIOD_OVERRIDE=FQ","FILING_STATUS=MR","SCALING_FORMAT=MLN","Sort=A","Dates=H","DateFormat=P","Fill=—","Direction=H","UseDPDF=Y")</f>
        <v>0</v>
      </c>
      <c r="U156" s="13">
        <f>_xll.BDH("BLUE US Equity","ARDR_FV_ASSETS_REC_TOT_OTHER","FQ4 2022","FQ4 2022","Currency=USD","Period=FQ","BEST_FPERIOD_OVERRIDE=FQ","FILING_STATUS=MR","SCALING_FORMAT=MLN","Sort=A","Dates=H","DateFormat=P","Fill=—","Direction=H","UseDPDF=Y")</f>
        <v>68.734999999999999</v>
      </c>
      <c r="V156" s="13" t="str">
        <f>_xll.BDH("BLUE US Equity","ARDR_FV_ASSETS_REC_TOT_OTHER","FQ1 2023","FQ1 2023","Currency=USD","Period=FQ","BEST_FPERIOD_OVERRIDE=FQ","FILING_STATUS=MR","SCALING_FORMAT=MLN","Sort=A","Dates=H","DateFormat=P","Fill=—","Direction=H","UseDPDF=Y")</f>
        <v>—</v>
      </c>
      <c r="W156" s="13" t="str">
        <f>_xll.BDH("BLUE US Equity","ARDR_FV_ASSETS_REC_TOT_OTHER","FQ2 2023","FQ2 2023","Currency=USD","Period=FQ","BEST_FPERIOD_OVERRIDE=FQ","FILING_STATUS=MR","SCALING_FORMAT=MLN","Sort=A","Dates=H","DateFormat=P","Fill=—","Direction=H","UseDPDF=Y")</f>
        <v>—</v>
      </c>
      <c r="X156" s="13" t="str">
        <f>_xll.BDH("BLUE US Equity","ARDR_FV_ASSETS_REC_TOT_OTHER","FQ3 2023","FQ3 2023","Currency=USD","Period=FQ","BEST_FPERIOD_OVERRIDE=FQ","FILING_STATUS=MR","SCALING_FORMAT=MLN","Sort=A","Dates=H","DateFormat=P","Fill=—","Direction=H","UseDPDF=Y")</f>
        <v>—</v>
      </c>
      <c r="Y156" s="13">
        <f>_xll.BDH("BLUE US Equity","ARDR_FV_ASSETS_REC_TOT_OTHER","FQ1 2024","FQ1 2024","Currency=USD","Period=FQ","BEST_FPERIOD_OVERRIDE=FQ","FILING_STATUS=MR","SCALING_FORMAT=MLN","Sort=A","Dates=H","DateFormat=P","Fill=—","Direction=H","UseDPDF=Y")</f>
        <v>1.1200000000000001</v>
      </c>
      <c r="Z156" s="13">
        <f>_xll.BDH("BLUE US Equity","ARDR_FV_ASSETS_REC_TOT_OTHER","FQ2 2024","FQ2 2024","Currency=USD","Period=FQ","BEST_FPERIOD_OVERRIDE=FQ","FILING_STATUS=MR","SCALING_FORMAT=MLN","Sort=A","Dates=H","DateFormat=P","Fill=—","Direction=H","UseDPDF=Y")</f>
        <v>1.44</v>
      </c>
      <c r="AA156" s="13">
        <f>_xll.BDH("BLUE US Equity","ARDR_FV_ASSETS_REC_TOT_OTHER","FQ3 2024","FQ3 2024","Currency=USD","Period=FQ","BEST_FPERIOD_OVERRIDE=FQ","FILING_STATUS=MR","SCALING_FORMAT=MLN","Sort=A","Dates=H","DateFormat=P","Fill=—","Direction=H","UseDPDF=Y")</f>
        <v>2.0489999999999999</v>
      </c>
    </row>
    <row r="157" spans="1:27" x14ac:dyDescent="0.25">
      <c r="A157" s="10" t="s">
        <v>1025</v>
      </c>
      <c r="B157" s="10" t="s">
        <v>1026</v>
      </c>
      <c r="C157" s="13">
        <f>_xll.BDH("BLUE US Equity","ARDR_FV_LIABS_REC_L1_OTHER","FQ2 2018","FQ2 2018","Currency=USD","Period=FQ","BEST_FPERIOD_OVERRIDE=FQ","FILING_STATUS=MR","SCALING_FORMAT=MLN","Sort=A","Dates=H","DateFormat=P","Fill=—","Direction=H","UseDPDF=Y")</f>
        <v>0</v>
      </c>
      <c r="D157" s="13">
        <f>_xll.BDH("BLUE US Equity","ARDR_FV_LIABS_REC_L1_OTHER","FQ3 2018","FQ3 2018","Currency=USD","Period=FQ","BEST_FPERIOD_OVERRIDE=FQ","FILING_STATUS=MR","SCALING_FORMAT=MLN","Sort=A","Dates=H","DateFormat=P","Fill=—","Direction=H","UseDPDF=Y")</f>
        <v>0</v>
      </c>
      <c r="E157" s="13" t="str">
        <f>_xll.BDH("BLUE US Equity","ARDR_FV_LIABS_REC_L1_OTHER","FQ4 2018","FQ4 2018","Currency=USD","Period=FQ","BEST_FPERIOD_OVERRIDE=FQ","FILING_STATUS=MR","SCALING_FORMAT=MLN","Sort=A","Dates=H","DateFormat=P","Fill=—","Direction=H","UseDPDF=Y")</f>
        <v>—</v>
      </c>
      <c r="F157" s="13">
        <f>_xll.BDH("BLUE US Equity","ARDR_FV_LIABS_REC_L1_OTHER","FQ1 2019","FQ1 2019","Currency=USD","Period=FQ","BEST_FPERIOD_OVERRIDE=FQ","FILING_STATUS=MR","SCALING_FORMAT=MLN","Sort=A","Dates=H","DateFormat=P","Fill=—","Direction=H","UseDPDF=Y")</f>
        <v>0</v>
      </c>
      <c r="G157" s="13">
        <f>_xll.BDH("BLUE US Equity","ARDR_FV_LIABS_REC_L1_OTHER","FQ2 2019","FQ2 2019","Currency=USD","Period=FQ","BEST_FPERIOD_OVERRIDE=FQ","FILING_STATUS=MR","SCALING_FORMAT=MLN","Sort=A","Dates=H","DateFormat=P","Fill=—","Direction=H","UseDPDF=Y")</f>
        <v>0</v>
      </c>
      <c r="H157" s="13">
        <f>_xll.BDH("BLUE US Equity","ARDR_FV_LIABS_REC_L1_OTHER","FQ3 2019","FQ3 2019","Currency=USD","Period=FQ","BEST_FPERIOD_OVERRIDE=FQ","FILING_STATUS=MR","SCALING_FORMAT=MLN","Sort=A","Dates=H","DateFormat=P","Fill=—","Direction=H","UseDPDF=Y")</f>
        <v>0</v>
      </c>
      <c r="I157" s="13" t="str">
        <f>_xll.BDH("BLUE US Equity","ARDR_FV_LIABS_REC_L1_OTHER","FQ4 2019","FQ4 2019","Currency=USD","Period=FQ","BEST_FPERIOD_OVERRIDE=FQ","FILING_STATUS=MR","SCALING_FORMAT=MLN","Sort=A","Dates=H","DateFormat=P","Fill=—","Direction=H","UseDPDF=Y")</f>
        <v>—</v>
      </c>
      <c r="J157" s="13">
        <f>_xll.BDH("BLUE US Equity","ARDR_FV_LIABS_REC_L1_OTHER","FQ1 2020","FQ1 2020","Currency=USD","Period=FQ","BEST_FPERIOD_OVERRIDE=FQ","FILING_STATUS=MR","SCALING_FORMAT=MLN","Sort=A","Dates=H","DateFormat=P","Fill=—","Direction=H","UseDPDF=Y")</f>
        <v>0</v>
      </c>
      <c r="K157" s="13">
        <f>_xll.BDH("BLUE US Equity","ARDR_FV_LIABS_REC_L1_OTHER","FQ2 2020","FQ2 2020","Currency=USD","Period=FQ","BEST_FPERIOD_OVERRIDE=FQ","FILING_STATUS=MR","SCALING_FORMAT=MLN","Sort=A","Dates=H","DateFormat=P","Fill=—","Direction=H","UseDPDF=Y")</f>
        <v>0</v>
      </c>
      <c r="L157" s="13">
        <f>_xll.BDH("BLUE US Equity","ARDR_FV_LIABS_REC_L1_OTHER","FQ3 2020","FQ3 2020","Currency=USD","Period=FQ","BEST_FPERIOD_OVERRIDE=FQ","FILING_STATUS=MR","SCALING_FORMAT=MLN","Sort=A","Dates=H","DateFormat=P","Fill=—","Direction=H","UseDPDF=Y")</f>
        <v>2.3860000000000001</v>
      </c>
      <c r="M157" s="13" t="str">
        <f>_xll.BDH("BLUE US Equity","ARDR_FV_LIABS_REC_L1_OTHER","FQ4 2020","FQ4 2020","Currency=USD","Period=FQ","BEST_FPERIOD_OVERRIDE=FQ","FILING_STATUS=MR","SCALING_FORMAT=MLN","Sort=A","Dates=H","DateFormat=P","Fill=—","Direction=H","UseDPDF=Y")</f>
        <v>—</v>
      </c>
      <c r="N157" s="13">
        <f>_xll.BDH("BLUE US Equity","ARDR_FV_LIABS_REC_L1_OTHER","FQ1 2021","FQ1 2021","Currency=USD","Period=FQ","BEST_FPERIOD_OVERRIDE=FQ","FILING_STATUS=MR","SCALING_FORMAT=MLN","Sort=A","Dates=H","DateFormat=P","Fill=—","Direction=H","UseDPDF=Y")</f>
        <v>0</v>
      </c>
      <c r="O157" s="13">
        <f>_xll.BDH("BLUE US Equity","ARDR_FV_LIABS_REC_L1_OTHER","FQ2 2021","FQ2 2021","Currency=USD","Period=FQ","BEST_FPERIOD_OVERRIDE=FQ","FILING_STATUS=MR","SCALING_FORMAT=MLN","Sort=A","Dates=H","DateFormat=P","Fill=—","Direction=H","UseDPDF=Y")</f>
        <v>0</v>
      </c>
      <c r="P157" s="13">
        <f>_xll.BDH("BLUE US Equity","ARDR_FV_LIABS_REC_L1_OTHER","FQ3 2021","FQ3 2021","Currency=USD","Period=FQ","BEST_FPERIOD_OVERRIDE=FQ","FILING_STATUS=MR","SCALING_FORMAT=MLN","Sort=A","Dates=H","DateFormat=P","Fill=—","Direction=H","UseDPDF=Y")</f>
        <v>0</v>
      </c>
      <c r="Q157" s="13" t="str">
        <f>_xll.BDH("BLUE US Equity","ARDR_FV_LIABS_REC_L1_OTHER","FQ4 2021","FQ4 2021","Currency=USD","Period=FQ","BEST_FPERIOD_OVERRIDE=FQ","FILING_STATUS=MR","SCALING_FORMAT=MLN","Sort=A","Dates=H","DateFormat=P","Fill=—","Direction=H","UseDPDF=Y")</f>
        <v>—</v>
      </c>
      <c r="R157" s="13" t="str">
        <f>_xll.BDH("BLUE US Equity","ARDR_FV_LIABS_REC_L1_OTHER","FQ1 2022","FQ1 2022","Currency=USD","Period=FQ","BEST_FPERIOD_OVERRIDE=FQ","FILING_STATUS=MR","SCALING_FORMAT=MLN","Sort=A","Dates=H","DateFormat=P","Fill=—","Direction=H","UseDPDF=Y")</f>
        <v>—</v>
      </c>
      <c r="S157" s="13" t="str">
        <f>_xll.BDH("BLUE US Equity","ARDR_FV_LIABS_REC_L1_OTHER","FQ2 2022","FQ2 2022","Currency=USD","Period=FQ","BEST_FPERIOD_OVERRIDE=FQ","FILING_STATUS=MR","SCALING_FORMAT=MLN","Sort=A","Dates=H","DateFormat=P","Fill=—","Direction=H","UseDPDF=Y")</f>
        <v>—</v>
      </c>
      <c r="T157" s="13" t="str">
        <f>_xll.BDH("BLUE US Equity","ARDR_FV_LIABS_REC_L1_OTHER","FQ3 2022","FQ3 2022","Currency=USD","Period=FQ","BEST_FPERIOD_OVERRIDE=FQ","FILING_STATUS=MR","SCALING_FORMAT=MLN","Sort=A","Dates=H","DateFormat=P","Fill=—","Direction=H","UseDPDF=Y")</f>
        <v>—</v>
      </c>
      <c r="U157" s="13" t="str">
        <f>_xll.BDH("BLUE US Equity","ARDR_FV_LIABS_REC_L1_OTHER","FQ4 2022","FQ4 2022","Currency=USD","Period=FQ","BEST_FPERIOD_OVERRIDE=FQ","FILING_STATUS=MR","SCALING_FORMAT=MLN","Sort=A","Dates=H","DateFormat=P","Fill=—","Direction=H","UseDPDF=Y")</f>
        <v>—</v>
      </c>
      <c r="V157" s="13" t="str">
        <f>_xll.BDH("BLUE US Equity","ARDR_FV_LIABS_REC_L1_OTHER","FQ1 2023","FQ1 2023","Currency=USD","Period=FQ","BEST_FPERIOD_OVERRIDE=FQ","FILING_STATUS=MR","SCALING_FORMAT=MLN","Sort=A","Dates=H","DateFormat=P","Fill=—","Direction=H","UseDPDF=Y")</f>
        <v>—</v>
      </c>
      <c r="W157" s="13" t="str">
        <f>_xll.BDH("BLUE US Equity","ARDR_FV_LIABS_REC_L1_OTHER","FQ2 2023","FQ2 2023","Currency=USD","Period=FQ","BEST_FPERIOD_OVERRIDE=FQ","FILING_STATUS=MR","SCALING_FORMAT=MLN","Sort=A","Dates=H","DateFormat=P","Fill=—","Direction=H","UseDPDF=Y")</f>
        <v>—</v>
      </c>
      <c r="X157" s="13" t="str">
        <f>_xll.BDH("BLUE US Equity","ARDR_FV_LIABS_REC_L1_OTHER","FQ3 2023","FQ3 2023","Currency=USD","Period=FQ","BEST_FPERIOD_OVERRIDE=FQ","FILING_STATUS=MR","SCALING_FORMAT=MLN","Sort=A","Dates=H","DateFormat=P","Fill=—","Direction=H","UseDPDF=Y")</f>
        <v>—</v>
      </c>
      <c r="Y157" s="13" t="str">
        <f>_xll.BDH("BLUE US Equity","ARDR_FV_LIABS_REC_L1_OTHER","FQ1 2024","FQ1 2024","Currency=USD","Period=FQ","BEST_FPERIOD_OVERRIDE=FQ","FILING_STATUS=MR","SCALING_FORMAT=MLN","Sort=A","Dates=H","DateFormat=P","Fill=—","Direction=H","UseDPDF=Y")</f>
        <v>—</v>
      </c>
      <c r="Z157" s="13" t="str">
        <f>_xll.BDH("BLUE US Equity","ARDR_FV_LIABS_REC_L1_OTHER","FQ2 2024","FQ2 2024","Currency=USD","Period=FQ","BEST_FPERIOD_OVERRIDE=FQ","FILING_STATUS=MR","SCALING_FORMAT=MLN","Sort=A","Dates=H","DateFormat=P","Fill=—","Direction=H","UseDPDF=Y")</f>
        <v>—</v>
      </c>
      <c r="AA157" s="13" t="str">
        <f>_xll.BDH("BLUE US Equity","ARDR_FV_LIABS_REC_L1_OTHER","FQ3 2024","FQ3 2024","Currency=USD","Period=FQ","BEST_FPERIOD_OVERRIDE=FQ","FILING_STATUS=MR","SCALING_FORMAT=MLN","Sort=A","Dates=H","DateFormat=P","Fill=—","Direction=H","UseDPDF=Y")</f>
        <v>—</v>
      </c>
    </row>
    <row r="158" spans="1:27" x14ac:dyDescent="0.25">
      <c r="A158" s="10" t="s">
        <v>1027</v>
      </c>
      <c r="B158" s="10" t="s">
        <v>1028</v>
      </c>
      <c r="C158" s="13">
        <f>_xll.BDH("BLUE US Equity","ARDR_FV_LIABS_REC_L2_OTHER","FQ2 2018","FQ2 2018","Currency=USD","Period=FQ","BEST_FPERIOD_OVERRIDE=FQ","FILING_STATUS=MR","SCALING_FORMAT=MLN","Sort=A","Dates=H","DateFormat=P","Fill=—","Direction=H","UseDPDF=Y")</f>
        <v>0</v>
      </c>
      <c r="D158" s="13">
        <f>_xll.BDH("BLUE US Equity","ARDR_FV_LIABS_REC_L2_OTHER","FQ3 2018","FQ3 2018","Currency=USD","Period=FQ","BEST_FPERIOD_OVERRIDE=FQ","FILING_STATUS=MR","SCALING_FORMAT=MLN","Sort=A","Dates=H","DateFormat=P","Fill=—","Direction=H","UseDPDF=Y")</f>
        <v>0</v>
      </c>
      <c r="E158" s="13" t="str">
        <f>_xll.BDH("BLUE US Equity","ARDR_FV_LIABS_REC_L2_OTHER","FQ4 2018","FQ4 2018","Currency=USD","Period=FQ","BEST_FPERIOD_OVERRIDE=FQ","FILING_STATUS=MR","SCALING_FORMAT=MLN","Sort=A","Dates=H","DateFormat=P","Fill=—","Direction=H","UseDPDF=Y")</f>
        <v>—</v>
      </c>
      <c r="F158" s="13">
        <f>_xll.BDH("BLUE US Equity","ARDR_FV_LIABS_REC_L2_OTHER","FQ1 2019","FQ1 2019","Currency=USD","Period=FQ","BEST_FPERIOD_OVERRIDE=FQ","FILING_STATUS=MR","SCALING_FORMAT=MLN","Sort=A","Dates=H","DateFormat=P","Fill=—","Direction=H","UseDPDF=Y")</f>
        <v>0</v>
      </c>
      <c r="G158" s="13">
        <f>_xll.BDH("BLUE US Equity","ARDR_FV_LIABS_REC_L2_OTHER","FQ2 2019","FQ2 2019","Currency=USD","Period=FQ","BEST_FPERIOD_OVERRIDE=FQ","FILING_STATUS=MR","SCALING_FORMAT=MLN","Sort=A","Dates=H","DateFormat=P","Fill=—","Direction=H","UseDPDF=Y")</f>
        <v>0</v>
      </c>
      <c r="H158" s="13">
        <f>_xll.BDH("BLUE US Equity","ARDR_FV_LIABS_REC_L2_OTHER","FQ3 2019","FQ3 2019","Currency=USD","Period=FQ","BEST_FPERIOD_OVERRIDE=FQ","FILING_STATUS=MR","SCALING_FORMAT=MLN","Sort=A","Dates=H","DateFormat=P","Fill=—","Direction=H","UseDPDF=Y")</f>
        <v>0</v>
      </c>
      <c r="I158" s="13" t="str">
        <f>_xll.BDH("BLUE US Equity","ARDR_FV_LIABS_REC_L2_OTHER","FQ4 2019","FQ4 2019","Currency=USD","Period=FQ","BEST_FPERIOD_OVERRIDE=FQ","FILING_STATUS=MR","SCALING_FORMAT=MLN","Sort=A","Dates=H","DateFormat=P","Fill=—","Direction=H","UseDPDF=Y")</f>
        <v>—</v>
      </c>
      <c r="J158" s="13">
        <f>_xll.BDH("BLUE US Equity","ARDR_FV_LIABS_REC_L2_OTHER","FQ1 2020","FQ1 2020","Currency=USD","Period=FQ","BEST_FPERIOD_OVERRIDE=FQ","FILING_STATUS=MR","SCALING_FORMAT=MLN","Sort=A","Dates=H","DateFormat=P","Fill=—","Direction=H","UseDPDF=Y")</f>
        <v>0</v>
      </c>
      <c r="K158" s="13">
        <f>_xll.BDH("BLUE US Equity","ARDR_FV_LIABS_REC_L2_OTHER","FQ2 2020","FQ2 2020","Currency=USD","Period=FQ","BEST_FPERIOD_OVERRIDE=FQ","FILING_STATUS=MR","SCALING_FORMAT=MLN","Sort=A","Dates=H","DateFormat=P","Fill=—","Direction=H","UseDPDF=Y")</f>
        <v>0</v>
      </c>
      <c r="L158" s="13">
        <f>_xll.BDH("BLUE US Equity","ARDR_FV_LIABS_REC_L2_OTHER","FQ3 2020","FQ3 2020","Currency=USD","Period=FQ","BEST_FPERIOD_OVERRIDE=FQ","FILING_STATUS=MR","SCALING_FORMAT=MLN","Sort=A","Dates=H","DateFormat=P","Fill=—","Direction=H","UseDPDF=Y")</f>
        <v>0</v>
      </c>
      <c r="M158" s="13" t="str">
        <f>_xll.BDH("BLUE US Equity","ARDR_FV_LIABS_REC_L2_OTHER","FQ4 2020","FQ4 2020","Currency=USD","Period=FQ","BEST_FPERIOD_OVERRIDE=FQ","FILING_STATUS=MR","SCALING_FORMAT=MLN","Sort=A","Dates=H","DateFormat=P","Fill=—","Direction=H","UseDPDF=Y")</f>
        <v>—</v>
      </c>
      <c r="N158" s="13">
        <f>_xll.BDH("BLUE US Equity","ARDR_FV_LIABS_REC_L2_OTHER","FQ1 2021","FQ1 2021","Currency=USD","Period=FQ","BEST_FPERIOD_OVERRIDE=FQ","FILING_STATUS=MR","SCALING_FORMAT=MLN","Sort=A","Dates=H","DateFormat=P","Fill=—","Direction=H","UseDPDF=Y")</f>
        <v>0</v>
      </c>
      <c r="O158" s="13">
        <f>_xll.BDH("BLUE US Equity","ARDR_FV_LIABS_REC_L2_OTHER","FQ2 2021","FQ2 2021","Currency=USD","Period=FQ","BEST_FPERIOD_OVERRIDE=FQ","FILING_STATUS=MR","SCALING_FORMAT=MLN","Sort=A","Dates=H","DateFormat=P","Fill=—","Direction=H","UseDPDF=Y")</f>
        <v>0</v>
      </c>
      <c r="P158" s="13">
        <f>_xll.BDH("BLUE US Equity","ARDR_FV_LIABS_REC_L2_OTHER","FQ3 2021","FQ3 2021","Currency=USD","Period=FQ","BEST_FPERIOD_OVERRIDE=FQ","FILING_STATUS=MR","SCALING_FORMAT=MLN","Sort=A","Dates=H","DateFormat=P","Fill=—","Direction=H","UseDPDF=Y")</f>
        <v>0</v>
      </c>
      <c r="Q158" s="13" t="str">
        <f>_xll.BDH("BLUE US Equity","ARDR_FV_LIABS_REC_L2_OTHER","FQ4 2021","FQ4 2021","Currency=USD","Period=FQ","BEST_FPERIOD_OVERRIDE=FQ","FILING_STATUS=MR","SCALING_FORMAT=MLN","Sort=A","Dates=H","DateFormat=P","Fill=—","Direction=H","UseDPDF=Y")</f>
        <v>—</v>
      </c>
      <c r="R158" s="13" t="str">
        <f>_xll.BDH("BLUE US Equity","ARDR_FV_LIABS_REC_L2_OTHER","FQ1 2022","FQ1 2022","Currency=USD","Period=FQ","BEST_FPERIOD_OVERRIDE=FQ","FILING_STATUS=MR","SCALING_FORMAT=MLN","Sort=A","Dates=H","DateFormat=P","Fill=—","Direction=H","UseDPDF=Y")</f>
        <v>—</v>
      </c>
      <c r="S158" s="13" t="str">
        <f>_xll.BDH("BLUE US Equity","ARDR_FV_LIABS_REC_L2_OTHER","FQ2 2022","FQ2 2022","Currency=USD","Period=FQ","BEST_FPERIOD_OVERRIDE=FQ","FILING_STATUS=MR","SCALING_FORMAT=MLN","Sort=A","Dates=H","DateFormat=P","Fill=—","Direction=H","UseDPDF=Y")</f>
        <v>—</v>
      </c>
      <c r="T158" s="13" t="str">
        <f>_xll.BDH("BLUE US Equity","ARDR_FV_LIABS_REC_L2_OTHER","FQ3 2022","FQ3 2022","Currency=USD","Period=FQ","BEST_FPERIOD_OVERRIDE=FQ","FILING_STATUS=MR","SCALING_FORMAT=MLN","Sort=A","Dates=H","DateFormat=P","Fill=—","Direction=H","UseDPDF=Y")</f>
        <v>—</v>
      </c>
      <c r="U158" s="13" t="str">
        <f>_xll.BDH("BLUE US Equity","ARDR_FV_LIABS_REC_L2_OTHER","FQ4 2022","FQ4 2022","Currency=USD","Period=FQ","BEST_FPERIOD_OVERRIDE=FQ","FILING_STATUS=MR","SCALING_FORMAT=MLN","Sort=A","Dates=H","DateFormat=P","Fill=—","Direction=H","UseDPDF=Y")</f>
        <v>—</v>
      </c>
      <c r="V158" s="13" t="str">
        <f>_xll.BDH("BLUE US Equity","ARDR_FV_LIABS_REC_L2_OTHER","FQ1 2023","FQ1 2023","Currency=USD","Period=FQ","BEST_FPERIOD_OVERRIDE=FQ","FILING_STATUS=MR","SCALING_FORMAT=MLN","Sort=A","Dates=H","DateFormat=P","Fill=—","Direction=H","UseDPDF=Y")</f>
        <v>—</v>
      </c>
      <c r="W158" s="13" t="str">
        <f>_xll.BDH("BLUE US Equity","ARDR_FV_LIABS_REC_L2_OTHER","FQ2 2023","FQ2 2023","Currency=USD","Period=FQ","BEST_FPERIOD_OVERRIDE=FQ","FILING_STATUS=MR","SCALING_FORMAT=MLN","Sort=A","Dates=H","DateFormat=P","Fill=—","Direction=H","UseDPDF=Y")</f>
        <v>—</v>
      </c>
      <c r="X158" s="13" t="str">
        <f>_xll.BDH("BLUE US Equity","ARDR_FV_LIABS_REC_L2_OTHER","FQ3 2023","FQ3 2023","Currency=USD","Period=FQ","BEST_FPERIOD_OVERRIDE=FQ","FILING_STATUS=MR","SCALING_FORMAT=MLN","Sort=A","Dates=H","DateFormat=P","Fill=—","Direction=H","UseDPDF=Y")</f>
        <v>—</v>
      </c>
      <c r="Y158" s="13" t="str">
        <f>_xll.BDH("BLUE US Equity","ARDR_FV_LIABS_REC_L2_OTHER","FQ1 2024","FQ1 2024","Currency=USD","Period=FQ","BEST_FPERIOD_OVERRIDE=FQ","FILING_STATUS=MR","SCALING_FORMAT=MLN","Sort=A","Dates=H","DateFormat=P","Fill=—","Direction=H","UseDPDF=Y")</f>
        <v>—</v>
      </c>
      <c r="Z158" s="13" t="str">
        <f>_xll.BDH("BLUE US Equity","ARDR_FV_LIABS_REC_L2_OTHER","FQ2 2024","FQ2 2024","Currency=USD","Period=FQ","BEST_FPERIOD_OVERRIDE=FQ","FILING_STATUS=MR","SCALING_FORMAT=MLN","Sort=A","Dates=H","DateFormat=P","Fill=—","Direction=H","UseDPDF=Y")</f>
        <v>—</v>
      </c>
      <c r="AA158" s="13" t="str">
        <f>_xll.BDH("BLUE US Equity","ARDR_FV_LIABS_REC_L2_OTHER","FQ3 2024","FQ3 2024","Currency=USD","Period=FQ","BEST_FPERIOD_OVERRIDE=FQ","FILING_STATUS=MR","SCALING_FORMAT=MLN","Sort=A","Dates=H","DateFormat=P","Fill=—","Direction=H","UseDPDF=Y")</f>
        <v>—</v>
      </c>
    </row>
    <row r="159" spans="1:27" x14ac:dyDescent="0.25">
      <c r="A159" s="10" t="s">
        <v>1029</v>
      </c>
      <c r="B159" s="10" t="s">
        <v>1030</v>
      </c>
      <c r="C159" s="13">
        <f>_xll.BDH("BLUE US Equity","ARDR_FV_LIABS_REC_L3_OTHER","FQ2 2018","FQ2 2018","Currency=USD","Period=FQ","BEST_FPERIOD_OVERRIDE=FQ","FILING_STATUS=MR","SCALING_FORMAT=MLN","Sort=A","Dates=H","DateFormat=P","Fill=—","Direction=H","UseDPDF=Y")</f>
        <v>3.0270000000000001</v>
      </c>
      <c r="D159" s="13">
        <f>_xll.BDH("BLUE US Equity","ARDR_FV_LIABS_REC_L3_OTHER","FQ3 2018","FQ3 2018","Currency=USD","Period=FQ","BEST_FPERIOD_OVERRIDE=FQ","FILING_STATUS=MR","SCALING_FORMAT=MLN","Sort=A","Dates=H","DateFormat=P","Fill=—","Direction=H","UseDPDF=Y")</f>
        <v>3.0739999999999998</v>
      </c>
      <c r="E159" s="13" t="str">
        <f>_xll.BDH("BLUE US Equity","ARDR_FV_LIABS_REC_L3_OTHER","FQ4 2018","FQ4 2018","Currency=USD","Period=FQ","BEST_FPERIOD_OVERRIDE=FQ","FILING_STATUS=MR","SCALING_FORMAT=MLN","Sort=A","Dates=H","DateFormat=P","Fill=—","Direction=H","UseDPDF=Y")</f>
        <v>—</v>
      </c>
      <c r="F159" s="13">
        <f>_xll.BDH("BLUE US Equity","ARDR_FV_LIABS_REC_L3_OTHER","FQ1 2019","FQ1 2019","Currency=USD","Period=FQ","BEST_FPERIOD_OVERRIDE=FQ","FILING_STATUS=MR","SCALING_FORMAT=MLN","Sort=A","Dates=H","DateFormat=P","Fill=—","Direction=H","UseDPDF=Y")</f>
        <v>5.5259999999999998</v>
      </c>
      <c r="G159" s="13">
        <f>_xll.BDH("BLUE US Equity","ARDR_FV_LIABS_REC_L3_OTHER","FQ2 2019","FQ2 2019","Currency=USD","Period=FQ","BEST_FPERIOD_OVERRIDE=FQ","FILING_STATUS=MR","SCALING_FORMAT=MLN","Sort=A","Dates=H","DateFormat=P","Fill=—","Direction=H","UseDPDF=Y")</f>
        <v>5.74</v>
      </c>
      <c r="H159" s="13">
        <f>_xll.BDH("BLUE US Equity","ARDR_FV_LIABS_REC_L3_OTHER","FQ3 2019","FQ3 2019","Currency=USD","Period=FQ","BEST_FPERIOD_OVERRIDE=FQ","FILING_STATUS=MR","SCALING_FORMAT=MLN","Sort=A","Dates=H","DateFormat=P","Fill=—","Direction=H","UseDPDF=Y")</f>
        <v>6.5419999999999998</v>
      </c>
      <c r="I159" s="13" t="str">
        <f>_xll.BDH("BLUE US Equity","ARDR_FV_LIABS_REC_L3_OTHER","FQ4 2019","FQ4 2019","Currency=USD","Period=FQ","BEST_FPERIOD_OVERRIDE=FQ","FILING_STATUS=MR","SCALING_FORMAT=MLN","Sort=A","Dates=H","DateFormat=P","Fill=—","Direction=H","UseDPDF=Y")</f>
        <v>—</v>
      </c>
      <c r="J159" s="13">
        <f>_xll.BDH("BLUE US Equity","ARDR_FV_LIABS_REC_L3_OTHER","FQ1 2020","FQ1 2020","Currency=USD","Period=FQ","BEST_FPERIOD_OVERRIDE=FQ","FILING_STATUS=MR","SCALING_FORMAT=MLN","Sort=A","Dates=H","DateFormat=P","Fill=—","Direction=H","UseDPDF=Y")</f>
        <v>4.8689999999999998</v>
      </c>
      <c r="K159" s="13">
        <f>_xll.BDH("BLUE US Equity","ARDR_FV_LIABS_REC_L3_OTHER","FQ2 2020","FQ2 2020","Currency=USD","Period=FQ","BEST_FPERIOD_OVERRIDE=FQ","FILING_STATUS=MR","SCALING_FORMAT=MLN","Sort=A","Dates=H","DateFormat=P","Fill=—","Direction=H","UseDPDF=Y")</f>
        <v>3.214</v>
      </c>
      <c r="L159" s="13">
        <f>_xll.BDH("BLUE US Equity","ARDR_FV_LIABS_REC_L3_OTHER","FQ3 2020","FQ3 2020","Currency=USD","Period=FQ","BEST_FPERIOD_OVERRIDE=FQ","FILING_STATUS=MR","SCALING_FORMAT=MLN","Sort=A","Dates=H","DateFormat=P","Fill=—","Direction=H","UseDPDF=Y")</f>
        <v>0</v>
      </c>
      <c r="M159" s="13" t="str">
        <f>_xll.BDH("BLUE US Equity","ARDR_FV_LIABS_REC_L3_OTHER","FQ4 2020","FQ4 2020","Currency=USD","Period=FQ","BEST_FPERIOD_OVERRIDE=FQ","FILING_STATUS=MR","SCALING_FORMAT=MLN","Sort=A","Dates=H","DateFormat=P","Fill=—","Direction=H","UseDPDF=Y")</f>
        <v>—</v>
      </c>
      <c r="N159" s="13">
        <f>_xll.BDH("BLUE US Equity","ARDR_FV_LIABS_REC_L3_OTHER","FQ1 2021","FQ1 2021","Currency=USD","Period=FQ","BEST_FPERIOD_OVERRIDE=FQ","FILING_STATUS=MR","SCALING_FORMAT=MLN","Sort=A","Dates=H","DateFormat=P","Fill=—","Direction=H","UseDPDF=Y")</f>
        <v>1.8779999999999999</v>
      </c>
      <c r="O159" s="13">
        <f>_xll.BDH("BLUE US Equity","ARDR_FV_LIABS_REC_L3_OTHER","FQ2 2021","FQ2 2021","Currency=USD","Period=FQ","BEST_FPERIOD_OVERRIDE=FQ","FILING_STATUS=MR","SCALING_FORMAT=MLN","Sort=A","Dates=H","DateFormat=P","Fill=—","Direction=H","UseDPDF=Y")</f>
        <v>1.925</v>
      </c>
      <c r="P159" s="13">
        <f>_xll.BDH("BLUE US Equity","ARDR_FV_LIABS_REC_L3_OTHER","FQ3 2021","FQ3 2021","Currency=USD","Period=FQ","BEST_FPERIOD_OVERRIDE=FQ","FILING_STATUS=MR","SCALING_FORMAT=MLN","Sort=A","Dates=H","DateFormat=P","Fill=—","Direction=H","UseDPDF=Y")</f>
        <v>1.9730000000000001</v>
      </c>
      <c r="Q159" s="13" t="str">
        <f>_xll.BDH("BLUE US Equity","ARDR_FV_LIABS_REC_L3_OTHER","FQ4 2021","FQ4 2021","Currency=USD","Period=FQ","BEST_FPERIOD_OVERRIDE=FQ","FILING_STATUS=MR","SCALING_FORMAT=MLN","Sort=A","Dates=H","DateFormat=P","Fill=—","Direction=H","UseDPDF=Y")</f>
        <v>—</v>
      </c>
      <c r="R159" s="13" t="str">
        <f>_xll.BDH("BLUE US Equity","ARDR_FV_LIABS_REC_L3_OTHER","FQ1 2022","FQ1 2022","Currency=USD","Period=FQ","BEST_FPERIOD_OVERRIDE=FQ","FILING_STATUS=MR","SCALING_FORMAT=MLN","Sort=A","Dates=H","DateFormat=P","Fill=—","Direction=H","UseDPDF=Y")</f>
        <v>—</v>
      </c>
      <c r="S159" s="13" t="str">
        <f>_xll.BDH("BLUE US Equity","ARDR_FV_LIABS_REC_L3_OTHER","FQ2 2022","FQ2 2022","Currency=USD","Period=FQ","BEST_FPERIOD_OVERRIDE=FQ","FILING_STATUS=MR","SCALING_FORMAT=MLN","Sort=A","Dates=H","DateFormat=P","Fill=—","Direction=H","UseDPDF=Y")</f>
        <v>—</v>
      </c>
      <c r="T159" s="13" t="str">
        <f>_xll.BDH("BLUE US Equity","ARDR_FV_LIABS_REC_L3_OTHER","FQ3 2022","FQ3 2022","Currency=USD","Period=FQ","BEST_FPERIOD_OVERRIDE=FQ","FILING_STATUS=MR","SCALING_FORMAT=MLN","Sort=A","Dates=H","DateFormat=P","Fill=—","Direction=H","UseDPDF=Y")</f>
        <v>—</v>
      </c>
      <c r="U159" s="13" t="str">
        <f>_xll.BDH("BLUE US Equity","ARDR_FV_LIABS_REC_L3_OTHER","FQ4 2022","FQ4 2022","Currency=USD","Period=FQ","BEST_FPERIOD_OVERRIDE=FQ","FILING_STATUS=MR","SCALING_FORMAT=MLN","Sort=A","Dates=H","DateFormat=P","Fill=—","Direction=H","UseDPDF=Y")</f>
        <v>—</v>
      </c>
      <c r="V159" s="13" t="str">
        <f>_xll.BDH("BLUE US Equity","ARDR_FV_LIABS_REC_L3_OTHER","FQ1 2023","FQ1 2023","Currency=USD","Period=FQ","BEST_FPERIOD_OVERRIDE=FQ","FILING_STATUS=MR","SCALING_FORMAT=MLN","Sort=A","Dates=H","DateFormat=P","Fill=—","Direction=H","UseDPDF=Y")</f>
        <v>—</v>
      </c>
      <c r="W159" s="13" t="str">
        <f>_xll.BDH("BLUE US Equity","ARDR_FV_LIABS_REC_L3_OTHER","FQ2 2023","FQ2 2023","Currency=USD","Period=FQ","BEST_FPERIOD_OVERRIDE=FQ","FILING_STATUS=MR","SCALING_FORMAT=MLN","Sort=A","Dates=H","DateFormat=P","Fill=—","Direction=H","UseDPDF=Y")</f>
        <v>—</v>
      </c>
      <c r="X159" s="13" t="str">
        <f>_xll.BDH("BLUE US Equity","ARDR_FV_LIABS_REC_L3_OTHER","FQ3 2023","FQ3 2023","Currency=USD","Period=FQ","BEST_FPERIOD_OVERRIDE=FQ","FILING_STATUS=MR","SCALING_FORMAT=MLN","Sort=A","Dates=H","DateFormat=P","Fill=—","Direction=H","UseDPDF=Y")</f>
        <v>—</v>
      </c>
      <c r="Y159" s="13" t="str">
        <f>_xll.BDH("BLUE US Equity","ARDR_FV_LIABS_REC_L3_OTHER","FQ1 2024","FQ1 2024","Currency=USD","Period=FQ","BEST_FPERIOD_OVERRIDE=FQ","FILING_STATUS=MR","SCALING_FORMAT=MLN","Sort=A","Dates=H","DateFormat=P","Fill=—","Direction=H","UseDPDF=Y")</f>
        <v>—</v>
      </c>
      <c r="Z159" s="13" t="str">
        <f>_xll.BDH("BLUE US Equity","ARDR_FV_LIABS_REC_L3_OTHER","FQ2 2024","FQ2 2024","Currency=USD","Period=FQ","BEST_FPERIOD_OVERRIDE=FQ","FILING_STATUS=MR","SCALING_FORMAT=MLN","Sort=A","Dates=H","DateFormat=P","Fill=—","Direction=H","UseDPDF=Y")</f>
        <v>—</v>
      </c>
      <c r="AA159" s="13" t="str">
        <f>_xll.BDH("BLUE US Equity","ARDR_FV_LIABS_REC_L3_OTHER","FQ3 2024","FQ3 2024","Currency=USD","Period=FQ","BEST_FPERIOD_OVERRIDE=FQ","FILING_STATUS=MR","SCALING_FORMAT=MLN","Sort=A","Dates=H","DateFormat=P","Fill=—","Direction=H","UseDPDF=Y")</f>
        <v>—</v>
      </c>
    </row>
    <row r="160" spans="1:27" x14ac:dyDescent="0.25">
      <c r="A160" s="10" t="s">
        <v>1031</v>
      </c>
      <c r="B160" s="10" t="s">
        <v>1032</v>
      </c>
      <c r="C160" s="13" t="str">
        <f>_xll.BDH("BLUE US Equity","ARDR_FV_ASTS_REC_L3_BEG_PERIOD","FQ2 2018","FQ2 2018","Currency=USD","Period=FQ","BEST_FPERIOD_OVERRIDE=FQ","FILING_STATUS=MR","SCALING_FORMAT=MLN","Sort=A","Dates=H","DateFormat=P","Fill=—","Direction=H","UseDPDF=Y")</f>
        <v>—</v>
      </c>
      <c r="D160" s="13" t="str">
        <f>_xll.BDH("BLUE US Equity","ARDR_FV_ASTS_REC_L3_BEG_PERIOD","FQ3 2018","FQ3 2018","Currency=USD","Period=FQ","BEST_FPERIOD_OVERRIDE=FQ","FILING_STATUS=MR","SCALING_FORMAT=MLN","Sort=A","Dates=H","DateFormat=P","Fill=—","Direction=H","UseDPDF=Y")</f>
        <v>—</v>
      </c>
      <c r="E160" s="13" t="str">
        <f>_xll.BDH("BLUE US Equity","ARDR_FV_ASTS_REC_L3_BEG_PERIOD","FQ4 2018","FQ4 2018","Currency=USD","Period=FQ","BEST_FPERIOD_OVERRIDE=FQ","FILING_STATUS=MR","SCALING_FORMAT=MLN","Sort=A","Dates=H","DateFormat=P","Fill=—","Direction=H","UseDPDF=Y")</f>
        <v>—</v>
      </c>
      <c r="F160" s="13">
        <f>_xll.BDH("BLUE US Equity","ARDR_FV_ASTS_REC_L3_BEG_PERIOD","FQ1 2019","FQ1 2019","Currency=USD","Period=FQ","BEST_FPERIOD_OVERRIDE=FQ","FILING_STATUS=MR","SCALING_FORMAT=MLN","Sort=A","Dates=H","DateFormat=P","Fill=—","Direction=H","UseDPDF=Y")</f>
        <v>5.23</v>
      </c>
      <c r="G160" s="13">
        <f>_xll.BDH("BLUE US Equity","ARDR_FV_ASTS_REC_L3_BEG_PERIOD","FQ2 2019","FQ2 2019","Currency=USD","Period=FQ","BEST_FPERIOD_OVERRIDE=FQ","FILING_STATUS=MR","SCALING_FORMAT=MLN","Sort=A","Dates=H","DateFormat=P","Fill=—","Direction=H","UseDPDF=Y")</f>
        <v>5.23</v>
      </c>
      <c r="H160" s="13" t="str">
        <f>_xll.BDH("BLUE US Equity","ARDR_FV_ASTS_REC_L3_BEG_PERIOD","FQ3 2019","FQ3 2019","Currency=USD","Period=FQ","BEST_FPERIOD_OVERRIDE=FQ","FILING_STATUS=MR","SCALING_FORMAT=MLN","Sort=A","Dates=H","DateFormat=P","Fill=—","Direction=H","UseDPDF=Y")</f>
        <v>—</v>
      </c>
      <c r="I160" s="13" t="str">
        <f>_xll.BDH("BLUE US Equity","ARDR_FV_ASTS_REC_L3_BEG_PERIOD","FQ4 2019","FQ4 2019","Currency=USD","Period=FQ","BEST_FPERIOD_OVERRIDE=FQ","FILING_STATUS=MR","SCALING_FORMAT=MLN","Sort=A","Dates=H","DateFormat=P","Fill=—","Direction=H","UseDPDF=Y")</f>
        <v>—</v>
      </c>
      <c r="J160" s="13">
        <f>_xll.BDH("BLUE US Equity","ARDR_FV_ASTS_REC_L3_BEG_PERIOD","FQ1 2020","FQ1 2020","Currency=USD","Period=FQ","BEST_FPERIOD_OVERRIDE=FQ","FILING_STATUS=MR","SCALING_FORMAT=MLN","Sort=A","Dates=H","DateFormat=P","Fill=—","Direction=H","UseDPDF=Y")</f>
        <v>7.9770000000000003</v>
      </c>
      <c r="K160" s="13" t="str">
        <f>_xll.BDH("BLUE US Equity","ARDR_FV_ASTS_REC_L3_BEG_PERIOD","FQ2 2020","FQ2 2020","Currency=USD","Period=FQ","BEST_FPERIOD_OVERRIDE=FQ","FILING_STATUS=MR","SCALING_FORMAT=MLN","Sort=A","Dates=H","DateFormat=P","Fill=—","Direction=H","UseDPDF=Y")</f>
        <v>—</v>
      </c>
      <c r="L160" s="13" t="str">
        <f>_xll.BDH("BLUE US Equity","ARDR_FV_ASTS_REC_L3_BEG_PERIOD","FQ3 2020","FQ3 2020","Currency=USD","Period=FQ","BEST_FPERIOD_OVERRIDE=FQ","FILING_STATUS=MR","SCALING_FORMAT=MLN","Sort=A","Dates=H","DateFormat=P","Fill=—","Direction=H","UseDPDF=Y")</f>
        <v>—</v>
      </c>
      <c r="M160" s="13" t="str">
        <f>_xll.BDH("BLUE US Equity","ARDR_FV_ASTS_REC_L3_BEG_PERIOD","FQ4 2020","FQ4 2020","Currency=USD","Period=FQ","BEST_FPERIOD_OVERRIDE=FQ","FILING_STATUS=MR","SCALING_FORMAT=MLN","Sort=A","Dates=H","DateFormat=P","Fill=—","Direction=H","UseDPDF=Y")</f>
        <v>—</v>
      </c>
      <c r="N160" s="13" t="str">
        <f>_xll.BDH("BLUE US Equity","ARDR_FV_ASTS_REC_L3_BEG_PERIOD","FQ1 2021","FQ1 2021","Currency=USD","Period=FQ","BEST_FPERIOD_OVERRIDE=FQ","FILING_STATUS=MR","SCALING_FORMAT=MLN","Sort=A","Dates=H","DateFormat=P","Fill=—","Direction=H","UseDPDF=Y")</f>
        <v>—</v>
      </c>
      <c r="O160" s="13" t="str">
        <f>_xll.BDH("BLUE US Equity","ARDR_FV_ASTS_REC_L3_BEG_PERIOD","FQ2 2021","FQ2 2021","Currency=USD","Period=FQ","BEST_FPERIOD_OVERRIDE=FQ","FILING_STATUS=MR","SCALING_FORMAT=MLN","Sort=A","Dates=H","DateFormat=P","Fill=—","Direction=H","UseDPDF=Y")</f>
        <v>—</v>
      </c>
      <c r="P160" s="13" t="str">
        <f>_xll.BDH("BLUE US Equity","ARDR_FV_ASTS_REC_L3_BEG_PERIOD","FQ3 2021","FQ3 2021","Currency=USD","Period=FQ","BEST_FPERIOD_OVERRIDE=FQ","FILING_STATUS=MR","SCALING_FORMAT=MLN","Sort=A","Dates=H","DateFormat=P","Fill=—","Direction=H","UseDPDF=Y")</f>
        <v>—</v>
      </c>
      <c r="Q160" s="13" t="str">
        <f>_xll.BDH("BLUE US Equity","ARDR_FV_ASTS_REC_L3_BEG_PERIOD","FQ4 2021","FQ4 2021","Currency=USD","Period=FQ","BEST_FPERIOD_OVERRIDE=FQ","FILING_STATUS=MR","SCALING_FORMAT=MLN","Sort=A","Dates=H","DateFormat=P","Fill=—","Direction=H","UseDPDF=Y")</f>
        <v>—</v>
      </c>
      <c r="R160" s="13" t="str">
        <f>_xll.BDH("BLUE US Equity","ARDR_FV_ASTS_REC_L3_BEG_PERIOD","FQ1 2022","FQ1 2022","Currency=USD","Period=FQ","BEST_FPERIOD_OVERRIDE=FQ","FILING_STATUS=MR","SCALING_FORMAT=MLN","Sort=A","Dates=H","DateFormat=P","Fill=—","Direction=H","UseDPDF=Y")</f>
        <v>—</v>
      </c>
      <c r="S160" s="13" t="str">
        <f>_xll.BDH("BLUE US Equity","ARDR_FV_ASTS_REC_L3_BEG_PERIOD","FQ2 2022","FQ2 2022","Currency=USD","Period=FQ","BEST_FPERIOD_OVERRIDE=FQ","FILING_STATUS=MR","SCALING_FORMAT=MLN","Sort=A","Dates=H","DateFormat=P","Fill=—","Direction=H","UseDPDF=Y")</f>
        <v>—</v>
      </c>
      <c r="T160" s="13" t="str">
        <f>_xll.BDH("BLUE US Equity","ARDR_FV_ASTS_REC_L3_BEG_PERIOD","FQ3 2022","FQ3 2022","Currency=USD","Period=FQ","BEST_FPERIOD_OVERRIDE=FQ","FILING_STATUS=MR","SCALING_FORMAT=MLN","Sort=A","Dates=H","DateFormat=P","Fill=—","Direction=H","UseDPDF=Y")</f>
        <v>—</v>
      </c>
      <c r="U160" s="13" t="str">
        <f>_xll.BDH("BLUE US Equity","ARDR_FV_ASTS_REC_L3_BEG_PERIOD","FQ4 2022","FQ4 2022","Currency=USD","Period=FQ","BEST_FPERIOD_OVERRIDE=FQ","FILING_STATUS=MR","SCALING_FORMAT=MLN","Sort=A","Dates=H","DateFormat=P","Fill=—","Direction=H","UseDPDF=Y")</f>
        <v>—</v>
      </c>
      <c r="V160" s="13" t="str">
        <f>_xll.BDH("BLUE US Equity","ARDR_FV_ASTS_REC_L3_BEG_PERIOD","FQ1 2023","FQ1 2023","Currency=USD","Period=FQ","BEST_FPERIOD_OVERRIDE=FQ","FILING_STATUS=MR","SCALING_FORMAT=MLN","Sort=A","Dates=H","DateFormat=P","Fill=—","Direction=H","UseDPDF=Y")</f>
        <v>—</v>
      </c>
      <c r="W160" s="13" t="str">
        <f>_xll.BDH("BLUE US Equity","ARDR_FV_ASTS_REC_L3_BEG_PERIOD","FQ2 2023","FQ2 2023","Currency=USD","Period=FQ","BEST_FPERIOD_OVERRIDE=FQ","FILING_STATUS=MR","SCALING_FORMAT=MLN","Sort=A","Dates=H","DateFormat=P","Fill=—","Direction=H","UseDPDF=Y")</f>
        <v>—</v>
      </c>
      <c r="X160" s="13" t="str">
        <f>_xll.BDH("BLUE US Equity","ARDR_FV_ASTS_REC_L3_BEG_PERIOD","FQ3 2023","FQ3 2023","Currency=USD","Period=FQ","BEST_FPERIOD_OVERRIDE=FQ","FILING_STATUS=MR","SCALING_FORMAT=MLN","Sort=A","Dates=H","DateFormat=P","Fill=—","Direction=H","UseDPDF=Y")</f>
        <v>—</v>
      </c>
      <c r="Y160" s="13" t="str">
        <f>_xll.BDH("BLUE US Equity","ARDR_FV_ASTS_REC_L3_BEG_PERIOD","FQ1 2024","FQ1 2024","Currency=USD","Period=FQ","BEST_FPERIOD_OVERRIDE=FQ","FILING_STATUS=MR","SCALING_FORMAT=MLN","Sort=A","Dates=H","DateFormat=P","Fill=—","Direction=H","UseDPDF=Y")</f>
        <v>—</v>
      </c>
      <c r="Z160" s="13" t="str">
        <f>_xll.BDH("BLUE US Equity","ARDR_FV_ASTS_REC_L3_BEG_PERIOD","FQ2 2024","FQ2 2024","Currency=USD","Period=FQ","BEST_FPERIOD_OVERRIDE=FQ","FILING_STATUS=MR","SCALING_FORMAT=MLN","Sort=A","Dates=H","DateFormat=P","Fill=—","Direction=H","UseDPDF=Y")</f>
        <v>—</v>
      </c>
      <c r="AA160" s="13" t="str">
        <f>_xll.BDH("BLUE US Equity","ARDR_FV_ASTS_REC_L3_BEG_PERIOD","FQ3 2024","FQ3 2024","Currency=USD","Period=FQ","BEST_FPERIOD_OVERRIDE=FQ","FILING_STATUS=MR","SCALING_FORMAT=MLN","Sort=A","Dates=H","DateFormat=P","Fill=—","Direction=H","UseDPDF=Y")</f>
        <v>—</v>
      </c>
    </row>
    <row r="161" spans="1:27" x14ac:dyDescent="0.25">
      <c r="A161" s="10" t="s">
        <v>1033</v>
      </c>
      <c r="B161" s="10" t="s">
        <v>1034</v>
      </c>
      <c r="C161" s="13" t="str">
        <f>_xll.BDH("BLUE US Equity","ARDR_FV_ASTS_REC_L3_GAINS_LOSSES","FQ2 2018","FQ2 2018","Currency=USD","Period=FQ","BEST_FPERIOD_OVERRIDE=FQ","FILING_STATUS=MR","SCALING_FORMAT=MLN","Sort=A","Dates=H","DateFormat=P","Fill=—","Direction=H","UseDPDF=Y")</f>
        <v>—</v>
      </c>
      <c r="D161" s="13" t="str">
        <f>_xll.BDH("BLUE US Equity","ARDR_FV_ASTS_REC_L3_GAINS_LOSSES","FQ3 2018","FQ3 2018","Currency=USD","Period=FQ","BEST_FPERIOD_OVERRIDE=FQ","FILING_STATUS=MR","SCALING_FORMAT=MLN","Sort=A","Dates=H","DateFormat=P","Fill=—","Direction=H","UseDPDF=Y")</f>
        <v>—</v>
      </c>
      <c r="E161" s="13" t="str">
        <f>_xll.BDH("BLUE US Equity","ARDR_FV_ASTS_REC_L3_GAINS_LOSSES","FQ4 2018","FQ4 2018","Currency=USD","Period=FQ","BEST_FPERIOD_OVERRIDE=FQ","FILING_STATUS=MR","SCALING_FORMAT=MLN","Sort=A","Dates=H","DateFormat=P","Fill=—","Direction=H","UseDPDF=Y")</f>
        <v>—</v>
      </c>
      <c r="F161" s="13">
        <f>_xll.BDH("BLUE US Equity","ARDR_FV_ASTS_REC_L3_GAINS_LOSSES","FQ1 2019","FQ1 2019","Currency=USD","Period=FQ","BEST_FPERIOD_OVERRIDE=FQ","FILING_STATUS=MR","SCALING_FORMAT=MLN","Sort=A","Dates=H","DateFormat=P","Fill=—","Direction=H","UseDPDF=Y")</f>
        <v>0.29599999999999999</v>
      </c>
      <c r="G161" s="13">
        <f>_xll.BDH("BLUE US Equity","ARDR_FV_ASTS_REC_L3_GAINS_LOSSES","FQ2 2019","FQ2 2019","Currency=USD","Period=FQ","BEST_FPERIOD_OVERRIDE=FQ","FILING_STATUS=MR","SCALING_FORMAT=MLN","Sort=A","Dates=H","DateFormat=P","Fill=—","Direction=H","UseDPDF=Y")</f>
        <v>0.51</v>
      </c>
      <c r="H161" s="13" t="str">
        <f>_xll.BDH("BLUE US Equity","ARDR_FV_ASTS_REC_L3_GAINS_LOSSES","FQ3 2019","FQ3 2019","Currency=USD","Period=FQ","BEST_FPERIOD_OVERRIDE=FQ","FILING_STATUS=MR","SCALING_FORMAT=MLN","Sort=A","Dates=H","DateFormat=P","Fill=—","Direction=H","UseDPDF=Y")</f>
        <v>—</v>
      </c>
      <c r="I161" s="13" t="str">
        <f>_xll.BDH("BLUE US Equity","ARDR_FV_ASTS_REC_L3_GAINS_LOSSES","FQ4 2019","FQ4 2019","Currency=USD","Period=FQ","BEST_FPERIOD_OVERRIDE=FQ","FILING_STATUS=MR","SCALING_FORMAT=MLN","Sort=A","Dates=H","DateFormat=P","Fill=—","Direction=H","UseDPDF=Y")</f>
        <v>—</v>
      </c>
      <c r="J161" s="13">
        <f>_xll.BDH("BLUE US Equity","ARDR_FV_ASTS_REC_L3_GAINS_LOSSES","FQ1 2020","FQ1 2020","Currency=USD","Period=FQ","BEST_FPERIOD_OVERRIDE=FQ","FILING_STATUS=MR","SCALING_FORMAT=MLN","Sort=A","Dates=H","DateFormat=P","Fill=—","Direction=H","UseDPDF=Y")</f>
        <v>-3.1080000000000001</v>
      </c>
      <c r="K161" s="13" t="str">
        <f>_xll.BDH("BLUE US Equity","ARDR_FV_ASTS_REC_L3_GAINS_LOSSES","FQ2 2020","FQ2 2020","Currency=USD","Period=FQ","BEST_FPERIOD_OVERRIDE=FQ","FILING_STATUS=MR","SCALING_FORMAT=MLN","Sort=A","Dates=H","DateFormat=P","Fill=—","Direction=H","UseDPDF=Y")</f>
        <v>—</v>
      </c>
      <c r="L161" s="13" t="str">
        <f>_xll.BDH("BLUE US Equity","ARDR_FV_ASTS_REC_L3_GAINS_LOSSES","FQ3 2020","FQ3 2020","Currency=USD","Period=FQ","BEST_FPERIOD_OVERRIDE=FQ","FILING_STATUS=MR","SCALING_FORMAT=MLN","Sort=A","Dates=H","DateFormat=P","Fill=—","Direction=H","UseDPDF=Y")</f>
        <v>—</v>
      </c>
      <c r="M161" s="13" t="str">
        <f>_xll.BDH("BLUE US Equity","ARDR_FV_ASTS_REC_L3_GAINS_LOSSES","FQ4 2020","FQ4 2020","Currency=USD","Period=FQ","BEST_FPERIOD_OVERRIDE=FQ","FILING_STATUS=MR","SCALING_FORMAT=MLN","Sort=A","Dates=H","DateFormat=P","Fill=—","Direction=H","UseDPDF=Y")</f>
        <v>—</v>
      </c>
      <c r="N161" s="13" t="str">
        <f>_xll.BDH("BLUE US Equity","ARDR_FV_ASTS_REC_L3_GAINS_LOSSES","FQ1 2021","FQ1 2021","Currency=USD","Period=FQ","BEST_FPERIOD_OVERRIDE=FQ","FILING_STATUS=MR","SCALING_FORMAT=MLN","Sort=A","Dates=H","DateFormat=P","Fill=—","Direction=H","UseDPDF=Y")</f>
        <v>—</v>
      </c>
      <c r="O161" s="13" t="str">
        <f>_xll.BDH("BLUE US Equity","ARDR_FV_ASTS_REC_L3_GAINS_LOSSES","FQ2 2021","FQ2 2021","Currency=USD","Period=FQ","BEST_FPERIOD_OVERRIDE=FQ","FILING_STATUS=MR","SCALING_FORMAT=MLN","Sort=A","Dates=H","DateFormat=P","Fill=—","Direction=H","UseDPDF=Y")</f>
        <v>—</v>
      </c>
      <c r="P161" s="13" t="str">
        <f>_xll.BDH("BLUE US Equity","ARDR_FV_ASTS_REC_L3_GAINS_LOSSES","FQ3 2021","FQ3 2021","Currency=USD","Period=FQ","BEST_FPERIOD_OVERRIDE=FQ","FILING_STATUS=MR","SCALING_FORMAT=MLN","Sort=A","Dates=H","DateFormat=P","Fill=—","Direction=H","UseDPDF=Y")</f>
        <v>—</v>
      </c>
      <c r="Q161" s="13" t="str">
        <f>_xll.BDH("BLUE US Equity","ARDR_FV_ASTS_REC_L3_GAINS_LOSSES","FQ4 2021","FQ4 2021","Currency=USD","Period=FQ","BEST_FPERIOD_OVERRIDE=FQ","FILING_STATUS=MR","SCALING_FORMAT=MLN","Sort=A","Dates=H","DateFormat=P","Fill=—","Direction=H","UseDPDF=Y")</f>
        <v>—</v>
      </c>
      <c r="R161" s="13" t="str">
        <f>_xll.BDH("BLUE US Equity","ARDR_FV_ASTS_REC_L3_GAINS_LOSSES","FQ1 2022","FQ1 2022","Currency=USD","Period=FQ","BEST_FPERIOD_OVERRIDE=FQ","FILING_STATUS=MR","SCALING_FORMAT=MLN","Sort=A","Dates=H","DateFormat=P","Fill=—","Direction=H","UseDPDF=Y")</f>
        <v>—</v>
      </c>
      <c r="S161" s="13" t="str">
        <f>_xll.BDH("BLUE US Equity","ARDR_FV_ASTS_REC_L3_GAINS_LOSSES","FQ2 2022","FQ2 2022","Currency=USD","Period=FQ","BEST_FPERIOD_OVERRIDE=FQ","FILING_STATUS=MR","SCALING_FORMAT=MLN","Sort=A","Dates=H","DateFormat=P","Fill=—","Direction=H","UseDPDF=Y")</f>
        <v>—</v>
      </c>
      <c r="T161" s="13" t="str">
        <f>_xll.BDH("BLUE US Equity","ARDR_FV_ASTS_REC_L3_GAINS_LOSSES","FQ3 2022","FQ3 2022","Currency=USD","Period=FQ","BEST_FPERIOD_OVERRIDE=FQ","FILING_STATUS=MR","SCALING_FORMAT=MLN","Sort=A","Dates=H","DateFormat=P","Fill=—","Direction=H","UseDPDF=Y")</f>
        <v>—</v>
      </c>
      <c r="U161" s="13" t="str">
        <f>_xll.BDH("BLUE US Equity","ARDR_FV_ASTS_REC_L3_GAINS_LOSSES","FQ4 2022","FQ4 2022","Currency=USD","Period=FQ","BEST_FPERIOD_OVERRIDE=FQ","FILING_STATUS=MR","SCALING_FORMAT=MLN","Sort=A","Dates=H","DateFormat=P","Fill=—","Direction=H","UseDPDF=Y")</f>
        <v>—</v>
      </c>
      <c r="V161" s="13" t="str">
        <f>_xll.BDH("BLUE US Equity","ARDR_FV_ASTS_REC_L3_GAINS_LOSSES","FQ1 2023","FQ1 2023","Currency=USD","Period=FQ","BEST_FPERIOD_OVERRIDE=FQ","FILING_STATUS=MR","SCALING_FORMAT=MLN","Sort=A","Dates=H","DateFormat=P","Fill=—","Direction=H","UseDPDF=Y")</f>
        <v>—</v>
      </c>
      <c r="W161" s="13" t="str">
        <f>_xll.BDH("BLUE US Equity","ARDR_FV_ASTS_REC_L3_GAINS_LOSSES","FQ2 2023","FQ2 2023","Currency=USD","Period=FQ","BEST_FPERIOD_OVERRIDE=FQ","FILING_STATUS=MR","SCALING_FORMAT=MLN","Sort=A","Dates=H","DateFormat=P","Fill=—","Direction=H","UseDPDF=Y")</f>
        <v>—</v>
      </c>
      <c r="X161" s="13" t="str">
        <f>_xll.BDH("BLUE US Equity","ARDR_FV_ASTS_REC_L3_GAINS_LOSSES","FQ3 2023","FQ3 2023","Currency=USD","Period=FQ","BEST_FPERIOD_OVERRIDE=FQ","FILING_STATUS=MR","SCALING_FORMAT=MLN","Sort=A","Dates=H","DateFormat=P","Fill=—","Direction=H","UseDPDF=Y")</f>
        <v>—</v>
      </c>
      <c r="Y161" s="13" t="str">
        <f>_xll.BDH("BLUE US Equity","ARDR_FV_ASTS_REC_L3_GAINS_LOSSES","FQ1 2024","FQ1 2024","Currency=USD","Period=FQ","BEST_FPERIOD_OVERRIDE=FQ","FILING_STATUS=MR","SCALING_FORMAT=MLN","Sort=A","Dates=H","DateFormat=P","Fill=—","Direction=H","UseDPDF=Y")</f>
        <v>—</v>
      </c>
      <c r="Z161" s="13" t="str">
        <f>_xll.BDH("BLUE US Equity","ARDR_FV_ASTS_REC_L3_GAINS_LOSSES","FQ2 2024","FQ2 2024","Currency=USD","Period=FQ","BEST_FPERIOD_OVERRIDE=FQ","FILING_STATUS=MR","SCALING_FORMAT=MLN","Sort=A","Dates=H","DateFormat=P","Fill=—","Direction=H","UseDPDF=Y")</f>
        <v>—</v>
      </c>
      <c r="AA161" s="13" t="str">
        <f>_xll.BDH("BLUE US Equity","ARDR_FV_ASTS_REC_L3_GAINS_LOSSES","FQ3 2024","FQ3 2024","Currency=USD","Period=FQ","BEST_FPERIOD_OVERRIDE=FQ","FILING_STATUS=MR","SCALING_FORMAT=MLN","Sort=A","Dates=H","DateFormat=P","Fill=—","Direction=H","UseDPDF=Y")</f>
        <v>—</v>
      </c>
    </row>
    <row r="162" spans="1:27" x14ac:dyDescent="0.25">
      <c r="A162" s="10" t="s">
        <v>1035</v>
      </c>
      <c r="B162" s="10" t="s">
        <v>1036</v>
      </c>
      <c r="C162" s="13" t="str">
        <f>_xll.BDH("BLUE US Equity","ARDR_DTA_NOL_CARRYFORWARD","FQ2 2018","FQ2 2018","Currency=USD","Period=FQ","BEST_FPERIOD_OVERRIDE=FQ","FILING_STATUS=MR","SCALING_FORMAT=MLN","Sort=A","Dates=H","DateFormat=P","Fill=—","Direction=H","UseDPDF=Y")</f>
        <v>—</v>
      </c>
      <c r="D162" s="13" t="str">
        <f>_xll.BDH("BLUE US Equity","ARDR_DTA_NOL_CARRYFORWARD","FQ3 2018","FQ3 2018","Currency=USD","Period=FQ","BEST_FPERIOD_OVERRIDE=FQ","FILING_STATUS=MR","SCALING_FORMAT=MLN","Sort=A","Dates=H","DateFormat=P","Fill=—","Direction=H","UseDPDF=Y")</f>
        <v>—</v>
      </c>
      <c r="E162" s="13">
        <f>_xll.BDH("BLUE US Equity","ARDR_DTA_NOL_CARRYFORWARD","FQ4 2018","FQ4 2018","Currency=USD","Period=FQ","BEST_FPERIOD_OVERRIDE=FQ","FILING_STATUS=MR","SCALING_FORMAT=MLN","Sort=A","Dates=H","DateFormat=P","Fill=—","Direction=H","UseDPDF=Y")</f>
        <v>298.70100000000002</v>
      </c>
      <c r="F162" s="13" t="str">
        <f>_xll.BDH("BLUE US Equity","ARDR_DTA_NOL_CARRYFORWARD","FQ1 2019","FQ1 2019","Currency=USD","Period=FQ","BEST_FPERIOD_OVERRIDE=FQ","FILING_STATUS=MR","SCALING_FORMAT=MLN","Sort=A","Dates=H","DateFormat=P","Fill=—","Direction=H","UseDPDF=Y")</f>
        <v>—</v>
      </c>
      <c r="G162" s="13" t="str">
        <f>_xll.BDH("BLUE US Equity","ARDR_DTA_NOL_CARRYFORWARD","FQ2 2019","FQ2 2019","Currency=USD","Period=FQ","BEST_FPERIOD_OVERRIDE=FQ","FILING_STATUS=MR","SCALING_FORMAT=MLN","Sort=A","Dates=H","DateFormat=P","Fill=—","Direction=H","UseDPDF=Y")</f>
        <v>—</v>
      </c>
      <c r="H162" s="13" t="str">
        <f>_xll.BDH("BLUE US Equity","ARDR_DTA_NOL_CARRYFORWARD","FQ3 2019","FQ3 2019","Currency=USD","Period=FQ","BEST_FPERIOD_OVERRIDE=FQ","FILING_STATUS=MR","SCALING_FORMAT=MLN","Sort=A","Dates=H","DateFormat=P","Fill=—","Direction=H","UseDPDF=Y")</f>
        <v>—</v>
      </c>
      <c r="I162" s="13">
        <f>_xll.BDH("BLUE US Equity","ARDR_DTA_NOL_CARRYFORWARD","FQ4 2019","FQ4 2019","Currency=USD","Period=FQ","BEST_FPERIOD_OVERRIDE=FQ","FILING_STATUS=MR","SCALING_FORMAT=MLN","Sort=A","Dates=H","DateFormat=P","Fill=—","Direction=H","UseDPDF=Y")</f>
        <v>439.839</v>
      </c>
      <c r="J162" s="13" t="str">
        <f>_xll.BDH("BLUE US Equity","ARDR_DTA_NOL_CARRYFORWARD","FQ1 2020","FQ1 2020","Currency=USD","Period=FQ","BEST_FPERIOD_OVERRIDE=FQ","FILING_STATUS=MR","SCALING_FORMAT=MLN","Sort=A","Dates=H","DateFormat=P","Fill=—","Direction=H","UseDPDF=Y")</f>
        <v>—</v>
      </c>
      <c r="K162" s="13" t="str">
        <f>_xll.BDH("BLUE US Equity","ARDR_DTA_NOL_CARRYFORWARD","FQ2 2020","FQ2 2020","Currency=USD","Period=FQ","BEST_FPERIOD_OVERRIDE=FQ","FILING_STATUS=MR","SCALING_FORMAT=MLN","Sort=A","Dates=H","DateFormat=P","Fill=—","Direction=H","UseDPDF=Y")</f>
        <v>—</v>
      </c>
      <c r="L162" s="13" t="str">
        <f>_xll.BDH("BLUE US Equity","ARDR_DTA_NOL_CARRYFORWARD","FQ3 2020","FQ3 2020","Currency=USD","Period=FQ","BEST_FPERIOD_OVERRIDE=FQ","FILING_STATUS=MR","SCALING_FORMAT=MLN","Sort=A","Dates=H","DateFormat=P","Fill=—","Direction=H","UseDPDF=Y")</f>
        <v>—</v>
      </c>
      <c r="M162" s="13">
        <f>_xll.BDH("BLUE US Equity","ARDR_DTA_NOL_CARRYFORWARD","FQ4 2020","FQ4 2020","Currency=USD","Period=FQ","BEST_FPERIOD_OVERRIDE=FQ","FILING_STATUS=MR","SCALING_FORMAT=MLN","Sort=A","Dates=H","DateFormat=P","Fill=—","Direction=H","UseDPDF=Y")</f>
        <v>546.09799999999996</v>
      </c>
      <c r="N162" s="13" t="str">
        <f>_xll.BDH("BLUE US Equity","ARDR_DTA_NOL_CARRYFORWARD","FQ1 2021","FQ1 2021","Currency=USD","Period=FQ","BEST_FPERIOD_OVERRIDE=FQ","FILING_STATUS=MR","SCALING_FORMAT=MLN","Sort=A","Dates=H","DateFormat=P","Fill=—","Direction=H","UseDPDF=Y")</f>
        <v>—</v>
      </c>
      <c r="O162" s="13" t="str">
        <f>_xll.BDH("BLUE US Equity","ARDR_DTA_NOL_CARRYFORWARD","FQ2 2021","FQ2 2021","Currency=USD","Period=FQ","BEST_FPERIOD_OVERRIDE=FQ","FILING_STATUS=MR","SCALING_FORMAT=MLN","Sort=A","Dates=H","DateFormat=P","Fill=—","Direction=H","UseDPDF=Y")</f>
        <v>—</v>
      </c>
      <c r="P162" s="13" t="str">
        <f>_xll.BDH("BLUE US Equity","ARDR_DTA_NOL_CARRYFORWARD","FQ3 2021","FQ3 2021","Currency=USD","Period=FQ","BEST_FPERIOD_OVERRIDE=FQ","FILING_STATUS=MR","SCALING_FORMAT=MLN","Sort=A","Dates=H","DateFormat=P","Fill=—","Direction=H","UseDPDF=Y")</f>
        <v>—</v>
      </c>
      <c r="Q162" s="13">
        <f>_xll.BDH("BLUE US Equity","ARDR_DTA_NOL_CARRYFORWARD","FQ4 2021","FQ4 2021","Currency=USD","Period=FQ","BEST_FPERIOD_OVERRIDE=FQ","FILING_STATUS=MR","SCALING_FORMAT=MLN","Sort=A","Dates=H","DateFormat=P","Fill=—","Direction=H","UseDPDF=Y")</f>
        <v>703.125</v>
      </c>
      <c r="R162" s="13" t="str">
        <f>_xll.BDH("BLUE US Equity","ARDR_DTA_NOL_CARRYFORWARD","FQ1 2022","FQ1 2022","Currency=USD","Period=FQ","BEST_FPERIOD_OVERRIDE=FQ","FILING_STATUS=MR","SCALING_FORMAT=MLN","Sort=A","Dates=H","DateFormat=P","Fill=—","Direction=H","UseDPDF=Y")</f>
        <v>—</v>
      </c>
      <c r="S162" s="13" t="str">
        <f>_xll.BDH("BLUE US Equity","ARDR_DTA_NOL_CARRYFORWARD","FQ2 2022","FQ2 2022","Currency=USD","Period=FQ","BEST_FPERIOD_OVERRIDE=FQ","FILING_STATUS=MR","SCALING_FORMAT=MLN","Sort=A","Dates=H","DateFormat=P","Fill=—","Direction=H","UseDPDF=Y")</f>
        <v>—</v>
      </c>
      <c r="T162" s="13" t="str">
        <f>_xll.BDH("BLUE US Equity","ARDR_DTA_NOL_CARRYFORWARD","FQ3 2022","FQ3 2022","Currency=USD","Period=FQ","BEST_FPERIOD_OVERRIDE=FQ","FILING_STATUS=MR","SCALING_FORMAT=MLN","Sort=A","Dates=H","DateFormat=P","Fill=—","Direction=H","UseDPDF=Y")</f>
        <v>—</v>
      </c>
      <c r="U162" s="13">
        <f>_xll.BDH("BLUE US Equity","ARDR_DTA_NOL_CARRYFORWARD","FQ4 2022","FQ4 2022","Currency=USD","Period=FQ","BEST_FPERIOD_OVERRIDE=FQ","FILING_STATUS=MR","SCALING_FORMAT=MLN","Sort=A","Dates=H","DateFormat=P","Fill=—","Direction=H","UseDPDF=Y")</f>
        <v>710.82799999999997</v>
      </c>
      <c r="V162" s="13" t="str">
        <f>_xll.BDH("BLUE US Equity","ARDR_DTA_NOL_CARRYFORWARD","FQ1 2023","FQ1 2023","Currency=USD","Period=FQ","BEST_FPERIOD_OVERRIDE=FQ","FILING_STATUS=MR","SCALING_FORMAT=MLN","Sort=A","Dates=H","DateFormat=P","Fill=—","Direction=H","UseDPDF=Y")</f>
        <v>—</v>
      </c>
      <c r="W162" s="13" t="str">
        <f>_xll.BDH("BLUE US Equity","ARDR_DTA_NOL_CARRYFORWARD","FQ2 2023","FQ2 2023","Currency=USD","Period=FQ","BEST_FPERIOD_OVERRIDE=FQ","FILING_STATUS=MR","SCALING_FORMAT=MLN","Sort=A","Dates=H","DateFormat=P","Fill=—","Direction=H","UseDPDF=Y")</f>
        <v>—</v>
      </c>
      <c r="X162" s="13" t="str">
        <f>_xll.BDH("BLUE US Equity","ARDR_DTA_NOL_CARRYFORWARD","FQ3 2023","FQ3 2023","Currency=USD","Period=FQ","BEST_FPERIOD_OVERRIDE=FQ","FILING_STATUS=MR","SCALING_FORMAT=MLN","Sort=A","Dates=H","DateFormat=P","Fill=—","Direction=H","UseDPDF=Y")</f>
        <v>—</v>
      </c>
      <c r="Y162" s="13" t="str">
        <f>_xll.BDH("BLUE US Equity","ARDR_DTA_NOL_CARRYFORWARD","FQ1 2024","FQ1 2024","Currency=USD","Period=FQ","BEST_FPERIOD_OVERRIDE=FQ","FILING_STATUS=MR","SCALING_FORMAT=MLN","Sort=A","Dates=H","DateFormat=P","Fill=—","Direction=H","UseDPDF=Y")</f>
        <v>—</v>
      </c>
      <c r="Z162" s="13" t="str">
        <f>_xll.BDH("BLUE US Equity","ARDR_DTA_NOL_CARRYFORWARD","FQ2 2024","FQ2 2024","Currency=USD","Period=FQ","BEST_FPERIOD_OVERRIDE=FQ","FILING_STATUS=MR","SCALING_FORMAT=MLN","Sort=A","Dates=H","DateFormat=P","Fill=—","Direction=H","UseDPDF=Y")</f>
        <v>—</v>
      </c>
      <c r="AA162" s="13" t="str">
        <f>_xll.BDH("BLUE US Equity","ARDR_DTA_NOL_CARRYFORWARD","FQ3 2024","FQ3 2024","Currency=USD","Period=FQ","BEST_FPERIOD_OVERRIDE=FQ","FILING_STATUS=MR","SCALING_FORMAT=MLN","Sort=A","Dates=H","DateFormat=P","Fill=—","Direction=H","UseDPDF=Y")</f>
        <v>—</v>
      </c>
    </row>
    <row r="163" spans="1:27" x14ac:dyDescent="0.25">
      <c r="A163" s="10" t="s">
        <v>1037</v>
      </c>
      <c r="B163" s="10" t="s">
        <v>1038</v>
      </c>
      <c r="C163" s="13" t="str">
        <f>_xll.BDH("BLUE US Equity","ARDR_DTA_TAX_CREDITS","FQ2 2018","FQ2 2018","Currency=USD","Period=FQ","BEST_FPERIOD_OVERRIDE=FQ","FILING_STATUS=MR","SCALING_FORMAT=MLN","Sort=A","Dates=H","DateFormat=P","Fill=—","Direction=H","UseDPDF=Y")</f>
        <v>—</v>
      </c>
      <c r="D163" s="13" t="str">
        <f>_xll.BDH("BLUE US Equity","ARDR_DTA_TAX_CREDITS","FQ3 2018","FQ3 2018","Currency=USD","Period=FQ","BEST_FPERIOD_OVERRIDE=FQ","FILING_STATUS=MR","SCALING_FORMAT=MLN","Sort=A","Dates=H","DateFormat=P","Fill=—","Direction=H","UseDPDF=Y")</f>
        <v>—</v>
      </c>
      <c r="E163" s="13">
        <f>_xll.BDH("BLUE US Equity","ARDR_DTA_TAX_CREDITS","FQ4 2018","FQ4 2018","Currency=USD","Period=FQ","BEST_FPERIOD_OVERRIDE=FQ","FILING_STATUS=MR","SCALING_FORMAT=MLN","Sort=A","Dates=H","DateFormat=P","Fill=—","Direction=H","UseDPDF=Y")</f>
        <v>167.517</v>
      </c>
      <c r="F163" s="13" t="str">
        <f>_xll.BDH("BLUE US Equity","ARDR_DTA_TAX_CREDITS","FQ1 2019","FQ1 2019","Currency=USD","Period=FQ","BEST_FPERIOD_OVERRIDE=FQ","FILING_STATUS=MR","SCALING_FORMAT=MLN","Sort=A","Dates=H","DateFormat=P","Fill=—","Direction=H","UseDPDF=Y")</f>
        <v>—</v>
      </c>
      <c r="G163" s="13" t="str">
        <f>_xll.BDH("BLUE US Equity","ARDR_DTA_TAX_CREDITS","FQ2 2019","FQ2 2019","Currency=USD","Period=FQ","BEST_FPERIOD_OVERRIDE=FQ","FILING_STATUS=MR","SCALING_FORMAT=MLN","Sort=A","Dates=H","DateFormat=P","Fill=—","Direction=H","UseDPDF=Y")</f>
        <v>—</v>
      </c>
      <c r="H163" s="13" t="str">
        <f>_xll.BDH("BLUE US Equity","ARDR_DTA_TAX_CREDITS","FQ3 2019","FQ3 2019","Currency=USD","Period=FQ","BEST_FPERIOD_OVERRIDE=FQ","FILING_STATUS=MR","SCALING_FORMAT=MLN","Sort=A","Dates=H","DateFormat=P","Fill=—","Direction=H","UseDPDF=Y")</f>
        <v>—</v>
      </c>
      <c r="I163" s="13">
        <f>_xll.BDH("BLUE US Equity","ARDR_DTA_TAX_CREDITS","FQ4 2019","FQ4 2019","Currency=USD","Period=FQ","BEST_FPERIOD_OVERRIDE=FQ","FILING_STATUS=MR","SCALING_FORMAT=MLN","Sort=A","Dates=H","DateFormat=P","Fill=—","Direction=H","UseDPDF=Y")</f>
        <v>213.81</v>
      </c>
      <c r="J163" s="13" t="str">
        <f>_xll.BDH("BLUE US Equity","ARDR_DTA_TAX_CREDITS","FQ1 2020","FQ1 2020","Currency=USD","Period=FQ","BEST_FPERIOD_OVERRIDE=FQ","FILING_STATUS=MR","SCALING_FORMAT=MLN","Sort=A","Dates=H","DateFormat=P","Fill=—","Direction=H","UseDPDF=Y")</f>
        <v>—</v>
      </c>
      <c r="K163" s="13" t="str">
        <f>_xll.BDH("BLUE US Equity","ARDR_DTA_TAX_CREDITS","FQ2 2020","FQ2 2020","Currency=USD","Period=FQ","BEST_FPERIOD_OVERRIDE=FQ","FILING_STATUS=MR","SCALING_FORMAT=MLN","Sort=A","Dates=H","DateFormat=P","Fill=—","Direction=H","UseDPDF=Y")</f>
        <v>—</v>
      </c>
      <c r="L163" s="13" t="str">
        <f>_xll.BDH("BLUE US Equity","ARDR_DTA_TAX_CREDITS","FQ3 2020","FQ3 2020","Currency=USD","Period=FQ","BEST_FPERIOD_OVERRIDE=FQ","FILING_STATUS=MR","SCALING_FORMAT=MLN","Sort=A","Dates=H","DateFormat=P","Fill=—","Direction=H","UseDPDF=Y")</f>
        <v>—</v>
      </c>
      <c r="M163" s="13">
        <f>_xll.BDH("BLUE US Equity","ARDR_DTA_TAX_CREDITS","FQ4 2020","FQ4 2020","Currency=USD","Period=FQ","BEST_FPERIOD_OVERRIDE=FQ","FILING_STATUS=MR","SCALING_FORMAT=MLN","Sort=A","Dates=H","DateFormat=P","Fill=—","Direction=H","UseDPDF=Y")</f>
        <v>246.74199999999999</v>
      </c>
      <c r="N163" s="13" t="str">
        <f>_xll.BDH("BLUE US Equity","ARDR_DTA_TAX_CREDITS","FQ1 2021","FQ1 2021","Currency=USD","Period=FQ","BEST_FPERIOD_OVERRIDE=FQ","FILING_STATUS=MR","SCALING_FORMAT=MLN","Sort=A","Dates=H","DateFormat=P","Fill=—","Direction=H","UseDPDF=Y")</f>
        <v>—</v>
      </c>
      <c r="O163" s="13" t="str">
        <f>_xll.BDH("BLUE US Equity","ARDR_DTA_TAX_CREDITS","FQ2 2021","FQ2 2021","Currency=USD","Period=FQ","BEST_FPERIOD_OVERRIDE=FQ","FILING_STATUS=MR","SCALING_FORMAT=MLN","Sort=A","Dates=H","DateFormat=P","Fill=—","Direction=H","UseDPDF=Y")</f>
        <v>—</v>
      </c>
      <c r="P163" s="13" t="str">
        <f>_xll.BDH("BLUE US Equity","ARDR_DTA_TAX_CREDITS","FQ3 2021","FQ3 2021","Currency=USD","Period=FQ","BEST_FPERIOD_OVERRIDE=FQ","FILING_STATUS=MR","SCALING_FORMAT=MLN","Sort=A","Dates=H","DateFormat=P","Fill=—","Direction=H","UseDPDF=Y")</f>
        <v>—</v>
      </c>
      <c r="Q163" s="13">
        <f>_xll.BDH("BLUE US Equity","ARDR_DTA_TAX_CREDITS","FQ4 2021","FQ4 2021","Currency=USD","Period=FQ","BEST_FPERIOD_OVERRIDE=FQ","FILING_STATUS=MR","SCALING_FORMAT=MLN","Sort=A","Dates=H","DateFormat=P","Fill=—","Direction=H","UseDPDF=Y")</f>
        <v>281.68700000000001</v>
      </c>
      <c r="R163" s="13" t="str">
        <f>_xll.BDH("BLUE US Equity","ARDR_DTA_TAX_CREDITS","FQ1 2022","FQ1 2022","Currency=USD","Period=FQ","BEST_FPERIOD_OVERRIDE=FQ","FILING_STATUS=MR","SCALING_FORMAT=MLN","Sort=A","Dates=H","DateFormat=P","Fill=—","Direction=H","UseDPDF=Y")</f>
        <v>—</v>
      </c>
      <c r="S163" s="13" t="str">
        <f>_xll.BDH("BLUE US Equity","ARDR_DTA_TAX_CREDITS","FQ2 2022","FQ2 2022","Currency=USD","Period=FQ","BEST_FPERIOD_OVERRIDE=FQ","FILING_STATUS=MR","SCALING_FORMAT=MLN","Sort=A","Dates=H","DateFormat=P","Fill=—","Direction=H","UseDPDF=Y")</f>
        <v>—</v>
      </c>
      <c r="T163" s="13" t="str">
        <f>_xll.BDH("BLUE US Equity","ARDR_DTA_TAX_CREDITS","FQ3 2022","FQ3 2022","Currency=USD","Period=FQ","BEST_FPERIOD_OVERRIDE=FQ","FILING_STATUS=MR","SCALING_FORMAT=MLN","Sort=A","Dates=H","DateFormat=P","Fill=—","Direction=H","UseDPDF=Y")</f>
        <v>—</v>
      </c>
      <c r="U163" s="13">
        <f>_xll.BDH("BLUE US Equity","ARDR_DTA_TAX_CREDITS","FQ4 2022","FQ4 2022","Currency=USD","Period=FQ","BEST_FPERIOD_OVERRIDE=FQ","FILING_STATUS=MR","SCALING_FORMAT=MLN","Sort=A","Dates=H","DateFormat=P","Fill=—","Direction=H","UseDPDF=Y")</f>
        <v>302.27300000000002</v>
      </c>
      <c r="V163" s="13" t="str">
        <f>_xll.BDH("BLUE US Equity","ARDR_DTA_TAX_CREDITS","FQ1 2023","FQ1 2023","Currency=USD","Period=FQ","BEST_FPERIOD_OVERRIDE=FQ","FILING_STATUS=MR","SCALING_FORMAT=MLN","Sort=A","Dates=H","DateFormat=P","Fill=—","Direction=H","UseDPDF=Y")</f>
        <v>—</v>
      </c>
      <c r="W163" s="13" t="str">
        <f>_xll.BDH("BLUE US Equity","ARDR_DTA_TAX_CREDITS","FQ2 2023","FQ2 2023","Currency=USD","Period=FQ","BEST_FPERIOD_OVERRIDE=FQ","FILING_STATUS=MR","SCALING_FORMAT=MLN","Sort=A","Dates=H","DateFormat=P","Fill=—","Direction=H","UseDPDF=Y")</f>
        <v>—</v>
      </c>
      <c r="X163" s="13" t="str">
        <f>_xll.BDH("BLUE US Equity","ARDR_DTA_TAX_CREDITS","FQ3 2023","FQ3 2023","Currency=USD","Period=FQ","BEST_FPERIOD_OVERRIDE=FQ","FILING_STATUS=MR","SCALING_FORMAT=MLN","Sort=A","Dates=H","DateFormat=P","Fill=—","Direction=H","UseDPDF=Y")</f>
        <v>—</v>
      </c>
      <c r="Y163" s="13" t="str">
        <f>_xll.BDH("BLUE US Equity","ARDR_DTA_TAX_CREDITS","FQ1 2024","FQ1 2024","Currency=USD","Period=FQ","BEST_FPERIOD_OVERRIDE=FQ","FILING_STATUS=MR","SCALING_FORMAT=MLN","Sort=A","Dates=H","DateFormat=P","Fill=—","Direction=H","UseDPDF=Y")</f>
        <v>—</v>
      </c>
      <c r="Z163" s="13" t="str">
        <f>_xll.BDH("BLUE US Equity","ARDR_DTA_TAX_CREDITS","FQ2 2024","FQ2 2024","Currency=USD","Period=FQ","BEST_FPERIOD_OVERRIDE=FQ","FILING_STATUS=MR","SCALING_FORMAT=MLN","Sort=A","Dates=H","DateFormat=P","Fill=—","Direction=H","UseDPDF=Y")</f>
        <v>—</v>
      </c>
      <c r="AA163" s="13" t="str">
        <f>_xll.BDH("BLUE US Equity","ARDR_DTA_TAX_CREDITS","FQ3 2024","FQ3 2024","Currency=USD","Period=FQ","BEST_FPERIOD_OVERRIDE=FQ","FILING_STATUS=MR","SCALING_FORMAT=MLN","Sort=A","Dates=H","DateFormat=P","Fill=—","Direction=H","UseDPDF=Y")</f>
        <v>—</v>
      </c>
    </row>
    <row r="164" spans="1:27" x14ac:dyDescent="0.25">
      <c r="A164" s="10" t="s">
        <v>1039</v>
      </c>
      <c r="B164" s="10" t="s">
        <v>1040</v>
      </c>
      <c r="C164" s="13">
        <f>_xll.BDH("BLUE US Equity","ARDR_OPTIONS_BEGINNING_OF_PERIOD","FQ2 2018","FQ2 2018","Currency=USD","Period=FQ","BEST_FPERIOD_OVERRIDE=FQ","FILING_STATUS=MR","Sort=A","Dates=H","DateFormat=P","Fill=—","Direction=H","UseDPDF=Y")</f>
        <v>0.2223</v>
      </c>
      <c r="D164" s="13">
        <f>_xll.BDH("BLUE US Equity","ARDR_OPTIONS_BEGINNING_OF_PERIOD","FQ3 2018","FQ3 2018","Currency=USD","Period=FQ","BEST_FPERIOD_OVERRIDE=FQ","FILING_STATUS=MR","Sort=A","Dates=H","DateFormat=P","Fill=—","Direction=H","UseDPDF=Y")</f>
        <v>0.2253</v>
      </c>
      <c r="E164" s="13">
        <f>_xll.BDH("BLUE US Equity","ARDR_OPTIONS_BEGINNING_OF_PERIOD","FQ4 2018","FQ4 2018","Currency=USD","Period=FQ","BEST_FPERIOD_OVERRIDE=FQ","FILING_STATUS=MR","Sort=A","Dates=H","DateFormat=P","Fill=—","Direction=H","UseDPDF=Y")</f>
        <v>0.22700000000000001</v>
      </c>
      <c r="F164" s="13">
        <f>_xll.BDH("BLUE US Equity","ARDR_OPTIONS_BEGINNING_OF_PERIOD","FQ1 2019","FQ1 2019","Currency=USD","Period=FQ","BEST_FPERIOD_OVERRIDE=FQ","FILING_STATUS=MR","Sort=A","Dates=H","DateFormat=P","Fill=—","Direction=H","UseDPDF=Y")</f>
        <v>0.23219999999999999</v>
      </c>
      <c r="G164" s="13">
        <f>_xll.BDH("BLUE US Equity","ARDR_OPTIONS_BEGINNING_OF_PERIOD","FQ2 2019","FQ2 2019","Currency=USD","Period=FQ","BEST_FPERIOD_OVERRIDE=FQ","FILING_STATUS=MR","Sort=A","Dates=H","DateFormat=P","Fill=—","Direction=H","UseDPDF=Y")</f>
        <v>0.26919999999999999</v>
      </c>
      <c r="H164" s="13">
        <f>_xll.BDH("BLUE US Equity","ARDR_OPTIONS_BEGINNING_OF_PERIOD","FQ3 2019","FQ3 2019","Currency=USD","Period=FQ","BEST_FPERIOD_OVERRIDE=FQ","FILING_STATUS=MR","Sort=A","Dates=H","DateFormat=P","Fill=—","Direction=H","UseDPDF=Y")</f>
        <v>0.2697</v>
      </c>
      <c r="I164" s="13">
        <f>_xll.BDH("BLUE US Equity","ARDR_OPTIONS_BEGINNING_OF_PERIOD","FQ4 2019","FQ4 2019","Currency=USD","Period=FQ","BEST_FPERIOD_OVERRIDE=FQ","FILING_STATUS=MR","Sort=A","Dates=H","DateFormat=P","Fill=—","Direction=H","UseDPDF=Y")</f>
        <v>0.27350000000000002</v>
      </c>
      <c r="J164" s="13">
        <f>_xll.BDH("BLUE US Equity","ARDR_OPTIONS_BEGINNING_OF_PERIOD","FQ1 2020","FQ1 2020","Currency=USD","Period=FQ","BEST_FPERIOD_OVERRIDE=FQ","FILING_STATUS=MR","Sort=A","Dates=H","DateFormat=P","Fill=—","Direction=H","UseDPDF=Y")</f>
        <v>0.2742</v>
      </c>
      <c r="K164" s="13">
        <f>_xll.BDH("BLUE US Equity","ARDR_OPTIONS_BEGINNING_OF_PERIOD","FQ2 2020","FQ2 2020","Currency=USD","Period=FQ","BEST_FPERIOD_OVERRIDE=FQ","FILING_STATUS=MR","Sort=A","Dates=H","DateFormat=P","Fill=—","Direction=H","UseDPDF=Y")</f>
        <v>0.32390000000000002</v>
      </c>
      <c r="L164" s="13">
        <f>_xll.BDH("BLUE US Equity","ARDR_OPTIONS_BEGINNING_OF_PERIOD","FQ3 2020","FQ3 2020","Currency=USD","Period=FQ","BEST_FPERIOD_OVERRIDE=FQ","FILING_STATUS=MR","Sort=A","Dates=H","DateFormat=P","Fill=—","Direction=H","UseDPDF=Y")</f>
        <v>0.32329999999999998</v>
      </c>
      <c r="M164" s="13">
        <f>_xll.BDH("BLUE US Equity","ARDR_OPTIONS_BEGINNING_OF_PERIOD","FQ4 2020","FQ4 2020","Currency=USD","Period=FQ","BEST_FPERIOD_OVERRIDE=FQ","FILING_STATUS=MR","Sort=A","Dates=H","DateFormat=P","Fill=—","Direction=H","UseDPDF=Y")</f>
        <v>0.31819999999999998</v>
      </c>
      <c r="N164" s="13">
        <f>_xll.BDH("BLUE US Equity","ARDR_OPTIONS_BEGINNING_OF_PERIOD","FQ1 2021","FQ1 2021","Currency=USD","Period=FQ","BEST_FPERIOD_OVERRIDE=FQ","FILING_STATUS=MR","Sort=A","Dates=H","DateFormat=P","Fill=—","Direction=H","UseDPDF=Y")</f>
        <v>0.31309999999999999</v>
      </c>
      <c r="O164" s="13">
        <f>_xll.BDH("BLUE US Equity","ARDR_OPTIONS_BEGINNING_OF_PERIOD","FQ2 2021","FQ2 2021","Currency=USD","Period=FQ","BEST_FPERIOD_OVERRIDE=FQ","FILING_STATUS=MR","Sort=A","Dates=H","DateFormat=P","Fill=—","Direction=H","UseDPDF=Y")</f>
        <v>0.32290000000000002</v>
      </c>
      <c r="P164" s="13">
        <f>_xll.BDH("BLUE US Equity","ARDR_OPTIONS_BEGINNING_OF_PERIOD","FQ3 2021","FQ3 2021","Currency=USD","Period=FQ","BEST_FPERIOD_OVERRIDE=FQ","FILING_STATUS=MR","Sort=A","Dates=H","DateFormat=P","Fill=—","Direction=H","UseDPDF=Y")</f>
        <v>0.30499999999999999</v>
      </c>
      <c r="Q164" s="13">
        <f>_xll.BDH("BLUE US Equity","ARDR_OPTIONS_BEGINNING_OF_PERIOD","FQ4 2021","FQ4 2021","Currency=USD","Period=FQ","BEST_FPERIOD_OVERRIDE=FQ","FILING_STATUS=MR","Sort=A","Dates=H","DateFormat=P","Fill=—","Direction=H","UseDPDF=Y")</f>
        <v>0.28370000000000001</v>
      </c>
      <c r="R164" s="13">
        <f>_xll.BDH("BLUE US Equity","ARDR_OPTIONS_BEGINNING_OF_PERIOD","FQ1 2022","FQ1 2022","Currency=USD","Period=FQ","BEST_FPERIOD_OVERRIDE=FQ","FILING_STATUS=MR","Sort=A","Dates=H","DateFormat=P","Fill=—","Direction=H","UseDPDF=Y")</f>
        <v>0.17929999999999999</v>
      </c>
      <c r="S164" s="13">
        <f>_xll.BDH("BLUE US Equity","ARDR_OPTIONS_BEGINNING_OF_PERIOD","FQ2 2022","FQ2 2022","Currency=USD","Period=FQ","BEST_FPERIOD_OVERRIDE=FQ","FILING_STATUS=MR","Sort=A","Dates=H","DateFormat=P","Fill=—","Direction=H","UseDPDF=Y")</f>
        <v>0.187</v>
      </c>
      <c r="T164" s="13">
        <f>_xll.BDH("BLUE US Equity","ARDR_OPTIONS_BEGINNING_OF_PERIOD","FQ3 2022","FQ3 2022","Currency=USD","Period=FQ","BEST_FPERIOD_OVERRIDE=FQ","FILING_STATUS=MR","Sort=A","Dates=H","DateFormat=P","Fill=—","Direction=H","UseDPDF=Y")</f>
        <v>0.1535</v>
      </c>
      <c r="U164" s="13">
        <f>_xll.BDH("BLUE US Equity","ARDR_OPTIONS_BEGINNING_OF_PERIOD","FQ4 2022","FQ4 2022","Currency=USD","Period=FQ","BEST_FPERIOD_OVERRIDE=FQ","FILING_STATUS=MR","Sort=A","Dates=H","DateFormat=P","Fill=—","Direction=H","UseDPDF=Y")</f>
        <v>0.1363</v>
      </c>
      <c r="V164" s="13">
        <f>_xll.BDH("BLUE US Equity","ARDR_OPTIONS_BEGINNING_OF_PERIOD","FQ1 2023","FQ1 2023","Currency=USD","Period=FQ","BEST_FPERIOD_OVERRIDE=FQ","FILING_STATUS=MR","Sort=A","Dates=H","DateFormat=P","Fill=—","Direction=H","UseDPDF=Y")</f>
        <v>0.13339999999999999</v>
      </c>
      <c r="W164" s="13">
        <f>_xll.BDH("BLUE US Equity","ARDR_OPTIONS_BEGINNING_OF_PERIOD","FQ2 2023","FQ2 2023","Currency=USD","Period=FQ","BEST_FPERIOD_OVERRIDE=FQ","FILING_STATUS=MR","Sort=A","Dates=H","DateFormat=P","Fill=—","Direction=H","UseDPDF=Y")</f>
        <v>0.2117</v>
      </c>
      <c r="X164" s="13">
        <f>_xll.BDH("BLUE US Equity","ARDR_OPTIONS_BEGINNING_OF_PERIOD","FQ3 2023","FQ3 2023","Currency=USD","Period=FQ","BEST_FPERIOD_OVERRIDE=FQ","FILING_STATUS=MR","Sort=A","Dates=H","DateFormat=P","Fill=—","Direction=H","UseDPDF=Y")</f>
        <v>0.2215</v>
      </c>
      <c r="Y164" s="13">
        <f>_xll.BDH("BLUE US Equity","ARDR_OPTIONS_BEGINNING_OF_PERIOD","FQ1 2024","FQ1 2024","Currency=USD","Period=FQ","BEST_FPERIOD_OVERRIDE=FQ","FILING_STATUS=MR","Sort=A","Dates=H","DateFormat=P","Fill=—","Direction=H","UseDPDF=Y")</f>
        <v>0.2114</v>
      </c>
      <c r="Z164" s="13">
        <f>_xll.BDH("BLUE US Equity","ARDR_OPTIONS_BEGINNING_OF_PERIOD","FQ2 2024","FQ2 2024","Currency=USD","Period=FQ","BEST_FPERIOD_OVERRIDE=FQ","FILING_STATUS=MR","Sort=A","Dates=H","DateFormat=P","Fill=—","Direction=H","UseDPDF=Y")</f>
        <v>0.32850000000000001</v>
      </c>
      <c r="AA164" s="13">
        <f>_xll.BDH("BLUE US Equity","ARDR_OPTIONS_BEGINNING_OF_PERIOD","FQ3 2024","FQ3 2024","Currency=USD","Period=FQ","BEST_FPERIOD_OVERRIDE=FQ","FILING_STATUS=MR","Sort=A","Dates=H","DateFormat=P","Fill=—","Direction=H","UseDPDF=Y")</f>
        <v>0.315</v>
      </c>
    </row>
    <row r="165" spans="1:27" x14ac:dyDescent="0.25">
      <c r="A165" s="10" t="s">
        <v>1041</v>
      </c>
      <c r="B165" s="10" t="s">
        <v>1042</v>
      </c>
      <c r="C165" s="13" t="str">
        <f>_xll.BDH("BLUE US Equity","ARDR_OPTIONS_ADJUSTMENT","FQ2 2018","FQ2 2018","Currency=USD","Period=FQ","BEST_FPERIOD_OVERRIDE=FQ","FILING_STATUS=MR","Sort=A","Dates=H","DateFormat=P","Fill=—","Direction=H","UseDPDF=Y")</f>
        <v>—</v>
      </c>
      <c r="D165" s="13" t="str">
        <f>_xll.BDH("BLUE US Equity","ARDR_OPTIONS_ADJUSTMENT","FQ3 2018","FQ3 2018","Currency=USD","Period=FQ","BEST_FPERIOD_OVERRIDE=FQ","FILING_STATUS=MR","Sort=A","Dates=H","DateFormat=P","Fill=—","Direction=H","UseDPDF=Y")</f>
        <v>—</v>
      </c>
      <c r="E165" s="13" t="str">
        <f>_xll.BDH("BLUE US Equity","ARDR_OPTIONS_ADJUSTMENT","FQ4 2018","FQ4 2018","Currency=USD","Period=FQ","BEST_FPERIOD_OVERRIDE=FQ","FILING_STATUS=MR","Sort=A","Dates=H","DateFormat=P","Fill=—","Direction=H","UseDPDF=Y")</f>
        <v>—</v>
      </c>
      <c r="F165" s="13" t="str">
        <f>_xll.BDH("BLUE US Equity","ARDR_OPTIONS_ADJUSTMENT","FQ1 2019","FQ1 2019","Currency=USD","Period=FQ","BEST_FPERIOD_OVERRIDE=FQ","FILING_STATUS=MR","Sort=A","Dates=H","DateFormat=P","Fill=—","Direction=H","UseDPDF=Y")</f>
        <v>—</v>
      </c>
      <c r="G165" s="13" t="str">
        <f>_xll.BDH("BLUE US Equity","ARDR_OPTIONS_ADJUSTMENT","FQ2 2019","FQ2 2019","Currency=USD","Period=FQ","BEST_FPERIOD_OVERRIDE=FQ","FILING_STATUS=MR","Sort=A","Dates=H","DateFormat=P","Fill=—","Direction=H","UseDPDF=Y")</f>
        <v>—</v>
      </c>
      <c r="H165" s="13" t="str">
        <f>_xll.BDH("BLUE US Equity","ARDR_OPTIONS_ADJUSTMENT","FQ3 2019","FQ3 2019","Currency=USD","Period=FQ","BEST_FPERIOD_OVERRIDE=FQ","FILING_STATUS=MR","Sort=A","Dates=H","DateFormat=P","Fill=—","Direction=H","UseDPDF=Y")</f>
        <v>—</v>
      </c>
      <c r="I165" s="13" t="str">
        <f>_xll.BDH("BLUE US Equity","ARDR_OPTIONS_ADJUSTMENT","FQ4 2019","FQ4 2019","Currency=USD","Period=FQ","BEST_FPERIOD_OVERRIDE=FQ","FILING_STATUS=MR","Sort=A","Dates=H","DateFormat=P","Fill=—","Direction=H","UseDPDF=Y")</f>
        <v>—</v>
      </c>
      <c r="J165" s="13" t="str">
        <f>_xll.BDH("BLUE US Equity","ARDR_OPTIONS_ADJUSTMENT","FQ1 2020","FQ1 2020","Currency=USD","Period=FQ","BEST_FPERIOD_OVERRIDE=FQ","FILING_STATUS=MR","Sort=A","Dates=H","DateFormat=P","Fill=—","Direction=H","UseDPDF=Y")</f>
        <v>—</v>
      </c>
      <c r="K165" s="13" t="str">
        <f>_xll.BDH("BLUE US Equity","ARDR_OPTIONS_ADJUSTMENT","FQ2 2020","FQ2 2020","Currency=USD","Period=FQ","BEST_FPERIOD_OVERRIDE=FQ","FILING_STATUS=MR","Sort=A","Dates=H","DateFormat=P","Fill=—","Direction=H","UseDPDF=Y")</f>
        <v>—</v>
      </c>
      <c r="L165" s="13" t="str">
        <f>_xll.BDH("BLUE US Equity","ARDR_OPTIONS_ADJUSTMENT","FQ3 2020","FQ3 2020","Currency=USD","Period=FQ","BEST_FPERIOD_OVERRIDE=FQ","FILING_STATUS=MR","Sort=A","Dates=H","DateFormat=P","Fill=—","Direction=H","UseDPDF=Y")</f>
        <v>—</v>
      </c>
      <c r="M165" s="13" t="str">
        <f>_xll.BDH("BLUE US Equity","ARDR_OPTIONS_ADJUSTMENT","FQ4 2020","FQ4 2020","Currency=USD","Period=FQ","BEST_FPERIOD_OVERRIDE=FQ","FILING_STATUS=MR","Sort=A","Dates=H","DateFormat=P","Fill=—","Direction=H","UseDPDF=Y")</f>
        <v>—</v>
      </c>
      <c r="N165" s="13" t="str">
        <f>_xll.BDH("BLUE US Equity","ARDR_OPTIONS_ADJUSTMENT","FQ1 2021","FQ1 2021","Currency=USD","Period=FQ","BEST_FPERIOD_OVERRIDE=FQ","FILING_STATUS=MR","Sort=A","Dates=H","DateFormat=P","Fill=—","Direction=H","UseDPDF=Y")</f>
        <v>—</v>
      </c>
      <c r="O165" s="13" t="str">
        <f>_xll.BDH("BLUE US Equity","ARDR_OPTIONS_ADJUSTMENT","FQ2 2021","FQ2 2021","Currency=USD","Period=FQ","BEST_FPERIOD_OVERRIDE=FQ","FILING_STATUS=MR","Sort=A","Dates=H","DateFormat=P","Fill=—","Direction=H","UseDPDF=Y")</f>
        <v>—</v>
      </c>
      <c r="P165" s="13" t="str">
        <f>_xll.BDH("BLUE US Equity","ARDR_OPTIONS_ADJUSTMENT","FQ3 2021","FQ3 2021","Currency=USD","Period=FQ","BEST_FPERIOD_OVERRIDE=FQ","FILING_STATUS=MR","Sort=A","Dates=H","DateFormat=P","Fill=—","Direction=H","UseDPDF=Y")</f>
        <v>—</v>
      </c>
      <c r="Q165" s="13">
        <f>_xll.BDH("BLUE US Equity","ARDR_OPTIONS_ADJUSTMENT","FQ4 2021","FQ4 2021","Currency=USD","Period=FQ","BEST_FPERIOD_OVERRIDE=FQ","FILING_STATUS=MR","Sort=A","Dates=H","DateFormat=P","Fill=—","Direction=H","UseDPDF=Y")</f>
        <v>1.0999999999999999E-2</v>
      </c>
      <c r="R165" s="13" t="str">
        <f>_xll.BDH("BLUE US Equity","ARDR_OPTIONS_ADJUSTMENT","FQ1 2022","FQ1 2022","Currency=USD","Period=FQ","BEST_FPERIOD_OVERRIDE=FQ","FILING_STATUS=MR","Sort=A","Dates=H","DateFormat=P","Fill=—","Direction=H","UseDPDF=Y")</f>
        <v>—</v>
      </c>
      <c r="S165" s="13" t="str">
        <f>_xll.BDH("BLUE US Equity","ARDR_OPTIONS_ADJUSTMENT","FQ2 2022","FQ2 2022","Currency=USD","Period=FQ","BEST_FPERIOD_OVERRIDE=FQ","FILING_STATUS=MR","Sort=A","Dates=H","DateFormat=P","Fill=—","Direction=H","UseDPDF=Y")</f>
        <v>—</v>
      </c>
      <c r="T165" s="13" t="str">
        <f>_xll.BDH("BLUE US Equity","ARDR_OPTIONS_ADJUSTMENT","FQ3 2022","FQ3 2022","Currency=USD","Period=FQ","BEST_FPERIOD_OVERRIDE=FQ","FILING_STATUS=MR","Sort=A","Dates=H","DateFormat=P","Fill=—","Direction=H","UseDPDF=Y")</f>
        <v>—</v>
      </c>
      <c r="U165" s="13" t="str">
        <f>_xll.BDH("BLUE US Equity","ARDR_OPTIONS_ADJUSTMENT","FQ4 2022","FQ4 2022","Currency=USD","Period=FQ","BEST_FPERIOD_OVERRIDE=FQ","FILING_STATUS=MR","Sort=A","Dates=H","DateFormat=P","Fill=—","Direction=H","UseDPDF=Y")</f>
        <v>—</v>
      </c>
      <c r="V165" s="13" t="str">
        <f>_xll.BDH("BLUE US Equity","ARDR_OPTIONS_ADJUSTMENT","FQ1 2023","FQ1 2023","Currency=USD","Period=FQ","BEST_FPERIOD_OVERRIDE=FQ","FILING_STATUS=MR","Sort=A","Dates=H","DateFormat=P","Fill=—","Direction=H","UseDPDF=Y")</f>
        <v>—</v>
      </c>
      <c r="W165" s="13" t="str">
        <f>_xll.BDH("BLUE US Equity","ARDR_OPTIONS_ADJUSTMENT","FQ2 2023","FQ2 2023","Currency=USD","Period=FQ","BEST_FPERIOD_OVERRIDE=FQ","FILING_STATUS=MR","Sort=A","Dates=H","DateFormat=P","Fill=—","Direction=H","UseDPDF=Y")</f>
        <v>—</v>
      </c>
      <c r="X165" s="13" t="str">
        <f>_xll.BDH("BLUE US Equity","ARDR_OPTIONS_ADJUSTMENT","FQ3 2023","FQ3 2023","Currency=USD","Period=FQ","BEST_FPERIOD_OVERRIDE=FQ","FILING_STATUS=MR","Sort=A","Dates=H","DateFormat=P","Fill=—","Direction=H","UseDPDF=Y")</f>
        <v>—</v>
      </c>
      <c r="Y165" s="13" t="str">
        <f>_xll.BDH("BLUE US Equity","ARDR_OPTIONS_ADJUSTMENT","FQ1 2024","FQ1 2024","Currency=USD","Period=FQ","BEST_FPERIOD_OVERRIDE=FQ","FILING_STATUS=MR","Sort=A","Dates=H","DateFormat=P","Fill=—","Direction=H","UseDPDF=Y")</f>
        <v>—</v>
      </c>
      <c r="Z165" s="13" t="str">
        <f>_xll.BDH("BLUE US Equity","ARDR_OPTIONS_ADJUSTMENT","FQ2 2024","FQ2 2024","Currency=USD","Period=FQ","BEST_FPERIOD_OVERRIDE=FQ","FILING_STATUS=MR","Sort=A","Dates=H","DateFormat=P","Fill=—","Direction=H","UseDPDF=Y")</f>
        <v>—</v>
      </c>
      <c r="AA165" s="13" t="str">
        <f>_xll.BDH("BLUE US Equity","ARDR_OPTIONS_ADJUSTMENT","FQ3 2024","FQ3 2024","Currency=USD","Period=FQ","BEST_FPERIOD_OVERRIDE=FQ","FILING_STATUS=MR","Sort=A","Dates=H","DateFormat=P","Fill=—","Direction=H","UseDPDF=Y")</f>
        <v>—</v>
      </c>
    </row>
    <row r="166" spans="1:27" x14ac:dyDescent="0.25">
      <c r="A166" s="10" t="s">
        <v>1043</v>
      </c>
      <c r="B166" s="10" t="s">
        <v>1044</v>
      </c>
      <c r="C166" s="13">
        <f>_xll.BDH("BLUE US Equity","ARDR_RESTRICTED_STOCK_UNITS","FQ2 2018","FQ2 2018","Currency=USD","Period=FQ","BEST_FPERIOD_OVERRIDE=FQ","FILING_STATUS=MR","Sort=A","Dates=H","DateFormat=P","Fill=—","Direction=H","UseDPDF=Y")</f>
        <v>4.4969999999999999</v>
      </c>
      <c r="D166" s="13">
        <f>_xll.BDH("BLUE US Equity","ARDR_RESTRICTED_STOCK_UNITS","FQ3 2018","FQ3 2018","Currency=USD","Period=FQ","BEST_FPERIOD_OVERRIDE=FQ","FILING_STATUS=MR","Sort=A","Dates=H","DateFormat=P","Fill=—","Direction=H","UseDPDF=Y")</f>
        <v>4.5069999999999997</v>
      </c>
      <c r="E166" s="13">
        <f>_xll.BDH("BLUE US Equity","ARDR_RESTRICTED_STOCK_UNITS","FQ4 2018","FQ4 2018","Currency=USD","Period=FQ","BEST_FPERIOD_OVERRIDE=FQ","FILING_STATUS=MR","Sort=A","Dates=H","DateFormat=P","Fill=—","Direction=H","UseDPDF=Y")</f>
        <v>4.641</v>
      </c>
      <c r="F166" s="13">
        <f>_xll.BDH("BLUE US Equity","ARDR_RESTRICTED_STOCK_UNITS","FQ1 2019","FQ1 2019","Currency=USD","Period=FQ","BEST_FPERIOD_OVERRIDE=FQ","FILING_STATUS=MR","Sort=A","Dates=H","DateFormat=P","Fill=—","Direction=H","UseDPDF=Y")</f>
        <v>5.3819999999999997</v>
      </c>
      <c r="G166" s="13">
        <f>_xll.BDH("BLUE US Equity","ARDR_RESTRICTED_STOCK_UNITS","FQ2 2019","FQ2 2019","Currency=USD","Period=FQ","BEST_FPERIOD_OVERRIDE=FQ","FILING_STATUS=MR","Sort=A","Dates=H","DateFormat=P","Fill=—","Direction=H","UseDPDF=Y")</f>
        <v>5.3929999999999998</v>
      </c>
      <c r="H166" s="13">
        <f>_xll.BDH("BLUE US Equity","ARDR_RESTRICTED_STOCK_UNITS","FQ3 2019","FQ3 2019","Currency=USD","Period=FQ","BEST_FPERIOD_OVERRIDE=FQ","FILING_STATUS=MR","Sort=A","Dates=H","DateFormat=P","Fill=—","Direction=H","UseDPDF=Y")</f>
        <v>5.4690000000000003</v>
      </c>
      <c r="I166" s="13">
        <f>_xll.BDH("BLUE US Equity","ARDR_RESTRICTED_STOCK_UNITS","FQ4 2019","FQ4 2019","Currency=USD","Period=FQ","BEST_FPERIOD_OVERRIDE=FQ","FILING_STATUS=MR","Sort=A","Dates=H","DateFormat=P","Fill=—","Direction=H","UseDPDF=Y")</f>
        <v>5.4829999999999997</v>
      </c>
      <c r="J166" s="13">
        <f>_xll.BDH("BLUE US Equity","ARDR_RESTRICTED_STOCK_UNITS","FQ1 2020","FQ1 2020","Currency=USD","Period=FQ","BEST_FPERIOD_OVERRIDE=FQ","FILING_STATUS=MR","Sort=A","Dates=H","DateFormat=P","Fill=—","Direction=H","UseDPDF=Y")</f>
        <v>6.4779999999999998</v>
      </c>
      <c r="K166" s="13">
        <f>_xll.BDH("BLUE US Equity","ARDR_RESTRICTED_STOCK_UNITS","FQ2 2020","FQ2 2020","Currency=USD","Period=FQ","BEST_FPERIOD_OVERRIDE=FQ","FILING_STATUS=MR","Sort=A","Dates=H","DateFormat=P","Fill=—","Direction=H","UseDPDF=Y")</f>
        <v>6.4660000000000002</v>
      </c>
      <c r="L166" s="13">
        <f>_xll.BDH("BLUE US Equity","ARDR_RESTRICTED_STOCK_UNITS","FQ3 2020","FQ3 2020","Currency=USD","Period=FQ","BEST_FPERIOD_OVERRIDE=FQ","FILING_STATUS=MR","Sort=A","Dates=H","DateFormat=P","Fill=—","Direction=H","UseDPDF=Y")</f>
        <v>6.3630000000000004</v>
      </c>
      <c r="M166" s="13">
        <f>_xll.BDH("BLUE US Equity","ARDR_RESTRICTED_STOCK_UNITS","FQ4 2020","FQ4 2020","Currency=USD","Period=FQ","BEST_FPERIOD_OVERRIDE=FQ","FILING_STATUS=MR","Sort=A","Dates=H","DateFormat=P","Fill=—","Direction=H","UseDPDF=Y")</f>
        <v>1.4950000000000001</v>
      </c>
      <c r="N166" s="13">
        <f>_xll.BDH("BLUE US Equity","ARDR_RESTRICTED_STOCK_UNITS","FQ1 2021","FQ1 2021","Currency=USD","Period=FQ","BEST_FPERIOD_OVERRIDE=FQ","FILING_STATUS=MR","Sort=A","Dates=H","DateFormat=P","Fill=—","Direction=H","UseDPDF=Y")</f>
        <v>2.073</v>
      </c>
      <c r="O166" s="13">
        <f>_xll.BDH("BLUE US Equity","ARDR_RESTRICTED_STOCK_UNITS","FQ2 2021","FQ2 2021","Currency=USD","Period=FQ","BEST_FPERIOD_OVERRIDE=FQ","FILING_STATUS=MR","Sort=A","Dates=H","DateFormat=P","Fill=—","Direction=H","UseDPDF=Y")</f>
        <v>1.865</v>
      </c>
      <c r="P166" s="13">
        <f>_xll.BDH("BLUE US Equity","ARDR_RESTRICTED_STOCK_UNITS","FQ3 2021","FQ3 2021","Currency=USD","Period=FQ","BEST_FPERIOD_OVERRIDE=FQ","FILING_STATUS=MR","Sort=A","Dates=H","DateFormat=P","Fill=—","Direction=H","UseDPDF=Y")</f>
        <v>3.5379999999999998</v>
      </c>
      <c r="Q166" s="13">
        <f>_xll.BDH("BLUE US Equity","ARDR_RESTRICTED_STOCK_UNITS","FQ4 2021","FQ4 2021","Currency=USD","Period=FQ","BEST_FPERIOD_OVERRIDE=FQ","FILING_STATUS=MR","Sort=A","Dates=H","DateFormat=P","Fill=—","Direction=H","UseDPDF=Y")</f>
        <v>3.1930000000000001</v>
      </c>
      <c r="R166" s="13">
        <f>_xll.BDH("BLUE US Equity","ARDR_RESTRICTED_STOCK_UNITS","FQ1 2022","FQ1 2022","Currency=USD","Period=FQ","BEST_FPERIOD_OVERRIDE=FQ","FILING_STATUS=MR","Sort=A","Dates=H","DateFormat=P","Fill=—","Direction=H","UseDPDF=Y")</f>
        <v>3.9060000000000001</v>
      </c>
      <c r="S166" s="13">
        <f>_xll.BDH("BLUE US Equity","ARDR_RESTRICTED_STOCK_UNITS","FQ2 2022","FQ2 2022","Currency=USD","Period=FQ","BEST_FPERIOD_OVERRIDE=FQ","FILING_STATUS=MR","Sort=A","Dates=H","DateFormat=P","Fill=—","Direction=H","UseDPDF=Y")</f>
        <v>3.2749999999999999</v>
      </c>
      <c r="T166" s="13">
        <f>_xll.BDH("BLUE US Equity","ARDR_RESTRICTED_STOCK_UNITS","FQ3 2022","FQ3 2022","Currency=USD","Period=FQ","BEST_FPERIOD_OVERRIDE=FQ","FILING_STATUS=MR","Sort=A","Dates=H","DateFormat=P","Fill=—","Direction=H","UseDPDF=Y")</f>
        <v>2.3519999999999999</v>
      </c>
      <c r="U166" s="13">
        <f>_xll.BDH("BLUE US Equity","ARDR_RESTRICTED_STOCK_UNITS","FQ4 2022","FQ4 2022","Currency=USD","Period=FQ","BEST_FPERIOD_OVERRIDE=FQ","FILING_STATUS=MR","Sort=A","Dates=H","DateFormat=P","Fill=—","Direction=H","UseDPDF=Y")</f>
        <v>2.415</v>
      </c>
      <c r="V166" s="13">
        <f>_xll.BDH("BLUE US Equity","ARDR_RESTRICTED_STOCK_UNITS","FQ1 2023","FQ1 2023","Currency=USD","Period=FQ","BEST_FPERIOD_OVERRIDE=FQ","FILING_STATUS=MR","Sort=A","Dates=H","DateFormat=P","Fill=—","Direction=H","UseDPDF=Y")</f>
        <v>4.4850000000000003</v>
      </c>
      <c r="W166" s="13">
        <f>_xll.BDH("BLUE US Equity","ARDR_RESTRICTED_STOCK_UNITS","FQ2 2023","FQ2 2023","Currency=USD","Period=FQ","BEST_FPERIOD_OVERRIDE=FQ","FILING_STATUS=MR","Sort=A","Dates=H","DateFormat=P","Fill=—","Direction=H","UseDPDF=Y")</f>
        <v>4.6369999999999996</v>
      </c>
      <c r="X166" s="13">
        <f>_xll.BDH("BLUE US Equity","ARDR_RESTRICTED_STOCK_UNITS","FQ3 2023","FQ3 2023","Currency=USD","Period=FQ","BEST_FPERIOD_OVERRIDE=FQ","FILING_STATUS=MR","Sort=A","Dates=H","DateFormat=P","Fill=—","Direction=H","UseDPDF=Y")</f>
        <v>4.1500000000000004</v>
      </c>
      <c r="Y166" s="13">
        <f>_xll.BDH("BLUE US Equity","ARDR_RESTRICTED_STOCK_UNITS","FQ1 2024","FQ1 2024","Currency=USD","Period=FQ","BEST_FPERIOD_OVERRIDE=FQ","FILING_STATUS=MR","Sort=A","Dates=H","DateFormat=P","Fill=—","Direction=H","UseDPDF=Y")</f>
        <v>5.3940000000000001</v>
      </c>
      <c r="Z166" s="13">
        <f>_xll.BDH("BLUE US Equity","ARDR_RESTRICTED_STOCK_UNITS","FQ2 2024","FQ2 2024","Currency=USD","Period=FQ","BEST_FPERIOD_OVERRIDE=FQ","FILING_STATUS=MR","Sort=A","Dates=H","DateFormat=P","Fill=—","Direction=H","UseDPDF=Y")</f>
        <v>4.9969999999999999</v>
      </c>
      <c r="AA166" s="13">
        <f>_xll.BDH("BLUE US Equity","ARDR_RESTRICTED_STOCK_UNITS","FQ3 2024","FQ3 2024","Currency=USD","Period=FQ","BEST_FPERIOD_OVERRIDE=FQ","FILING_STATUS=MR","Sort=A","Dates=H","DateFormat=P","Fill=—","Direction=H","UseDPDF=Y")</f>
        <v>5.5739999999999998</v>
      </c>
    </row>
    <row r="167" spans="1:27" x14ac:dyDescent="0.25">
      <c r="A167" s="10" t="s">
        <v>1045</v>
      </c>
      <c r="B167" s="10" t="s">
        <v>1046</v>
      </c>
      <c r="C167" s="14">
        <f>_xll.BDH("BLUE US Equity","ARDR_RSTR_STK_UNIT_WAVG_FV_PS","FQ2 2018","FQ2 2018","Currency=USD","Period=FQ","BEST_FPERIOD_OVERRIDE=FQ","FILING_STATUS=MR","Sort=A","Dates=H","DateFormat=P","Fill=—","Direction=H","UseDPDF=Y")</f>
        <v>103.61</v>
      </c>
      <c r="D167" s="14">
        <f>_xll.BDH("BLUE US Equity","ARDR_RSTR_STK_UNIT_WAVG_FV_PS","FQ3 2018","FQ3 2018","Currency=USD","Period=FQ","BEST_FPERIOD_OVERRIDE=FQ","FILING_STATUS=MR","Sort=A","Dates=H","DateFormat=P","Fill=—","Direction=H","UseDPDF=Y")</f>
        <v>107.32</v>
      </c>
      <c r="E167" s="14">
        <f>_xll.BDH("BLUE US Equity","ARDR_RSTR_STK_UNIT_WAVG_FV_PS","FQ4 2018","FQ4 2018","Currency=USD","Period=FQ","BEST_FPERIOD_OVERRIDE=FQ","FILING_STATUS=MR","Sort=A","Dates=H","DateFormat=P","Fill=—","Direction=H","UseDPDF=Y")</f>
        <v>108.53</v>
      </c>
      <c r="F167" s="14">
        <f>_xll.BDH("BLUE US Equity","ARDR_RSTR_STK_UNIT_WAVG_FV_PS","FQ1 2019","FQ1 2019","Currency=USD","Period=FQ","BEST_FPERIOD_OVERRIDE=FQ","FILING_STATUS=MR","Sort=A","Dates=H","DateFormat=P","Fill=—","Direction=H","UseDPDF=Y")</f>
        <v>115.85</v>
      </c>
      <c r="G167" s="14">
        <f>_xll.BDH("BLUE US Equity","ARDR_RSTR_STK_UNIT_WAVG_FV_PS","FQ2 2019","FQ2 2019","Currency=USD","Period=FQ","BEST_FPERIOD_OVERRIDE=FQ","FILING_STATUS=MR","Sort=A","Dates=H","DateFormat=P","Fill=—","Direction=H","UseDPDF=Y")</f>
        <v>117.3</v>
      </c>
      <c r="H167" s="14">
        <f>_xll.BDH("BLUE US Equity","ARDR_RSTR_STK_UNIT_WAVG_FV_PS","FQ3 2019","FQ3 2019","Currency=USD","Period=FQ","BEST_FPERIOD_OVERRIDE=FQ","FILING_STATUS=MR","Sort=A","Dates=H","DateFormat=P","Fill=—","Direction=H","UseDPDF=Y")</f>
        <v>117.63</v>
      </c>
      <c r="I167" s="14">
        <f>_xll.BDH("BLUE US Equity","ARDR_RSTR_STK_UNIT_WAVG_FV_PS","FQ4 2019","FQ4 2019","Currency=USD","Period=FQ","BEST_FPERIOD_OVERRIDE=FQ","FILING_STATUS=MR","Sort=A","Dates=H","DateFormat=P","Fill=—","Direction=H","UseDPDF=Y")</f>
        <v>116.3</v>
      </c>
      <c r="J167" s="14">
        <f>_xll.BDH("BLUE US Equity","ARDR_RSTR_STK_UNIT_WAVG_FV_PS","FQ1 2020","FQ1 2020","Currency=USD","Period=FQ","BEST_FPERIOD_OVERRIDE=FQ","FILING_STATUS=MR","Sort=A","Dates=H","DateFormat=P","Fill=—","Direction=H","UseDPDF=Y")</f>
        <v>108.68</v>
      </c>
      <c r="K167" s="14">
        <f>_xll.BDH("BLUE US Equity","ARDR_RSTR_STK_UNIT_WAVG_FV_PS","FQ2 2020","FQ2 2020","Currency=USD","Period=FQ","BEST_FPERIOD_OVERRIDE=FQ","FILING_STATUS=MR","Sort=A","Dates=H","DateFormat=P","Fill=—","Direction=H","UseDPDF=Y")</f>
        <v>106.9</v>
      </c>
      <c r="L167" s="14">
        <f>_xll.BDH("BLUE US Equity","ARDR_RSTR_STK_UNIT_WAVG_FV_PS","FQ3 2020","FQ3 2020","Currency=USD","Period=FQ","BEST_FPERIOD_OVERRIDE=FQ","FILING_STATUS=MR","Sort=A","Dates=H","DateFormat=P","Fill=—","Direction=H","UseDPDF=Y")</f>
        <v>106.11</v>
      </c>
      <c r="M167" s="14">
        <f>_xll.BDH("BLUE US Equity","ARDR_RSTR_STK_UNIT_WAVG_FV_PS","FQ4 2020","FQ4 2020","Currency=USD","Period=FQ","BEST_FPERIOD_OVERRIDE=FQ","FILING_STATUS=MR","Sort=A","Dates=H","DateFormat=P","Fill=—","Direction=H","UseDPDF=Y")</f>
        <v>102.34</v>
      </c>
      <c r="N167" s="14">
        <f>_xll.BDH("BLUE US Equity","ARDR_RSTR_STK_UNIT_WAVG_FV_PS","FQ1 2021","FQ1 2021","Currency=USD","Period=FQ","BEST_FPERIOD_OVERRIDE=FQ","FILING_STATUS=MR","Sort=A","Dates=H","DateFormat=P","Fill=—","Direction=H","UseDPDF=Y")</f>
        <v>67.48</v>
      </c>
      <c r="O167" s="14">
        <f>_xll.BDH("BLUE US Equity","ARDR_RSTR_STK_UNIT_WAVG_FV_PS","FQ2 2021","FQ2 2021","Currency=USD","Period=FQ","BEST_FPERIOD_OVERRIDE=FQ","FILING_STATUS=MR","Sort=A","Dates=H","DateFormat=P","Fill=—","Direction=H","UseDPDF=Y")</f>
        <v>59.02</v>
      </c>
      <c r="P167" s="14">
        <f>_xll.BDH("BLUE US Equity","ARDR_RSTR_STK_UNIT_WAVG_FV_PS","FQ3 2021","FQ3 2021","Currency=USD","Period=FQ","BEST_FPERIOD_OVERRIDE=FQ","FILING_STATUS=MR","Sort=A","Dates=H","DateFormat=P","Fill=—","Direction=H","UseDPDF=Y")</f>
        <v>39.43</v>
      </c>
      <c r="Q167" s="14">
        <f>_xll.BDH("BLUE US Equity","ARDR_RSTR_STK_UNIT_WAVG_FV_PS","FQ4 2021","FQ4 2021","Currency=USD","Period=FQ","BEST_FPERIOD_OVERRIDE=FQ","FILING_STATUS=MR","Sort=A","Dates=H","DateFormat=P","Fill=—","Direction=H","UseDPDF=Y")</f>
        <v>16.21</v>
      </c>
      <c r="R167" s="14">
        <f>_xll.BDH("BLUE US Equity","ARDR_RSTR_STK_UNIT_WAVG_FV_PS","FQ1 2022","FQ1 2022","Currency=USD","Period=FQ","BEST_FPERIOD_OVERRIDE=FQ","FILING_STATUS=MR","Sort=A","Dates=H","DateFormat=P","Fill=—","Direction=H","UseDPDF=Y")</f>
        <v>12.96</v>
      </c>
      <c r="S167" s="14">
        <f>_xll.BDH("BLUE US Equity","ARDR_RSTR_STK_UNIT_WAVG_FV_PS","FQ2 2022","FQ2 2022","Currency=USD","Period=FQ","BEST_FPERIOD_OVERRIDE=FQ","FILING_STATUS=MR","Sort=A","Dates=H","DateFormat=P","Fill=—","Direction=H","UseDPDF=Y")</f>
        <v>12.7</v>
      </c>
      <c r="T167" s="14">
        <f>_xll.BDH("BLUE US Equity","ARDR_RSTR_STK_UNIT_WAVG_FV_PS","FQ3 2022","FQ3 2022","Currency=USD","Period=FQ","BEST_FPERIOD_OVERRIDE=FQ","FILING_STATUS=MR","Sort=A","Dates=H","DateFormat=P","Fill=—","Direction=H","UseDPDF=Y")</f>
        <v>12.44</v>
      </c>
      <c r="U167" s="14">
        <f>_xll.BDH("BLUE US Equity","ARDR_RSTR_STK_UNIT_WAVG_FV_PS","FQ4 2022","FQ4 2022","Currency=USD","Period=FQ","BEST_FPERIOD_OVERRIDE=FQ","FILING_STATUS=MR","Sort=A","Dates=H","DateFormat=P","Fill=—","Direction=H","UseDPDF=Y")</f>
        <v>11.44</v>
      </c>
      <c r="V167" s="14">
        <f>_xll.BDH("BLUE US Equity","ARDR_RSTR_STK_UNIT_WAVG_FV_PS","FQ1 2023","FQ1 2023","Currency=USD","Period=FQ","BEST_FPERIOD_OVERRIDE=FQ","FILING_STATUS=MR","Sort=A","Dates=H","DateFormat=P","Fill=—","Direction=H","UseDPDF=Y")</f>
        <v>7.7</v>
      </c>
      <c r="W167" s="14">
        <f>_xll.BDH("BLUE US Equity","ARDR_RSTR_STK_UNIT_WAVG_FV_PS","FQ2 2023","FQ2 2023","Currency=USD","Period=FQ","BEST_FPERIOD_OVERRIDE=FQ","FILING_STATUS=MR","Sort=A","Dates=H","DateFormat=P","Fill=—","Direction=H","UseDPDF=Y")</f>
        <v>7.25</v>
      </c>
      <c r="X167" s="14">
        <f>_xll.BDH("BLUE US Equity","ARDR_RSTR_STK_UNIT_WAVG_FV_PS","FQ3 2023","FQ3 2023","Currency=USD","Period=FQ","BEST_FPERIOD_OVERRIDE=FQ","FILING_STATUS=MR","Sort=A","Dates=H","DateFormat=P","Fill=—","Direction=H","UseDPDF=Y")</f>
        <v>6.33</v>
      </c>
      <c r="Y167" s="14">
        <f>_xll.BDH("BLUE US Equity","ARDR_RSTR_STK_UNIT_WAVG_FV_PS","FQ1 2024","FQ1 2024","Currency=USD","Period=FQ","BEST_FPERIOD_OVERRIDE=FQ","FILING_STATUS=MR","Sort=A","Dates=H","DateFormat=P","Fill=—","Direction=H","UseDPDF=Y")</f>
        <v>4.16</v>
      </c>
      <c r="Z167" s="14">
        <f>_xll.BDH("BLUE US Equity","ARDR_RSTR_STK_UNIT_WAVG_FV_PS","FQ2 2024","FQ2 2024","Currency=USD","Period=FQ","BEST_FPERIOD_OVERRIDE=FQ","FILING_STATUS=MR","Sort=A","Dates=H","DateFormat=P","Fill=—","Direction=H","UseDPDF=Y")</f>
        <v>4.05</v>
      </c>
      <c r="AA167" s="14">
        <f>_xll.BDH("BLUE US Equity","ARDR_RSTR_STK_UNIT_WAVG_FV_PS","FQ3 2024","FQ3 2024","Currency=USD","Period=FQ","BEST_FPERIOD_OVERRIDE=FQ","FILING_STATUS=MR","Sort=A","Dates=H","DateFormat=P","Fill=—","Direction=H","UseDPDF=Y")</f>
        <v>3.29</v>
      </c>
    </row>
    <row r="168" spans="1:27" x14ac:dyDescent="0.25">
      <c r="A168" s="10" t="s">
        <v>1047</v>
      </c>
      <c r="B168" s="10" t="s">
        <v>1048</v>
      </c>
      <c r="C168" s="14" t="str">
        <f>_xll.BDH("BLUE US Equity","ARDR_FULL_TIME_EMPLOYEES","FQ2 2018","FQ2 2018","Currency=USD","Period=FQ","BEST_FPERIOD_OVERRIDE=FQ","FILING_STATUS=MR","Sort=A","Dates=H","DateFormat=P","Fill=—","Direction=H","UseDPDF=Y")</f>
        <v>—</v>
      </c>
      <c r="D168" s="14" t="str">
        <f>_xll.BDH("BLUE US Equity","ARDR_FULL_TIME_EMPLOYEES","FQ3 2018","FQ3 2018","Currency=USD","Period=FQ","BEST_FPERIOD_OVERRIDE=FQ","FILING_STATUS=MR","Sort=A","Dates=H","DateFormat=P","Fill=—","Direction=H","UseDPDF=Y")</f>
        <v>—</v>
      </c>
      <c r="E168" s="14" t="str">
        <f>_xll.BDH("BLUE US Equity","ARDR_FULL_TIME_EMPLOYEES","FQ4 2018","FQ4 2018","Currency=USD","Period=FQ","BEST_FPERIOD_OVERRIDE=FQ","FILING_STATUS=MR","Sort=A","Dates=H","DateFormat=P","Fill=—","Direction=H","UseDPDF=Y")</f>
        <v>—</v>
      </c>
      <c r="F168" s="14" t="str">
        <f>_xll.BDH("BLUE US Equity","ARDR_FULL_TIME_EMPLOYEES","FQ1 2019","FQ1 2019","Currency=USD","Period=FQ","BEST_FPERIOD_OVERRIDE=FQ","FILING_STATUS=MR","Sort=A","Dates=H","DateFormat=P","Fill=—","Direction=H","UseDPDF=Y")</f>
        <v>—</v>
      </c>
      <c r="G168" s="14" t="str">
        <f>_xll.BDH("BLUE US Equity","ARDR_FULL_TIME_EMPLOYEES","FQ2 2019","FQ2 2019","Currency=USD","Period=FQ","BEST_FPERIOD_OVERRIDE=FQ","FILING_STATUS=MR","Sort=A","Dates=H","DateFormat=P","Fill=—","Direction=H","UseDPDF=Y")</f>
        <v>—</v>
      </c>
      <c r="H168" s="14" t="str">
        <f>_xll.BDH("BLUE US Equity","ARDR_FULL_TIME_EMPLOYEES","FQ3 2019","FQ3 2019","Currency=USD","Period=FQ","BEST_FPERIOD_OVERRIDE=FQ","FILING_STATUS=MR","Sort=A","Dates=H","DateFormat=P","Fill=—","Direction=H","UseDPDF=Y")</f>
        <v>—</v>
      </c>
      <c r="I168" s="14" t="str">
        <f>_xll.BDH("BLUE US Equity","ARDR_FULL_TIME_EMPLOYEES","FQ4 2019","FQ4 2019","Currency=USD","Period=FQ","BEST_FPERIOD_OVERRIDE=FQ","FILING_STATUS=MR","Sort=A","Dates=H","DateFormat=P","Fill=—","Direction=H","UseDPDF=Y")</f>
        <v>—</v>
      </c>
      <c r="J168" s="14" t="str">
        <f>_xll.BDH("BLUE US Equity","ARDR_FULL_TIME_EMPLOYEES","FQ1 2020","FQ1 2020","Currency=USD","Period=FQ","BEST_FPERIOD_OVERRIDE=FQ","FILING_STATUS=MR","Sort=A","Dates=H","DateFormat=P","Fill=—","Direction=H","UseDPDF=Y")</f>
        <v>—</v>
      </c>
      <c r="K168" s="14" t="str">
        <f>_xll.BDH("BLUE US Equity","ARDR_FULL_TIME_EMPLOYEES","FQ2 2020","FQ2 2020","Currency=USD","Period=FQ","BEST_FPERIOD_OVERRIDE=FQ","FILING_STATUS=MR","Sort=A","Dates=H","DateFormat=P","Fill=—","Direction=H","UseDPDF=Y")</f>
        <v>—</v>
      </c>
      <c r="L168" s="14" t="str">
        <f>_xll.BDH("BLUE US Equity","ARDR_FULL_TIME_EMPLOYEES","FQ3 2020","FQ3 2020","Currency=USD","Period=FQ","BEST_FPERIOD_OVERRIDE=FQ","FILING_STATUS=MR","Sort=A","Dates=H","DateFormat=P","Fill=—","Direction=H","UseDPDF=Y")</f>
        <v>—</v>
      </c>
      <c r="M168" s="14">
        <f>_xll.BDH("BLUE US Equity","ARDR_FULL_TIME_EMPLOYEES","FQ4 2020","FQ4 2020","Currency=USD","Period=FQ","BEST_FPERIOD_OVERRIDE=FQ","FILING_STATUS=MR","Sort=A","Dates=H","DateFormat=P","Fill=—","Direction=H","UseDPDF=Y")</f>
        <v>1213</v>
      </c>
      <c r="N168" s="14" t="str">
        <f>_xll.BDH("BLUE US Equity","ARDR_FULL_TIME_EMPLOYEES","FQ1 2021","FQ1 2021","Currency=USD","Period=FQ","BEST_FPERIOD_OVERRIDE=FQ","FILING_STATUS=MR","Sort=A","Dates=H","DateFormat=P","Fill=—","Direction=H","UseDPDF=Y")</f>
        <v>—</v>
      </c>
      <c r="O168" s="14" t="str">
        <f>_xll.BDH("BLUE US Equity","ARDR_FULL_TIME_EMPLOYEES","FQ2 2021","FQ2 2021","Currency=USD","Period=FQ","BEST_FPERIOD_OVERRIDE=FQ","FILING_STATUS=MR","Sort=A","Dates=H","DateFormat=P","Fill=—","Direction=H","UseDPDF=Y")</f>
        <v>—</v>
      </c>
      <c r="P168" s="14" t="str">
        <f>_xll.BDH("BLUE US Equity","ARDR_FULL_TIME_EMPLOYEES","FQ3 2021","FQ3 2021","Currency=USD","Period=FQ","BEST_FPERIOD_OVERRIDE=FQ","FILING_STATUS=MR","Sort=A","Dates=H","DateFormat=P","Fill=—","Direction=H","UseDPDF=Y")</f>
        <v>—</v>
      </c>
      <c r="Q168" s="14">
        <f>_xll.BDH("BLUE US Equity","ARDR_FULL_TIME_EMPLOYEES","FQ4 2021","FQ4 2021","Currency=USD","Period=FQ","BEST_FPERIOD_OVERRIDE=FQ","FILING_STATUS=MR","Sort=A","Dates=H","DateFormat=P","Fill=—","Direction=H","UseDPDF=Y")</f>
        <v>518</v>
      </c>
      <c r="R168" s="14" t="str">
        <f>_xll.BDH("BLUE US Equity","ARDR_FULL_TIME_EMPLOYEES","FQ1 2022","FQ1 2022","Currency=USD","Period=FQ","BEST_FPERIOD_OVERRIDE=FQ","FILING_STATUS=MR","Sort=A","Dates=H","DateFormat=P","Fill=—","Direction=H","UseDPDF=Y")</f>
        <v>—</v>
      </c>
      <c r="S168" s="14" t="str">
        <f>_xll.BDH("BLUE US Equity","ARDR_FULL_TIME_EMPLOYEES","FQ2 2022","FQ2 2022","Currency=USD","Period=FQ","BEST_FPERIOD_OVERRIDE=FQ","FILING_STATUS=MR","Sort=A","Dates=H","DateFormat=P","Fill=—","Direction=H","UseDPDF=Y")</f>
        <v>—</v>
      </c>
      <c r="T168" s="14" t="str">
        <f>_xll.BDH("BLUE US Equity","ARDR_FULL_TIME_EMPLOYEES","FQ3 2022","FQ3 2022","Currency=USD","Period=FQ","BEST_FPERIOD_OVERRIDE=FQ","FILING_STATUS=MR","Sort=A","Dates=H","DateFormat=P","Fill=—","Direction=H","UseDPDF=Y")</f>
        <v>—</v>
      </c>
      <c r="U168" s="14">
        <f>_xll.BDH("BLUE US Equity","ARDR_FULL_TIME_EMPLOYEES","FQ4 2022","FQ4 2022","Currency=USD","Period=FQ","BEST_FPERIOD_OVERRIDE=FQ","FILING_STATUS=MR","Sort=A","Dates=H","DateFormat=P","Fill=—","Direction=H","UseDPDF=Y")</f>
        <v>323</v>
      </c>
      <c r="V168" s="14" t="str">
        <f>_xll.BDH("BLUE US Equity","ARDR_FULL_TIME_EMPLOYEES","FQ1 2023","FQ1 2023","Currency=USD","Period=FQ","BEST_FPERIOD_OVERRIDE=FQ","FILING_STATUS=MR","Sort=A","Dates=H","DateFormat=P","Fill=—","Direction=H","UseDPDF=Y")</f>
        <v>—</v>
      </c>
      <c r="W168" s="14" t="str">
        <f>_xll.BDH("BLUE US Equity","ARDR_FULL_TIME_EMPLOYEES","FQ2 2023","FQ2 2023","Currency=USD","Period=FQ","BEST_FPERIOD_OVERRIDE=FQ","FILING_STATUS=MR","Sort=A","Dates=H","DateFormat=P","Fill=—","Direction=H","UseDPDF=Y")</f>
        <v>—</v>
      </c>
      <c r="X168" s="14" t="str">
        <f>_xll.BDH("BLUE US Equity","ARDR_FULL_TIME_EMPLOYEES","FQ3 2023","FQ3 2023","Currency=USD","Period=FQ","BEST_FPERIOD_OVERRIDE=FQ","FILING_STATUS=MR","Sort=A","Dates=H","DateFormat=P","Fill=—","Direction=H","UseDPDF=Y")</f>
        <v>—</v>
      </c>
      <c r="Y168" s="14" t="str">
        <f>_xll.BDH("BLUE US Equity","ARDR_FULL_TIME_EMPLOYEES","FQ1 2024","FQ1 2024","Currency=USD","Period=FQ","BEST_FPERIOD_OVERRIDE=FQ","FILING_STATUS=MR","Sort=A","Dates=H","DateFormat=P","Fill=—","Direction=H","UseDPDF=Y")</f>
        <v>—</v>
      </c>
      <c r="Z168" s="14" t="str">
        <f>_xll.BDH("BLUE US Equity","ARDR_FULL_TIME_EMPLOYEES","FQ2 2024","FQ2 2024","Currency=USD","Period=FQ","BEST_FPERIOD_OVERRIDE=FQ","FILING_STATUS=MR","Sort=A","Dates=H","DateFormat=P","Fill=—","Direction=H","UseDPDF=Y")</f>
        <v>—</v>
      </c>
      <c r="AA168" s="14" t="str">
        <f>_xll.BDH("BLUE US Equity","ARDR_FULL_TIME_EMPLOYEES","FQ3 2024","FQ3 2024","Currency=USD","Period=FQ","BEST_FPERIOD_OVERRIDE=FQ","FILING_STATUS=MR","Sort=A","Dates=H","DateFormat=P","Fill=—","Direction=H","UseDPDF=Y")</f>
        <v>—</v>
      </c>
    </row>
    <row r="169" spans="1:27" x14ac:dyDescent="0.25">
      <c r="A169" s="7" t="s">
        <v>90</v>
      </c>
      <c r="B169" s="7"/>
      <c r="C169" s="7" t="s">
        <v>5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1049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112</v>
      </c>
      <c r="B6" s="6" t="s">
        <v>113</v>
      </c>
      <c r="C6" s="19">
        <f>_xll.BDH("BLUE US Equity","BS_TOT_ASSET","FQ4 2018","FQ4 2018","Currency=USD","Period=FQ","BEST_FPERIOD_OVERRIDE=FQ","FILING_STATUS=MR","SCALING_FORMAT=MLN","Sort=A","Dates=H","DateFormat=P","Fill=—","Direction=H","UseDPDF=Y")</f>
        <v>2242.8440000000001</v>
      </c>
      <c r="D6" s="19">
        <f>_xll.BDH("BLUE US Equity","BS_TOT_ASSET","FQ1 2019","FQ1 2019","Currency=USD","Period=FQ","BEST_FPERIOD_OVERRIDE=FQ","FILING_STATUS=MR","SCALING_FORMAT=MLN","Sort=A","Dates=H","DateFormat=P","Fill=—","Direction=H","UseDPDF=Y")</f>
        <v>2138.6149999999998</v>
      </c>
      <c r="E6" s="19">
        <f>_xll.BDH("BLUE US Equity","BS_TOT_ASSET","FQ2 2019","FQ2 2019","Currency=USD","Period=FQ","BEST_FPERIOD_OVERRIDE=FQ","FILING_STATUS=MR","SCALING_FORMAT=MLN","Sort=A","Dates=H","DateFormat=P","Fill=—","Direction=H","UseDPDF=Y")</f>
        <v>2023.3440000000001</v>
      </c>
      <c r="F6" s="19">
        <f>_xll.BDH("BLUE US Equity","BS_TOT_ASSET","FQ3 2019","FQ3 2019","Currency=USD","Period=FQ","BEST_FPERIOD_OVERRIDE=FQ","FILING_STATUS=MR","SCALING_FORMAT=MLN","Sort=A","Dates=H","DateFormat=P","Fill=—","Direction=H","UseDPDF=Y")</f>
        <v>1892.2180000000001</v>
      </c>
      <c r="G6" s="19">
        <f>_xll.BDH("BLUE US Equity","BS_TOT_ASSET","FQ4 2019","FQ4 2019","Currency=USD","Period=FQ","BEST_FPERIOD_OVERRIDE=FQ","FILING_STATUS=MR","SCALING_FORMAT=MLN","Sort=A","Dates=H","DateFormat=P","Fill=—","Direction=H","UseDPDF=Y")</f>
        <v>1727.424</v>
      </c>
      <c r="H6" s="19">
        <f>_xll.BDH("BLUE US Equity","BS_TOT_ASSET","FQ1 2020","FQ1 2020","Currency=USD","Period=FQ","BEST_FPERIOD_OVERRIDE=FQ","FILING_STATUS=MR","SCALING_FORMAT=MLN","Sort=A","Dates=H","DateFormat=P","Fill=—","Direction=H","UseDPDF=Y")</f>
        <v>1529.104</v>
      </c>
      <c r="I6" s="19">
        <f>_xll.BDH("BLUE US Equity","BS_TOT_ASSET","FQ2 2020","FQ2 2020","Currency=USD","Period=FQ","BEST_FPERIOD_OVERRIDE=FQ","FILING_STATUS=MR","SCALING_FORMAT=MLN","Sort=A","Dates=H","DateFormat=P","Fill=—","Direction=H","UseDPDF=Y")</f>
        <v>2107.79</v>
      </c>
      <c r="J6" s="19">
        <f>_xll.BDH("BLUE US Equity","BS_TOT_ASSET","FQ3 2020","FQ3 2020","Currency=USD","Period=FQ","BEST_FPERIOD_OVERRIDE=FQ","FILING_STATUS=MR","SCALING_FORMAT=MLN","Sort=A","Dates=H","DateFormat=P","Fill=—","Direction=H","UseDPDF=Y")</f>
        <v>1945.4839999999999</v>
      </c>
      <c r="K6" s="19">
        <f>_xll.BDH("BLUE US Equity","BS_TOT_ASSET","FQ4 2020","FQ4 2020","Currency=USD","Period=FQ","BEST_FPERIOD_OVERRIDE=FQ","FILING_STATUS=MR","SCALING_FORMAT=MLN","Sort=A","Dates=H","DateFormat=P","Fill=—","Direction=H","UseDPDF=Y")</f>
        <v>1781.252</v>
      </c>
      <c r="L6" s="19">
        <f>_xll.BDH("BLUE US Equity","BS_TOT_ASSET","FQ1 2021","FQ1 2021","Currency=USD","Period=FQ","BEST_FPERIOD_OVERRIDE=FQ","FILING_STATUS=MR","SCALING_FORMAT=MLN","Sort=A","Dates=H","DateFormat=P","Fill=—","Direction=H","UseDPDF=Y")</f>
        <v>1637.279</v>
      </c>
      <c r="M6" s="19">
        <f>_xll.BDH("BLUE US Equity","BS_TOT_ASSET","FQ2 2021","FQ2 2021","Currency=USD","Period=FQ","BEST_FPERIOD_OVERRIDE=FQ","FILING_STATUS=MR","SCALING_FORMAT=MLN","Sort=A","Dates=H","DateFormat=P","Fill=—","Direction=H","UseDPDF=Y")</f>
        <v>1454.4590000000001</v>
      </c>
      <c r="N6" s="19">
        <f>_xll.BDH("BLUE US Equity","BS_TOT_ASSET","FQ3 2021","FQ3 2021","Currency=USD","Period=FQ","BEST_FPERIOD_OVERRIDE=FQ","FILING_STATUS=MR","SCALING_FORMAT=MLN","Sort=A","Dates=H","DateFormat=P","Fill=—","Direction=H","UseDPDF=Y")</f>
        <v>1339.644</v>
      </c>
      <c r="O6" s="19">
        <f>_xll.BDH("BLUE US Equity","BS_TOT_ASSET","FQ4 2021","FQ4 2021","Currency=USD","Period=FQ","BEST_FPERIOD_OVERRIDE=FQ","FILING_STATUS=MR","SCALING_FORMAT=MLN","Sort=A","Dates=H","DateFormat=P","Fill=—","Direction=H","UseDPDF=Y")</f>
        <v>593.79499999999996</v>
      </c>
      <c r="P6" s="19">
        <f>_xll.BDH("BLUE US Equity","BS_TOT_ASSET","FQ1 2022","FQ1 2022","Currency=USD","Period=FQ","BEST_FPERIOD_OVERRIDE=FQ","FILING_STATUS=MR","SCALING_FORMAT=MLN","Sort=A","Dates=H","DateFormat=P","Fill=—","Direction=H","UseDPDF=Y")</f>
        <v>491.07100000000003</v>
      </c>
      <c r="Q6" s="19">
        <f>_xll.BDH("BLUE US Equity","BS_TOT_ASSET","FQ2 2022","FQ2 2022","Currency=USD","Period=FQ","BEST_FPERIOD_OVERRIDE=FQ","FILING_STATUS=MR","SCALING_FORMAT=MLN","Sort=A","Dates=H","DateFormat=P","Fill=—","Direction=H","UseDPDF=Y")</f>
        <v>573.59199999999998</v>
      </c>
      <c r="R6" s="19">
        <f>_xll.BDH("BLUE US Equity","BS_TOT_ASSET","FQ3 2022","FQ3 2022","Currency=USD","Period=FQ","BEST_FPERIOD_OVERRIDE=FQ","FILING_STATUS=MR","SCALING_FORMAT=MLN","Sort=A","Dates=H","DateFormat=P","Fill=—","Direction=H","UseDPDF=Y")</f>
        <v>520.09799999999996</v>
      </c>
      <c r="S6" s="19">
        <f>_xll.BDH("BLUE US Equity","BS_TOT_ASSET","FQ4 2022","FQ4 2022","Currency=USD","Period=FQ","BEST_FPERIOD_OVERRIDE=FQ","FILING_STATUS=MR","SCALING_FORMAT=MLN","Sort=A","Dates=H","DateFormat=P","Fill=—","Direction=H","UseDPDF=Y")</f>
        <v>569.81399999999996</v>
      </c>
      <c r="T6" s="19">
        <f>_xll.BDH("BLUE US Equity","BS_TOT_ASSET","FQ1 2023","FQ1 2023","Currency=USD","Period=FQ","BEST_FPERIOD_OVERRIDE=FQ","FILING_STATUS=MR","SCALING_FORMAT=MLN","Sort=A","Dates=H","DateFormat=P","Fill=—","Direction=H","UseDPDF=Y")</f>
        <v>692.73599999999999</v>
      </c>
      <c r="U6" s="19">
        <f>_xll.BDH("BLUE US Equity","BS_TOT_ASSET","FQ2 2023","FQ2 2023","Currency=USD","Period=FQ","BEST_FPERIOD_OVERRIDE=FQ","FILING_STATUS=MR","SCALING_FORMAT=MLN","Sort=A","Dates=H","DateFormat=P","Fill=—","Direction=H","UseDPDF=Y")</f>
        <v>663.39300000000003</v>
      </c>
      <c r="V6" s="19">
        <f>_xll.BDH("BLUE US Equity","BS_TOT_ASSET","FQ3 2023","FQ3 2023","Currency=USD","Period=FQ","BEST_FPERIOD_OVERRIDE=FQ","FILING_STATUS=MR","SCALING_FORMAT=MLN","Sort=A","Dates=H","DateFormat=P","Fill=—","Direction=H","UseDPDF=Y")</f>
        <v>613.60799999999995</v>
      </c>
      <c r="W6" s="19">
        <f>_xll.BDH("BLUE US Equity","BS_TOT_ASSET","FQ4 2023","FQ4 2023","Currency=USD","Period=FQ","BEST_FPERIOD_OVERRIDE=FQ","FILING_STATUS=MR","SCALING_FORMAT=MLN","Sort=A","Dates=H","DateFormat=P","Fill=—","Direction=H","UseDPDF=Y")</f>
        <v>619.16099999999994</v>
      </c>
      <c r="X6" s="19">
        <f>_xll.BDH("BLUE US Equity","BS_TOT_ASSET","FQ1 2024","FQ1 2024","Currency=USD","Period=FQ","BEST_FPERIOD_OVERRIDE=FQ","FILING_STATUS=MR","SCALING_FORMAT=MLN","Sort=A","Dates=H","DateFormat=P","Fill=—","Direction=H","UseDPDF=Y")</f>
        <v>631.48299999999995</v>
      </c>
      <c r="Y6" s="19">
        <f>_xll.BDH("BLUE US Equity","BS_TOT_ASSET","FQ2 2024","FQ2 2024","Currency=USD","Period=FQ","BEST_FPERIOD_OVERRIDE=FQ","FILING_STATUS=MR","SCALING_FORMAT=MLN","Sort=A","Dates=H","DateFormat=P","Fill=—","Direction=H","UseDPDF=Y")</f>
        <v>545.19299999999998</v>
      </c>
      <c r="Z6" s="19">
        <f>_xll.BDH("BLUE US Equity","BS_TOT_ASSET","FQ3 2024","FQ3 2024","Currency=USD","Period=FQ","BEST_FPERIOD_OVERRIDE=FQ","FILING_STATUS=MR","SCALING_FORMAT=MLN","Sort=A","Dates=H","DateFormat=P","Fill=—","Direction=H","UseDPDF=Y")</f>
        <v>465.05599999999998</v>
      </c>
      <c r="AA6" s="19">
        <f>_xll.BDH("BLUE US Equity","BS_TOT_ASSET","FQ4 2024","FQ4 2024","Currency=USD","Period=FQ","BEST_FPERIOD_OVERRIDE=FQ","FILING_STATUS=MR","SCALING_FORMAT=MLN","Sort=A","Dates=H","DateFormat=P","Fill=—","Direction=H","UseDPDF=Y")</f>
        <v>460.23200000000003</v>
      </c>
    </row>
    <row r="7" spans="1:27" x14ac:dyDescent="0.25">
      <c r="A7" s="6" t="s">
        <v>112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594</v>
      </c>
      <c r="B8" s="10" t="s">
        <v>595</v>
      </c>
      <c r="C8" s="13">
        <v>61.765508434826501</v>
      </c>
      <c r="D8" s="13">
        <v>61.807150889711302</v>
      </c>
      <c r="E8" s="13">
        <v>61.9706782435414</v>
      </c>
      <c r="F8" s="13">
        <v>62.358301210537</v>
      </c>
      <c r="G8" s="13">
        <v>64.0526008669557</v>
      </c>
      <c r="H8" s="13">
        <v>59.556642321254799</v>
      </c>
      <c r="I8" s="13">
        <v>73.507417721879307</v>
      </c>
      <c r="J8" s="13">
        <v>63.236449130396402</v>
      </c>
      <c r="K8" s="13">
        <v>38.1881957185171</v>
      </c>
      <c r="L8" s="13">
        <v>61.836498238846303</v>
      </c>
      <c r="M8" s="13">
        <v>57.732875247772498</v>
      </c>
      <c r="N8" s="13">
        <v>58.045346375604304</v>
      </c>
      <c r="O8" s="13">
        <v>50.438787797135397</v>
      </c>
      <c r="P8" s="13">
        <v>43.087048512333197</v>
      </c>
      <c r="Q8" s="13">
        <v>23.1016122958479</v>
      </c>
      <c r="R8" s="13">
        <v>26.8474402900992</v>
      </c>
      <c r="S8" s="13">
        <v>31.646642588634201</v>
      </c>
      <c r="T8" s="13">
        <v>45.942032751293397</v>
      </c>
      <c r="U8" s="13">
        <v>36.977025684624401</v>
      </c>
      <c r="V8" s="13">
        <v>28.404616628205599</v>
      </c>
      <c r="W8" s="13">
        <v>35.815401809868497</v>
      </c>
      <c r="X8" s="13">
        <v>33.5792095749213</v>
      </c>
      <c r="Y8" s="13">
        <v>26.424954098823701</v>
      </c>
      <c r="Z8" s="13">
        <v>15.1919338746302</v>
      </c>
      <c r="AA8" s="13">
        <v>13.5377374889186</v>
      </c>
    </row>
    <row r="9" spans="1:27" x14ac:dyDescent="0.25">
      <c r="A9" s="10" t="s">
        <v>596</v>
      </c>
      <c r="B9" s="10" t="s">
        <v>597</v>
      </c>
      <c r="C9" s="13">
        <v>17.949487347314399</v>
      </c>
      <c r="D9" s="13">
        <v>10.368299109470399</v>
      </c>
      <c r="E9" s="13">
        <v>13.8876533105592</v>
      </c>
      <c r="F9" s="13">
        <v>15.876923272054301</v>
      </c>
      <c r="G9" s="13">
        <v>18.942309473528201</v>
      </c>
      <c r="H9" s="13">
        <v>22.668765499272801</v>
      </c>
      <c r="I9" s="13">
        <v>56.873217920191301</v>
      </c>
      <c r="J9" s="13">
        <v>16.6623832424219</v>
      </c>
      <c r="K9" s="13">
        <v>14.6317870800987</v>
      </c>
      <c r="L9" s="13">
        <v>26.856387946098401</v>
      </c>
      <c r="M9" s="13">
        <v>24.302369472085498</v>
      </c>
      <c r="N9" s="13">
        <v>30.0423843946601</v>
      </c>
      <c r="O9" s="13">
        <v>27.1406798642629</v>
      </c>
      <c r="P9" s="13">
        <v>21.638418884438298</v>
      </c>
      <c r="Q9" s="13">
        <v>14.208531499742</v>
      </c>
      <c r="R9" s="13">
        <v>12.7818218874135</v>
      </c>
      <c r="S9" s="13">
        <v>19.832085557743401</v>
      </c>
      <c r="T9" s="13">
        <v>34.507373660384303</v>
      </c>
      <c r="U9" s="13">
        <v>26.0587615485843</v>
      </c>
      <c r="V9" s="13">
        <v>26.9466825725871</v>
      </c>
      <c r="W9" s="13">
        <v>35.815401809868497</v>
      </c>
      <c r="X9" s="13">
        <v>33.5792095749213</v>
      </c>
      <c r="Y9" s="13">
        <v>26.424954098823701</v>
      </c>
      <c r="Z9" s="13">
        <v>15.1919338746302</v>
      </c>
      <c r="AA9" s="13">
        <v>13.5377374889186</v>
      </c>
    </row>
    <row r="10" spans="1:27" x14ac:dyDescent="0.25">
      <c r="A10" s="10" t="s">
        <v>598</v>
      </c>
      <c r="B10" s="10" t="s">
        <v>599</v>
      </c>
      <c r="C10" s="13">
        <v>43.816021087512098</v>
      </c>
      <c r="D10" s="13">
        <v>51.438851780241002</v>
      </c>
      <c r="E10" s="13">
        <v>48.083024932982198</v>
      </c>
      <c r="F10" s="13">
        <v>46.481377938482801</v>
      </c>
      <c r="G10" s="13">
        <v>45.110291393427403</v>
      </c>
      <c r="H10" s="13">
        <v>36.887876821981997</v>
      </c>
      <c r="I10" s="13">
        <v>16.634199801687998</v>
      </c>
      <c r="J10" s="13">
        <v>46.574065887974399</v>
      </c>
      <c r="K10" s="13">
        <v>23.5564086384184</v>
      </c>
      <c r="L10" s="13">
        <v>34.980110292747902</v>
      </c>
      <c r="M10" s="13">
        <v>33.430505775687003</v>
      </c>
      <c r="N10" s="13">
        <v>28.0029619809442</v>
      </c>
      <c r="O10" s="13">
        <v>23.298107932872501</v>
      </c>
      <c r="P10" s="13">
        <v>21.448629627894899</v>
      </c>
      <c r="Q10" s="13">
        <v>8.8930807961059397</v>
      </c>
      <c r="R10" s="13">
        <v>14.065618402685599</v>
      </c>
      <c r="S10" s="13">
        <v>11.8145570308908</v>
      </c>
      <c r="T10" s="13">
        <v>11.434659090909101</v>
      </c>
      <c r="U10" s="13">
        <v>10.918264136039999</v>
      </c>
      <c r="V10" s="13">
        <v>1.45793405561857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</row>
    <row r="11" spans="1:27" x14ac:dyDescent="0.25">
      <c r="A11" s="10" t="s">
        <v>600</v>
      </c>
      <c r="B11" s="10" t="s">
        <v>601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3.7483214038930401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</row>
    <row r="12" spans="1:27" x14ac:dyDescent="0.25">
      <c r="A12" s="10" t="s">
        <v>602</v>
      </c>
      <c r="B12" s="10" t="s">
        <v>603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3.7483214038930401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</row>
    <row r="13" spans="1:27" x14ac:dyDescent="0.25">
      <c r="A13" s="10" t="s">
        <v>604</v>
      </c>
      <c r="B13" s="10" t="s">
        <v>605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0" t="s">
        <v>606</v>
      </c>
      <c r="B14" s="10" t="s">
        <v>607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0.60058879933889198</v>
      </c>
      <c r="L14" s="13">
        <v>1.10421009491968</v>
      </c>
      <c r="M14" s="13">
        <v>0.92831767688192002</v>
      </c>
      <c r="N14" s="13">
        <v>5.7179370041593097E-2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0.54984871581670403</v>
      </c>
      <c r="U14" s="13">
        <v>2.0563979420946601</v>
      </c>
      <c r="V14" s="13">
        <v>3.4173283268797001</v>
      </c>
      <c r="W14" s="13">
        <v>3.7016220336875199</v>
      </c>
      <c r="X14" s="13">
        <v>4.79902071789739</v>
      </c>
      <c r="Y14" s="13">
        <v>6.1134313903516704</v>
      </c>
      <c r="Z14" s="13">
        <v>11.599463290442401</v>
      </c>
      <c r="AA14" s="13">
        <v>14.1270055102644</v>
      </c>
    </row>
    <row r="15" spans="1:27" x14ac:dyDescent="0.25">
      <c r="A15" s="10" t="s">
        <v>608</v>
      </c>
      <c r="B15" s="10" t="s">
        <v>609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0.50340996108355296</v>
      </c>
      <c r="L15" s="13">
        <v>1.0317117607933699</v>
      </c>
      <c r="M15" s="13" t="s">
        <v>76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 t="s">
        <v>76</v>
      </c>
      <c r="U15" s="13" t="s">
        <v>76</v>
      </c>
      <c r="V15" s="13" t="s">
        <v>76</v>
      </c>
      <c r="W15" s="13">
        <v>0.37615418283774299</v>
      </c>
      <c r="X15" s="13">
        <v>0.50310142949216397</v>
      </c>
      <c r="Y15" s="13">
        <v>0.56713860962998397</v>
      </c>
      <c r="Z15" s="13">
        <v>0.63755762746851996</v>
      </c>
      <c r="AA15" s="13">
        <v>0.60512958681708395</v>
      </c>
    </row>
    <row r="16" spans="1:27" x14ac:dyDescent="0.25">
      <c r="A16" s="10" t="s">
        <v>610</v>
      </c>
      <c r="B16" s="10" t="s">
        <v>611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 t="s">
        <v>76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 t="s">
        <v>76</v>
      </c>
      <c r="U16" s="13" t="s">
        <v>76</v>
      </c>
      <c r="V16" s="13" t="s">
        <v>76</v>
      </c>
      <c r="W16" s="13">
        <v>2.8062167998307399</v>
      </c>
      <c r="X16" s="13">
        <v>3.5069827691323399</v>
      </c>
      <c r="Y16" s="13">
        <v>5.1664273018912601</v>
      </c>
      <c r="Z16" s="13">
        <v>10.4608907314388</v>
      </c>
      <c r="AA16" s="13">
        <v>12.7468320325401</v>
      </c>
    </row>
    <row r="17" spans="1:27" x14ac:dyDescent="0.25">
      <c r="A17" s="10" t="s">
        <v>612</v>
      </c>
      <c r="B17" s="10" t="s">
        <v>613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9.7178838255339503E-2</v>
      </c>
      <c r="L17" s="13">
        <v>7.2498334126315706E-2</v>
      </c>
      <c r="M17" s="13" t="s">
        <v>76</v>
      </c>
      <c r="N17" s="13">
        <v>5.7179370041593097E-2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 t="s">
        <v>76</v>
      </c>
      <c r="U17" s="13" t="s">
        <v>76</v>
      </c>
      <c r="V17" s="13" t="s">
        <v>76</v>
      </c>
      <c r="W17" s="13">
        <v>0.51925105101904001</v>
      </c>
      <c r="X17" s="13">
        <v>0.78893651927288599</v>
      </c>
      <c r="Y17" s="13">
        <v>0.37986547883043298</v>
      </c>
      <c r="Z17" s="13">
        <v>0.50101493153512699</v>
      </c>
      <c r="AA17" s="13">
        <v>0.77504389090719505</v>
      </c>
    </row>
    <row r="18" spans="1:27" x14ac:dyDescent="0.25">
      <c r="A18" s="10" t="s">
        <v>614</v>
      </c>
      <c r="B18" s="10" t="s">
        <v>615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 t="s">
        <v>76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 t="s">
        <v>76</v>
      </c>
      <c r="U18" s="13" t="s">
        <v>76</v>
      </c>
      <c r="V18" s="13" t="s">
        <v>76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</row>
    <row r="19" spans="1:27" x14ac:dyDescent="0.25">
      <c r="A19" s="10" t="s">
        <v>616</v>
      </c>
      <c r="B19" s="10" t="s">
        <v>617</v>
      </c>
      <c r="C19" s="13">
        <v>1.5022444717510399</v>
      </c>
      <c r="D19" s="13">
        <v>2.0207003130530699</v>
      </c>
      <c r="E19" s="13">
        <v>2.3179449465834798</v>
      </c>
      <c r="F19" s="13">
        <v>2.1179906332145699</v>
      </c>
      <c r="G19" s="13">
        <v>2.6463682338557302</v>
      </c>
      <c r="H19" s="13">
        <v>3.7135472799757201</v>
      </c>
      <c r="I19" s="13">
        <v>3.03934452673179</v>
      </c>
      <c r="J19" s="13">
        <v>3.2351332624683602</v>
      </c>
      <c r="K19" s="13">
        <v>29.451812545333301</v>
      </c>
      <c r="L19" s="13">
        <v>4.0933768771235703</v>
      </c>
      <c r="M19" s="13">
        <v>3.4599118985134698</v>
      </c>
      <c r="N19" s="13">
        <v>4.02778648655912</v>
      </c>
      <c r="O19" s="13">
        <v>6.2339696359854804</v>
      </c>
      <c r="P19" s="13">
        <v>8.8233677003936304</v>
      </c>
      <c r="Q19" s="13">
        <v>6.0930068759675899</v>
      </c>
      <c r="R19" s="13">
        <v>4.0002076531730602</v>
      </c>
      <c r="S19" s="13">
        <v>4.0794013485102196</v>
      </c>
      <c r="T19" s="13">
        <v>4.1870207409460498</v>
      </c>
      <c r="U19" s="13">
        <v>4.3762897709201001</v>
      </c>
      <c r="V19" s="13">
        <v>4.6958318665988701</v>
      </c>
      <c r="W19" s="13">
        <v>5.9776051786207498</v>
      </c>
      <c r="X19" s="13">
        <v>4.6317953135713896</v>
      </c>
      <c r="Y19" s="13">
        <v>4.7907805125891203</v>
      </c>
      <c r="Z19" s="13">
        <v>5.6371705773068204</v>
      </c>
      <c r="AA19" s="13">
        <v>5.9417858819030398</v>
      </c>
    </row>
    <row r="20" spans="1:27" x14ac:dyDescent="0.25">
      <c r="A20" s="10" t="s">
        <v>618</v>
      </c>
      <c r="B20" s="10" t="s">
        <v>619</v>
      </c>
      <c r="C20" s="13" t="s">
        <v>76</v>
      </c>
      <c r="D20" s="13" t="s">
        <v>76</v>
      </c>
      <c r="E20" s="13" t="s">
        <v>76</v>
      </c>
      <c r="F20" s="13" t="s">
        <v>76</v>
      </c>
      <c r="G20" s="13" t="s">
        <v>76</v>
      </c>
      <c r="H20" s="13" t="s">
        <v>76</v>
      </c>
      <c r="I20" s="13" t="s">
        <v>76</v>
      </c>
      <c r="J20" s="13" t="s">
        <v>76</v>
      </c>
      <c r="K20" s="13" t="s">
        <v>76</v>
      </c>
      <c r="L20" s="13" t="s">
        <v>76</v>
      </c>
      <c r="M20" s="13" t="s">
        <v>76</v>
      </c>
      <c r="N20" s="13" t="s">
        <v>76</v>
      </c>
      <c r="O20" s="13" t="s">
        <v>76</v>
      </c>
      <c r="P20" s="13" t="s">
        <v>76</v>
      </c>
      <c r="Q20" s="13" t="s">
        <v>76</v>
      </c>
      <c r="R20" s="13" t="s">
        <v>76</v>
      </c>
      <c r="S20" s="13">
        <v>1.51242335218159</v>
      </c>
      <c r="T20" s="13" t="s">
        <v>76</v>
      </c>
      <c r="U20" s="13">
        <v>2.04961463265365</v>
      </c>
      <c r="V20" s="13" t="s">
        <v>76</v>
      </c>
      <c r="W20" s="13">
        <v>2.3903314323738099</v>
      </c>
      <c r="X20" s="13" t="s">
        <v>76</v>
      </c>
      <c r="Y20" s="13">
        <v>1.9330769103785299</v>
      </c>
      <c r="Z20" s="13">
        <v>1.6241054840707401</v>
      </c>
      <c r="AA20" s="13">
        <v>2.3105737975629701</v>
      </c>
    </row>
    <row r="21" spans="1:27" x14ac:dyDescent="0.25">
      <c r="A21" s="10" t="s">
        <v>620</v>
      </c>
      <c r="B21" s="10" t="s">
        <v>621</v>
      </c>
      <c r="C21" s="13">
        <v>0</v>
      </c>
      <c r="D21" s="13" t="s">
        <v>76</v>
      </c>
      <c r="E21" s="13" t="s">
        <v>76</v>
      </c>
      <c r="F21" s="13" t="s">
        <v>76</v>
      </c>
      <c r="G21" s="13">
        <v>0</v>
      </c>
      <c r="H21" s="13" t="s">
        <v>76</v>
      </c>
      <c r="I21" s="13" t="s">
        <v>76</v>
      </c>
      <c r="J21" s="13" t="s">
        <v>76</v>
      </c>
      <c r="K21" s="13">
        <v>0</v>
      </c>
      <c r="L21" s="13" t="s">
        <v>76</v>
      </c>
      <c r="M21" s="13" t="s">
        <v>76</v>
      </c>
      <c r="N21" s="13" t="s">
        <v>76</v>
      </c>
      <c r="O21" s="13">
        <v>0</v>
      </c>
      <c r="P21" s="13" t="s">
        <v>76</v>
      </c>
      <c r="Q21" s="13" t="s">
        <v>76</v>
      </c>
      <c r="R21" s="13" t="s">
        <v>76</v>
      </c>
      <c r="S21" s="13">
        <v>0</v>
      </c>
      <c r="T21" s="13" t="s">
        <v>76</v>
      </c>
      <c r="U21" s="13" t="s">
        <v>76</v>
      </c>
      <c r="V21" s="13" t="s">
        <v>76</v>
      </c>
      <c r="W21" s="13">
        <v>0</v>
      </c>
      <c r="X21" s="13" t="s">
        <v>76</v>
      </c>
      <c r="Y21" s="13" t="s">
        <v>76</v>
      </c>
      <c r="Z21" s="13" t="s">
        <v>76</v>
      </c>
      <c r="AA21" s="13">
        <v>0</v>
      </c>
    </row>
    <row r="22" spans="1:27" x14ac:dyDescent="0.25">
      <c r="A22" s="10" t="s">
        <v>329</v>
      </c>
      <c r="B22" s="10" t="s">
        <v>622</v>
      </c>
      <c r="C22" s="13" t="s">
        <v>76</v>
      </c>
      <c r="D22" s="13" t="s">
        <v>76</v>
      </c>
      <c r="E22" s="13" t="s">
        <v>76</v>
      </c>
      <c r="F22" s="13" t="s">
        <v>76</v>
      </c>
      <c r="G22" s="13" t="s">
        <v>76</v>
      </c>
      <c r="H22" s="13" t="s">
        <v>76</v>
      </c>
      <c r="I22" s="13" t="s">
        <v>76</v>
      </c>
      <c r="J22" s="13" t="s">
        <v>76</v>
      </c>
      <c r="K22" s="13">
        <v>27.7906214280742</v>
      </c>
      <c r="L22" s="13" t="s">
        <v>76</v>
      </c>
      <c r="M22" s="13" t="s">
        <v>76</v>
      </c>
      <c r="N22" s="13" t="s">
        <v>76</v>
      </c>
      <c r="O22" s="13">
        <v>0</v>
      </c>
      <c r="P22" s="13" t="s">
        <v>76</v>
      </c>
      <c r="Q22" s="13" t="s">
        <v>76</v>
      </c>
      <c r="R22" s="13" t="s">
        <v>76</v>
      </c>
      <c r="S22" s="13" t="s">
        <v>76</v>
      </c>
      <c r="T22" s="13" t="s">
        <v>76</v>
      </c>
      <c r="U22" s="13" t="s">
        <v>76</v>
      </c>
      <c r="V22" s="13" t="s">
        <v>76</v>
      </c>
      <c r="W22" s="13" t="s">
        <v>76</v>
      </c>
      <c r="X22" s="13" t="s">
        <v>76</v>
      </c>
      <c r="Y22" s="13" t="s">
        <v>76</v>
      </c>
      <c r="Z22" s="13" t="s">
        <v>76</v>
      </c>
      <c r="AA22" s="13" t="s">
        <v>76</v>
      </c>
    </row>
    <row r="23" spans="1:27" x14ac:dyDescent="0.25">
      <c r="A23" s="10" t="s">
        <v>623</v>
      </c>
      <c r="B23" s="10" t="s">
        <v>624</v>
      </c>
      <c r="C23" s="13">
        <v>1.5022444717510399</v>
      </c>
      <c r="D23" s="13">
        <v>2.0207003130530699</v>
      </c>
      <c r="E23" s="13">
        <v>2.3179449465834798</v>
      </c>
      <c r="F23" s="13">
        <v>2.1179906332145699</v>
      </c>
      <c r="G23" s="13">
        <v>2.6463682338557302</v>
      </c>
      <c r="H23" s="13">
        <v>3.7135472799757201</v>
      </c>
      <c r="I23" s="13">
        <v>3.03934452673179</v>
      </c>
      <c r="J23" s="13">
        <v>3.2351332624683602</v>
      </c>
      <c r="K23" s="13">
        <v>1.6611911172591001</v>
      </c>
      <c r="L23" s="13">
        <v>4.0933768771235703</v>
      </c>
      <c r="M23" s="13">
        <v>3.4599118985134698</v>
      </c>
      <c r="N23" s="13">
        <v>4.02778648655912</v>
      </c>
      <c r="O23" s="13">
        <v>6.2339696359854804</v>
      </c>
      <c r="P23" s="13">
        <v>8.8233677003936304</v>
      </c>
      <c r="Q23" s="13">
        <v>6.0930068759675899</v>
      </c>
      <c r="R23" s="13">
        <v>4.0002076531730602</v>
      </c>
      <c r="S23" s="13">
        <v>2.5669779963286299</v>
      </c>
      <c r="T23" s="13">
        <v>4.1870207409460498</v>
      </c>
      <c r="U23" s="13">
        <v>2.3266751382664599</v>
      </c>
      <c r="V23" s="13">
        <v>4.6958318665988701</v>
      </c>
      <c r="W23" s="13">
        <v>3.58727374624694</v>
      </c>
      <c r="X23" s="13">
        <v>4.6317953135713896</v>
      </c>
      <c r="Y23" s="13">
        <v>2.8577036022105902</v>
      </c>
      <c r="Z23" s="13">
        <v>4.0130650932360803</v>
      </c>
      <c r="AA23" s="13">
        <v>3.6312120843400701</v>
      </c>
    </row>
    <row r="24" spans="1:27" x14ac:dyDescent="0.25">
      <c r="A24" s="6" t="s">
        <v>110</v>
      </c>
      <c r="B24" s="6" t="s">
        <v>111</v>
      </c>
      <c r="C24" s="19">
        <v>63.267752906577499</v>
      </c>
      <c r="D24" s="19">
        <v>63.8278512027644</v>
      </c>
      <c r="E24" s="19">
        <v>64.288623190124895</v>
      </c>
      <c r="F24" s="19">
        <v>64.476291843751596</v>
      </c>
      <c r="G24" s="19">
        <v>66.698969100811397</v>
      </c>
      <c r="H24" s="19">
        <v>63.270189601230499</v>
      </c>
      <c r="I24" s="19">
        <v>76.546762248611103</v>
      </c>
      <c r="J24" s="19">
        <v>66.471582392864704</v>
      </c>
      <c r="K24" s="19">
        <v>68.240597063189298</v>
      </c>
      <c r="L24" s="19">
        <v>67.034085210889501</v>
      </c>
      <c r="M24" s="19">
        <v>62.121104823167897</v>
      </c>
      <c r="N24" s="19">
        <v>62.130312232205</v>
      </c>
      <c r="O24" s="19">
        <v>56.6727574331209</v>
      </c>
      <c r="P24" s="19">
        <v>51.910416212726901</v>
      </c>
      <c r="Q24" s="19">
        <v>29.1946191718155</v>
      </c>
      <c r="R24" s="19">
        <v>30.8476479432722</v>
      </c>
      <c r="S24" s="19">
        <v>35.726043937144397</v>
      </c>
      <c r="T24" s="19">
        <v>50.678902208056201</v>
      </c>
      <c r="U24" s="19">
        <v>43.409713397639102</v>
      </c>
      <c r="V24" s="19">
        <v>40.266098225577203</v>
      </c>
      <c r="W24" s="19">
        <v>45.494629022176802</v>
      </c>
      <c r="X24" s="19">
        <v>43.010025606390002</v>
      </c>
      <c r="Y24" s="19">
        <v>37.329166001764499</v>
      </c>
      <c r="Z24" s="19">
        <v>32.4285677423794</v>
      </c>
      <c r="AA24" s="19">
        <v>33.606528881086099</v>
      </c>
    </row>
    <row r="25" spans="1:27" x14ac:dyDescent="0.25">
      <c r="A25" s="10" t="s">
        <v>625</v>
      </c>
      <c r="B25" s="10" t="s">
        <v>626</v>
      </c>
      <c r="C25" s="13">
        <v>10.9959497851835</v>
      </c>
      <c r="D25" s="13">
        <v>13.964551824428399</v>
      </c>
      <c r="E25" s="13">
        <v>15.8210368577958</v>
      </c>
      <c r="F25" s="13">
        <v>17.7389708796767</v>
      </c>
      <c r="G25" s="13">
        <v>19.512349023748701</v>
      </c>
      <c r="H25" s="13">
        <v>22.783865584028302</v>
      </c>
      <c r="I25" s="13">
        <v>16.360263593621799</v>
      </c>
      <c r="J25" s="13">
        <v>17.791511007029602</v>
      </c>
      <c r="K25" s="13">
        <v>4.7683314881892098</v>
      </c>
      <c r="L25" s="13">
        <v>22.1811920876039</v>
      </c>
      <c r="M25" s="13">
        <v>24.051073285668402</v>
      </c>
      <c r="N25" s="13">
        <v>16.435709785584798</v>
      </c>
      <c r="O25" s="13">
        <v>17.049318367449999</v>
      </c>
      <c r="P25" s="13">
        <v>25.073970973647398</v>
      </c>
      <c r="Q25" s="13">
        <v>53.574143293490799</v>
      </c>
      <c r="R25" s="13">
        <v>57.723544408938302</v>
      </c>
      <c r="S25" s="13">
        <v>52.389200686539802</v>
      </c>
      <c r="T25" s="13">
        <v>40.2564613359202</v>
      </c>
      <c r="U25" s="13">
        <v>47.193141923414899</v>
      </c>
      <c r="V25" s="13">
        <v>49.655317401337697</v>
      </c>
      <c r="W25" s="13">
        <v>43.130785046215799</v>
      </c>
      <c r="X25" s="13">
        <v>45.2229117806814</v>
      </c>
      <c r="Y25" s="13">
        <v>49.149934060048501</v>
      </c>
      <c r="Z25" s="13">
        <v>52.830411821372003</v>
      </c>
      <c r="AA25" s="13">
        <v>51.6546002885501</v>
      </c>
    </row>
    <row r="26" spans="1:27" x14ac:dyDescent="0.25">
      <c r="A26" s="10" t="s">
        <v>627</v>
      </c>
      <c r="B26" s="10" t="s">
        <v>628</v>
      </c>
      <c r="C26" s="13">
        <v>12.2967981723205</v>
      </c>
      <c r="D26" s="13">
        <v>15.221814118015599</v>
      </c>
      <c r="E26" s="13">
        <v>17.295576036501899</v>
      </c>
      <c r="F26" s="13">
        <v>19.4605484146118</v>
      </c>
      <c r="G26" s="13">
        <v>21.629547812233699</v>
      </c>
      <c r="H26" s="13">
        <v>25.420180707133099</v>
      </c>
      <c r="I26" s="13">
        <v>18.438364353185101</v>
      </c>
      <c r="J26" s="13">
        <v>20.2111145606954</v>
      </c>
      <c r="K26" s="13">
        <v>5.7867724499397104</v>
      </c>
      <c r="L26" s="13">
        <v>25.528086538702301</v>
      </c>
      <c r="M26" s="13">
        <v>28.104882983982399</v>
      </c>
      <c r="N26" s="13">
        <v>20.822472238893301</v>
      </c>
      <c r="O26" s="13">
        <v>20.485857913926498</v>
      </c>
      <c r="P26" s="13">
        <v>29.3935092888808</v>
      </c>
      <c r="Q26" s="13">
        <v>57.496966484888198</v>
      </c>
      <c r="R26" s="13">
        <v>62.255767182338701</v>
      </c>
      <c r="S26" s="13">
        <v>57.743754979695098</v>
      </c>
      <c r="T26" s="13">
        <v>43.225557788248302</v>
      </c>
      <c r="U26" s="13">
        <v>49.6164415361633</v>
      </c>
      <c r="V26" s="13">
        <v>52.439179410959397</v>
      </c>
      <c r="W26" s="13">
        <v>49.883471342671797</v>
      </c>
      <c r="X26" s="13" t="s">
        <v>76</v>
      </c>
      <c r="Y26" s="13" t="s">
        <v>76</v>
      </c>
      <c r="Z26" s="13" t="s">
        <v>76</v>
      </c>
      <c r="AA26" s="13">
        <v>73.949442889672994</v>
      </c>
    </row>
    <row r="27" spans="1:27" x14ac:dyDescent="0.25">
      <c r="A27" s="10" t="s">
        <v>629</v>
      </c>
      <c r="B27" s="10" t="s">
        <v>630</v>
      </c>
      <c r="C27" s="13">
        <v>1.30084838713705</v>
      </c>
      <c r="D27" s="13">
        <v>1.25726229358721</v>
      </c>
      <c r="E27" s="13">
        <v>1.4745391787061399</v>
      </c>
      <c r="F27" s="13">
        <v>1.7215775349351901</v>
      </c>
      <c r="G27" s="13">
        <v>2.1171987884850498</v>
      </c>
      <c r="H27" s="13">
        <v>2.6363151231047701</v>
      </c>
      <c r="I27" s="13">
        <v>2.0781007595633301</v>
      </c>
      <c r="J27" s="13">
        <v>2.4196035536658198</v>
      </c>
      <c r="K27" s="13">
        <v>1.0184409617504999</v>
      </c>
      <c r="L27" s="13">
        <v>3.3468944510984402</v>
      </c>
      <c r="M27" s="13">
        <v>4.0538096983139402</v>
      </c>
      <c r="N27" s="13">
        <v>4.3867624533084904</v>
      </c>
      <c r="O27" s="13">
        <v>3.4365395464764799</v>
      </c>
      <c r="P27" s="13">
        <v>4.3195383152334399</v>
      </c>
      <c r="Q27" s="13">
        <v>3.9228231913973701</v>
      </c>
      <c r="R27" s="13">
        <v>4.5322227734003997</v>
      </c>
      <c r="S27" s="13">
        <v>5.3545542931553101</v>
      </c>
      <c r="T27" s="13">
        <v>2.9690964523281602</v>
      </c>
      <c r="U27" s="13">
        <v>2.4232996127484001</v>
      </c>
      <c r="V27" s="13">
        <v>2.7838620096217799</v>
      </c>
      <c r="W27" s="13">
        <v>6.7526862964560097</v>
      </c>
      <c r="X27" s="13" t="s">
        <v>76</v>
      </c>
      <c r="Y27" s="13" t="s">
        <v>76</v>
      </c>
      <c r="Z27" s="13" t="s">
        <v>76</v>
      </c>
      <c r="AA27" s="13">
        <v>22.294842601122902</v>
      </c>
    </row>
    <row r="28" spans="1:27" x14ac:dyDescent="0.25">
      <c r="A28" s="10" t="s">
        <v>631</v>
      </c>
      <c r="B28" s="10" t="s">
        <v>632</v>
      </c>
      <c r="C28" s="13">
        <v>22.566125865196199</v>
      </c>
      <c r="D28" s="13">
        <v>19.122142134044701</v>
      </c>
      <c r="E28" s="13">
        <v>14.230007354162201</v>
      </c>
      <c r="F28" s="13">
        <v>11.9400618744775</v>
      </c>
      <c r="G28" s="13">
        <v>7.6128385387721798</v>
      </c>
      <c r="H28" s="13">
        <v>7.0416400715713303</v>
      </c>
      <c r="I28" s="13">
        <v>2.3442088633118101</v>
      </c>
      <c r="J28" s="13">
        <v>10.671637494834201</v>
      </c>
      <c r="K28" s="13">
        <v>3.4495399864814198</v>
      </c>
      <c r="L28" s="13">
        <v>4.9542564217827296</v>
      </c>
      <c r="M28" s="13">
        <v>7.0078977819244104</v>
      </c>
      <c r="N28" s="13">
        <v>14.4164419801081</v>
      </c>
      <c r="O28" s="13">
        <v>16.354802583383201</v>
      </c>
      <c r="P28" s="13">
        <v>11.2099879650804</v>
      </c>
      <c r="Q28" s="13">
        <v>7.0853498654095599</v>
      </c>
      <c r="R28" s="13">
        <v>0.27052593934220098</v>
      </c>
      <c r="S28" s="13">
        <v>0.24815115107736899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</row>
    <row r="29" spans="1:27" x14ac:dyDescent="0.25">
      <c r="A29" s="10" t="s">
        <v>633</v>
      </c>
      <c r="B29" s="10" t="s">
        <v>634</v>
      </c>
      <c r="C29" s="13">
        <v>22.566125865196199</v>
      </c>
      <c r="D29" s="13">
        <v>19.122142134044701</v>
      </c>
      <c r="E29" s="13">
        <v>14.230007354162201</v>
      </c>
      <c r="F29" s="13">
        <v>11.9400618744775</v>
      </c>
      <c r="G29" s="13">
        <v>7.6128385387721798</v>
      </c>
      <c r="H29" s="13">
        <v>7.0416400715713303</v>
      </c>
      <c r="I29" s="13">
        <v>2.3442088633118101</v>
      </c>
      <c r="J29" s="13">
        <v>10.671637494834201</v>
      </c>
      <c r="K29" s="13">
        <v>3.4495399864814198</v>
      </c>
      <c r="L29" s="13">
        <v>4.9542564217827296</v>
      </c>
      <c r="M29" s="13">
        <v>7.0078977819244104</v>
      </c>
      <c r="N29" s="13">
        <v>14.4164419801081</v>
      </c>
      <c r="O29" s="13">
        <v>16.354802583383201</v>
      </c>
      <c r="P29" s="13">
        <v>11.2099879650804</v>
      </c>
      <c r="Q29" s="13">
        <v>7.0853498654095599</v>
      </c>
      <c r="R29" s="13">
        <v>0.27052593934220098</v>
      </c>
      <c r="S29" s="13">
        <v>0.24815115107736899</v>
      </c>
      <c r="T29" s="13">
        <v>0</v>
      </c>
      <c r="U29" s="13">
        <v>0</v>
      </c>
      <c r="V29" s="13">
        <v>0</v>
      </c>
      <c r="W29" s="13">
        <v>0</v>
      </c>
      <c r="X29" s="13" t="s">
        <v>76</v>
      </c>
      <c r="Y29" s="13" t="s">
        <v>76</v>
      </c>
      <c r="Z29" s="13" t="s">
        <v>76</v>
      </c>
      <c r="AA29" s="13" t="s">
        <v>76</v>
      </c>
    </row>
    <row r="30" spans="1:27" x14ac:dyDescent="0.25">
      <c r="A30" s="10" t="s">
        <v>635</v>
      </c>
      <c r="B30" s="10" t="s">
        <v>636</v>
      </c>
      <c r="C30" s="13">
        <v>3.1701714430428498</v>
      </c>
      <c r="D30" s="13">
        <v>3.0854548387624701</v>
      </c>
      <c r="E30" s="13">
        <v>5.66033259791711</v>
      </c>
      <c r="F30" s="13">
        <v>5.8446754020942597</v>
      </c>
      <c r="G30" s="13">
        <v>6.1758433366677803</v>
      </c>
      <c r="H30" s="13">
        <v>6.9043047431698596</v>
      </c>
      <c r="I30" s="13">
        <v>4.74876529445533</v>
      </c>
      <c r="J30" s="13">
        <v>5.06526910527149</v>
      </c>
      <c r="K30" s="13">
        <v>23.5415314621401</v>
      </c>
      <c r="L30" s="13">
        <v>5.8304662797238596</v>
      </c>
      <c r="M30" s="13">
        <v>6.8199241092392402</v>
      </c>
      <c r="N30" s="13">
        <v>7.0175360021020499</v>
      </c>
      <c r="O30" s="13">
        <v>9.9231216160459397</v>
      </c>
      <c r="P30" s="13">
        <v>11.8056248485453</v>
      </c>
      <c r="Q30" s="13">
        <v>10.1458876692841</v>
      </c>
      <c r="R30" s="13">
        <v>11.1582817084473</v>
      </c>
      <c r="S30" s="13">
        <v>11.636604225238401</v>
      </c>
      <c r="T30" s="13">
        <v>9.0646364560236492</v>
      </c>
      <c r="U30" s="13">
        <v>9.3971446789459598</v>
      </c>
      <c r="V30" s="13">
        <v>10.0785843730851</v>
      </c>
      <c r="W30" s="13">
        <v>11.3745859316075</v>
      </c>
      <c r="X30" s="13">
        <v>11.7670626129286</v>
      </c>
      <c r="Y30" s="13">
        <v>13.520899938187</v>
      </c>
      <c r="Z30" s="13">
        <v>14.741020436248499</v>
      </c>
      <c r="AA30" s="13">
        <v>14.738870830363799</v>
      </c>
    </row>
    <row r="31" spans="1:27" x14ac:dyDescent="0.25">
      <c r="A31" s="10" t="s">
        <v>637</v>
      </c>
      <c r="B31" s="10" t="s">
        <v>638</v>
      </c>
      <c r="C31" s="13">
        <v>1.1724845776166299</v>
      </c>
      <c r="D31" s="13">
        <v>1.1856271465410999</v>
      </c>
      <c r="E31" s="13">
        <v>1.4633201274721499</v>
      </c>
      <c r="F31" s="13">
        <v>1.50749015176898</v>
      </c>
      <c r="G31" s="13">
        <v>1.58930291578674</v>
      </c>
      <c r="H31" s="13">
        <v>1.7253241113750299</v>
      </c>
      <c r="I31" s="13">
        <v>1.2008312023493799</v>
      </c>
      <c r="J31" s="13">
        <v>1.2459624443069199</v>
      </c>
      <c r="K31" s="13">
        <v>0.56381691080206497</v>
      </c>
      <c r="L31" s="13">
        <v>1.5023096246882801</v>
      </c>
      <c r="M31" s="13">
        <v>2.0207513584088699</v>
      </c>
      <c r="N31" s="13">
        <v>1.72172607050828</v>
      </c>
      <c r="O31" s="13">
        <v>0.95083320001010496</v>
      </c>
      <c r="P31" s="13">
        <v>1.1497319124933101</v>
      </c>
      <c r="Q31" s="13">
        <v>0.98432335179012298</v>
      </c>
      <c r="R31" s="13">
        <v>1.0855646435863999</v>
      </c>
      <c r="S31" s="13">
        <v>1.8451635094960801</v>
      </c>
      <c r="T31" s="13">
        <v>1.6252944844789401</v>
      </c>
      <c r="U31" s="13">
        <v>1.6786429763352899</v>
      </c>
      <c r="V31" s="13">
        <v>1.7949570409772999</v>
      </c>
      <c r="W31" s="13">
        <v>2.5977088350202902</v>
      </c>
      <c r="X31" s="13">
        <v>2.5162989344131201</v>
      </c>
      <c r="Y31" s="13">
        <v>2.8720104623500302</v>
      </c>
      <c r="Z31" s="13">
        <v>3.3170198857772002</v>
      </c>
      <c r="AA31" s="13">
        <v>3.3011611535051899</v>
      </c>
    </row>
    <row r="32" spans="1:27" x14ac:dyDescent="0.25">
      <c r="A32" s="11" t="s">
        <v>639</v>
      </c>
      <c r="B32" s="11" t="s">
        <v>640</v>
      </c>
      <c r="C32" s="25">
        <v>0.58532827071343396</v>
      </c>
      <c r="D32" s="25">
        <v>0.61385522873448495</v>
      </c>
      <c r="E32" s="25">
        <v>0.64882689251061598</v>
      </c>
      <c r="F32" s="25">
        <v>0.69378898203061201</v>
      </c>
      <c r="G32" s="25">
        <v>0.75997554740468998</v>
      </c>
      <c r="H32" s="25">
        <v>0.85854199583546997</v>
      </c>
      <c r="I32" s="25">
        <v>0.62283244535745996</v>
      </c>
      <c r="J32" s="25">
        <v>0.67479352181770702</v>
      </c>
      <c r="K32" s="25">
        <v>0.31696806515866399</v>
      </c>
      <c r="L32" s="25">
        <v>0.80181813850907502</v>
      </c>
      <c r="M32" s="25">
        <v>0.90260364850435804</v>
      </c>
      <c r="N32" s="25">
        <v>0.89994058122904297</v>
      </c>
      <c r="O32" s="25">
        <v>0.95083320001010496</v>
      </c>
      <c r="P32" s="25">
        <v>1.1497319124933101</v>
      </c>
      <c r="Q32" s="25">
        <v>0.98432335179012298</v>
      </c>
      <c r="R32" s="25">
        <v>1.0855646435863999</v>
      </c>
      <c r="S32" s="25">
        <v>0.99084964567385103</v>
      </c>
      <c r="T32" s="25">
        <v>0.815029101995565</v>
      </c>
      <c r="U32" s="25">
        <v>0.85107922453206497</v>
      </c>
      <c r="V32" s="25">
        <v>0.92013141940783005</v>
      </c>
      <c r="W32" s="25">
        <v>0.91187913967449497</v>
      </c>
      <c r="X32" s="25">
        <v>0.89408582653848201</v>
      </c>
      <c r="Y32" s="25">
        <v>1.03559656855462</v>
      </c>
      <c r="Z32" s="25">
        <v>1.21404734053533</v>
      </c>
      <c r="AA32" s="25">
        <v>1.22677258426185</v>
      </c>
    </row>
    <row r="33" spans="1:27" x14ac:dyDescent="0.25">
      <c r="A33" s="11" t="s">
        <v>641</v>
      </c>
      <c r="B33" s="11" t="s">
        <v>642</v>
      </c>
      <c r="C33" s="25">
        <v>0.58715630690319998</v>
      </c>
      <c r="D33" s="25">
        <v>0.57177191780661796</v>
      </c>
      <c r="E33" s="25">
        <v>0.81449323496152903</v>
      </c>
      <c r="F33" s="25">
        <v>0.81370116973837103</v>
      </c>
      <c r="G33" s="25">
        <v>0.82932736838205301</v>
      </c>
      <c r="H33" s="25">
        <v>0.86678211553955797</v>
      </c>
      <c r="I33" s="25">
        <v>0.57799875699192005</v>
      </c>
      <c r="J33" s="25">
        <v>0.57116892248921103</v>
      </c>
      <c r="K33" s="25">
        <v>0.24684884564340101</v>
      </c>
      <c r="L33" s="25">
        <v>0.70049148617920298</v>
      </c>
      <c r="M33" s="25">
        <v>1.1181477099045101</v>
      </c>
      <c r="N33" s="25">
        <v>0.821785489279241</v>
      </c>
      <c r="O33" s="25">
        <v>0</v>
      </c>
      <c r="P33" s="25">
        <v>0</v>
      </c>
      <c r="Q33" s="25">
        <v>0</v>
      </c>
      <c r="R33" s="25">
        <v>0</v>
      </c>
      <c r="S33" s="25">
        <v>0.85431386382222996</v>
      </c>
      <c r="T33" s="25">
        <v>0.81026538248336999</v>
      </c>
      <c r="U33" s="25">
        <v>0.82756375180323005</v>
      </c>
      <c r="V33" s="25">
        <v>0.87482562156947097</v>
      </c>
      <c r="W33" s="25">
        <v>1.6858296953458001</v>
      </c>
      <c r="X33" s="25">
        <v>1.62221310787464</v>
      </c>
      <c r="Y33" s="25">
        <v>1.83641389379541</v>
      </c>
      <c r="Z33" s="25">
        <v>2.1029725452418599</v>
      </c>
      <c r="AA33" s="25">
        <v>2.0743885692433399</v>
      </c>
    </row>
    <row r="34" spans="1:27" x14ac:dyDescent="0.25">
      <c r="A34" s="10" t="s">
        <v>620</v>
      </c>
      <c r="B34" s="10" t="s">
        <v>643</v>
      </c>
      <c r="C34" s="13">
        <v>0</v>
      </c>
      <c r="D34" s="13" t="s">
        <v>76</v>
      </c>
      <c r="E34" s="13" t="s">
        <v>76</v>
      </c>
      <c r="F34" s="13" t="s">
        <v>76</v>
      </c>
      <c r="G34" s="13">
        <v>0</v>
      </c>
      <c r="H34" s="13" t="s">
        <v>76</v>
      </c>
      <c r="I34" s="13" t="s">
        <v>76</v>
      </c>
      <c r="J34" s="13" t="s">
        <v>76</v>
      </c>
      <c r="K34" s="13">
        <v>0</v>
      </c>
      <c r="L34" s="13" t="s">
        <v>76</v>
      </c>
      <c r="M34" s="13" t="s">
        <v>76</v>
      </c>
      <c r="N34" s="13" t="s">
        <v>76</v>
      </c>
      <c r="O34" s="13">
        <v>0</v>
      </c>
      <c r="P34" s="13" t="s">
        <v>76</v>
      </c>
      <c r="Q34" s="13" t="s">
        <v>76</v>
      </c>
      <c r="R34" s="13" t="s">
        <v>76</v>
      </c>
      <c r="S34" s="13">
        <v>0</v>
      </c>
      <c r="T34" s="13" t="s">
        <v>76</v>
      </c>
      <c r="U34" s="13" t="s">
        <v>76</v>
      </c>
      <c r="V34" s="13" t="s">
        <v>76</v>
      </c>
      <c r="W34" s="13">
        <v>0</v>
      </c>
      <c r="X34" s="13" t="s">
        <v>76</v>
      </c>
      <c r="Y34" s="13" t="s">
        <v>76</v>
      </c>
      <c r="Z34" s="13" t="s">
        <v>76</v>
      </c>
      <c r="AA34" s="13">
        <v>0</v>
      </c>
    </row>
    <row r="35" spans="1:27" x14ac:dyDescent="0.25">
      <c r="A35" s="10" t="s">
        <v>329</v>
      </c>
      <c r="B35" s="10" t="s">
        <v>644</v>
      </c>
      <c r="C35" s="13" t="s">
        <v>76</v>
      </c>
      <c r="D35" s="13" t="s">
        <v>76</v>
      </c>
      <c r="E35" s="13" t="s">
        <v>76</v>
      </c>
      <c r="F35" s="13" t="s">
        <v>76</v>
      </c>
      <c r="G35" s="13" t="s">
        <v>76</v>
      </c>
      <c r="H35" s="13" t="s">
        <v>76</v>
      </c>
      <c r="I35" s="13" t="s">
        <v>76</v>
      </c>
      <c r="J35" s="13" t="s">
        <v>76</v>
      </c>
      <c r="K35" s="13">
        <v>19.287781852315099</v>
      </c>
      <c r="L35" s="13" t="s">
        <v>76</v>
      </c>
      <c r="M35" s="13" t="s">
        <v>76</v>
      </c>
      <c r="N35" s="13" t="s">
        <v>76</v>
      </c>
      <c r="O35" s="13">
        <v>0</v>
      </c>
      <c r="P35" s="13" t="s">
        <v>76</v>
      </c>
      <c r="Q35" s="13" t="s">
        <v>76</v>
      </c>
      <c r="R35" s="13" t="s">
        <v>76</v>
      </c>
      <c r="S35" s="13" t="s">
        <v>76</v>
      </c>
      <c r="T35" s="13" t="s">
        <v>76</v>
      </c>
      <c r="U35" s="13" t="s">
        <v>76</v>
      </c>
      <c r="V35" s="13" t="s">
        <v>76</v>
      </c>
      <c r="W35" s="13" t="s">
        <v>76</v>
      </c>
      <c r="X35" s="13" t="s">
        <v>76</v>
      </c>
      <c r="Y35" s="13" t="s">
        <v>76</v>
      </c>
      <c r="Z35" s="13" t="s">
        <v>76</v>
      </c>
      <c r="AA35" s="13" t="s">
        <v>76</v>
      </c>
    </row>
    <row r="36" spans="1:27" x14ac:dyDescent="0.25">
      <c r="A36" s="10" t="s">
        <v>645</v>
      </c>
      <c r="B36" s="10" t="s">
        <v>646</v>
      </c>
      <c r="C36" s="13">
        <v>1.9976868654262201</v>
      </c>
      <c r="D36" s="13">
        <v>1.8998276922213699</v>
      </c>
      <c r="E36" s="13">
        <v>4.1970124704449701</v>
      </c>
      <c r="F36" s="13">
        <v>4.3371852503252804</v>
      </c>
      <c r="G36" s="13">
        <v>4.5865404208810299</v>
      </c>
      <c r="H36" s="13">
        <v>5.1789806317948299</v>
      </c>
      <c r="I36" s="13">
        <v>3.5479340921059501</v>
      </c>
      <c r="J36" s="13">
        <v>3.8193066609645698</v>
      </c>
      <c r="K36" s="13">
        <v>3.68993269902293</v>
      </c>
      <c r="L36" s="13">
        <v>4.3281566550355803</v>
      </c>
      <c r="M36" s="13">
        <v>4.7991727508303796</v>
      </c>
      <c r="N36" s="13">
        <v>5.2958099315937703</v>
      </c>
      <c r="O36" s="13">
        <v>8.9722884160358394</v>
      </c>
      <c r="P36" s="13">
        <v>10.655892936052</v>
      </c>
      <c r="Q36" s="13">
        <v>9.1615643174939692</v>
      </c>
      <c r="R36" s="13">
        <v>10.0727170648609</v>
      </c>
      <c r="S36" s="13">
        <v>9.7914407157423309</v>
      </c>
      <c r="T36" s="13">
        <v>7.4393419715447102</v>
      </c>
      <c r="U36" s="13">
        <v>7.7185017026106699</v>
      </c>
      <c r="V36" s="13">
        <v>8.2836273321078</v>
      </c>
      <c r="W36" s="13">
        <v>8.7768770965871603</v>
      </c>
      <c r="X36" s="13">
        <v>9.2507636785155007</v>
      </c>
      <c r="Y36" s="13">
        <v>10.648889475837001</v>
      </c>
      <c r="Z36" s="13">
        <v>11.4240005504713</v>
      </c>
      <c r="AA36" s="13">
        <v>11.437709676858599</v>
      </c>
    </row>
    <row r="37" spans="1:27" x14ac:dyDescent="0.25">
      <c r="A37" s="6" t="s">
        <v>647</v>
      </c>
      <c r="B37" s="6" t="s">
        <v>648</v>
      </c>
      <c r="C37" s="19">
        <v>36.732247093422501</v>
      </c>
      <c r="D37" s="19">
        <v>36.1721487972356</v>
      </c>
      <c r="E37" s="19">
        <v>35.711376809875098</v>
      </c>
      <c r="F37" s="19">
        <v>35.523708156248397</v>
      </c>
      <c r="G37" s="19">
        <v>33.301030899188603</v>
      </c>
      <c r="H37" s="19">
        <v>36.729810398769501</v>
      </c>
      <c r="I37" s="19">
        <v>23.453237751388901</v>
      </c>
      <c r="J37" s="19">
        <v>33.528417607135303</v>
      </c>
      <c r="K37" s="19">
        <v>31.759402936810702</v>
      </c>
      <c r="L37" s="19">
        <v>32.965914789110499</v>
      </c>
      <c r="M37" s="19">
        <v>37.878895176832103</v>
      </c>
      <c r="N37" s="19">
        <v>37.869687767795</v>
      </c>
      <c r="O37" s="19">
        <v>43.3272425668791</v>
      </c>
      <c r="P37" s="19">
        <v>48.089583787273099</v>
      </c>
      <c r="Q37" s="19">
        <v>70.805380828184497</v>
      </c>
      <c r="R37" s="19">
        <v>69.152352056727807</v>
      </c>
      <c r="S37" s="19">
        <v>64.273956062855603</v>
      </c>
      <c r="T37" s="19">
        <v>49.321097791943799</v>
      </c>
      <c r="U37" s="19">
        <v>56.590286602360898</v>
      </c>
      <c r="V37" s="19">
        <v>59.733901774422797</v>
      </c>
      <c r="W37" s="19">
        <v>54.505370977823198</v>
      </c>
      <c r="X37" s="19">
        <v>56.989974393609998</v>
      </c>
      <c r="Y37" s="19">
        <v>62.670833998235501</v>
      </c>
      <c r="Z37" s="19">
        <v>67.5714322576206</v>
      </c>
      <c r="AA37" s="19">
        <v>66.393471118913894</v>
      </c>
    </row>
    <row r="38" spans="1:27" x14ac:dyDescent="0.25">
      <c r="A38" s="6" t="s">
        <v>112</v>
      </c>
      <c r="B38" s="6" t="s">
        <v>113</v>
      </c>
      <c r="C38" s="19">
        <v>100</v>
      </c>
      <c r="D38" s="19">
        <v>100</v>
      </c>
      <c r="E38" s="19">
        <v>100</v>
      </c>
      <c r="F38" s="19">
        <v>100</v>
      </c>
      <c r="G38" s="19">
        <v>100</v>
      </c>
      <c r="H38" s="19">
        <v>100</v>
      </c>
      <c r="I38" s="19">
        <v>100</v>
      </c>
      <c r="J38" s="19">
        <v>100</v>
      </c>
      <c r="K38" s="19">
        <v>100</v>
      </c>
      <c r="L38" s="19">
        <v>100</v>
      </c>
      <c r="M38" s="19">
        <v>100</v>
      </c>
      <c r="N38" s="19">
        <v>100</v>
      </c>
      <c r="O38" s="19">
        <v>100</v>
      </c>
      <c r="P38" s="19">
        <v>100</v>
      </c>
      <c r="Q38" s="19">
        <v>100</v>
      </c>
      <c r="R38" s="19">
        <v>100</v>
      </c>
      <c r="S38" s="19">
        <v>100</v>
      </c>
      <c r="T38" s="19">
        <v>100</v>
      </c>
      <c r="U38" s="19">
        <v>100</v>
      </c>
      <c r="V38" s="19">
        <v>100</v>
      </c>
      <c r="W38" s="19">
        <v>100</v>
      </c>
      <c r="X38" s="19">
        <v>100</v>
      </c>
      <c r="Y38" s="19">
        <v>100</v>
      </c>
      <c r="Z38" s="19">
        <v>100</v>
      </c>
      <c r="AA38" s="19">
        <v>100</v>
      </c>
    </row>
    <row r="39" spans="1:27" x14ac:dyDescent="0.25">
      <c r="A39" s="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6" t="s">
        <v>649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0" t="s">
        <v>650</v>
      </c>
      <c r="B41" s="10" t="s">
        <v>651</v>
      </c>
      <c r="C41" s="13">
        <v>5.2265783977842402</v>
      </c>
      <c r="D41" s="13">
        <v>4.9748552217205999</v>
      </c>
      <c r="E41" s="13">
        <v>5.9586012067152199</v>
      </c>
      <c r="F41" s="13">
        <v>8.1572524941629307</v>
      </c>
      <c r="G41" s="13">
        <v>10.6835959208625</v>
      </c>
      <c r="H41" s="13">
        <v>9.7192865887473996</v>
      </c>
      <c r="I41" s="13">
        <v>7.6759544356885696</v>
      </c>
      <c r="J41" s="13">
        <v>8.4083446587070405</v>
      </c>
      <c r="K41" s="13">
        <v>6.2877683786460299</v>
      </c>
      <c r="L41" s="13">
        <v>10.2012546426113</v>
      </c>
      <c r="M41" s="13">
        <v>14.254716014683099</v>
      </c>
      <c r="N41" s="13">
        <v>16.829695053312701</v>
      </c>
      <c r="O41" s="13">
        <v>21.866300659318501</v>
      </c>
      <c r="P41" s="13">
        <v>23.903264497394499</v>
      </c>
      <c r="Q41" s="13">
        <v>17.506345974141901</v>
      </c>
      <c r="R41" s="13">
        <v>15.946225519036799</v>
      </c>
      <c r="S41" s="13">
        <v>11.991807853088901</v>
      </c>
      <c r="T41" s="13">
        <v>9.3150926182557292</v>
      </c>
      <c r="U41" s="13">
        <v>10.163658645780099</v>
      </c>
      <c r="V41" s="13">
        <v>12.6497698856599</v>
      </c>
      <c r="W41" s="13">
        <v>14.808103223555699</v>
      </c>
      <c r="X41" s="13">
        <v>13.2201500277917</v>
      </c>
      <c r="Y41" s="13">
        <v>17.696485464780402</v>
      </c>
      <c r="Z41" s="13">
        <v>20.3545379481181</v>
      </c>
      <c r="AA41" s="13">
        <v>26.137035234403498</v>
      </c>
    </row>
    <row r="42" spans="1:27" x14ac:dyDescent="0.25">
      <c r="A42" s="10" t="s">
        <v>652</v>
      </c>
      <c r="B42" s="10" t="s">
        <v>653</v>
      </c>
      <c r="C42" s="13">
        <v>0.795017397554177</v>
      </c>
      <c r="D42" s="13">
        <v>1.4140460064106899</v>
      </c>
      <c r="E42" s="13">
        <v>1.45590665749373</v>
      </c>
      <c r="F42" s="13">
        <v>2.2129585491735102</v>
      </c>
      <c r="G42" s="13">
        <v>2.4889662294838999</v>
      </c>
      <c r="H42" s="13">
        <v>1.99639789052936</v>
      </c>
      <c r="I42" s="13">
        <v>1.2421066614795599</v>
      </c>
      <c r="J42" s="13">
        <v>1.3009102105183099</v>
      </c>
      <c r="K42" s="13">
        <v>0.77535351539254405</v>
      </c>
      <c r="L42" s="13">
        <v>1.23570875825073</v>
      </c>
      <c r="M42" s="13">
        <v>2.7016230777216799</v>
      </c>
      <c r="N42" s="13">
        <v>1.6174446345447</v>
      </c>
      <c r="O42" s="13">
        <v>4.3589117456361199</v>
      </c>
      <c r="P42" s="13">
        <v>5.7730959474291899</v>
      </c>
      <c r="Q42" s="13">
        <v>4.3349628307228798</v>
      </c>
      <c r="R42" s="13">
        <v>3.5804790635610999</v>
      </c>
      <c r="S42" s="13">
        <v>2.6090970035836301</v>
      </c>
      <c r="T42" s="13">
        <v>2.77667105506282</v>
      </c>
      <c r="U42" s="13">
        <v>1.64216384556364</v>
      </c>
      <c r="V42" s="13">
        <v>3.2352902830471599</v>
      </c>
      <c r="W42" s="13">
        <v>2.9875912727061298</v>
      </c>
      <c r="X42" s="13">
        <v>3.0700747288525601</v>
      </c>
      <c r="Y42" s="13">
        <v>5.6110404939168301</v>
      </c>
      <c r="Z42" s="13">
        <v>5.2640972270006197</v>
      </c>
      <c r="AA42" s="13">
        <v>7.4562394618366401</v>
      </c>
    </row>
    <row r="43" spans="1:27" x14ac:dyDescent="0.25">
      <c r="A43" s="10" t="s">
        <v>654</v>
      </c>
      <c r="B43" s="10" t="s">
        <v>655</v>
      </c>
      <c r="C43" s="13">
        <v>0</v>
      </c>
      <c r="D43" s="13" t="s">
        <v>76</v>
      </c>
      <c r="E43" s="13" t="s">
        <v>76</v>
      </c>
      <c r="F43" s="13" t="s">
        <v>76</v>
      </c>
      <c r="G43" s="13">
        <v>0</v>
      </c>
      <c r="H43" s="13" t="s">
        <v>76</v>
      </c>
      <c r="I43" s="13" t="s">
        <v>76</v>
      </c>
      <c r="J43" s="13" t="s">
        <v>76</v>
      </c>
      <c r="K43" s="13">
        <v>0</v>
      </c>
      <c r="L43" s="13" t="s">
        <v>76</v>
      </c>
      <c r="M43" s="13" t="s">
        <v>76</v>
      </c>
      <c r="N43" s="13" t="s">
        <v>76</v>
      </c>
      <c r="O43" s="13">
        <v>0</v>
      </c>
      <c r="P43" s="13" t="s">
        <v>76</v>
      </c>
      <c r="Q43" s="13" t="s">
        <v>76</v>
      </c>
      <c r="R43" s="13" t="s">
        <v>76</v>
      </c>
      <c r="S43" s="13">
        <v>0</v>
      </c>
      <c r="T43" s="13" t="s">
        <v>76</v>
      </c>
      <c r="U43" s="13" t="s">
        <v>76</v>
      </c>
      <c r="V43" s="13" t="s">
        <v>76</v>
      </c>
      <c r="W43" s="13">
        <v>0</v>
      </c>
      <c r="X43" s="13" t="s">
        <v>76</v>
      </c>
      <c r="Y43" s="13" t="s">
        <v>76</v>
      </c>
      <c r="Z43" s="13" t="s">
        <v>76</v>
      </c>
      <c r="AA43" s="13">
        <v>0</v>
      </c>
    </row>
    <row r="44" spans="1:27" x14ac:dyDescent="0.25">
      <c r="A44" s="10" t="s">
        <v>656</v>
      </c>
      <c r="B44" s="10" t="s">
        <v>657</v>
      </c>
      <c r="C44" s="13">
        <v>0</v>
      </c>
      <c r="D44" s="13" t="s">
        <v>76</v>
      </c>
      <c r="E44" s="13" t="s">
        <v>76</v>
      </c>
      <c r="F44" s="13" t="s">
        <v>76</v>
      </c>
      <c r="G44" s="13">
        <v>0</v>
      </c>
      <c r="H44" s="13" t="s">
        <v>76</v>
      </c>
      <c r="I44" s="13" t="s">
        <v>76</v>
      </c>
      <c r="J44" s="13" t="s">
        <v>76</v>
      </c>
      <c r="K44" s="13">
        <v>0</v>
      </c>
      <c r="L44" s="13" t="s">
        <v>76</v>
      </c>
      <c r="M44" s="13" t="s">
        <v>76</v>
      </c>
      <c r="N44" s="13" t="s">
        <v>76</v>
      </c>
      <c r="O44" s="13">
        <v>0</v>
      </c>
      <c r="P44" s="13" t="s">
        <v>76</v>
      </c>
      <c r="Q44" s="13" t="s">
        <v>76</v>
      </c>
      <c r="R44" s="13" t="s">
        <v>76</v>
      </c>
      <c r="S44" s="13">
        <v>0</v>
      </c>
      <c r="T44" s="13" t="s">
        <v>76</v>
      </c>
      <c r="U44" s="13" t="s">
        <v>76</v>
      </c>
      <c r="V44" s="13" t="s">
        <v>76</v>
      </c>
      <c r="W44" s="13">
        <v>0</v>
      </c>
      <c r="X44" s="13" t="s">
        <v>76</v>
      </c>
      <c r="Y44" s="13" t="s">
        <v>76</v>
      </c>
      <c r="Z44" s="13" t="s">
        <v>76</v>
      </c>
      <c r="AA44" s="13">
        <v>0</v>
      </c>
    </row>
    <row r="45" spans="1:27" x14ac:dyDescent="0.25">
      <c r="A45" s="10" t="s">
        <v>658</v>
      </c>
      <c r="B45" s="10" t="s">
        <v>659</v>
      </c>
      <c r="C45" s="13">
        <v>4.4315610002300696</v>
      </c>
      <c r="D45" s="13">
        <v>3.5608092153099098</v>
      </c>
      <c r="E45" s="13">
        <v>4.5026945492214896</v>
      </c>
      <c r="F45" s="13">
        <v>5.9442939449894201</v>
      </c>
      <c r="G45" s="13">
        <v>8.1946296913786103</v>
      </c>
      <c r="H45" s="13">
        <v>7.72288869821804</v>
      </c>
      <c r="I45" s="13">
        <v>6.4338477742090099</v>
      </c>
      <c r="J45" s="13">
        <v>7.1074344481887302</v>
      </c>
      <c r="K45" s="13">
        <v>5.5124148632534897</v>
      </c>
      <c r="L45" s="13">
        <v>8.96554588436058</v>
      </c>
      <c r="M45" s="13">
        <v>11.5530929369614</v>
      </c>
      <c r="N45" s="13">
        <v>15.212250418768001</v>
      </c>
      <c r="O45" s="13">
        <v>17.507388913682298</v>
      </c>
      <c r="P45" s="13">
        <v>18.130168549965301</v>
      </c>
      <c r="Q45" s="13">
        <v>13.171383143419</v>
      </c>
      <c r="R45" s="13">
        <v>12.3657464554757</v>
      </c>
      <c r="S45" s="13">
        <v>9.3827108495052798</v>
      </c>
      <c r="T45" s="13">
        <v>6.5384215631928999</v>
      </c>
      <c r="U45" s="13">
        <v>8.5214948002164608</v>
      </c>
      <c r="V45" s="13">
        <v>9.4144796026127402</v>
      </c>
      <c r="W45" s="13">
        <v>11.8205119508496</v>
      </c>
      <c r="X45" s="13">
        <v>10.1500752989392</v>
      </c>
      <c r="Y45" s="13">
        <v>12.085444970863501</v>
      </c>
      <c r="Z45" s="13">
        <v>15.090440721117499</v>
      </c>
      <c r="AA45" s="13">
        <v>18.680795772566899</v>
      </c>
    </row>
    <row r="46" spans="1:27" x14ac:dyDescent="0.25">
      <c r="A46" s="10" t="s">
        <v>660</v>
      </c>
      <c r="B46" s="10" t="s">
        <v>661</v>
      </c>
      <c r="C46" s="13">
        <v>0</v>
      </c>
      <c r="D46" s="13">
        <v>0.82137271084323304</v>
      </c>
      <c r="E46" s="13">
        <v>0.93271336955060502</v>
      </c>
      <c r="F46" s="13">
        <v>1.05331415302042</v>
      </c>
      <c r="G46" s="13">
        <v>1.1679240302323</v>
      </c>
      <c r="H46" s="13">
        <v>1.33280666324854</v>
      </c>
      <c r="I46" s="13">
        <v>0.99416924835965603</v>
      </c>
      <c r="J46" s="13">
        <v>1.1420294384328</v>
      </c>
      <c r="K46" s="13">
        <v>0.54517833523836001</v>
      </c>
      <c r="L46" s="13">
        <v>1.71400231725931</v>
      </c>
      <c r="M46" s="13">
        <v>1.9711109079045901</v>
      </c>
      <c r="N46" s="13">
        <v>2.1976734117422199</v>
      </c>
      <c r="O46" s="13">
        <v>3.8989887082242198</v>
      </c>
      <c r="P46" s="13">
        <v>5.1947681699794899</v>
      </c>
      <c r="Q46" s="13">
        <v>8.4460731669897804</v>
      </c>
      <c r="R46" s="13">
        <v>8.4197593530450003</v>
      </c>
      <c r="S46" s="13">
        <v>15.487158967663101</v>
      </c>
      <c r="T46" s="13">
        <v>7.4204314486326703</v>
      </c>
      <c r="U46" s="13">
        <v>10.188681520606901</v>
      </c>
      <c r="V46" s="13">
        <v>11.6823770224639</v>
      </c>
      <c r="W46" s="13">
        <v>17.104921014081999</v>
      </c>
      <c r="X46" s="13">
        <v>32.870243537830802</v>
      </c>
      <c r="Y46" s="13">
        <v>35.992758527714003</v>
      </c>
      <c r="Z46" s="13">
        <v>41.1331108511663</v>
      </c>
      <c r="AA46" s="13">
        <v>40.3081489335813</v>
      </c>
    </row>
    <row r="47" spans="1:27" x14ac:dyDescent="0.25">
      <c r="A47" s="10" t="s">
        <v>662</v>
      </c>
      <c r="B47" s="10" t="s">
        <v>663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</row>
    <row r="48" spans="1:27" x14ac:dyDescent="0.25">
      <c r="A48" s="10" t="s">
        <v>664</v>
      </c>
      <c r="B48" s="10" t="s">
        <v>665</v>
      </c>
      <c r="C48" s="13" t="s">
        <v>76</v>
      </c>
      <c r="D48" s="13">
        <v>0.82137271084323304</v>
      </c>
      <c r="E48" s="13">
        <v>0.93271336955060502</v>
      </c>
      <c r="F48" s="13">
        <v>1.05331415302042</v>
      </c>
      <c r="G48" s="13">
        <v>1.1679240302323</v>
      </c>
      <c r="H48" s="13">
        <v>1.33280666324854</v>
      </c>
      <c r="I48" s="13">
        <v>0.99416924835965603</v>
      </c>
      <c r="J48" s="13">
        <v>1.1420294384328</v>
      </c>
      <c r="K48" s="13">
        <v>0.54517833523836001</v>
      </c>
      <c r="L48" s="13">
        <v>1.71400231725931</v>
      </c>
      <c r="M48" s="13">
        <v>1.9711109079045901</v>
      </c>
      <c r="N48" s="13">
        <v>2.1976734117422199</v>
      </c>
      <c r="O48" s="13">
        <v>3.8989887082242198</v>
      </c>
      <c r="P48" s="13">
        <v>5.1947681699794899</v>
      </c>
      <c r="Q48" s="13">
        <v>8.4460731669897804</v>
      </c>
      <c r="R48" s="13">
        <v>8.4197593530450003</v>
      </c>
      <c r="S48" s="13">
        <v>15.487158967663101</v>
      </c>
      <c r="T48" s="13">
        <v>7.4204314486326703</v>
      </c>
      <c r="U48" s="13">
        <v>10.188681520606901</v>
      </c>
      <c r="V48" s="13">
        <v>11.6823770224639</v>
      </c>
      <c r="W48" s="13">
        <v>17.104921014081999</v>
      </c>
      <c r="X48" s="13">
        <v>21.944375383026902</v>
      </c>
      <c r="Y48" s="13">
        <v>23.182065800551399</v>
      </c>
      <c r="Z48" s="13">
        <v>25.9521433977844</v>
      </c>
      <c r="AA48" s="13">
        <v>24.7709850684003</v>
      </c>
    </row>
    <row r="49" spans="1:27" x14ac:dyDescent="0.25">
      <c r="A49" s="11" t="s">
        <v>666</v>
      </c>
      <c r="B49" s="11" t="s">
        <v>667</v>
      </c>
      <c r="C49" s="25" t="s">
        <v>76</v>
      </c>
      <c r="D49" s="25" t="s">
        <v>76</v>
      </c>
      <c r="E49" s="25" t="s">
        <v>76</v>
      </c>
      <c r="F49" s="25" t="s">
        <v>76</v>
      </c>
      <c r="G49" s="25" t="s">
        <v>76</v>
      </c>
      <c r="H49" s="25" t="s">
        <v>76</v>
      </c>
      <c r="I49" s="25" t="s">
        <v>76</v>
      </c>
      <c r="J49" s="25" t="s">
        <v>76</v>
      </c>
      <c r="K49" s="25" t="s">
        <v>76</v>
      </c>
      <c r="L49" s="25" t="s">
        <v>76</v>
      </c>
      <c r="M49" s="25" t="s">
        <v>76</v>
      </c>
      <c r="N49" s="25" t="s">
        <v>76</v>
      </c>
      <c r="O49" s="25" t="s">
        <v>76</v>
      </c>
      <c r="P49" s="25" t="s">
        <v>76</v>
      </c>
      <c r="Q49" s="25" t="s">
        <v>76</v>
      </c>
      <c r="R49" s="25" t="s">
        <v>76</v>
      </c>
      <c r="S49" s="25" t="s">
        <v>76</v>
      </c>
      <c r="T49" s="25" t="s">
        <v>76</v>
      </c>
      <c r="U49" s="25" t="s">
        <v>76</v>
      </c>
      <c r="V49" s="25" t="s">
        <v>76</v>
      </c>
      <c r="W49" s="25" t="s">
        <v>76</v>
      </c>
      <c r="X49" s="25">
        <v>18.086314279244299</v>
      </c>
      <c r="Y49" s="25">
        <v>18.5869957978184</v>
      </c>
      <c r="Z49" s="25">
        <v>20.6815953347554</v>
      </c>
      <c r="AA49" s="25">
        <v>19.311347320481801</v>
      </c>
    </row>
    <row r="50" spans="1:27" x14ac:dyDescent="0.25">
      <c r="A50" s="11" t="s">
        <v>668</v>
      </c>
      <c r="B50" s="11" t="s">
        <v>669</v>
      </c>
      <c r="C50" s="25" t="s">
        <v>76</v>
      </c>
      <c r="D50" s="25">
        <v>0.82137271084323304</v>
      </c>
      <c r="E50" s="25">
        <v>0.93271336955060502</v>
      </c>
      <c r="F50" s="25">
        <v>1.05331415302042</v>
      </c>
      <c r="G50" s="25">
        <v>1.1679240302323</v>
      </c>
      <c r="H50" s="25">
        <v>1.33280666324854</v>
      </c>
      <c r="I50" s="25">
        <v>0.99416924835965603</v>
      </c>
      <c r="J50" s="25">
        <v>1.1420294384328</v>
      </c>
      <c r="K50" s="25">
        <v>0.54517833523836001</v>
      </c>
      <c r="L50" s="25">
        <v>1.71400231725931</v>
      </c>
      <c r="M50" s="25">
        <v>1.9711109079045901</v>
      </c>
      <c r="N50" s="25">
        <v>2.1976734117422199</v>
      </c>
      <c r="O50" s="25">
        <v>3.8989887082242198</v>
      </c>
      <c r="P50" s="25">
        <v>5.1947681699794899</v>
      </c>
      <c r="Q50" s="25">
        <v>8.4460731669897804</v>
      </c>
      <c r="R50" s="25">
        <v>8.4197593530450003</v>
      </c>
      <c r="S50" s="25">
        <v>15.487158967663101</v>
      </c>
      <c r="T50" s="25">
        <v>7.4204314486326703</v>
      </c>
      <c r="U50" s="25">
        <v>10.188681520606901</v>
      </c>
      <c r="V50" s="25">
        <v>11.6823770224639</v>
      </c>
      <c r="W50" s="25">
        <v>17.104921014081999</v>
      </c>
      <c r="X50" s="25">
        <v>3.85806110378268</v>
      </c>
      <c r="Y50" s="25">
        <v>4.5950700027329798</v>
      </c>
      <c r="Z50" s="25">
        <v>5.2705480630289703</v>
      </c>
      <c r="AA50" s="25">
        <v>5.4596377479184399</v>
      </c>
    </row>
    <row r="51" spans="1:27" x14ac:dyDescent="0.25">
      <c r="A51" s="10" t="s">
        <v>670</v>
      </c>
      <c r="B51" s="10" t="s">
        <v>671</v>
      </c>
      <c r="C51" s="13" t="s">
        <v>76</v>
      </c>
      <c r="D51" s="13" t="s">
        <v>76</v>
      </c>
      <c r="E51" s="13" t="s">
        <v>76</v>
      </c>
      <c r="F51" s="13" t="s">
        <v>76</v>
      </c>
      <c r="G51" s="13" t="s">
        <v>76</v>
      </c>
      <c r="H51" s="13" t="s">
        <v>76</v>
      </c>
      <c r="I51" s="13" t="s">
        <v>76</v>
      </c>
      <c r="J51" s="13" t="s">
        <v>76</v>
      </c>
      <c r="K51" s="13" t="s">
        <v>76</v>
      </c>
      <c r="L51" s="13" t="s">
        <v>76</v>
      </c>
      <c r="M51" s="13" t="s">
        <v>76</v>
      </c>
      <c r="N51" s="13" t="s">
        <v>76</v>
      </c>
      <c r="O51" s="13" t="s">
        <v>76</v>
      </c>
      <c r="P51" s="13" t="s">
        <v>76</v>
      </c>
      <c r="Q51" s="13" t="s">
        <v>76</v>
      </c>
      <c r="R51" s="13" t="s">
        <v>76</v>
      </c>
      <c r="S51" s="13" t="s">
        <v>76</v>
      </c>
      <c r="T51" s="13" t="s">
        <v>76</v>
      </c>
      <c r="U51" s="13" t="s">
        <v>76</v>
      </c>
      <c r="V51" s="13" t="s">
        <v>76</v>
      </c>
      <c r="W51" s="13" t="s">
        <v>76</v>
      </c>
      <c r="X51" s="13">
        <v>10.925868154803901</v>
      </c>
      <c r="Y51" s="13">
        <v>12.810692727162699</v>
      </c>
      <c r="Z51" s="13">
        <v>15.180967453381999</v>
      </c>
      <c r="AA51" s="13">
        <v>15.537163865181</v>
      </c>
    </row>
    <row r="52" spans="1:27" x14ac:dyDescent="0.25">
      <c r="A52" s="10" t="s">
        <v>672</v>
      </c>
      <c r="B52" s="10" t="s">
        <v>673</v>
      </c>
      <c r="C52" s="13">
        <v>1.3022305608414999</v>
      </c>
      <c r="D52" s="13">
        <v>1.0629309155691899</v>
      </c>
      <c r="E52" s="13">
        <v>1.12062012193675</v>
      </c>
      <c r="F52" s="13">
        <v>1.14928618161332</v>
      </c>
      <c r="G52" s="13">
        <v>1.0914517802230399</v>
      </c>
      <c r="H52" s="13">
        <v>1.00869528822108</v>
      </c>
      <c r="I52" s="13">
        <v>0.68474563405272804</v>
      </c>
      <c r="J52" s="13">
        <v>0.57086051594359</v>
      </c>
      <c r="K52" s="13">
        <v>4.5965422073912103</v>
      </c>
      <c r="L52" s="13">
        <v>0.68583301929603901</v>
      </c>
      <c r="M52" s="13">
        <v>0.80902933668119903</v>
      </c>
      <c r="N52" s="13">
        <v>0.87038048914487698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1.5731541961643301</v>
      </c>
      <c r="W52" s="13">
        <v>0.40700237902581099</v>
      </c>
      <c r="X52" s="13">
        <v>0.39906062395978997</v>
      </c>
      <c r="Y52" s="13">
        <v>0.95745910163923598</v>
      </c>
      <c r="Z52" s="13">
        <v>2.1674809055253599</v>
      </c>
      <c r="AA52" s="13">
        <v>3.4026317161779298</v>
      </c>
    </row>
    <row r="53" spans="1:27" x14ac:dyDescent="0.25">
      <c r="A53" s="10" t="s">
        <v>674</v>
      </c>
      <c r="B53" s="10" t="s">
        <v>675</v>
      </c>
      <c r="C53" s="13">
        <v>0.82939339517148802</v>
      </c>
      <c r="D53" s="13">
        <v>0.53726360284576702</v>
      </c>
      <c r="E53" s="13">
        <v>0.468728995168395</v>
      </c>
      <c r="F53" s="13">
        <v>0.44783423474462197</v>
      </c>
      <c r="G53" s="13">
        <v>0.49055703753102903</v>
      </c>
      <c r="H53" s="13">
        <v>0.41560286285301701</v>
      </c>
      <c r="I53" s="13">
        <v>0.185739566085805</v>
      </c>
      <c r="J53" s="13">
        <v>5.4536557483895999E-2</v>
      </c>
      <c r="K53" s="13">
        <v>0</v>
      </c>
      <c r="L53" s="13">
        <v>8.1232337310867597E-2</v>
      </c>
      <c r="M53" s="13">
        <v>0.18474223061633199</v>
      </c>
      <c r="N53" s="13">
        <v>0.18885614387105801</v>
      </c>
      <c r="O53" s="13">
        <v>0</v>
      </c>
      <c r="P53" s="13" t="s">
        <v>76</v>
      </c>
      <c r="Q53" s="13" t="s">
        <v>76</v>
      </c>
      <c r="R53" s="13">
        <v>0</v>
      </c>
      <c r="S53" s="13">
        <v>0</v>
      </c>
      <c r="T53" s="13" t="s">
        <v>76</v>
      </c>
      <c r="U53" s="13" t="s">
        <v>76</v>
      </c>
      <c r="V53" s="13">
        <v>1.5731541961643301</v>
      </c>
      <c r="W53" s="13">
        <v>0</v>
      </c>
      <c r="X53" s="13" t="s">
        <v>76</v>
      </c>
      <c r="Y53" s="13" t="s">
        <v>76</v>
      </c>
      <c r="Z53" s="13" t="s">
        <v>76</v>
      </c>
      <c r="AA53" s="13">
        <v>0</v>
      </c>
    </row>
    <row r="54" spans="1:27" x14ac:dyDescent="0.25">
      <c r="A54" s="10" t="s">
        <v>676</v>
      </c>
      <c r="B54" s="10" t="s">
        <v>677</v>
      </c>
      <c r="C54" s="13">
        <v>0</v>
      </c>
      <c r="D54" s="13" t="s">
        <v>76</v>
      </c>
      <c r="E54" s="13" t="s">
        <v>76</v>
      </c>
      <c r="F54" s="13" t="s">
        <v>76</v>
      </c>
      <c r="G54" s="13">
        <v>0</v>
      </c>
      <c r="H54" s="13" t="s">
        <v>76</v>
      </c>
      <c r="I54" s="13" t="s">
        <v>76</v>
      </c>
      <c r="J54" s="13" t="s">
        <v>76</v>
      </c>
      <c r="K54" s="13">
        <v>0</v>
      </c>
      <c r="L54" s="13" t="s">
        <v>76</v>
      </c>
      <c r="M54" s="13" t="s">
        <v>76</v>
      </c>
      <c r="N54" s="13" t="s">
        <v>76</v>
      </c>
      <c r="O54" s="13">
        <v>0</v>
      </c>
      <c r="P54" s="13" t="s">
        <v>76</v>
      </c>
      <c r="Q54" s="13" t="s">
        <v>76</v>
      </c>
      <c r="R54" s="13" t="s">
        <v>76</v>
      </c>
      <c r="S54" s="13">
        <v>0</v>
      </c>
      <c r="T54" s="13" t="s">
        <v>76</v>
      </c>
      <c r="U54" s="13" t="s">
        <v>76</v>
      </c>
      <c r="V54" s="13" t="s">
        <v>76</v>
      </c>
      <c r="W54" s="13">
        <v>0</v>
      </c>
      <c r="X54" s="13" t="s">
        <v>76</v>
      </c>
      <c r="Y54" s="13" t="s">
        <v>76</v>
      </c>
      <c r="Z54" s="13" t="s">
        <v>76</v>
      </c>
      <c r="AA54" s="13">
        <v>0</v>
      </c>
    </row>
    <row r="55" spans="1:27" x14ac:dyDescent="0.25">
      <c r="A55" s="10" t="s">
        <v>329</v>
      </c>
      <c r="B55" s="10" t="s">
        <v>678</v>
      </c>
      <c r="C55" s="13" t="s">
        <v>76</v>
      </c>
      <c r="D55" s="13" t="s">
        <v>76</v>
      </c>
      <c r="E55" s="13" t="s">
        <v>76</v>
      </c>
      <c r="F55" s="13" t="s">
        <v>76</v>
      </c>
      <c r="G55" s="13" t="s">
        <v>76</v>
      </c>
      <c r="H55" s="13" t="s">
        <v>76</v>
      </c>
      <c r="I55" s="13" t="s">
        <v>76</v>
      </c>
      <c r="J55" s="13" t="s">
        <v>76</v>
      </c>
      <c r="K55" s="13">
        <v>4.5965422073912103</v>
      </c>
      <c r="L55" s="13" t="s">
        <v>76</v>
      </c>
      <c r="M55" s="13" t="s">
        <v>76</v>
      </c>
      <c r="N55" s="13" t="s">
        <v>76</v>
      </c>
      <c r="O55" s="13">
        <v>0</v>
      </c>
      <c r="P55" s="13" t="s">
        <v>76</v>
      </c>
      <c r="Q55" s="13" t="s">
        <v>76</v>
      </c>
      <c r="R55" s="13" t="s">
        <v>76</v>
      </c>
      <c r="S55" s="13" t="s">
        <v>76</v>
      </c>
      <c r="T55" s="13" t="s">
        <v>76</v>
      </c>
      <c r="U55" s="13" t="s">
        <v>76</v>
      </c>
      <c r="V55" s="13" t="s">
        <v>76</v>
      </c>
      <c r="W55" s="13" t="s">
        <v>76</v>
      </c>
      <c r="X55" s="13" t="s">
        <v>76</v>
      </c>
      <c r="Y55" s="13" t="s">
        <v>76</v>
      </c>
      <c r="Z55" s="13" t="s">
        <v>76</v>
      </c>
      <c r="AA55" s="13" t="s">
        <v>76</v>
      </c>
    </row>
    <row r="56" spans="1:27" x14ac:dyDescent="0.25">
      <c r="A56" s="10" t="s">
        <v>679</v>
      </c>
      <c r="B56" s="10" t="s">
        <v>680</v>
      </c>
      <c r="C56" s="13">
        <v>0.47283716567001499</v>
      </c>
      <c r="D56" s="13">
        <v>0.52566731272342104</v>
      </c>
      <c r="E56" s="13">
        <v>0.65189112676836003</v>
      </c>
      <c r="F56" s="13">
        <v>0.70145194686870105</v>
      </c>
      <c r="G56" s="13">
        <v>0.60089474269200804</v>
      </c>
      <c r="H56" s="13">
        <v>0.59309242536805895</v>
      </c>
      <c r="I56" s="13">
        <v>0.49900606796692298</v>
      </c>
      <c r="J56" s="13">
        <v>0.51632395845969403</v>
      </c>
      <c r="K56" s="13">
        <v>0</v>
      </c>
      <c r="L56" s="13">
        <v>0.60460068198517203</v>
      </c>
      <c r="M56" s="13">
        <v>0.62428710606486704</v>
      </c>
      <c r="N56" s="13">
        <v>0.681524345273819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0.40700237902581099</v>
      </c>
      <c r="X56" s="13">
        <v>0.39906062395978997</v>
      </c>
      <c r="Y56" s="13">
        <v>0.95745910163923598</v>
      </c>
      <c r="Z56" s="13">
        <v>2.1674809055253599</v>
      </c>
      <c r="AA56" s="13">
        <v>3.4026317161779298</v>
      </c>
    </row>
    <row r="57" spans="1:27" x14ac:dyDescent="0.25">
      <c r="A57" s="6" t="s">
        <v>114</v>
      </c>
      <c r="B57" s="6" t="s">
        <v>115</v>
      </c>
      <c r="C57" s="19">
        <v>6.5288089586257501</v>
      </c>
      <c r="D57" s="19">
        <v>6.8591588481330197</v>
      </c>
      <c r="E57" s="19">
        <v>8.0119346982025803</v>
      </c>
      <c r="F57" s="19">
        <v>10.359852828796701</v>
      </c>
      <c r="G57" s="19">
        <v>12.942971731317799</v>
      </c>
      <c r="H57" s="19">
        <v>12.060788540217001</v>
      </c>
      <c r="I57" s="19">
        <v>9.3548693181009508</v>
      </c>
      <c r="J57" s="19">
        <v>10.1212346130834</v>
      </c>
      <c r="K57" s="19">
        <v>11.429488921275601</v>
      </c>
      <c r="L57" s="19">
        <v>12.6010899791667</v>
      </c>
      <c r="M57" s="19">
        <v>17.034856259268899</v>
      </c>
      <c r="N57" s="19">
        <v>19.897748954199798</v>
      </c>
      <c r="O57" s="19">
        <v>25.765289367542699</v>
      </c>
      <c r="P57" s="19">
        <v>29.098032667374</v>
      </c>
      <c r="Q57" s="19">
        <v>25.952419141131699</v>
      </c>
      <c r="R57" s="19">
        <v>24.3659848720818</v>
      </c>
      <c r="S57" s="19">
        <v>27.478966820751999</v>
      </c>
      <c r="T57" s="19">
        <v>16.735524066888399</v>
      </c>
      <c r="U57" s="19">
        <v>20.352340166386998</v>
      </c>
      <c r="V57" s="19">
        <v>25.9053011042881</v>
      </c>
      <c r="W57" s="19">
        <v>32.320026616663498</v>
      </c>
      <c r="X57" s="19">
        <v>46.489454189582297</v>
      </c>
      <c r="Y57" s="19">
        <v>54.646703094133599</v>
      </c>
      <c r="Z57" s="19">
        <v>63.655129704809703</v>
      </c>
      <c r="AA57" s="19">
        <v>69.847815884162799</v>
      </c>
    </row>
    <row r="58" spans="1:27" x14ac:dyDescent="0.25">
      <c r="A58" s="10" t="s">
        <v>681</v>
      </c>
      <c r="B58" s="10" t="s">
        <v>682</v>
      </c>
      <c r="C58" s="13">
        <v>6.8359190385064696</v>
      </c>
      <c r="D58" s="13">
        <v>7.8649032200746696</v>
      </c>
      <c r="E58" s="13">
        <v>8.6663464047635994</v>
      </c>
      <c r="F58" s="13">
        <v>9.3026279213071597</v>
      </c>
      <c r="G58" s="13">
        <v>9.8882497869660302</v>
      </c>
      <c r="H58" s="13">
        <v>11.7691144618025</v>
      </c>
      <c r="I58" s="13">
        <v>8.2818497098857105</v>
      </c>
      <c r="J58" s="13">
        <v>8.8962438138786997</v>
      </c>
      <c r="K58" s="13">
        <v>3.1274070148412498</v>
      </c>
      <c r="L58" s="13">
        <v>10.8534953419668</v>
      </c>
      <c r="M58" s="13">
        <v>11.6835881932732</v>
      </c>
      <c r="N58" s="13">
        <v>11.3557034555449</v>
      </c>
      <c r="O58" s="13">
        <v>11.187699458567399</v>
      </c>
      <c r="P58" s="13">
        <v>17.274080530106598</v>
      </c>
      <c r="Q58" s="13">
        <v>42.6299529979498</v>
      </c>
      <c r="R58" s="13">
        <v>45.072659383423897</v>
      </c>
      <c r="S58" s="13">
        <v>48.930001719859497</v>
      </c>
      <c r="T58" s="13">
        <v>32.042654055801897</v>
      </c>
      <c r="U58" s="13">
        <v>36.067007038060403</v>
      </c>
      <c r="V58" s="13">
        <v>37.812903351977198</v>
      </c>
      <c r="W58" s="13">
        <v>36.245661467695797</v>
      </c>
      <c r="X58" s="13">
        <v>32.743874340243501</v>
      </c>
      <c r="Y58" s="13">
        <v>35.618579108682603</v>
      </c>
      <c r="Z58" s="13">
        <v>37.3570064680383</v>
      </c>
      <c r="AA58" s="13">
        <v>36.798180048323502</v>
      </c>
    </row>
    <row r="59" spans="1:27" x14ac:dyDescent="0.25">
      <c r="A59" s="10" t="s">
        <v>683</v>
      </c>
      <c r="B59" s="10" t="s">
        <v>684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</row>
    <row r="60" spans="1:27" x14ac:dyDescent="0.25">
      <c r="A60" s="10" t="s">
        <v>685</v>
      </c>
      <c r="B60" s="10" t="s">
        <v>686</v>
      </c>
      <c r="C60" s="13">
        <v>6.8359190385064696</v>
      </c>
      <c r="D60" s="13">
        <v>7.8649032200746696</v>
      </c>
      <c r="E60" s="13">
        <v>8.6663464047635994</v>
      </c>
      <c r="F60" s="13">
        <v>9.3026279213071597</v>
      </c>
      <c r="G60" s="13">
        <v>9.8882497869660302</v>
      </c>
      <c r="H60" s="13">
        <v>11.7691144618025</v>
      </c>
      <c r="I60" s="13">
        <v>8.2818497098857105</v>
      </c>
      <c r="J60" s="13">
        <v>8.8962438138786997</v>
      </c>
      <c r="K60" s="13">
        <v>3.1274070148412498</v>
      </c>
      <c r="L60" s="13">
        <v>10.8534953419668</v>
      </c>
      <c r="M60" s="13">
        <v>11.6835881932732</v>
      </c>
      <c r="N60" s="13">
        <v>11.3557034555449</v>
      </c>
      <c r="O60" s="13">
        <v>11.187699458567399</v>
      </c>
      <c r="P60" s="13">
        <v>17.274080530106598</v>
      </c>
      <c r="Q60" s="13">
        <v>42.6299529979498</v>
      </c>
      <c r="R60" s="13">
        <v>45.072659383423897</v>
      </c>
      <c r="S60" s="13">
        <v>48.930001719859497</v>
      </c>
      <c r="T60" s="13">
        <v>32.042654055801897</v>
      </c>
      <c r="U60" s="13">
        <v>36.067007038060403</v>
      </c>
      <c r="V60" s="13">
        <v>37.812903351977198</v>
      </c>
      <c r="W60" s="13">
        <v>36.245661467695797</v>
      </c>
      <c r="X60" s="13">
        <v>32.743874340243501</v>
      </c>
      <c r="Y60" s="13">
        <v>35.618579108682603</v>
      </c>
      <c r="Z60" s="13">
        <v>37.3570064680383</v>
      </c>
      <c r="AA60" s="13">
        <v>36.798180048323502</v>
      </c>
    </row>
    <row r="61" spans="1:27" x14ac:dyDescent="0.25">
      <c r="A61" s="11" t="s">
        <v>687</v>
      </c>
      <c r="B61" s="11" t="s">
        <v>688</v>
      </c>
      <c r="C61" s="25">
        <v>6.8359190385064696</v>
      </c>
      <c r="D61" s="25">
        <v>0</v>
      </c>
      <c r="E61" s="25">
        <v>0</v>
      </c>
      <c r="F61" s="25">
        <v>0</v>
      </c>
      <c r="G61" s="25">
        <v>0</v>
      </c>
      <c r="H61" s="25" t="s">
        <v>76</v>
      </c>
      <c r="I61" s="25" t="s">
        <v>76</v>
      </c>
      <c r="J61" s="25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25" t="s">
        <v>76</v>
      </c>
      <c r="W61" s="25" t="s">
        <v>76</v>
      </c>
      <c r="X61" s="25">
        <v>4.1313859597170497</v>
      </c>
      <c r="Y61" s="25">
        <v>3.6051453338542498</v>
      </c>
      <c r="Z61" s="25">
        <v>1.2202831486960699</v>
      </c>
      <c r="AA61" s="25">
        <v>1.6939282796502599</v>
      </c>
    </row>
    <row r="62" spans="1:27" x14ac:dyDescent="0.25">
      <c r="A62" s="11" t="s">
        <v>689</v>
      </c>
      <c r="B62" s="11" t="s">
        <v>690</v>
      </c>
      <c r="C62" s="25" t="s">
        <v>76</v>
      </c>
      <c r="D62" s="25">
        <v>7.8649032200746696</v>
      </c>
      <c r="E62" s="25">
        <v>8.6663464047635994</v>
      </c>
      <c r="F62" s="25">
        <v>9.3026279213071597</v>
      </c>
      <c r="G62" s="25">
        <v>9.8882497869660302</v>
      </c>
      <c r="H62" s="25">
        <v>11.7691144618025</v>
      </c>
      <c r="I62" s="25">
        <v>8.2818497098857105</v>
      </c>
      <c r="J62" s="25">
        <v>8.8962438138786997</v>
      </c>
      <c r="K62" s="25">
        <v>3.1274070148412498</v>
      </c>
      <c r="L62" s="25">
        <v>10.8534953419668</v>
      </c>
      <c r="M62" s="25">
        <v>11.6835881932732</v>
      </c>
      <c r="N62" s="25">
        <v>11.3557034555449</v>
      </c>
      <c r="O62" s="25">
        <v>11.187699458567399</v>
      </c>
      <c r="P62" s="25">
        <v>17.274080530106598</v>
      </c>
      <c r="Q62" s="25">
        <v>42.6299529979498</v>
      </c>
      <c r="R62" s="25">
        <v>45.072659383423897</v>
      </c>
      <c r="S62" s="25">
        <v>48.930001719859497</v>
      </c>
      <c r="T62" s="25">
        <v>32.042654055801897</v>
      </c>
      <c r="U62" s="25">
        <v>36.067007038060403</v>
      </c>
      <c r="V62" s="25">
        <v>37.812903351977198</v>
      </c>
      <c r="W62" s="25">
        <v>36.245661467695797</v>
      </c>
      <c r="X62" s="25">
        <v>28.6124883805265</v>
      </c>
      <c r="Y62" s="25">
        <v>32.0134337748284</v>
      </c>
      <c r="Z62" s="25">
        <v>36.136723319342202</v>
      </c>
      <c r="AA62" s="25">
        <v>35.104251768673201</v>
      </c>
    </row>
    <row r="63" spans="1:27" x14ac:dyDescent="0.25">
      <c r="A63" s="10" t="s">
        <v>691</v>
      </c>
      <c r="B63" s="10" t="s">
        <v>692</v>
      </c>
      <c r="C63" s="13">
        <v>2.5870724847559599</v>
      </c>
      <c r="D63" s="13">
        <v>2.4139454740568098</v>
      </c>
      <c r="E63" s="13">
        <v>2.4469887473410399</v>
      </c>
      <c r="F63" s="13">
        <v>2.56054006462257</v>
      </c>
      <c r="G63" s="13">
        <v>2.78096170945871</v>
      </c>
      <c r="H63" s="13">
        <v>2.8962712804361201</v>
      </c>
      <c r="I63" s="13">
        <v>2.5625892522499898</v>
      </c>
      <c r="J63" s="13">
        <v>2.6975806534517899</v>
      </c>
      <c r="K63" s="13">
        <v>9.3698701811983902</v>
      </c>
      <c r="L63" s="13">
        <v>3.2327416402457998</v>
      </c>
      <c r="M63" s="13">
        <v>3.5889633190072701</v>
      </c>
      <c r="N63" s="13">
        <v>3.7645822322945501</v>
      </c>
      <c r="O63" s="13">
        <v>1.5661970882206801E-2</v>
      </c>
      <c r="P63" s="13">
        <v>1.8734561804708501E-2</v>
      </c>
      <c r="Q63" s="13">
        <v>1.6213615252653499E-2</v>
      </c>
      <c r="R63" s="13">
        <v>1.7688974001053601E-2</v>
      </c>
      <c r="S63" s="13">
        <v>1.6145619447749601E-2</v>
      </c>
      <c r="T63" s="13">
        <v>1.32806725794531E-2</v>
      </c>
      <c r="U63" s="13">
        <v>1.38680993016206E-2</v>
      </c>
      <c r="V63" s="13">
        <v>1.4993285615572199E-2</v>
      </c>
      <c r="W63" s="13">
        <v>1.48588170120534E-2</v>
      </c>
      <c r="X63" s="13">
        <v>1.45688799223415E-2</v>
      </c>
      <c r="Y63" s="13">
        <v>1.6874758113181901E-2</v>
      </c>
      <c r="Z63" s="13">
        <v>0.23201506915296199</v>
      </c>
      <c r="AA63" s="13">
        <v>0.20576578768968701</v>
      </c>
    </row>
    <row r="64" spans="1:27" x14ac:dyDescent="0.25">
      <c r="A64" s="10" t="s">
        <v>693</v>
      </c>
      <c r="B64" s="10" t="s">
        <v>694</v>
      </c>
      <c r="C64" s="13">
        <v>0</v>
      </c>
      <c r="D64" s="13" t="s">
        <v>76</v>
      </c>
      <c r="E64" s="13" t="s">
        <v>76</v>
      </c>
      <c r="F64" s="13" t="s">
        <v>76</v>
      </c>
      <c r="G64" s="13">
        <v>0</v>
      </c>
      <c r="H64" s="13" t="s">
        <v>76</v>
      </c>
      <c r="I64" s="13" t="s">
        <v>76</v>
      </c>
      <c r="J64" s="13" t="s">
        <v>76</v>
      </c>
      <c r="K64" s="13">
        <v>0</v>
      </c>
      <c r="L64" s="13" t="s">
        <v>76</v>
      </c>
      <c r="M64" s="13" t="s">
        <v>76</v>
      </c>
      <c r="N64" s="13" t="s">
        <v>76</v>
      </c>
      <c r="O64" s="13">
        <v>0</v>
      </c>
      <c r="P64" s="13" t="s">
        <v>76</v>
      </c>
      <c r="Q64" s="13" t="s">
        <v>76</v>
      </c>
      <c r="R64" s="13" t="s">
        <v>76</v>
      </c>
      <c r="S64" s="13">
        <v>0</v>
      </c>
      <c r="T64" s="13" t="s">
        <v>76</v>
      </c>
      <c r="U64" s="13" t="s">
        <v>76</v>
      </c>
      <c r="V64" s="13" t="s">
        <v>76</v>
      </c>
      <c r="W64" s="13">
        <v>0</v>
      </c>
      <c r="X64" s="13" t="s">
        <v>76</v>
      </c>
      <c r="Y64" s="13" t="s">
        <v>76</v>
      </c>
      <c r="Z64" s="13" t="s">
        <v>76</v>
      </c>
      <c r="AA64" s="13">
        <v>0</v>
      </c>
    </row>
    <row r="65" spans="1:27" x14ac:dyDescent="0.25">
      <c r="A65" s="10" t="s">
        <v>695</v>
      </c>
      <c r="B65" s="10" t="s">
        <v>696</v>
      </c>
      <c r="C65" s="13">
        <v>0</v>
      </c>
      <c r="D65" s="13" t="s">
        <v>76</v>
      </c>
      <c r="E65" s="13" t="s">
        <v>76</v>
      </c>
      <c r="F65" s="13" t="s">
        <v>76</v>
      </c>
      <c r="G65" s="13">
        <v>0</v>
      </c>
      <c r="H65" s="13" t="s">
        <v>76</v>
      </c>
      <c r="I65" s="13" t="s">
        <v>76</v>
      </c>
      <c r="J65" s="13" t="s">
        <v>76</v>
      </c>
      <c r="K65" s="13">
        <v>0</v>
      </c>
      <c r="L65" s="13" t="s">
        <v>76</v>
      </c>
      <c r="M65" s="13" t="s">
        <v>76</v>
      </c>
      <c r="N65" s="13" t="s">
        <v>76</v>
      </c>
      <c r="O65" s="13">
        <v>0</v>
      </c>
      <c r="P65" s="13" t="s">
        <v>76</v>
      </c>
      <c r="Q65" s="13" t="s">
        <v>76</v>
      </c>
      <c r="R65" s="13" t="s">
        <v>76</v>
      </c>
      <c r="S65" s="13">
        <v>0</v>
      </c>
      <c r="T65" s="13" t="s">
        <v>76</v>
      </c>
      <c r="U65" s="13" t="s">
        <v>76</v>
      </c>
      <c r="V65" s="13" t="s">
        <v>76</v>
      </c>
      <c r="W65" s="13">
        <v>0</v>
      </c>
      <c r="X65" s="13" t="s">
        <v>76</v>
      </c>
      <c r="Y65" s="13" t="s">
        <v>76</v>
      </c>
      <c r="Z65" s="13" t="s">
        <v>76</v>
      </c>
      <c r="AA65" s="13">
        <v>0</v>
      </c>
    </row>
    <row r="66" spans="1:27" x14ac:dyDescent="0.25">
      <c r="A66" s="11" t="s">
        <v>697</v>
      </c>
      <c r="B66" s="11" t="s">
        <v>698</v>
      </c>
      <c r="C66" s="25">
        <v>0</v>
      </c>
      <c r="D66" s="25" t="s">
        <v>76</v>
      </c>
      <c r="E66" s="25" t="s">
        <v>76</v>
      </c>
      <c r="F66" s="25" t="s">
        <v>76</v>
      </c>
      <c r="G66" s="25">
        <v>0</v>
      </c>
      <c r="H66" s="25" t="s">
        <v>76</v>
      </c>
      <c r="I66" s="25" t="s">
        <v>76</v>
      </c>
      <c r="J66" s="25" t="s">
        <v>76</v>
      </c>
      <c r="K66" s="25">
        <v>0</v>
      </c>
      <c r="L66" s="25" t="s">
        <v>76</v>
      </c>
      <c r="M66" s="25" t="s">
        <v>76</v>
      </c>
      <c r="N66" s="25" t="s">
        <v>76</v>
      </c>
      <c r="O66" s="25">
        <v>0</v>
      </c>
      <c r="P66" s="25" t="s">
        <v>76</v>
      </c>
      <c r="Q66" s="25" t="s">
        <v>76</v>
      </c>
      <c r="R66" s="25" t="s">
        <v>76</v>
      </c>
      <c r="S66" s="25">
        <v>0</v>
      </c>
      <c r="T66" s="25" t="s">
        <v>76</v>
      </c>
      <c r="U66" s="25" t="s">
        <v>76</v>
      </c>
      <c r="V66" s="25" t="s">
        <v>76</v>
      </c>
      <c r="W66" s="25">
        <v>0</v>
      </c>
      <c r="X66" s="25" t="s">
        <v>76</v>
      </c>
      <c r="Y66" s="25" t="s">
        <v>76</v>
      </c>
      <c r="Z66" s="25" t="s">
        <v>76</v>
      </c>
      <c r="AA66" s="25">
        <v>0</v>
      </c>
    </row>
    <row r="67" spans="1:27" x14ac:dyDescent="0.25">
      <c r="A67" s="11" t="s">
        <v>699</v>
      </c>
      <c r="B67" s="11" t="s">
        <v>700</v>
      </c>
      <c r="C67" s="25">
        <v>0</v>
      </c>
      <c r="D67" s="25" t="s">
        <v>76</v>
      </c>
      <c r="E67" s="25" t="s">
        <v>76</v>
      </c>
      <c r="F67" s="25" t="s">
        <v>76</v>
      </c>
      <c r="G67" s="25">
        <v>0</v>
      </c>
      <c r="H67" s="25" t="s">
        <v>76</v>
      </c>
      <c r="I67" s="25" t="s">
        <v>76</v>
      </c>
      <c r="J67" s="25" t="s">
        <v>76</v>
      </c>
      <c r="K67" s="25">
        <v>0</v>
      </c>
      <c r="L67" s="25" t="s">
        <v>76</v>
      </c>
      <c r="M67" s="25" t="s">
        <v>76</v>
      </c>
      <c r="N67" s="25" t="s">
        <v>76</v>
      </c>
      <c r="O67" s="25">
        <v>0</v>
      </c>
      <c r="P67" s="25" t="s">
        <v>76</v>
      </c>
      <c r="Q67" s="25" t="s">
        <v>76</v>
      </c>
      <c r="R67" s="25" t="s">
        <v>76</v>
      </c>
      <c r="S67" s="25">
        <v>0</v>
      </c>
      <c r="T67" s="25" t="s">
        <v>76</v>
      </c>
      <c r="U67" s="25" t="s">
        <v>76</v>
      </c>
      <c r="V67" s="25" t="s">
        <v>76</v>
      </c>
      <c r="W67" s="25">
        <v>0</v>
      </c>
      <c r="X67" s="25" t="s">
        <v>76</v>
      </c>
      <c r="Y67" s="25" t="s">
        <v>76</v>
      </c>
      <c r="Z67" s="25" t="s">
        <v>76</v>
      </c>
      <c r="AA67" s="25">
        <v>0</v>
      </c>
    </row>
    <row r="68" spans="1:27" x14ac:dyDescent="0.25">
      <c r="A68" s="10" t="s">
        <v>674</v>
      </c>
      <c r="B68" s="10" t="s">
        <v>701</v>
      </c>
      <c r="C68" s="13">
        <v>2.2153569307539902</v>
      </c>
      <c r="D68" s="13">
        <v>2.12862062596587</v>
      </c>
      <c r="E68" s="13">
        <v>2.07933005954499</v>
      </c>
      <c r="F68" s="13">
        <v>2.0178964580191101</v>
      </c>
      <c r="G68" s="13">
        <v>2.1780987180912201</v>
      </c>
      <c r="H68" s="13">
        <v>2.3957821050759098</v>
      </c>
      <c r="I68" s="13">
        <v>2.3569236024461602</v>
      </c>
      <c r="J68" s="13">
        <v>2.4533740704112699</v>
      </c>
      <c r="K68" s="13">
        <v>0</v>
      </c>
      <c r="L68" s="13">
        <v>2.7582959287940501</v>
      </c>
      <c r="M68" s="13">
        <v>3.04642482187535</v>
      </c>
      <c r="N68" s="13">
        <v>3.1745747377661502</v>
      </c>
      <c r="O68" s="13">
        <v>0</v>
      </c>
      <c r="P68" s="13" t="s">
        <v>76</v>
      </c>
      <c r="Q68" s="13" t="s">
        <v>76</v>
      </c>
      <c r="R68" s="13" t="s">
        <v>76</v>
      </c>
      <c r="S68" s="13">
        <v>0</v>
      </c>
      <c r="T68" s="13" t="s">
        <v>76</v>
      </c>
      <c r="U68" s="13" t="s">
        <v>76</v>
      </c>
      <c r="V68" s="13" t="s">
        <v>76</v>
      </c>
      <c r="W68" s="13">
        <v>0</v>
      </c>
      <c r="X68" s="13" t="s">
        <v>76</v>
      </c>
      <c r="Y68" s="13" t="s">
        <v>76</v>
      </c>
      <c r="Z68" s="13" t="s">
        <v>76</v>
      </c>
      <c r="AA68" s="13">
        <v>0</v>
      </c>
    </row>
    <row r="69" spans="1:27" x14ac:dyDescent="0.25">
      <c r="A69" s="10" t="s">
        <v>676</v>
      </c>
      <c r="B69" s="10" t="s">
        <v>702</v>
      </c>
      <c r="C69" s="13">
        <v>0</v>
      </c>
      <c r="D69" s="13" t="s">
        <v>76</v>
      </c>
      <c r="E69" s="13" t="s">
        <v>76</v>
      </c>
      <c r="F69" s="13" t="s">
        <v>76</v>
      </c>
      <c r="G69" s="13">
        <v>0</v>
      </c>
      <c r="H69" s="13" t="s">
        <v>76</v>
      </c>
      <c r="I69" s="13" t="s">
        <v>76</v>
      </c>
      <c r="J69" s="13" t="s">
        <v>76</v>
      </c>
      <c r="K69" s="13">
        <v>0</v>
      </c>
      <c r="L69" s="13" t="s">
        <v>76</v>
      </c>
      <c r="M69" s="13" t="s">
        <v>76</v>
      </c>
      <c r="N69" s="13" t="s">
        <v>76</v>
      </c>
      <c r="O69" s="13">
        <v>0</v>
      </c>
      <c r="P69" s="13" t="s">
        <v>76</v>
      </c>
      <c r="Q69" s="13" t="s">
        <v>76</v>
      </c>
      <c r="R69" s="13" t="s">
        <v>76</v>
      </c>
      <c r="S69" s="13">
        <v>0</v>
      </c>
      <c r="T69" s="13" t="s">
        <v>76</v>
      </c>
      <c r="U69" s="13" t="s">
        <v>76</v>
      </c>
      <c r="V69" s="13" t="s">
        <v>76</v>
      </c>
      <c r="W69" s="13">
        <v>0</v>
      </c>
      <c r="X69" s="13" t="s">
        <v>76</v>
      </c>
      <c r="Y69" s="13" t="s">
        <v>76</v>
      </c>
      <c r="Z69" s="13" t="s">
        <v>76</v>
      </c>
      <c r="AA69" s="13">
        <v>0</v>
      </c>
    </row>
    <row r="70" spans="1:27" x14ac:dyDescent="0.25">
      <c r="A70" s="10" t="s">
        <v>329</v>
      </c>
      <c r="B70" s="10" t="s">
        <v>703</v>
      </c>
      <c r="C70" s="13" t="s">
        <v>76</v>
      </c>
      <c r="D70" s="13" t="s">
        <v>76</v>
      </c>
      <c r="E70" s="13" t="s">
        <v>76</v>
      </c>
      <c r="F70" s="13" t="s">
        <v>76</v>
      </c>
      <c r="G70" s="13" t="s">
        <v>76</v>
      </c>
      <c r="H70" s="13" t="s">
        <v>76</v>
      </c>
      <c r="I70" s="13" t="s">
        <v>76</v>
      </c>
      <c r="J70" s="13" t="s">
        <v>76</v>
      </c>
      <c r="K70" s="13">
        <v>9.0465582635135302</v>
      </c>
      <c r="L70" s="13" t="s">
        <v>76</v>
      </c>
      <c r="M70" s="13" t="s">
        <v>76</v>
      </c>
      <c r="N70" s="13" t="s">
        <v>76</v>
      </c>
      <c r="O70" s="13">
        <v>0</v>
      </c>
      <c r="P70" s="13" t="s">
        <v>76</v>
      </c>
      <c r="Q70" s="13" t="s">
        <v>76</v>
      </c>
      <c r="R70" s="13" t="s">
        <v>76</v>
      </c>
      <c r="S70" s="13" t="s">
        <v>76</v>
      </c>
      <c r="T70" s="13" t="s">
        <v>76</v>
      </c>
      <c r="U70" s="13" t="s">
        <v>76</v>
      </c>
      <c r="V70" s="13" t="s">
        <v>76</v>
      </c>
      <c r="W70" s="13" t="s">
        <v>76</v>
      </c>
      <c r="X70" s="13" t="s">
        <v>76</v>
      </c>
      <c r="Y70" s="13" t="s">
        <v>76</v>
      </c>
      <c r="Z70" s="13" t="s">
        <v>76</v>
      </c>
      <c r="AA70" s="13" t="s">
        <v>76</v>
      </c>
    </row>
    <row r="71" spans="1:27" x14ac:dyDescent="0.25">
      <c r="A71" s="10" t="s">
        <v>704</v>
      </c>
      <c r="B71" s="10" t="s">
        <v>705</v>
      </c>
      <c r="C71" s="13">
        <v>0.37171555400197198</v>
      </c>
      <c r="D71" s="13">
        <v>0.285324848090937</v>
      </c>
      <c r="E71" s="13">
        <v>0.36765868779604499</v>
      </c>
      <c r="F71" s="13">
        <v>0.542643606603467</v>
      </c>
      <c r="G71" s="13">
        <v>0.602862991367493</v>
      </c>
      <c r="H71" s="13">
        <v>0.50048917536021098</v>
      </c>
      <c r="I71" s="13">
        <v>0.20566564980382299</v>
      </c>
      <c r="J71" s="13">
        <v>0.24420658304051801</v>
      </c>
      <c r="K71" s="13">
        <v>0.323311917684864</v>
      </c>
      <c r="L71" s="13">
        <v>0.47444571145174402</v>
      </c>
      <c r="M71" s="13">
        <v>0.54253849713192304</v>
      </c>
      <c r="N71" s="13">
        <v>0.59000749452839696</v>
      </c>
      <c r="O71" s="13">
        <v>1.5661970882206801E-2</v>
      </c>
      <c r="P71" s="13">
        <v>1.8734561804708501E-2</v>
      </c>
      <c r="Q71" s="13">
        <v>1.6213615252653499E-2</v>
      </c>
      <c r="R71" s="13">
        <v>1.7688974001053601E-2</v>
      </c>
      <c r="S71" s="13">
        <v>1.6145619447749601E-2</v>
      </c>
      <c r="T71" s="13">
        <v>1.32806725794531E-2</v>
      </c>
      <c r="U71" s="13">
        <v>1.38680993016206E-2</v>
      </c>
      <c r="V71" s="13">
        <v>1.4993285615572199E-2</v>
      </c>
      <c r="W71" s="13">
        <v>1.48588170120534E-2</v>
      </c>
      <c r="X71" s="13">
        <v>1.45688799223415E-2</v>
      </c>
      <c r="Y71" s="13">
        <v>1.6874758113181901E-2</v>
      </c>
      <c r="Z71" s="13">
        <v>0.23201506915296199</v>
      </c>
      <c r="AA71" s="13">
        <v>0.20576578768968701</v>
      </c>
    </row>
    <row r="72" spans="1:27" x14ac:dyDescent="0.25">
      <c r="A72" s="6" t="s">
        <v>706</v>
      </c>
      <c r="B72" s="6" t="s">
        <v>707</v>
      </c>
      <c r="C72" s="19">
        <v>9.4229915232624304</v>
      </c>
      <c r="D72" s="19">
        <v>10.278848694131501</v>
      </c>
      <c r="E72" s="19">
        <v>11.1133351521046</v>
      </c>
      <c r="F72" s="19">
        <v>11.863167985929699</v>
      </c>
      <c r="G72" s="19">
        <v>12.669211496424699</v>
      </c>
      <c r="H72" s="19">
        <v>14.6653857422386</v>
      </c>
      <c r="I72" s="19">
        <v>10.844438962135699</v>
      </c>
      <c r="J72" s="19">
        <v>11.593824467330499</v>
      </c>
      <c r="K72" s="19">
        <v>12.497277196039599</v>
      </c>
      <c r="L72" s="19">
        <v>14.086236982212601</v>
      </c>
      <c r="M72" s="19">
        <v>15.272551512280501</v>
      </c>
      <c r="N72" s="19">
        <v>15.1202856878395</v>
      </c>
      <c r="O72" s="19">
        <v>11.2033614294496</v>
      </c>
      <c r="P72" s="19">
        <v>17.2928150919114</v>
      </c>
      <c r="Q72" s="19">
        <v>42.646166613202404</v>
      </c>
      <c r="R72" s="19">
        <v>45.090348357425</v>
      </c>
      <c r="S72" s="19">
        <v>48.946147339307203</v>
      </c>
      <c r="T72" s="19">
        <v>32.055934728381402</v>
      </c>
      <c r="U72" s="19">
        <v>36.080875137362</v>
      </c>
      <c r="V72" s="19">
        <v>37.827896637592701</v>
      </c>
      <c r="W72" s="19">
        <v>36.260520284707901</v>
      </c>
      <c r="X72" s="19">
        <v>32.758443220165901</v>
      </c>
      <c r="Y72" s="19">
        <v>35.6354538667958</v>
      </c>
      <c r="Z72" s="19">
        <v>37.589021537191201</v>
      </c>
      <c r="AA72" s="19">
        <v>37.003945836013102</v>
      </c>
    </row>
    <row r="73" spans="1:27" x14ac:dyDescent="0.25">
      <c r="A73" s="6" t="s">
        <v>116</v>
      </c>
      <c r="B73" s="6" t="s">
        <v>117</v>
      </c>
      <c r="C73" s="19">
        <v>15.951800481888201</v>
      </c>
      <c r="D73" s="19">
        <v>17.1380075422645</v>
      </c>
      <c r="E73" s="19">
        <v>19.125269850307198</v>
      </c>
      <c r="F73" s="19">
        <v>22.2230208147264</v>
      </c>
      <c r="G73" s="19">
        <v>25.612183227742602</v>
      </c>
      <c r="H73" s="19">
        <v>26.726174282455599</v>
      </c>
      <c r="I73" s="19">
        <v>20.1993082802366</v>
      </c>
      <c r="J73" s="19">
        <v>21.715059080413901</v>
      </c>
      <c r="K73" s="19">
        <v>23.9267661173152</v>
      </c>
      <c r="L73" s="19">
        <v>26.687326961379199</v>
      </c>
      <c r="M73" s="19">
        <v>32.3074077715494</v>
      </c>
      <c r="N73" s="19">
        <v>35.018034642039197</v>
      </c>
      <c r="O73" s="19">
        <v>36.9686507969922</v>
      </c>
      <c r="P73" s="19">
        <v>46.3908477592853</v>
      </c>
      <c r="Q73" s="19">
        <v>68.598585754334096</v>
      </c>
      <c r="R73" s="19">
        <v>69.456333229506797</v>
      </c>
      <c r="S73" s="19">
        <v>76.425114160059294</v>
      </c>
      <c r="T73" s="19">
        <v>48.791458795269797</v>
      </c>
      <c r="U73" s="19">
        <v>56.433215303749101</v>
      </c>
      <c r="V73" s="19">
        <v>63.733197741880801</v>
      </c>
      <c r="W73" s="19">
        <v>68.580546901371406</v>
      </c>
      <c r="X73" s="19">
        <v>79.247897409748205</v>
      </c>
      <c r="Y73" s="19">
        <v>90.282156960929399</v>
      </c>
      <c r="Z73" s="19">
        <v>101.244151242001</v>
      </c>
      <c r="AA73" s="19">
        <v>106.851761720176</v>
      </c>
    </row>
    <row r="74" spans="1:27" x14ac:dyDescent="0.25">
      <c r="A74" s="10" t="s">
        <v>708</v>
      </c>
      <c r="B74" s="10" t="s">
        <v>167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</row>
    <row r="75" spans="1:27" x14ac:dyDescent="0.25">
      <c r="A75" s="10" t="s">
        <v>709</v>
      </c>
      <c r="B75" s="10" t="s">
        <v>710</v>
      </c>
      <c r="C75" s="13">
        <v>151.036139829609</v>
      </c>
      <c r="D75" s="13">
        <v>160.411340984703</v>
      </c>
      <c r="E75" s="13">
        <v>172.470178081433</v>
      </c>
      <c r="F75" s="13">
        <v>186.71558985275499</v>
      </c>
      <c r="G75" s="13">
        <v>206.59305416620401</v>
      </c>
      <c r="H75" s="13">
        <v>235.935227427304</v>
      </c>
      <c r="I75" s="13">
        <v>198.80343867273299</v>
      </c>
      <c r="J75" s="13">
        <v>217.31954619004799</v>
      </c>
      <c r="K75" s="13">
        <v>239.21982964791101</v>
      </c>
      <c r="L75" s="13">
        <v>263.37215587569398</v>
      </c>
      <c r="M75" s="13">
        <v>298.28238540928299</v>
      </c>
      <c r="N75" s="13">
        <v>331.52882407564999</v>
      </c>
      <c r="O75" s="13">
        <v>689.987790399044</v>
      </c>
      <c r="P75" s="13">
        <v>836.90443948023801</v>
      </c>
      <c r="Q75" s="13">
        <v>719.45686132303103</v>
      </c>
      <c r="R75" s="13">
        <v>804.12191548515898</v>
      </c>
      <c r="S75" s="13">
        <v>734.76924048900196</v>
      </c>
      <c r="T75" s="13">
        <v>624.06010370472995</v>
      </c>
      <c r="U75" s="13">
        <v>652.63787830139904</v>
      </c>
      <c r="V75" s="13">
        <v>706.42250426982696</v>
      </c>
      <c r="W75" s="13">
        <v>719.79032917124903</v>
      </c>
      <c r="X75" s="13">
        <v>706.79432383769597</v>
      </c>
      <c r="Y75" s="13">
        <v>819.27464219093099</v>
      </c>
      <c r="Z75" s="13">
        <v>960.75698410513996</v>
      </c>
      <c r="AA75" s="13">
        <v>971.60605955257302</v>
      </c>
    </row>
    <row r="76" spans="1:27" x14ac:dyDescent="0.25">
      <c r="A76" s="10" t="s">
        <v>711</v>
      </c>
      <c r="B76" s="10" t="s">
        <v>712</v>
      </c>
      <c r="C76" s="13">
        <v>2.43886779463931E-2</v>
      </c>
      <c r="D76" s="13">
        <v>2.5764338134727401E-2</v>
      </c>
      <c r="E76" s="13">
        <v>2.7330992653745501E-2</v>
      </c>
      <c r="F76" s="13">
        <v>2.9224962451472301E-2</v>
      </c>
      <c r="G76" s="13">
        <v>3.2070875477010902E-2</v>
      </c>
      <c r="H76" s="13">
        <v>3.6361163138674699E-2</v>
      </c>
      <c r="I76" s="13">
        <v>3.1407303384113197E-2</v>
      </c>
      <c r="J76" s="13">
        <v>3.4078923291067903E-2</v>
      </c>
      <c r="K76" s="13">
        <v>3.7333291415251699E-2</v>
      </c>
      <c r="L76" s="13">
        <v>4.1226938108898999E-2</v>
      </c>
      <c r="M76" s="13">
        <v>4.6477762522009899E-2</v>
      </c>
      <c r="N76" s="13">
        <v>5.23273347247478E-2</v>
      </c>
      <c r="O76" s="13">
        <v>0.11973829351880701</v>
      </c>
      <c r="P76" s="13">
        <v>0.14539649052784601</v>
      </c>
      <c r="Q76" s="13">
        <v>0.12813986248064799</v>
      </c>
      <c r="R76" s="13">
        <v>0.15939303746601599</v>
      </c>
      <c r="S76" s="13">
        <v>0.145661566756872</v>
      </c>
      <c r="T76" s="13">
        <v>0.153593865484109</v>
      </c>
      <c r="U76" s="13">
        <v>0.16053832343723901</v>
      </c>
      <c r="V76" s="13">
        <v>0.17454140102475801</v>
      </c>
      <c r="W76" s="13">
        <v>0.30767441747784502</v>
      </c>
      <c r="X76" s="13">
        <v>0.30293768795042803</v>
      </c>
      <c r="Y76" s="13">
        <v>0.35143517983539801</v>
      </c>
      <c r="Z76" s="13">
        <v>0.41220842221151899</v>
      </c>
      <c r="AA76" s="13">
        <v>0.41783274522414798</v>
      </c>
    </row>
    <row r="77" spans="1:27" x14ac:dyDescent="0.25">
      <c r="A77" s="10" t="s">
        <v>713</v>
      </c>
      <c r="B77" s="10" t="s">
        <v>714</v>
      </c>
      <c r="C77" s="13">
        <v>151.01175115166299</v>
      </c>
      <c r="D77" s="13">
        <v>160.38557664656801</v>
      </c>
      <c r="E77" s="13">
        <v>172.44284708878001</v>
      </c>
      <c r="F77" s="13">
        <v>186.686364890303</v>
      </c>
      <c r="G77" s="13">
        <v>206.56098329072699</v>
      </c>
      <c r="H77" s="13">
        <v>235.89886626416501</v>
      </c>
      <c r="I77" s="13">
        <v>198.77203136934901</v>
      </c>
      <c r="J77" s="13">
        <v>217.285467266757</v>
      </c>
      <c r="K77" s="13">
        <v>239.18249635649499</v>
      </c>
      <c r="L77" s="13">
        <v>263.33092893758499</v>
      </c>
      <c r="M77" s="13">
        <v>298.23590764676101</v>
      </c>
      <c r="N77" s="13">
        <v>331.47649674092497</v>
      </c>
      <c r="O77" s="13">
        <v>689.86805210552495</v>
      </c>
      <c r="P77" s="13">
        <v>836.75904298971</v>
      </c>
      <c r="Q77" s="13">
        <v>719.32872146055001</v>
      </c>
      <c r="R77" s="13">
        <v>803.962522447693</v>
      </c>
      <c r="S77" s="13">
        <v>734.62357892224497</v>
      </c>
      <c r="T77" s="13">
        <v>623.90650983924604</v>
      </c>
      <c r="U77" s="13">
        <v>652.47733997796195</v>
      </c>
      <c r="V77" s="13">
        <v>706.24796286880201</v>
      </c>
      <c r="W77" s="13">
        <v>719.48265475377195</v>
      </c>
      <c r="X77" s="13">
        <v>706.49138614974595</v>
      </c>
      <c r="Y77" s="13">
        <v>818.92320701109497</v>
      </c>
      <c r="Z77" s="13">
        <v>960.344775682928</v>
      </c>
      <c r="AA77" s="13">
        <v>971.188226807349</v>
      </c>
    </row>
    <row r="78" spans="1:27" x14ac:dyDescent="0.25">
      <c r="A78" s="10" t="s">
        <v>715</v>
      </c>
      <c r="B78" s="10" t="s">
        <v>716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</row>
    <row r="79" spans="1:27" x14ac:dyDescent="0.25">
      <c r="A79" s="10" t="s">
        <v>717</v>
      </c>
      <c r="B79" s="10" t="s">
        <v>718</v>
      </c>
      <c r="C79" s="13">
        <v>-66.826225988075805</v>
      </c>
      <c r="D79" s="13">
        <v>-77.465555978986401</v>
      </c>
      <c r="E79" s="13">
        <v>-91.554970385658606</v>
      </c>
      <c r="F79" s="13">
        <v>-108.787940924354</v>
      </c>
      <c r="G79" s="13">
        <v>-132.09565225445499</v>
      </c>
      <c r="H79" s="13">
        <v>-162.47835333633299</v>
      </c>
      <c r="I79" s="13">
        <v>-118.888883617438</v>
      </c>
      <c r="J79" s="13">
        <v>-138.81753846343599</v>
      </c>
      <c r="K79" s="13">
        <v>-162.83754348065301</v>
      </c>
      <c r="L79" s="13">
        <v>-189.72667456188</v>
      </c>
      <c r="M79" s="13">
        <v>-230.192600822711</v>
      </c>
      <c r="N79" s="13">
        <v>-266.10599532413102</v>
      </c>
      <c r="O79" s="13">
        <v>-626.46620466659397</v>
      </c>
      <c r="P79" s="13">
        <v>-782.38727190161899</v>
      </c>
      <c r="Q79" s="13">
        <v>-687.28556186278797</v>
      </c>
      <c r="R79" s="13">
        <v>-772.68803187091703</v>
      </c>
      <c r="S79" s="13">
        <v>-710.480086484362</v>
      </c>
      <c r="T79" s="13">
        <v>-572.40608254804101</v>
      </c>
      <c r="U79" s="13">
        <v>-608.71474374918</v>
      </c>
      <c r="V79" s="13">
        <v>-669.79276671751404</v>
      </c>
      <c r="W79" s="13">
        <v>-688.08080612312494</v>
      </c>
      <c r="X79" s="13">
        <v>-685.70840386835403</v>
      </c>
      <c r="Y79" s="13">
        <v>-809.167579187554</v>
      </c>
      <c r="Z79" s="13">
        <v>-961.67622823917998</v>
      </c>
      <c r="AA79" s="13">
        <v>-977.99435936658006</v>
      </c>
    </row>
    <row r="80" spans="1:27" x14ac:dyDescent="0.25">
      <c r="A80" s="10" t="s">
        <v>719</v>
      </c>
      <c r="B80" s="10" t="s">
        <v>720</v>
      </c>
      <c r="C80" s="13">
        <v>-0.16171432342151301</v>
      </c>
      <c r="D80" s="13">
        <v>-8.3792547980819407E-2</v>
      </c>
      <c r="E80" s="13">
        <v>-4.0477546082129397E-2</v>
      </c>
      <c r="F80" s="13">
        <v>-0.150669743126849</v>
      </c>
      <c r="G80" s="13">
        <v>-0.10958513949094099</v>
      </c>
      <c r="H80" s="13">
        <v>-0.18304837342652999</v>
      </c>
      <c r="I80" s="13">
        <v>-0.113863335531528</v>
      </c>
      <c r="J80" s="13">
        <v>-0.217066807025912</v>
      </c>
      <c r="K80" s="13">
        <v>-0.30905228457287298</v>
      </c>
      <c r="L80" s="13">
        <v>-0.33280827519317102</v>
      </c>
      <c r="M80" s="13">
        <v>-0.39719235812078602</v>
      </c>
      <c r="N80" s="13">
        <v>-0.44086339355828902</v>
      </c>
      <c r="O80" s="13">
        <v>-0.49023652944197899</v>
      </c>
      <c r="P80" s="13">
        <v>-0.90801533790429501</v>
      </c>
      <c r="Q80" s="13">
        <v>-0.76988521457760895</v>
      </c>
      <c r="R80" s="13">
        <v>-0.89021684374867804</v>
      </c>
      <c r="S80" s="13">
        <v>-0.71426816469935805</v>
      </c>
      <c r="T80" s="13">
        <v>-0.44547995195861001</v>
      </c>
      <c r="U80" s="13">
        <v>-0.35634985596773</v>
      </c>
      <c r="V80" s="13">
        <v>-0.36293529419433901</v>
      </c>
      <c r="W80" s="13">
        <v>-0.29006994949617299</v>
      </c>
      <c r="X80" s="13">
        <v>-0.333817379090174</v>
      </c>
      <c r="Y80" s="13">
        <v>-0.38921996430621802</v>
      </c>
      <c r="Z80" s="13">
        <v>-0.32490710796119199</v>
      </c>
      <c r="AA80" s="13">
        <v>-0.46346190616906302</v>
      </c>
    </row>
    <row r="81" spans="1:27" x14ac:dyDescent="0.25">
      <c r="A81" s="6" t="s">
        <v>721</v>
      </c>
      <c r="B81" s="6" t="s">
        <v>722</v>
      </c>
      <c r="C81" s="19">
        <v>84.048199518111801</v>
      </c>
      <c r="D81" s="19">
        <v>82.861992457735496</v>
      </c>
      <c r="E81" s="19">
        <v>80.874730149692795</v>
      </c>
      <c r="F81" s="19">
        <v>77.776979185273603</v>
      </c>
      <c r="G81" s="19">
        <v>74.387816772257395</v>
      </c>
      <c r="H81" s="19">
        <v>73.273825717544398</v>
      </c>
      <c r="I81" s="19">
        <v>79.800691719763293</v>
      </c>
      <c r="J81" s="19">
        <v>78.284940919586106</v>
      </c>
      <c r="K81" s="19">
        <v>76.073233882684804</v>
      </c>
      <c r="L81" s="19">
        <v>73.312673038620801</v>
      </c>
      <c r="M81" s="19">
        <v>67.692592228450593</v>
      </c>
      <c r="N81" s="19">
        <v>64.981965357960803</v>
      </c>
      <c r="O81" s="19">
        <v>63.0313492030078</v>
      </c>
      <c r="P81" s="19">
        <v>53.6091522407147</v>
      </c>
      <c r="Q81" s="19">
        <v>31.401414245665901</v>
      </c>
      <c r="R81" s="19">
        <v>30.543666770493299</v>
      </c>
      <c r="S81" s="19">
        <v>23.574885839940801</v>
      </c>
      <c r="T81" s="19">
        <v>51.208541204730203</v>
      </c>
      <c r="U81" s="19">
        <v>43.566784696250899</v>
      </c>
      <c r="V81" s="19">
        <v>36.266802258119199</v>
      </c>
      <c r="W81" s="19">
        <v>31.419453098628601</v>
      </c>
      <c r="X81" s="19">
        <v>20.752102590251798</v>
      </c>
      <c r="Y81" s="19">
        <v>9.7178430390705692</v>
      </c>
      <c r="Z81" s="19">
        <v>-1.2441512420009599</v>
      </c>
      <c r="AA81" s="19">
        <v>-6.8517617201759098</v>
      </c>
    </row>
    <row r="82" spans="1:27" x14ac:dyDescent="0.25">
      <c r="A82" s="10" t="s">
        <v>723</v>
      </c>
      <c r="B82" s="10" t="s">
        <v>169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</row>
    <row r="83" spans="1:27" x14ac:dyDescent="0.25">
      <c r="A83" s="6" t="s">
        <v>118</v>
      </c>
      <c r="B83" s="6" t="s">
        <v>119</v>
      </c>
      <c r="C83" s="19">
        <v>84.048199518111801</v>
      </c>
      <c r="D83" s="19">
        <v>82.861992457735496</v>
      </c>
      <c r="E83" s="19">
        <v>80.874730149692795</v>
      </c>
      <c r="F83" s="19">
        <v>77.776979185273603</v>
      </c>
      <c r="G83" s="19">
        <v>74.387816772257395</v>
      </c>
      <c r="H83" s="19">
        <v>73.273825717544398</v>
      </c>
      <c r="I83" s="19">
        <v>79.800691719763293</v>
      </c>
      <c r="J83" s="19">
        <v>78.284940919586106</v>
      </c>
      <c r="K83" s="19">
        <v>76.073233882684804</v>
      </c>
      <c r="L83" s="19">
        <v>73.312673038620801</v>
      </c>
      <c r="M83" s="19">
        <v>67.692592228450593</v>
      </c>
      <c r="N83" s="19">
        <v>64.981965357960803</v>
      </c>
      <c r="O83" s="19">
        <v>63.0313492030078</v>
      </c>
      <c r="P83" s="19">
        <v>53.6091522407147</v>
      </c>
      <c r="Q83" s="19">
        <v>31.401414245665901</v>
      </c>
      <c r="R83" s="19">
        <v>30.543666770493299</v>
      </c>
      <c r="S83" s="19">
        <v>23.574885839940801</v>
      </c>
      <c r="T83" s="19">
        <v>51.208541204730203</v>
      </c>
      <c r="U83" s="19">
        <v>43.566784696250899</v>
      </c>
      <c r="V83" s="19">
        <v>36.266802258119199</v>
      </c>
      <c r="W83" s="19">
        <v>31.419453098628601</v>
      </c>
      <c r="X83" s="19">
        <v>20.752102590251798</v>
      </c>
      <c r="Y83" s="19">
        <v>9.7178430390705692</v>
      </c>
      <c r="Z83" s="19">
        <v>-1.2441512420009599</v>
      </c>
      <c r="AA83" s="19">
        <v>-6.8517617201759098</v>
      </c>
    </row>
    <row r="84" spans="1:27" x14ac:dyDescent="0.25">
      <c r="A84" s="6" t="s">
        <v>724</v>
      </c>
      <c r="B84" s="6" t="s">
        <v>725</v>
      </c>
      <c r="C84" s="19">
        <v>100</v>
      </c>
      <c r="D84" s="19">
        <v>100</v>
      </c>
      <c r="E84" s="19">
        <v>100</v>
      </c>
      <c r="F84" s="19">
        <v>100</v>
      </c>
      <c r="G84" s="19">
        <v>100</v>
      </c>
      <c r="H84" s="19">
        <v>100</v>
      </c>
      <c r="I84" s="19">
        <v>100</v>
      </c>
      <c r="J84" s="19">
        <v>100</v>
      </c>
      <c r="K84" s="19">
        <v>100</v>
      </c>
      <c r="L84" s="19">
        <v>100</v>
      </c>
      <c r="M84" s="19">
        <v>100</v>
      </c>
      <c r="N84" s="19">
        <v>100</v>
      </c>
      <c r="O84" s="19">
        <v>100</v>
      </c>
      <c r="P84" s="19">
        <v>100</v>
      </c>
      <c r="Q84" s="19">
        <v>100</v>
      </c>
      <c r="R84" s="19">
        <v>100</v>
      </c>
      <c r="S84" s="19">
        <v>100</v>
      </c>
      <c r="T84" s="19">
        <v>100</v>
      </c>
      <c r="U84" s="19">
        <v>100</v>
      </c>
      <c r="V84" s="19">
        <v>100</v>
      </c>
      <c r="W84" s="19">
        <v>100</v>
      </c>
      <c r="X84" s="19">
        <v>100</v>
      </c>
      <c r="Y84" s="19">
        <v>100</v>
      </c>
      <c r="Z84" s="19">
        <v>100</v>
      </c>
      <c r="AA84" s="19">
        <v>100</v>
      </c>
    </row>
    <row r="85" spans="1:27" x14ac:dyDescent="0.25">
      <c r="A85" s="6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25">
      <c r="A86" s="6" t="s">
        <v>4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x14ac:dyDescent="0.25">
      <c r="A87" s="10" t="s">
        <v>352</v>
      </c>
      <c r="B87" s="10" t="s">
        <v>353</v>
      </c>
      <c r="C87" s="12" t="s">
        <v>354</v>
      </c>
      <c r="D87" s="12" t="s">
        <v>354</v>
      </c>
      <c r="E87" s="12" t="s">
        <v>354</v>
      </c>
      <c r="F87" s="12" t="s">
        <v>354</v>
      </c>
      <c r="G87" s="12" t="s">
        <v>354</v>
      </c>
      <c r="H87" s="12" t="s">
        <v>354</v>
      </c>
      <c r="I87" s="12" t="s">
        <v>354</v>
      </c>
      <c r="J87" s="12" t="s">
        <v>354</v>
      </c>
      <c r="K87" s="12" t="s">
        <v>354</v>
      </c>
      <c r="L87" s="12" t="s">
        <v>354</v>
      </c>
      <c r="M87" s="12" t="s">
        <v>354</v>
      </c>
      <c r="N87" s="12" t="s">
        <v>354</v>
      </c>
      <c r="O87" s="12" t="s">
        <v>354</v>
      </c>
      <c r="P87" s="12" t="s">
        <v>354</v>
      </c>
      <c r="Q87" s="12" t="s">
        <v>354</v>
      </c>
      <c r="R87" s="12" t="s">
        <v>354</v>
      </c>
      <c r="S87" s="12" t="s">
        <v>354</v>
      </c>
      <c r="T87" s="12" t="s">
        <v>354</v>
      </c>
      <c r="U87" s="12" t="s">
        <v>354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x14ac:dyDescent="0.25">
      <c r="A88" s="10" t="s">
        <v>726</v>
      </c>
      <c r="B88" s="10" t="s">
        <v>121</v>
      </c>
      <c r="C88" s="13">
        <v>0.122028103604174</v>
      </c>
      <c r="D88" s="13">
        <v>0.128749213860372</v>
      </c>
      <c r="E88" s="13">
        <v>0.13647703998924601</v>
      </c>
      <c r="F88" s="13">
        <v>0.14617766029072801</v>
      </c>
      <c r="G88" s="13">
        <v>0.16026175391797301</v>
      </c>
      <c r="H88" s="13">
        <v>0.181871213468803</v>
      </c>
      <c r="I88" s="13">
        <v>0.15702702830927201</v>
      </c>
      <c r="J88" s="13">
        <v>0.170494848582666</v>
      </c>
      <c r="K88" s="13">
        <v>0.18647558009759399</v>
      </c>
      <c r="L88" s="13">
        <v>0.20589649045764299</v>
      </c>
      <c r="M88" s="13">
        <v>0.23222036509794999</v>
      </c>
      <c r="N88" s="13">
        <v>0.26162547661916202</v>
      </c>
      <c r="O88" s="13">
        <v>0.59881777381082701</v>
      </c>
      <c r="P88" s="13">
        <v>0.727369362067807</v>
      </c>
      <c r="Q88" s="13">
        <v>0.64114387927307204</v>
      </c>
      <c r="R88" s="13">
        <v>0.79677291587354704</v>
      </c>
      <c r="S88" s="13">
        <v>0.72763217470964203</v>
      </c>
      <c r="T88" s="13">
        <v>0.767752794715447</v>
      </c>
      <c r="U88" s="13">
        <v>0.80234491470365199</v>
      </c>
      <c r="V88" s="13">
        <v>0.87207142019008899</v>
      </c>
      <c r="W88" s="13">
        <v>1.5567194962215001</v>
      </c>
      <c r="X88" s="13">
        <v>1.5327649358731701</v>
      </c>
      <c r="Y88" s="13">
        <v>1.77786581999402</v>
      </c>
      <c r="Z88" s="13">
        <v>2.08487795018234</v>
      </c>
      <c r="AA88" s="13">
        <v>2.1137165603434802</v>
      </c>
    </row>
    <row r="89" spans="1:27" x14ac:dyDescent="0.25">
      <c r="A89" s="10" t="s">
        <v>727</v>
      </c>
      <c r="B89" s="10" t="s">
        <v>728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</row>
    <row r="90" spans="1:27" x14ac:dyDescent="0.25">
      <c r="A90" s="10" t="s">
        <v>729</v>
      </c>
      <c r="B90" s="10" t="s">
        <v>730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</row>
    <row r="91" spans="1:27" x14ac:dyDescent="0.25">
      <c r="A91" s="10" t="s">
        <v>731</v>
      </c>
      <c r="B91" s="10" t="s">
        <v>732</v>
      </c>
      <c r="C91" s="13">
        <v>12.387932464317601</v>
      </c>
      <c r="D91" s="13">
        <v>11.2070194962628</v>
      </c>
      <c r="E91" s="13">
        <v>12.5040032737883</v>
      </c>
      <c r="F91" s="13">
        <v>13.7381633617268</v>
      </c>
      <c r="G91" s="13">
        <v>14.562319384239199</v>
      </c>
      <c r="H91" s="13" t="s">
        <v>76</v>
      </c>
      <c r="I91" s="13" t="s">
        <v>76</v>
      </c>
      <c r="J91" s="13" t="s">
        <v>76</v>
      </c>
      <c r="K91" s="13">
        <v>13.2654447545883</v>
      </c>
      <c r="L91" s="13" t="s">
        <v>76</v>
      </c>
      <c r="M91" s="13" t="s">
        <v>76</v>
      </c>
      <c r="N91" s="13" t="s">
        <v>76</v>
      </c>
      <c r="O91" s="13">
        <v>17.194317904327299</v>
      </c>
      <c r="P91" s="13" t="s">
        <v>76</v>
      </c>
      <c r="Q91" s="13" t="s">
        <v>76</v>
      </c>
      <c r="R91" s="13" t="s">
        <v>76</v>
      </c>
      <c r="S91" s="13" t="s">
        <v>76</v>
      </c>
      <c r="T91" s="13" t="s">
        <v>76</v>
      </c>
      <c r="U91" s="13" t="s">
        <v>76</v>
      </c>
      <c r="V91" s="13" t="s">
        <v>76</v>
      </c>
      <c r="W91" s="13">
        <v>42.677752636228703</v>
      </c>
      <c r="X91" s="13">
        <v>40.827385693676597</v>
      </c>
      <c r="Y91" s="13">
        <v>45.649155436698599</v>
      </c>
      <c r="Z91" s="13">
        <v>51.279200784421697</v>
      </c>
      <c r="AA91" s="13">
        <v>49.828564723878401</v>
      </c>
    </row>
    <row r="92" spans="1:27" x14ac:dyDescent="0.25">
      <c r="A92" s="10" t="s">
        <v>733</v>
      </c>
      <c r="B92" s="10" t="s">
        <v>734</v>
      </c>
      <c r="C92" s="13" t="s">
        <v>76</v>
      </c>
      <c r="D92" s="13" t="s">
        <v>76</v>
      </c>
      <c r="E92" s="13" t="s">
        <v>76</v>
      </c>
      <c r="F92" s="13" t="s">
        <v>76</v>
      </c>
      <c r="G92" s="13" t="s">
        <v>76</v>
      </c>
      <c r="H92" s="13" t="s">
        <v>76</v>
      </c>
      <c r="I92" s="13" t="s">
        <v>76</v>
      </c>
      <c r="J92" s="13" t="s">
        <v>76</v>
      </c>
      <c r="K92" s="13" t="s">
        <v>76</v>
      </c>
      <c r="L92" s="13" t="s">
        <v>76</v>
      </c>
      <c r="M92" s="13" t="s">
        <v>76</v>
      </c>
      <c r="N92" s="13" t="s">
        <v>76</v>
      </c>
      <c r="O92" s="13" t="s">
        <v>76</v>
      </c>
      <c r="P92" s="13" t="s">
        <v>76</v>
      </c>
      <c r="Q92" s="13" t="s">
        <v>76</v>
      </c>
      <c r="R92" s="13" t="s">
        <v>76</v>
      </c>
      <c r="S92" s="13" t="s">
        <v>76</v>
      </c>
      <c r="T92" s="13" t="s">
        <v>76</v>
      </c>
      <c r="U92" s="13" t="s">
        <v>76</v>
      </c>
      <c r="V92" s="13" t="s">
        <v>76</v>
      </c>
      <c r="W92" s="13" t="s">
        <v>76</v>
      </c>
      <c r="X92" s="13">
        <v>22.217700238961299</v>
      </c>
      <c r="Y92" s="13">
        <v>22.192141131672599</v>
      </c>
      <c r="Z92" s="13">
        <v>21.901878483451501</v>
      </c>
      <c r="AA92" s="13">
        <v>21.005275600132101</v>
      </c>
    </row>
    <row r="93" spans="1:27" x14ac:dyDescent="0.25">
      <c r="A93" s="10" t="s">
        <v>735</v>
      </c>
      <c r="B93" s="10" t="s">
        <v>736</v>
      </c>
      <c r="C93" s="13">
        <v>4.14652111337213E-4</v>
      </c>
      <c r="D93" s="13">
        <v>2.5366884642630898E-3</v>
      </c>
      <c r="E93" s="13">
        <v>3.1284843308898502E-3</v>
      </c>
      <c r="F93" s="13">
        <v>4.7827470196351601E-4</v>
      </c>
      <c r="G93" s="13">
        <v>4.2548905190619102E-4</v>
      </c>
      <c r="H93" s="13">
        <v>3.75056242086869E-3</v>
      </c>
      <c r="I93" s="13">
        <v>3.0980315875870001E-3</v>
      </c>
      <c r="J93" s="13">
        <v>2.9555627288633602E-4</v>
      </c>
      <c r="K93" s="13">
        <v>4.6035036030836701E-4</v>
      </c>
      <c r="L93" s="13">
        <v>2.0491315163756502E-3</v>
      </c>
      <c r="M93" s="13">
        <v>4.8127860599714398E-4</v>
      </c>
      <c r="N93" s="13">
        <v>1.4070902418851601E-3</v>
      </c>
      <c r="O93" s="13">
        <v>4.2102072263996802E-4</v>
      </c>
      <c r="P93" s="13">
        <v>9.0618260903209506E-3</v>
      </c>
      <c r="Q93" s="13">
        <v>6.7120880347006204E-4</v>
      </c>
      <c r="R93" s="13">
        <v>6.4410937938619295E-4</v>
      </c>
      <c r="S93" s="13">
        <v>1.4039669084999699E-3</v>
      </c>
      <c r="T93" s="13">
        <v>1.18515567257945E-2</v>
      </c>
      <c r="U93" s="13">
        <v>2.50228748268372E-3</v>
      </c>
      <c r="V93" s="13">
        <v>3.3408951643394501E-4</v>
      </c>
      <c r="W93" s="13">
        <v>5.0067752975397402E-4</v>
      </c>
      <c r="X93" s="13">
        <v>2.0364760413186099E-2</v>
      </c>
      <c r="Y93" s="13">
        <v>9.1710641919467105E-4</v>
      </c>
      <c r="Z93" s="13">
        <v>3.6339709626367601E-3</v>
      </c>
      <c r="AA93" s="13">
        <v>4.5629160944914704E-3</v>
      </c>
    </row>
    <row r="94" spans="1:27" x14ac:dyDescent="0.25">
      <c r="A94" s="10" t="s">
        <v>737</v>
      </c>
      <c r="B94" s="10" t="s">
        <v>738</v>
      </c>
      <c r="C94" s="13">
        <v>1.03506975964445E-2</v>
      </c>
      <c r="D94" s="13">
        <v>1.2587585890868599E-2</v>
      </c>
      <c r="E94" s="13">
        <v>1.3326947864525301E-2</v>
      </c>
      <c r="F94" s="13">
        <v>1.44512947239694E-2</v>
      </c>
      <c r="G94" s="13">
        <v>1.5870452187766299E-2</v>
      </c>
      <c r="H94" s="13">
        <v>2.1182339461540901E-2</v>
      </c>
      <c r="I94" s="13">
        <v>1.53383401572263E-2</v>
      </c>
      <c r="J94" s="13">
        <v>1.6353257081528301E-2</v>
      </c>
      <c r="K94" s="13">
        <v>1.7577524123481701E-2</v>
      </c>
      <c r="L94" s="13">
        <v>1.97217456523903E-2</v>
      </c>
      <c r="M94" s="13">
        <v>2.0966558699832698E-2</v>
      </c>
      <c r="N94" s="13">
        <v>2.1177267990600501E-2</v>
      </c>
      <c r="O94" s="13">
        <v>3.0195606227738502E-2</v>
      </c>
      <c r="P94" s="13">
        <v>3.8080033233483503E-2</v>
      </c>
      <c r="Q94" s="13">
        <v>2.6752465166878198E-2</v>
      </c>
      <c r="R94" s="13">
        <v>2.6196985952647401E-2</v>
      </c>
      <c r="S94" s="13">
        <v>2.3411148199236901E-2</v>
      </c>
      <c r="T94" s="13">
        <v>3.0559982446415401E-2</v>
      </c>
      <c r="U94" s="13">
        <v>3.3381419460259597E-2</v>
      </c>
      <c r="V94" s="13">
        <v>3.4443814291860601E-2</v>
      </c>
      <c r="W94" s="13">
        <v>3.4134901907581401E-2</v>
      </c>
      <c r="X94" s="13">
        <v>5.2020402766186899E-2</v>
      </c>
      <c r="Y94" s="13">
        <v>5.7768533345072301E-2</v>
      </c>
      <c r="Z94" s="13">
        <v>6.8077822885846004E-2</v>
      </c>
      <c r="AA94" s="13">
        <v>7.1702967199151701E-2</v>
      </c>
    </row>
    <row r="95" spans="1:27" x14ac:dyDescent="0.25">
      <c r="A95" s="10" t="s">
        <v>739</v>
      </c>
      <c r="B95" s="10" t="s">
        <v>740</v>
      </c>
      <c r="C95" s="13">
        <v>-77.495715261516196</v>
      </c>
      <c r="D95" s="13">
        <v>-72.243017092838102</v>
      </c>
      <c r="E95" s="13">
        <v>-66.601625823389398</v>
      </c>
      <c r="F95" s="13">
        <v>-63.9424210106869</v>
      </c>
      <c r="G95" s="13">
        <v>-60.609265588529503</v>
      </c>
      <c r="H95" s="13">
        <v>-53.4963612677751</v>
      </c>
      <c r="I95" s="13">
        <v>-66.575607626945796</v>
      </c>
      <c r="J95" s="13">
        <v>-63.869813372918998</v>
      </c>
      <c r="K95" s="13">
        <v>-37.965150354918897</v>
      </c>
      <c r="L95" s="13">
        <v>-54.223257001402899</v>
      </c>
      <c r="M95" s="13">
        <v>-51.086073928519099</v>
      </c>
      <c r="N95" s="13">
        <v>-58.908411488425301</v>
      </c>
      <c r="O95" s="13">
        <v>-51.706902213726998</v>
      </c>
      <c r="P95" s="13">
        <v>-31.8281877773275</v>
      </c>
      <c r="Q95" s="13">
        <v>20.889064003682101</v>
      </c>
      <c r="R95" s="13">
        <v>26.374452507027499</v>
      </c>
      <c r="S95" s="13">
        <v>32.522366947811001</v>
      </c>
      <c r="T95" s="13">
        <v>-6.4789472468588301</v>
      </c>
      <c r="U95" s="13">
        <v>9.2786628740429897</v>
      </c>
      <c r="V95" s="13">
        <v>21.0906637462354</v>
      </c>
      <c r="W95" s="13">
        <v>17.535180671909199</v>
      </c>
      <c r="X95" s="13">
        <v>32.034908303153102</v>
      </c>
      <c r="Y95" s="13">
        <v>45.186383537572901</v>
      </c>
      <c r="Z95" s="13">
        <v>63.298183444574398</v>
      </c>
      <c r="AA95" s="13">
        <v>63.568591492986101</v>
      </c>
    </row>
    <row r="96" spans="1:27" x14ac:dyDescent="0.25">
      <c r="A96" s="10" t="s">
        <v>741</v>
      </c>
      <c r="B96" s="10" t="s">
        <v>742</v>
      </c>
      <c r="C96" s="13">
        <v>-4.1110258671579496</v>
      </c>
      <c r="D96" s="13">
        <v>-4.0766919244464299</v>
      </c>
      <c r="E96" s="13">
        <v>-4.0700736009299501</v>
      </c>
      <c r="F96" s="13">
        <v>-4.3447704228582502</v>
      </c>
      <c r="G96" s="13">
        <v>-4.7167000690044798</v>
      </c>
      <c r="H96" s="13">
        <v>-4.7746149378982699</v>
      </c>
      <c r="I96" s="13">
        <v>-3.9580488094164998</v>
      </c>
      <c r="J96" s="13">
        <v>-4.1936265731303903</v>
      </c>
      <c r="K96" s="13">
        <v>-2.8017403489231198</v>
      </c>
      <c r="L96" s="13">
        <v>-4.5173511661726602</v>
      </c>
      <c r="M96" s="13">
        <v>-5.1887160105578802</v>
      </c>
      <c r="N96" s="13">
        <v>-6.7669827207825399</v>
      </c>
      <c r="O96" s="13">
        <v>-13.815142936535301</v>
      </c>
      <c r="P96" s="13">
        <v>-12.090066405876099</v>
      </c>
      <c r="Q96" s="13">
        <v>11.597561507133999</v>
      </c>
      <c r="R96" s="13">
        <v>16.6026379643836</v>
      </c>
      <c r="S96" s="13">
        <v>24.210258786200399</v>
      </c>
      <c r="T96" s="13">
        <v>-1.82639317142461</v>
      </c>
      <c r="U96" s="13">
        <v>3.21039896411328</v>
      </c>
      <c r="V96" s="13">
        <v>9.4774165265120391</v>
      </c>
      <c r="W96" s="13">
        <v>9.0138023874242705</v>
      </c>
      <c r="X96" s="13">
        <v>24.4455445356407</v>
      </c>
      <c r="Y96" s="13">
        <v>85.287902265803098</v>
      </c>
      <c r="Z96" s="13" t="s">
        <v>76</v>
      </c>
      <c r="AA96" s="13" t="s">
        <v>76</v>
      </c>
    </row>
    <row r="97" spans="1:27" x14ac:dyDescent="0.25">
      <c r="A97" s="10" t="s">
        <v>743</v>
      </c>
      <c r="B97" s="10" t="s">
        <v>744</v>
      </c>
      <c r="C97" s="13">
        <v>3.7389558970664001</v>
      </c>
      <c r="D97" s="13">
        <v>3.8649482024581299</v>
      </c>
      <c r="E97" s="13">
        <v>3.9830453941593702</v>
      </c>
      <c r="F97" s="13">
        <v>4.09238480978407</v>
      </c>
      <c r="G97" s="13">
        <v>4.2823411044422199</v>
      </c>
      <c r="H97" s="13">
        <v>4.7612599927800803</v>
      </c>
      <c r="I97" s="13">
        <v>3.7743410871102001</v>
      </c>
      <c r="J97" s="13">
        <v>4.0098487574300297</v>
      </c>
      <c r="K97" s="13">
        <v>4.2631568132976101</v>
      </c>
      <c r="L97" s="13">
        <v>4.4528533011172797</v>
      </c>
      <c r="M97" s="13">
        <v>4.6083303138830303</v>
      </c>
      <c r="N97" s="13">
        <v>4.8048950318144197</v>
      </c>
      <c r="O97" s="13">
        <v>10.5552362347275</v>
      </c>
      <c r="P97" s="13">
        <v>10.806905315117399</v>
      </c>
      <c r="Q97" s="13">
        <v>5.3556308316712897</v>
      </c>
      <c r="R97" s="13">
        <v>5.72611277105469</v>
      </c>
      <c r="S97" s="13">
        <v>3.8851639306861498</v>
      </c>
      <c r="T97" s="13">
        <v>7.2758503961104903</v>
      </c>
      <c r="U97" s="13">
        <v>6.4220302294416696</v>
      </c>
      <c r="V97" s="13">
        <v>5.7205755140089396</v>
      </c>
      <c r="W97" s="13">
        <v>4.77911512514516</v>
      </c>
      <c r="X97" s="13">
        <v>2.9623150583626199</v>
      </c>
      <c r="Y97" s="13">
        <v>1.2928007146093199</v>
      </c>
      <c r="Z97" s="13">
        <v>-1.0144277248331399</v>
      </c>
      <c r="AA97" s="13">
        <v>-2.2813557075561901</v>
      </c>
    </row>
    <row r="98" spans="1:27" x14ac:dyDescent="0.25">
      <c r="A98" s="10" t="s">
        <v>745</v>
      </c>
      <c r="B98" s="10" t="s">
        <v>746</v>
      </c>
      <c r="C98" s="13">
        <v>0.43206527070094902</v>
      </c>
      <c r="D98" s="13">
        <v>0.43511768130308598</v>
      </c>
      <c r="E98" s="13">
        <v>0.396576508987103</v>
      </c>
      <c r="F98" s="13">
        <v>0.32890866697177601</v>
      </c>
      <c r="G98" s="13">
        <v>0.298322589011152</v>
      </c>
      <c r="H98" s="13">
        <v>0.34307287143320497</v>
      </c>
      <c r="I98" s="13">
        <v>0.38820556127507999</v>
      </c>
      <c r="J98" s="13">
        <v>0.33757856656749702</v>
      </c>
      <c r="K98" s="13">
        <v>0.33518968680456201</v>
      </c>
      <c r="L98" s="13">
        <v>0.32491133154459301</v>
      </c>
      <c r="M98" s="13">
        <v>0.25072594002305998</v>
      </c>
      <c r="N98" s="13">
        <v>0.23308274437089299</v>
      </c>
      <c r="O98" s="13">
        <v>0.37042716762519101</v>
      </c>
      <c r="P98" s="13">
        <v>0.36328433159359802</v>
      </c>
      <c r="Q98" s="13">
        <v>0.19612006443604499</v>
      </c>
      <c r="R98" s="13">
        <v>0.24341816349995599</v>
      </c>
      <c r="S98" s="13">
        <v>0.22816620862246301</v>
      </c>
      <c r="T98" s="13">
        <v>0.43713954522357701</v>
      </c>
      <c r="U98" s="13">
        <v>0.32151530088499602</v>
      </c>
      <c r="V98" s="13">
        <v>0.25331433097352102</v>
      </c>
      <c r="W98" s="13">
        <v>0.227344745550834</v>
      </c>
      <c r="X98" s="13">
        <v>0.146505448286019</v>
      </c>
      <c r="Y98" s="13">
        <v>0.12529507899037601</v>
      </c>
      <c r="Z98" s="13">
        <v>0.10954422693181</v>
      </c>
      <c r="AA98" s="13">
        <v>0.104542708894644</v>
      </c>
    </row>
    <row r="99" spans="1:27" x14ac:dyDescent="0.25">
      <c r="A99" s="10" t="s">
        <v>747</v>
      </c>
      <c r="B99" s="10" t="s">
        <v>748</v>
      </c>
      <c r="C99" s="13" t="s">
        <v>76</v>
      </c>
      <c r="D99" s="13" t="s">
        <v>76</v>
      </c>
      <c r="E99" s="13" t="s">
        <v>76</v>
      </c>
      <c r="F99" s="13" t="s">
        <v>76</v>
      </c>
      <c r="G99" s="13" t="s">
        <v>76</v>
      </c>
      <c r="H99" s="13" t="s">
        <v>76</v>
      </c>
      <c r="I99" s="13" t="s">
        <v>76</v>
      </c>
      <c r="J99" s="13" t="s">
        <v>76</v>
      </c>
      <c r="K99" s="13" t="s">
        <v>76</v>
      </c>
      <c r="L99" s="13" t="s">
        <v>76</v>
      </c>
      <c r="M99" s="13" t="s">
        <v>76</v>
      </c>
      <c r="N99" s="13" t="s">
        <v>76</v>
      </c>
      <c r="O99" s="13" t="s">
        <v>76</v>
      </c>
      <c r="P99" s="13" t="s">
        <v>76</v>
      </c>
      <c r="Q99" s="13" t="s">
        <v>76</v>
      </c>
      <c r="R99" s="13" t="s">
        <v>76</v>
      </c>
      <c r="S99" s="13" t="s">
        <v>76</v>
      </c>
      <c r="T99" s="13" t="s">
        <v>76</v>
      </c>
      <c r="U99" s="13" t="s">
        <v>76</v>
      </c>
      <c r="V99" s="13">
        <v>33.654056987522999</v>
      </c>
      <c r="W99" s="13" t="s">
        <v>76</v>
      </c>
      <c r="X99" s="13" t="s">
        <v>76</v>
      </c>
      <c r="Y99" s="13" t="s">
        <v>76</v>
      </c>
      <c r="Z99" s="13">
        <v>39.736054367645998</v>
      </c>
      <c r="AA99" s="13" t="s">
        <v>76</v>
      </c>
    </row>
    <row r="100" spans="1:27" x14ac:dyDescent="0.25">
      <c r="A100" s="10" t="s">
        <v>749</v>
      </c>
      <c r="B100" s="10" t="s">
        <v>750</v>
      </c>
      <c r="C100" s="13">
        <v>764</v>
      </c>
      <c r="D100" s="13" t="s">
        <v>76</v>
      </c>
      <c r="E100" s="13" t="s">
        <v>76</v>
      </c>
      <c r="F100" s="13" t="s">
        <v>76</v>
      </c>
      <c r="G100" s="13">
        <v>1012</v>
      </c>
      <c r="H100" s="13" t="s">
        <v>76</v>
      </c>
      <c r="I100" s="13" t="s">
        <v>76</v>
      </c>
      <c r="J100" s="13" t="s">
        <v>76</v>
      </c>
      <c r="K100" s="13">
        <v>1213</v>
      </c>
      <c r="L100" s="13" t="s">
        <v>76</v>
      </c>
      <c r="M100" s="13" t="s">
        <v>76</v>
      </c>
      <c r="N100" s="13" t="s">
        <v>76</v>
      </c>
      <c r="O100" s="13">
        <v>518</v>
      </c>
      <c r="P100" s="13" t="s">
        <v>76</v>
      </c>
      <c r="Q100" s="13" t="s">
        <v>76</v>
      </c>
      <c r="R100" s="13" t="s">
        <v>76</v>
      </c>
      <c r="S100" s="13">
        <v>323</v>
      </c>
      <c r="T100" s="13" t="s">
        <v>76</v>
      </c>
      <c r="U100" s="13" t="s">
        <v>76</v>
      </c>
      <c r="V100" s="13" t="s">
        <v>76</v>
      </c>
      <c r="W100" s="13">
        <v>375</v>
      </c>
      <c r="X100" s="13" t="s">
        <v>76</v>
      </c>
      <c r="Y100" s="13" t="s">
        <v>76</v>
      </c>
      <c r="Z100" s="13" t="s">
        <v>76</v>
      </c>
      <c r="AA100" s="13">
        <v>248</v>
      </c>
    </row>
    <row r="101" spans="1:27" x14ac:dyDescent="0.25">
      <c r="A101" s="7" t="s">
        <v>90</v>
      </c>
      <c r="B101" s="7"/>
      <c r="C101" s="7" t="s">
        <v>5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1050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1051</v>
      </c>
      <c r="B6" s="10" t="s">
        <v>924</v>
      </c>
      <c r="C6" s="13">
        <f>_xll.BDH("BLUE US Equity","ARDR_FV_ASSETS_REC_LEVEL_1","FQ4 2018","FQ4 2018","Currency=USD","Period=FQ","BEST_FPERIOD_OVERRIDE=FQ","FILING_STATUS=MR","SCALING_FORMAT=MLN","Sort=A","Dates=H","DateFormat=P","Fill=—","Direction=H","UseDPDF=Y")</f>
        <v>370.80500000000001</v>
      </c>
      <c r="D6" s="13">
        <f>_xll.BDH("BLUE US Equity","ARDR_FV_ASSETS_REC_LEVEL_1","FQ1 2019","FQ1 2019","Currency=USD","Period=FQ","BEST_FPERIOD_OVERRIDE=FQ","FILING_STATUS=MR","SCALING_FORMAT=MLN","Sort=A","Dates=H","DateFormat=P","Fill=—","Direction=H","UseDPDF=Y")</f>
        <v>233.429</v>
      </c>
      <c r="E6" s="13">
        <f>_xll.BDH("BLUE US Equity","ARDR_FV_ASSETS_REC_LEVEL_1","FQ2 2019","FQ2 2019","Currency=USD","Period=FQ","BEST_FPERIOD_OVERRIDE=FQ","FILING_STATUS=MR","SCALING_FORMAT=MLN","Sort=A","Dates=H","DateFormat=P","Fill=—","Direction=H","UseDPDF=Y")</f>
        <v>296.97800000000001</v>
      </c>
      <c r="F6" s="13">
        <f>_xll.BDH("BLUE US Equity","ARDR_FV_ASSETS_REC_LEVEL_1","FQ3 2019","FQ3 2019","Currency=USD","Period=FQ","BEST_FPERIOD_OVERRIDE=FQ","FILING_STATUS=MR","SCALING_FORMAT=MLN","Sort=A","Dates=H","DateFormat=P","Fill=—","Direction=H","UseDPDF=Y")</f>
        <v>312.815</v>
      </c>
      <c r="G6" s="13">
        <f>_xll.BDH("BLUE US Equity","ARDR_FV_ASSETS_REC_LEVEL_1","FQ4 2019","FQ4 2019","Currency=USD","Period=FQ","BEST_FPERIOD_OVERRIDE=FQ","FILING_STATUS=MR","SCALING_FORMAT=MLN","Sort=A","Dates=H","DateFormat=P","Fill=—","Direction=H","UseDPDF=Y")</f>
        <v>324.11500000000001</v>
      </c>
      <c r="H6" s="13">
        <f>_xll.BDH("BLUE US Equity","ARDR_FV_ASSETS_REC_LEVEL_1","FQ1 2020","FQ1 2020","Currency=USD","Period=FQ","BEST_FPERIOD_OVERRIDE=FQ","FILING_STATUS=MR","SCALING_FORMAT=MLN","Sort=A","Dates=H","DateFormat=P","Fill=—","Direction=H","UseDPDF=Y")</f>
        <v>344.98</v>
      </c>
      <c r="I6" s="13">
        <f>_xll.BDH("BLUE US Equity","ARDR_FV_ASSETS_REC_LEVEL_1","FQ2 2020","FQ2 2020","Currency=USD","Period=FQ","BEST_FPERIOD_OVERRIDE=FQ","FILING_STATUS=MR","SCALING_FORMAT=MLN","Sort=A","Dates=H","DateFormat=P","Fill=—","Direction=H","UseDPDF=Y")</f>
        <v>1208.2950000000001</v>
      </c>
      <c r="J6" s="13">
        <f>_xll.BDH("BLUE US Equity","ARDR_FV_ASSETS_REC_LEVEL_1","FQ3 2020","FQ3 2020","Currency=USD","Period=FQ","BEST_FPERIOD_OVERRIDE=FQ","FILING_STATUS=MR","SCALING_FORMAT=MLN","Sort=A","Dates=H","DateFormat=P","Fill=—","Direction=H","UseDPDF=Y")</f>
        <v>265.76600000000002</v>
      </c>
      <c r="K6" s="13">
        <f>_xll.BDH("BLUE US Equity","ARDR_FV_ASSETS_REC_LEVEL_1","FQ4 2020","FQ4 2020","Currency=USD","Period=FQ","BEST_FPERIOD_OVERRIDE=FQ","FILING_STATUS=MR","SCALING_FORMAT=MLN","Sort=A","Dates=H","DateFormat=P","Fill=—","Direction=H","UseDPDF=Y")</f>
        <v>266.28199999999998</v>
      </c>
      <c r="L6" s="13">
        <f>_xll.BDH("BLUE US Equity","ARDR_FV_ASSETS_REC_LEVEL_1","FQ1 2021","FQ1 2021","Currency=USD","Period=FQ","BEST_FPERIOD_OVERRIDE=FQ","FILING_STATUS=MR","SCALING_FORMAT=MLN","Sort=A","Dates=H","DateFormat=P","Fill=—","Direction=H","UseDPDF=Y")</f>
        <v>413.42200000000003</v>
      </c>
      <c r="M6" s="13">
        <f>_xll.BDH("BLUE US Equity","ARDR_FV_ASSETS_REC_LEVEL_1","FQ2 2021","FQ2 2021","Currency=USD","Period=FQ","BEST_FPERIOD_OVERRIDE=FQ","FILING_STATUS=MR","SCALING_FORMAT=MLN","Sort=A","Dates=H","DateFormat=P","Fill=—","Direction=H","UseDPDF=Y")</f>
        <v>313.45299999999997</v>
      </c>
      <c r="N6" s="13">
        <f>_xll.BDH("BLUE US Equity","ARDR_FV_ASSETS_REC_LEVEL_1","FQ3 2021","FQ3 2021","Currency=USD","Period=FQ","BEST_FPERIOD_OVERRIDE=FQ","FILING_STATUS=MR","SCALING_FORMAT=MLN","Sort=A","Dates=H","DateFormat=P","Fill=—","Direction=H","UseDPDF=Y")</f>
        <v>380.56200000000001</v>
      </c>
      <c r="O6" s="13">
        <f>_xll.BDH("BLUE US Equity","ARDR_FV_ASSETS_REC_LEVEL_1","FQ4 2021","FQ4 2021","Currency=USD","Period=FQ","BEST_FPERIOD_OVERRIDE=FQ","FILING_STATUS=MR","SCALING_FORMAT=MLN","Sort=A","Dates=H","DateFormat=P","Fill=—","Direction=H","UseDPDF=Y")</f>
        <v>164.83699999999999</v>
      </c>
      <c r="P6" s="13">
        <f>_xll.BDH("BLUE US Equity","ARDR_FV_ASSETS_REC_LEVEL_1","FQ1 2022","FQ1 2022","Currency=USD","Period=FQ","BEST_FPERIOD_OVERRIDE=FQ","FILING_STATUS=MR","SCALING_FORMAT=MLN","Sort=A","Dates=H","DateFormat=P","Fill=—","Direction=H","UseDPDF=Y")</f>
        <v>107.44199999999999</v>
      </c>
      <c r="Q6" s="13">
        <f>_xll.BDH("BLUE US Equity","ARDR_FV_ASSETS_REC_LEVEL_1","FQ2 2022","FQ2 2022","Currency=USD","Period=FQ","BEST_FPERIOD_OVERRIDE=FQ","FILING_STATUS=MR","SCALING_FORMAT=MLN","Sort=A","Dates=H","DateFormat=P","Fill=—","Direction=H","UseDPDF=Y")</f>
        <v>81.498999999999995</v>
      </c>
      <c r="R6" s="13">
        <f>_xll.BDH("BLUE US Equity","ARDR_FV_ASSETS_REC_LEVEL_1","FQ3 2022","FQ3 2022","Currency=USD","Period=FQ","BEST_FPERIOD_OVERRIDE=FQ","FILING_STATUS=MR","SCALING_FORMAT=MLN","Sort=A","Dates=H","DateFormat=P","Fill=—","Direction=H","UseDPDF=Y")</f>
        <v>66.477999999999994</v>
      </c>
      <c r="S6" s="13">
        <f>_xll.BDH("BLUE US Equity","ARDR_FV_ASSETS_REC_LEVEL_1","FQ4 2022","FQ4 2022","Currency=USD","Period=FQ","BEST_FPERIOD_OVERRIDE=FQ","FILING_STATUS=MR","SCALING_FORMAT=MLN","Sort=A","Dates=H","DateFormat=P","Fill=—","Direction=H","UseDPDF=Y")</f>
        <v>113.006</v>
      </c>
      <c r="T6" s="13">
        <f>_xll.BDH("BLUE US Equity","ARDR_FV_ASSETS_REC_LEVEL_1","FQ1 2023","FQ1 2023","Currency=USD","Period=FQ","BEST_FPERIOD_OVERRIDE=FQ","FILING_STATUS=MR","SCALING_FORMAT=MLN","Sort=A","Dates=H","DateFormat=P","Fill=—","Direction=H","UseDPDF=Y")</f>
        <v>239.04499999999999</v>
      </c>
      <c r="U6" s="13">
        <f>_xll.BDH("BLUE US Equity","ARDR_FV_ASSETS_REC_LEVEL_1","FQ2 2023","FQ2 2023","Currency=USD","Period=FQ","BEST_FPERIOD_OVERRIDE=FQ","FILING_STATUS=MR","SCALING_FORMAT=MLN","Sort=A","Dates=H","DateFormat=P","Fill=—","Direction=H","UseDPDF=Y")</f>
        <v>172.87200000000001</v>
      </c>
      <c r="V6" s="13">
        <f>_xll.BDH("BLUE US Equity","ARDR_FV_ASSETS_REC_LEVEL_1","FQ3 2023","FQ3 2023","Currency=USD","Period=FQ","BEST_FPERIOD_OVERRIDE=FQ","FILING_STATUS=MR","SCALING_FORMAT=MLN","Sort=A","Dates=H","DateFormat=P","Fill=—","Direction=H","UseDPDF=Y")</f>
        <v>165.34700000000001</v>
      </c>
      <c r="W6" s="13" t="str">
        <f>_xll.BDH("BLUE US Equity","ARDR_FV_ASSETS_REC_LEVEL_1","FQ4 2023","FQ4 2023","Currency=USD","Period=FQ","BEST_FPERIOD_OVERRIDE=FQ","FILING_STATUS=MR","SCALING_FORMAT=MLN","Sort=A","Dates=H","DateFormat=P","Fill=—","Direction=H","UseDPDF=Y")</f>
        <v>—</v>
      </c>
      <c r="X6" s="13">
        <f>_xll.BDH("BLUE US Equity","ARDR_FV_ASSETS_REC_LEVEL_1","FQ1 2024","FQ1 2024","Currency=USD","Period=FQ","BEST_FPERIOD_OVERRIDE=FQ","FILING_STATUS=MR","SCALING_FORMAT=MLN","Sort=A","Dates=H","DateFormat=P","Fill=—","Direction=H","UseDPDF=Y")</f>
        <v>212.047</v>
      </c>
      <c r="Y6" s="13">
        <f>_xll.BDH("BLUE US Equity","ARDR_FV_ASSETS_REC_LEVEL_1","FQ2 2024","FQ2 2024","Currency=USD","Period=FQ","BEST_FPERIOD_OVERRIDE=FQ","FILING_STATUS=MR","SCALING_FORMAT=MLN","Sort=A","Dates=H","DateFormat=P","Fill=—","Direction=H","UseDPDF=Y")</f>
        <v>144.06700000000001</v>
      </c>
      <c r="Z6" s="13">
        <f>_xll.BDH("BLUE US Equity","ARDR_FV_ASSETS_REC_LEVEL_1","FQ3 2024","FQ3 2024","Currency=USD","Period=FQ","BEST_FPERIOD_OVERRIDE=FQ","FILING_STATUS=MR","SCALING_FORMAT=MLN","Sort=A","Dates=H","DateFormat=P","Fill=—","Direction=H","UseDPDF=Y")</f>
        <v>70.650999999999996</v>
      </c>
      <c r="AA6" s="13" t="str">
        <f>_xll.BDH("BLUE US Equity","ARDR_FV_ASSETS_REC_LEVEL_1","FQ4 2024","FQ4 2024","Currency=USD","Period=FQ","BEST_FPERIOD_OVERRIDE=FQ","FILING_STATUS=MR","SCALING_FORMAT=MLN","Sort=A","Dates=H","DateFormat=P","Fill=—","Direction=H","UseDPDF=Y")</f>
        <v>—</v>
      </c>
    </row>
    <row r="7" spans="1:27" x14ac:dyDescent="0.25">
      <c r="A7" s="10" t="s">
        <v>1052</v>
      </c>
      <c r="B7" s="10" t="s">
        <v>926</v>
      </c>
      <c r="C7" s="13">
        <f>_xll.BDH("BLUE US Equity","ARDR_FV_ASSETS_REC_LEVEL_2","FQ4 2018","FQ4 2018","Currency=USD","Period=FQ","BEST_FPERIOD_OVERRIDE=FQ","FILING_STATUS=MR","SCALING_FORMAT=MLN","Sort=A","Dates=H","DateFormat=P","Fill=—","Direction=H","UseDPDF=Y")</f>
        <v>1520.6220000000001</v>
      </c>
      <c r="D7" s="13">
        <f>_xll.BDH("BLUE US Equity","ARDR_FV_ASSETS_REC_LEVEL_2","FQ1 2019","FQ1 2019","Currency=USD","Period=FQ","BEST_FPERIOD_OVERRIDE=FQ","FILING_STATUS=MR","SCALING_FORMAT=MLN","Sort=A","Dates=H","DateFormat=P","Fill=—","Direction=H","UseDPDF=Y")</f>
        <v>1497.337</v>
      </c>
      <c r="E7" s="13">
        <f>_xll.BDH("BLUE US Equity","ARDR_FV_ASSETS_REC_LEVEL_2","FQ2 2019","FQ2 2019","Currency=USD","Period=FQ","BEST_FPERIOD_OVERRIDE=FQ","FILING_STATUS=MR","SCALING_FORMAT=MLN","Sort=A","Dates=H","DateFormat=P","Fill=—","Direction=H","UseDPDF=Y")</f>
        <v>1244.8240000000001</v>
      </c>
      <c r="F7" s="13">
        <f>_xll.BDH("BLUE US Equity","ARDR_FV_ASSETS_REC_LEVEL_2","FQ3 2019","FQ3 2019","Currency=USD","Period=FQ","BEST_FPERIOD_OVERRIDE=FQ","FILING_STATUS=MR","SCALING_FORMAT=MLN","Sort=A","Dates=H","DateFormat=P","Fill=—","Direction=H","UseDPDF=Y")</f>
        <v>1093.0719999999999</v>
      </c>
      <c r="G7" s="13">
        <f>_xll.BDH("BLUE US Equity","ARDR_FV_ASSETS_REC_LEVEL_2","FQ4 2019","FQ4 2019","Currency=USD","Period=FQ","BEST_FPERIOD_OVERRIDE=FQ","FILING_STATUS=MR","SCALING_FORMAT=MLN","Sort=A","Dates=H","DateFormat=P","Fill=—","Direction=H","UseDPDF=Y")</f>
        <v>913.851</v>
      </c>
      <c r="H7" s="13">
        <f>_xll.BDH("BLUE US Equity","ARDR_FV_ASSETS_REC_LEVEL_2","FQ1 2020","FQ1 2020","Currency=USD","Period=FQ","BEST_FPERIOD_OVERRIDE=FQ","FILING_STATUS=MR","SCALING_FORMAT=MLN","Sort=A","Dates=H","DateFormat=P","Fill=—","Direction=H","UseDPDF=Y")</f>
        <v>673.37699999999995</v>
      </c>
      <c r="I7" s="13">
        <f>_xll.BDH("BLUE US Equity","ARDR_FV_ASSETS_REC_LEVEL_2","FQ2 2020","FQ2 2020","Currency=USD","Period=FQ","BEST_FPERIOD_OVERRIDE=FQ","FILING_STATUS=MR","SCALING_FORMAT=MLN","Sort=A","Dates=H","DateFormat=P","Fill=—","Direction=H","UseDPDF=Y")</f>
        <v>390.49799999999999</v>
      </c>
      <c r="J7" s="13">
        <f>_xll.BDH("BLUE US Equity","ARDR_FV_ASSETS_REC_LEVEL_2","FQ3 2020","FQ3 2020","Currency=USD","Period=FQ","BEST_FPERIOD_OVERRIDE=FQ","FILING_STATUS=MR","SCALING_FORMAT=MLN","Sort=A","Dates=H","DateFormat=P","Fill=—","Direction=H","UseDPDF=Y")</f>
        <v>1172.104</v>
      </c>
      <c r="K7" s="13">
        <f>_xll.BDH("BLUE US Equity","ARDR_FV_ASSETS_REC_LEVEL_2","FQ4 2020","FQ4 2020","Currency=USD","Period=FQ","BEST_FPERIOD_OVERRIDE=FQ","FILING_STATUS=MR","SCALING_FORMAT=MLN","Sort=A","Dates=H","DateFormat=P","Fill=—","Direction=H","UseDPDF=Y")</f>
        <v>475.39100000000002</v>
      </c>
      <c r="L7" s="13">
        <f>_xll.BDH("BLUE US Equity","ARDR_FV_ASSETS_REC_LEVEL_2","FQ1 2021","FQ1 2021","Currency=USD","Period=FQ","BEST_FPERIOD_OVERRIDE=FQ","FILING_STATUS=MR","SCALING_FORMAT=MLN","Sort=A","Dates=H","DateFormat=P","Fill=—","Direction=H","UseDPDF=Y")</f>
        <v>680.12900000000002</v>
      </c>
      <c r="M7" s="13">
        <f>_xll.BDH("BLUE US Equity","ARDR_FV_ASSETS_REC_LEVEL_2","FQ2 2021","FQ2 2021","Currency=USD","Period=FQ","BEST_FPERIOD_OVERRIDE=FQ","FILING_STATUS=MR","SCALING_FORMAT=MLN","Sort=A","Dates=H","DateFormat=P","Fill=—","Direction=H","UseDPDF=Y")</f>
        <v>628.17499999999995</v>
      </c>
      <c r="N7" s="13">
        <f>_xll.BDH("BLUE US Equity","ARDR_FV_ASSETS_REC_LEVEL_2","FQ3 2021","FQ3 2021","Currency=USD","Period=FQ","BEST_FPERIOD_OVERRIDE=FQ","FILING_STATUS=MR","SCALING_FORMAT=MLN","Sort=A","Dates=H","DateFormat=P","Fill=—","Direction=H","UseDPDF=Y")</f>
        <v>590.16800000000001</v>
      </c>
      <c r="O7" s="13">
        <f>_xll.BDH("BLUE US Equity","ARDR_FV_ASSETS_REC_LEVEL_2","FQ4 2021","FQ4 2021","Currency=USD","Period=FQ","BEST_FPERIOD_OVERRIDE=FQ","FILING_STATUS=MR","SCALING_FORMAT=MLN","Sort=A","Dates=H","DateFormat=P","Fill=—","Direction=H","UseDPDF=Y")</f>
        <v>231.78</v>
      </c>
      <c r="P7" s="13">
        <f>_xll.BDH("BLUE US Equity","ARDR_FV_ASSETS_REC_LEVEL_2","FQ1 2022","FQ1 2022","Currency=USD","Period=FQ","BEST_FPERIOD_OVERRIDE=FQ","FILING_STATUS=MR","SCALING_FORMAT=MLN","Sort=A","Dates=H","DateFormat=P","Fill=—","Direction=H","UseDPDF=Y")</f>
        <v>159.19499999999999</v>
      </c>
      <c r="Q7" s="13">
        <f>_xll.BDH("BLUE US Equity","ARDR_FV_ASSETS_REC_LEVEL_2","FQ2 2022","FQ2 2022","Currency=USD","Period=FQ","BEST_FPERIOD_OVERRIDE=FQ","FILING_STATUS=MR","SCALING_FORMAT=MLN","Sort=A","Dates=H","DateFormat=P","Fill=—","Direction=H","UseDPDF=Y")</f>
        <v>91.650999999999996</v>
      </c>
      <c r="R7" s="13">
        <f>_xll.BDH("BLUE US Equity","ARDR_FV_ASSETS_REC_LEVEL_2","FQ3 2022","FQ3 2022","Currency=USD","Period=FQ","BEST_FPERIOD_OVERRIDE=FQ","FILING_STATUS=MR","SCALING_FORMAT=MLN","Sort=A","Dates=H","DateFormat=P","Fill=—","Direction=H","UseDPDF=Y")</f>
        <v>74.561999999999998</v>
      </c>
      <c r="S7" s="13">
        <f>_xll.BDH("BLUE US Equity","ARDR_FV_ASSETS_REC_LEVEL_2","FQ4 2022","FQ4 2022","Currency=USD","Period=FQ","BEST_FPERIOD_OVERRIDE=FQ","FILING_STATUS=MR","SCALING_FORMAT=MLN","Sort=A","Dates=H","DateFormat=P","Fill=—","Direction=H","UseDPDF=Y")</f>
        <v>68.734999999999999</v>
      </c>
      <c r="T7" s="13">
        <f>_xll.BDH("BLUE US Equity","ARDR_FV_ASSETS_REC_LEVEL_2","FQ1 2023","FQ1 2023","Currency=USD","Period=FQ","BEST_FPERIOD_OVERRIDE=FQ","FILING_STATUS=MR","SCALING_FORMAT=MLN","Sort=A","Dates=H","DateFormat=P","Fill=—","Direction=H","UseDPDF=Y")</f>
        <v>79.212000000000003</v>
      </c>
      <c r="U7" s="13">
        <f>_xll.BDH("BLUE US Equity","ARDR_FV_ASSETS_REC_LEVEL_2","FQ2 2023","FQ2 2023","Currency=USD","Period=FQ","BEST_FPERIOD_OVERRIDE=FQ","FILING_STATUS=MR","SCALING_FORMAT=MLN","Sort=A","Dates=H","DateFormat=P","Fill=—","Direction=H","UseDPDF=Y")</f>
        <v>72.430999999999997</v>
      </c>
      <c r="V7" s="13">
        <f>_xll.BDH("BLUE US Equity","ARDR_FV_ASSETS_REC_LEVEL_2","FQ3 2023","FQ3 2023","Currency=USD","Period=FQ","BEST_FPERIOD_OVERRIDE=FQ","FILING_STATUS=MR","SCALING_FORMAT=MLN","Sort=A","Dates=H","DateFormat=P","Fill=—","Direction=H","UseDPDF=Y")</f>
        <v>8.9459999999999997</v>
      </c>
      <c r="W7" s="13" t="str">
        <f>_xll.BDH("BLUE US Equity","ARDR_FV_ASSETS_REC_LEVEL_2","FQ4 2023","FQ4 2023","Currency=USD","Period=FQ","BEST_FPERIOD_OVERRIDE=FQ","FILING_STATUS=MR","SCALING_FORMAT=MLN","Sort=A","Dates=H","DateFormat=P","Fill=—","Direction=H","UseDPDF=Y")</f>
        <v>—</v>
      </c>
      <c r="X7" s="13">
        <f>_xll.BDH("BLUE US Equity","ARDR_FV_ASSETS_REC_LEVEL_2","FQ1 2024","FQ1 2024","Currency=USD","Period=FQ","BEST_FPERIOD_OVERRIDE=FQ","FILING_STATUS=MR","SCALING_FORMAT=MLN","Sort=A","Dates=H","DateFormat=P","Fill=—","Direction=H","UseDPDF=Y")</f>
        <v>0</v>
      </c>
      <c r="Y7" s="13">
        <f>_xll.BDH("BLUE US Equity","ARDR_FV_ASSETS_REC_LEVEL_2","FQ2 2024","FQ2 2024","Currency=USD","Period=FQ","BEST_FPERIOD_OVERRIDE=FQ","FILING_STATUS=MR","SCALING_FORMAT=MLN","Sort=A","Dates=H","DateFormat=P","Fill=—","Direction=H","UseDPDF=Y")</f>
        <v>0</v>
      </c>
      <c r="Z7" s="13">
        <f>_xll.BDH("BLUE US Equity","ARDR_FV_ASSETS_REC_LEVEL_2","FQ3 2024","FQ3 2024","Currency=USD","Period=FQ","BEST_FPERIOD_OVERRIDE=FQ","FILING_STATUS=MR","SCALING_FORMAT=MLN","Sort=A","Dates=H","DateFormat=P","Fill=—","Direction=H","UseDPDF=Y")</f>
        <v>0</v>
      </c>
      <c r="AA7" s="13" t="str">
        <f>_xll.BDH("BLUE US Equity","ARDR_FV_ASSETS_REC_LEVEL_2","FQ4 2024","FQ4 2024","Currency=USD","Period=FQ","BEST_FPERIOD_OVERRIDE=FQ","FILING_STATUS=MR","SCALING_FORMAT=MLN","Sort=A","Dates=H","DateFormat=P","Fill=—","Direction=H","UseDPDF=Y")</f>
        <v>—</v>
      </c>
    </row>
    <row r="8" spans="1:27" x14ac:dyDescent="0.25">
      <c r="A8" s="10" t="s">
        <v>1053</v>
      </c>
      <c r="B8" s="10" t="s">
        <v>928</v>
      </c>
      <c r="C8" s="13">
        <f>_xll.BDH("BLUE US Equity","ARDR_FV_ASSETS_REC_LEVEL_3","FQ4 2018","FQ4 2018","Currency=USD","Period=FQ","BEST_FPERIOD_OVERRIDE=FQ","FILING_STATUS=MR","SCALING_FORMAT=MLN","Sort=A","Dates=H","DateFormat=P","Fill=—","Direction=H","UseDPDF=Y")</f>
        <v>0</v>
      </c>
      <c r="D8" s="13">
        <f>_xll.BDH("BLUE US Equity","ARDR_FV_ASSETS_REC_LEVEL_3","FQ1 2019","FQ1 2019","Currency=USD","Period=FQ","BEST_FPERIOD_OVERRIDE=FQ","FILING_STATUS=MR","SCALING_FORMAT=MLN","Sort=A","Dates=H","DateFormat=P","Fill=—","Direction=H","UseDPDF=Y")</f>
        <v>0</v>
      </c>
      <c r="E8" s="13">
        <f>_xll.BDH("BLUE US Equity","ARDR_FV_ASSETS_REC_LEVEL_3","FQ2 2019","FQ2 2019","Currency=USD","Period=FQ","BEST_FPERIOD_OVERRIDE=FQ","FILING_STATUS=MR","SCALING_FORMAT=MLN","Sort=A","Dates=H","DateFormat=P","Fill=—","Direction=H","UseDPDF=Y")</f>
        <v>0</v>
      </c>
      <c r="F8" s="13">
        <f>_xll.BDH("BLUE US Equity","ARDR_FV_ASSETS_REC_LEVEL_3","FQ3 2019","FQ3 2019","Currency=USD","Period=FQ","BEST_FPERIOD_OVERRIDE=FQ","FILING_STATUS=MR","SCALING_FORMAT=MLN","Sort=A","Dates=H","DateFormat=P","Fill=—","Direction=H","UseDPDF=Y")</f>
        <v>0</v>
      </c>
      <c r="G8" s="13">
        <f>_xll.BDH("BLUE US Equity","ARDR_FV_ASSETS_REC_LEVEL_3","FQ4 2019","FQ4 2019","Currency=USD","Period=FQ","BEST_FPERIOD_OVERRIDE=FQ","FILING_STATUS=MR","SCALING_FORMAT=MLN","Sort=A","Dates=H","DateFormat=P","Fill=—","Direction=H","UseDPDF=Y")</f>
        <v>0</v>
      </c>
      <c r="H8" s="13">
        <f>_xll.BDH("BLUE US Equity","ARDR_FV_ASSETS_REC_LEVEL_3","FQ1 2020","FQ1 2020","Currency=USD","Period=FQ","BEST_FPERIOD_OVERRIDE=FQ","FILING_STATUS=MR","SCALING_FORMAT=MLN","Sort=A","Dates=H","DateFormat=P","Fill=—","Direction=H","UseDPDF=Y")</f>
        <v>0</v>
      </c>
      <c r="I8" s="13">
        <f>_xll.BDH("BLUE US Equity","ARDR_FV_ASSETS_REC_LEVEL_3","FQ2 2020","FQ2 2020","Currency=USD","Period=FQ","BEST_FPERIOD_OVERRIDE=FQ","FILING_STATUS=MR","SCALING_FORMAT=MLN","Sort=A","Dates=H","DateFormat=P","Fill=—","Direction=H","UseDPDF=Y")</f>
        <v>0</v>
      </c>
      <c r="J8" s="13">
        <f>_xll.BDH("BLUE US Equity","ARDR_FV_ASSETS_REC_LEVEL_3","FQ3 2020","FQ3 2020","Currency=USD","Period=FQ","BEST_FPERIOD_OVERRIDE=FQ","FILING_STATUS=MR","SCALING_FORMAT=MLN","Sort=A","Dates=H","DateFormat=P","Fill=—","Direction=H","UseDPDF=Y")</f>
        <v>0</v>
      </c>
      <c r="K8" s="13">
        <f>_xll.BDH("BLUE US Equity","ARDR_FV_ASSETS_REC_LEVEL_3","FQ4 2020","FQ4 2020","Currency=USD","Period=FQ","BEST_FPERIOD_OVERRIDE=FQ","FILING_STATUS=MR","SCALING_FORMAT=MLN","Sort=A","Dates=H","DateFormat=P","Fill=—","Direction=H","UseDPDF=Y")</f>
        <v>0</v>
      </c>
      <c r="L8" s="13">
        <f>_xll.BDH("BLUE US Equity","ARDR_FV_ASSETS_REC_LEVEL_3","FQ1 2021","FQ1 2021","Currency=USD","Period=FQ","BEST_FPERIOD_OVERRIDE=FQ","FILING_STATUS=MR","SCALING_FORMAT=MLN","Sort=A","Dates=H","DateFormat=P","Fill=—","Direction=H","UseDPDF=Y")</f>
        <v>0</v>
      </c>
      <c r="M8" s="13">
        <f>_xll.BDH("BLUE US Equity","ARDR_FV_ASSETS_REC_LEVEL_3","FQ2 2021","FQ2 2021","Currency=USD","Period=FQ","BEST_FPERIOD_OVERRIDE=FQ","FILING_STATUS=MR","SCALING_FORMAT=MLN","Sort=A","Dates=H","DateFormat=P","Fill=—","Direction=H","UseDPDF=Y")</f>
        <v>0</v>
      </c>
      <c r="N8" s="13">
        <f>_xll.BDH("BLUE US Equity","ARDR_FV_ASSETS_REC_LEVEL_3","FQ3 2021","FQ3 2021","Currency=USD","Period=FQ","BEST_FPERIOD_OVERRIDE=FQ","FILING_STATUS=MR","SCALING_FORMAT=MLN","Sort=A","Dates=H","DateFormat=P","Fill=—","Direction=H","UseDPDF=Y")</f>
        <v>0</v>
      </c>
      <c r="O8" s="13">
        <f>_xll.BDH("BLUE US Equity","ARDR_FV_ASSETS_REC_LEVEL_3","FQ4 2021","FQ4 2021","Currency=USD","Period=FQ","BEST_FPERIOD_OVERRIDE=FQ","FILING_STATUS=MR","SCALING_FORMAT=MLN","Sort=A","Dates=H","DateFormat=P","Fill=—","Direction=H","UseDPDF=Y")</f>
        <v>0</v>
      </c>
      <c r="P8" s="13">
        <f>_xll.BDH("BLUE US Equity","ARDR_FV_ASSETS_REC_LEVEL_3","FQ1 2022","FQ1 2022","Currency=USD","Period=FQ","BEST_FPERIOD_OVERRIDE=FQ","FILING_STATUS=MR","SCALING_FORMAT=MLN","Sort=A","Dates=H","DateFormat=P","Fill=—","Direction=H","UseDPDF=Y")</f>
        <v>0</v>
      </c>
      <c r="Q8" s="13">
        <f>_xll.BDH("BLUE US Equity","ARDR_FV_ASSETS_REC_LEVEL_3","FQ2 2022","FQ2 2022","Currency=USD","Period=FQ","BEST_FPERIOD_OVERRIDE=FQ","FILING_STATUS=MR","SCALING_FORMAT=MLN","Sort=A","Dates=H","DateFormat=P","Fill=—","Direction=H","UseDPDF=Y")</f>
        <v>0</v>
      </c>
      <c r="R8" s="13">
        <f>_xll.BDH("BLUE US Equity","ARDR_FV_ASSETS_REC_LEVEL_3","FQ3 2022","FQ3 2022","Currency=USD","Period=FQ","BEST_FPERIOD_OVERRIDE=FQ","FILING_STATUS=MR","SCALING_FORMAT=MLN","Sort=A","Dates=H","DateFormat=P","Fill=—","Direction=H","UseDPDF=Y")</f>
        <v>0</v>
      </c>
      <c r="S8" s="13">
        <f>_xll.BDH("BLUE US Equity","ARDR_FV_ASSETS_REC_LEVEL_3","FQ4 2022","FQ4 2022","Currency=USD","Period=FQ","BEST_FPERIOD_OVERRIDE=FQ","FILING_STATUS=MR","SCALING_FORMAT=MLN","Sort=A","Dates=H","DateFormat=P","Fill=—","Direction=H","UseDPDF=Y")</f>
        <v>0</v>
      </c>
      <c r="T8" s="13">
        <f>_xll.BDH("BLUE US Equity","ARDR_FV_ASSETS_REC_LEVEL_3","FQ1 2023","FQ1 2023","Currency=USD","Period=FQ","BEST_FPERIOD_OVERRIDE=FQ","FILING_STATUS=MR","SCALING_FORMAT=MLN","Sort=A","Dates=H","DateFormat=P","Fill=—","Direction=H","UseDPDF=Y")</f>
        <v>0</v>
      </c>
      <c r="U8" s="13">
        <f>_xll.BDH("BLUE US Equity","ARDR_FV_ASSETS_REC_LEVEL_3","FQ2 2023","FQ2 2023","Currency=USD","Period=FQ","BEST_FPERIOD_OVERRIDE=FQ","FILING_STATUS=MR","SCALING_FORMAT=MLN","Sort=A","Dates=H","DateFormat=P","Fill=—","Direction=H","UseDPDF=Y")</f>
        <v>0</v>
      </c>
      <c r="V8" s="13">
        <f>_xll.BDH("BLUE US Equity","ARDR_FV_ASSETS_REC_LEVEL_3","FQ3 2023","FQ3 2023","Currency=USD","Period=FQ","BEST_FPERIOD_OVERRIDE=FQ","FILING_STATUS=MR","SCALING_FORMAT=MLN","Sort=A","Dates=H","DateFormat=P","Fill=—","Direction=H","UseDPDF=Y")</f>
        <v>0</v>
      </c>
      <c r="W8" s="13" t="str">
        <f>_xll.BDH("BLUE US Equity","ARDR_FV_ASSETS_REC_LEVEL_3","FQ4 2023","FQ4 2023","Currency=USD","Period=FQ","BEST_FPERIOD_OVERRIDE=FQ","FILING_STATUS=MR","SCALING_FORMAT=MLN","Sort=A","Dates=H","DateFormat=P","Fill=—","Direction=H","UseDPDF=Y")</f>
        <v>—</v>
      </c>
      <c r="X8" s="13">
        <f>_xll.BDH("BLUE US Equity","ARDR_FV_ASSETS_REC_LEVEL_3","FQ1 2024","FQ1 2024","Currency=USD","Period=FQ","BEST_FPERIOD_OVERRIDE=FQ","FILING_STATUS=MR","SCALING_FORMAT=MLN","Sort=A","Dates=H","DateFormat=P","Fill=—","Direction=H","UseDPDF=Y")</f>
        <v>1.1200000000000001</v>
      </c>
      <c r="Y8" s="13">
        <f>_xll.BDH("BLUE US Equity","ARDR_FV_ASSETS_REC_LEVEL_3","FQ2 2024","FQ2 2024","Currency=USD","Period=FQ","BEST_FPERIOD_OVERRIDE=FQ","FILING_STATUS=MR","SCALING_FORMAT=MLN","Sort=A","Dates=H","DateFormat=P","Fill=—","Direction=H","UseDPDF=Y")</f>
        <v>1.44</v>
      </c>
      <c r="Z8" s="13">
        <f>_xll.BDH("BLUE US Equity","ARDR_FV_ASSETS_REC_LEVEL_3","FQ3 2024","FQ3 2024","Currency=USD","Period=FQ","BEST_FPERIOD_OVERRIDE=FQ","FILING_STATUS=MR","SCALING_FORMAT=MLN","Sort=A","Dates=H","DateFormat=P","Fill=—","Direction=H","UseDPDF=Y")</f>
        <v>2.0489999999999999</v>
      </c>
      <c r="AA8" s="13" t="str">
        <f>_xll.BDH("BLUE US Equity","ARDR_FV_ASSETS_REC_LEVEL_3","FQ4 2024","FQ4 2024","Currency=USD","Period=FQ","BEST_FPERIOD_OVERRIDE=FQ","FILING_STATUS=MR","SCALING_FORMAT=MLN","Sort=A","Dates=H","DateFormat=P","Fill=—","Direction=H","UseDPDF=Y")</f>
        <v>—</v>
      </c>
    </row>
    <row r="9" spans="1:27" x14ac:dyDescent="0.25">
      <c r="A9" s="6" t="s">
        <v>1054</v>
      </c>
      <c r="B9" s="6" t="s">
        <v>930</v>
      </c>
      <c r="C9" s="19">
        <f>_xll.BDH("BLUE US Equity","ARDR_FV_ASSETS_REC_TOTAL","FQ4 2018","FQ4 2018","Currency=USD","Period=FQ","BEST_FPERIOD_OVERRIDE=FQ","FILING_STATUS=MR","SCALING_FORMAT=MLN","Sort=A","Dates=H","DateFormat=P","Fill=—","Direction=H","UseDPDF=Y")</f>
        <v>1891.4269999999999</v>
      </c>
      <c r="D9" s="19">
        <f>_xll.BDH("BLUE US Equity","ARDR_FV_ASSETS_REC_TOTAL","FQ1 2019","FQ1 2019","Currency=USD","Period=FQ","BEST_FPERIOD_OVERRIDE=FQ","FILING_STATUS=MR","SCALING_FORMAT=MLN","Sort=A","Dates=H","DateFormat=P","Fill=—","Direction=H","UseDPDF=Y")</f>
        <v>1730.7660000000001</v>
      </c>
      <c r="E9" s="19">
        <f>_xll.BDH("BLUE US Equity","ARDR_FV_ASSETS_REC_TOTAL","FQ2 2019","FQ2 2019","Currency=USD","Period=FQ","BEST_FPERIOD_OVERRIDE=FQ","FILING_STATUS=MR","SCALING_FORMAT=MLN","Sort=A","Dates=H","DateFormat=P","Fill=—","Direction=H","UseDPDF=Y")</f>
        <v>1541.8019999999999</v>
      </c>
      <c r="F9" s="19">
        <f>_xll.BDH("BLUE US Equity","ARDR_FV_ASSETS_REC_TOTAL","FQ3 2019","FQ3 2019","Currency=USD","Period=FQ","BEST_FPERIOD_OVERRIDE=FQ","FILING_STATUS=MR","SCALING_FORMAT=MLN","Sort=A","Dates=H","DateFormat=P","Fill=—","Direction=H","UseDPDF=Y")</f>
        <v>1405.8869999999999</v>
      </c>
      <c r="G9" s="19">
        <f>_xll.BDH("BLUE US Equity","ARDR_FV_ASSETS_REC_TOTAL","FQ4 2019","FQ4 2019","Currency=USD","Period=FQ","BEST_FPERIOD_OVERRIDE=FQ","FILING_STATUS=MR","SCALING_FORMAT=MLN","Sort=A","Dates=H","DateFormat=P","Fill=—","Direction=H","UseDPDF=Y")</f>
        <v>1237.9659999999999</v>
      </c>
      <c r="H9" s="19">
        <f>_xll.BDH("BLUE US Equity","ARDR_FV_ASSETS_REC_TOTAL","FQ1 2020","FQ1 2020","Currency=USD","Period=FQ","BEST_FPERIOD_OVERRIDE=FQ","FILING_STATUS=MR","SCALING_FORMAT=MLN","Sort=A","Dates=H","DateFormat=P","Fill=—","Direction=H","UseDPDF=Y")</f>
        <v>1018.357</v>
      </c>
      <c r="I9" s="19">
        <f>_xll.BDH("BLUE US Equity","ARDR_FV_ASSETS_REC_TOTAL","FQ2 2020","FQ2 2020","Currency=USD","Period=FQ","BEST_FPERIOD_OVERRIDE=FQ","FILING_STATUS=MR","SCALING_FORMAT=MLN","Sort=A","Dates=H","DateFormat=P","Fill=—","Direction=H","UseDPDF=Y")</f>
        <v>1598.7929999999999</v>
      </c>
      <c r="J9" s="19">
        <f>_xll.BDH("BLUE US Equity","ARDR_FV_ASSETS_REC_TOTAL","FQ3 2020","FQ3 2020","Currency=USD","Period=FQ","BEST_FPERIOD_OVERRIDE=FQ","FILING_STATUS=MR","SCALING_FORMAT=MLN","Sort=A","Dates=H","DateFormat=P","Fill=—","Direction=H","UseDPDF=Y")</f>
        <v>1437.87</v>
      </c>
      <c r="K9" s="19">
        <f>_xll.BDH("BLUE US Equity","ARDR_FV_ASSETS_REC_TOTAL","FQ4 2020","FQ4 2020","Currency=USD","Period=FQ","BEST_FPERIOD_OVERRIDE=FQ","FILING_STATUS=MR","SCALING_FORMAT=MLN","Sort=A","Dates=H","DateFormat=P","Fill=—","Direction=H","UseDPDF=Y")</f>
        <v>741.673</v>
      </c>
      <c r="L9" s="19">
        <f>_xll.BDH("BLUE US Equity","ARDR_FV_ASSETS_REC_TOTAL","FQ1 2021","FQ1 2021","Currency=USD","Period=FQ","BEST_FPERIOD_OVERRIDE=FQ","FILING_STATUS=MR","SCALING_FORMAT=MLN","Sort=A","Dates=H","DateFormat=P","Fill=—","Direction=H","UseDPDF=Y")</f>
        <v>1093.5509999999999</v>
      </c>
      <c r="M9" s="19">
        <f>_xll.BDH("BLUE US Equity","ARDR_FV_ASSETS_REC_TOTAL","FQ2 2021","FQ2 2021","Currency=USD","Period=FQ","BEST_FPERIOD_OVERRIDE=FQ","FILING_STATUS=MR","SCALING_FORMAT=MLN","Sort=A","Dates=H","DateFormat=P","Fill=—","Direction=H","UseDPDF=Y")</f>
        <v>941.62800000000004</v>
      </c>
      <c r="N9" s="19">
        <f>_xll.BDH("BLUE US Equity","ARDR_FV_ASSETS_REC_TOTAL","FQ3 2021","FQ3 2021","Currency=USD","Period=FQ","BEST_FPERIOD_OVERRIDE=FQ","FILING_STATUS=MR","SCALING_FORMAT=MLN","Sort=A","Dates=H","DateFormat=P","Fill=—","Direction=H","UseDPDF=Y")</f>
        <v>970.73</v>
      </c>
      <c r="O9" s="19">
        <f>_xll.BDH("BLUE US Equity","ARDR_FV_ASSETS_REC_TOTAL","FQ4 2021","FQ4 2021","Currency=USD","Period=FQ","BEST_FPERIOD_OVERRIDE=FQ","FILING_STATUS=MR","SCALING_FORMAT=MLN","Sort=A","Dates=H","DateFormat=P","Fill=—","Direction=H","UseDPDF=Y")</f>
        <v>396.61700000000002</v>
      </c>
      <c r="P9" s="19">
        <f>_xll.BDH("BLUE US Equity","ARDR_FV_ASSETS_REC_TOTAL","FQ1 2022","FQ1 2022","Currency=USD","Period=FQ","BEST_FPERIOD_OVERRIDE=FQ","FILING_STATUS=MR","SCALING_FORMAT=MLN","Sort=A","Dates=H","DateFormat=P","Fill=—","Direction=H","UseDPDF=Y")</f>
        <v>266.637</v>
      </c>
      <c r="Q9" s="19">
        <f>_xll.BDH("BLUE US Equity","ARDR_FV_ASSETS_REC_TOTAL","FQ2 2022","FQ2 2022","Currency=USD","Period=FQ","BEST_FPERIOD_OVERRIDE=FQ","FILING_STATUS=MR","SCALING_FORMAT=MLN","Sort=A","Dates=H","DateFormat=P","Fill=—","Direction=H","UseDPDF=Y")</f>
        <v>173.15</v>
      </c>
      <c r="R9" s="19">
        <f>_xll.BDH("BLUE US Equity","ARDR_FV_ASSETS_REC_TOTAL","FQ3 2022","FQ3 2022","Currency=USD","Period=FQ","BEST_FPERIOD_OVERRIDE=FQ","FILING_STATUS=MR","SCALING_FORMAT=MLN","Sort=A","Dates=H","DateFormat=P","Fill=—","Direction=H","UseDPDF=Y")</f>
        <v>141.04</v>
      </c>
      <c r="S9" s="19">
        <f>_xll.BDH("BLUE US Equity","ARDR_FV_ASSETS_REC_TOTAL","FQ4 2022","FQ4 2022","Currency=USD","Period=FQ","BEST_FPERIOD_OVERRIDE=FQ","FILING_STATUS=MR","SCALING_FORMAT=MLN","Sort=A","Dates=H","DateFormat=P","Fill=—","Direction=H","UseDPDF=Y")</f>
        <v>181.74100000000001</v>
      </c>
      <c r="T9" s="19">
        <f>_xll.BDH("BLUE US Equity","ARDR_FV_ASSETS_REC_TOTAL","FQ1 2023","FQ1 2023","Currency=USD","Period=FQ","BEST_FPERIOD_OVERRIDE=FQ","FILING_STATUS=MR","SCALING_FORMAT=MLN","Sort=A","Dates=H","DateFormat=P","Fill=—","Direction=H","UseDPDF=Y")</f>
        <v>318.25700000000001</v>
      </c>
      <c r="U9" s="19">
        <f>_xll.BDH("BLUE US Equity","ARDR_FV_ASSETS_REC_TOTAL","FQ2 2023","FQ2 2023","Currency=USD","Period=FQ","BEST_FPERIOD_OVERRIDE=FQ","FILING_STATUS=MR","SCALING_FORMAT=MLN","Sort=A","Dates=H","DateFormat=P","Fill=—","Direction=H","UseDPDF=Y")</f>
        <v>245.303</v>
      </c>
      <c r="V9" s="19">
        <f>_xll.BDH("BLUE US Equity","ARDR_FV_ASSETS_REC_TOTAL","FQ3 2023","FQ3 2023","Currency=USD","Period=FQ","BEST_FPERIOD_OVERRIDE=FQ","FILING_STATUS=MR","SCALING_FORMAT=MLN","Sort=A","Dates=H","DateFormat=P","Fill=—","Direction=H","UseDPDF=Y")</f>
        <v>174.29300000000001</v>
      </c>
      <c r="W9" s="19" t="str">
        <f>_xll.BDH("BLUE US Equity","ARDR_FV_ASSETS_REC_TOTAL","FQ4 2023","FQ4 2023","Currency=USD","Period=FQ","BEST_FPERIOD_OVERRIDE=FQ","FILING_STATUS=MR","SCALING_FORMAT=MLN","Sort=A","Dates=H","DateFormat=P","Fill=—","Direction=H","UseDPDF=Y")</f>
        <v>—</v>
      </c>
      <c r="X9" s="19">
        <f>_xll.BDH("BLUE US Equity","ARDR_FV_ASSETS_REC_TOTAL","FQ1 2024","FQ1 2024","Currency=USD","Period=FQ","BEST_FPERIOD_OVERRIDE=FQ","FILING_STATUS=MR","SCALING_FORMAT=MLN","Sort=A","Dates=H","DateFormat=P","Fill=—","Direction=H","UseDPDF=Y")</f>
        <v>213.167</v>
      </c>
      <c r="Y9" s="19">
        <f>_xll.BDH("BLUE US Equity","ARDR_FV_ASSETS_REC_TOTAL","FQ2 2024","FQ2 2024","Currency=USD","Period=FQ","BEST_FPERIOD_OVERRIDE=FQ","FILING_STATUS=MR","SCALING_FORMAT=MLN","Sort=A","Dates=H","DateFormat=P","Fill=—","Direction=H","UseDPDF=Y")</f>
        <v>145.50700000000001</v>
      </c>
      <c r="Z9" s="19">
        <f>_xll.BDH("BLUE US Equity","ARDR_FV_ASSETS_REC_TOTAL","FQ3 2024","FQ3 2024","Currency=USD","Period=FQ","BEST_FPERIOD_OVERRIDE=FQ","FILING_STATUS=MR","SCALING_FORMAT=MLN","Sort=A","Dates=H","DateFormat=P","Fill=—","Direction=H","UseDPDF=Y")</f>
        <v>72.7</v>
      </c>
      <c r="AA9" s="19" t="str">
        <f>_xll.BDH("BLUE US Equity","ARDR_FV_ASSETS_REC_TOTAL","FQ4 2024","FQ4 2024","Currency=USD","Period=FQ","BEST_FPERIOD_OVERRIDE=FQ","FILING_STATUS=MR","SCALING_FORMAT=MLN","Sort=A","Dates=H","DateFormat=P","Fill=—","Direction=H","UseDPDF=Y")</f>
        <v>—</v>
      </c>
    </row>
    <row r="10" spans="1:27" x14ac:dyDescent="0.25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1055</v>
      </c>
      <c r="B11" s="10" t="s">
        <v>932</v>
      </c>
      <c r="C11" s="13">
        <f>_xll.BDH("BLUE US Equity","ARDR_FV_LIAB_REC_LEVEL_1","FQ4 2018","FQ4 2018","Currency=USD","Period=FQ","BEST_FPERIOD_OVERRIDE=FQ","FILING_STATUS=MR","SCALING_FORMAT=MLN","Sort=A","Dates=H","DateFormat=P","Fill=—","Direction=H","UseDPDF=Y")</f>
        <v>0</v>
      </c>
      <c r="D11" s="13">
        <f>_xll.BDH("BLUE US Equity","ARDR_FV_LIAB_REC_LEVEL_1","FQ1 2019","FQ1 2019","Currency=USD","Period=FQ","BEST_FPERIOD_OVERRIDE=FQ","FILING_STATUS=MR","SCALING_FORMAT=MLN","Sort=A","Dates=H","DateFormat=P","Fill=—","Direction=H","UseDPDF=Y")</f>
        <v>0</v>
      </c>
      <c r="E11" s="13" t="str">
        <f>_xll.BDH("BLUE US Equity","ARDR_FV_LIAB_REC_LEVEL_1","FQ2 2019","FQ2 2019","Currency=USD","Period=FQ","BEST_FPERIOD_OVERRIDE=FQ","FILING_STATUS=MR","SCALING_FORMAT=MLN","Sort=A","Dates=H","DateFormat=P","Fill=—","Direction=H","UseDPDF=Y")</f>
        <v>—</v>
      </c>
      <c r="F11" s="13" t="str">
        <f>_xll.BDH("BLUE US Equity","ARDR_FV_LIAB_REC_LEVEL_1","FQ3 2019","FQ3 2019","Currency=USD","Period=FQ","BEST_FPERIOD_OVERRIDE=FQ","FILING_STATUS=MR","SCALING_FORMAT=MLN","Sort=A","Dates=H","DateFormat=P","Fill=—","Direction=H","UseDPDF=Y")</f>
        <v>—</v>
      </c>
      <c r="G11" s="13">
        <f>_xll.BDH("BLUE US Equity","ARDR_FV_LIAB_REC_LEVEL_1","FQ4 2019","FQ4 2019","Currency=USD","Period=FQ","BEST_FPERIOD_OVERRIDE=FQ","FILING_STATUS=MR","SCALING_FORMAT=MLN","Sort=A","Dates=H","DateFormat=P","Fill=—","Direction=H","UseDPDF=Y")</f>
        <v>0</v>
      </c>
      <c r="H11" s="13">
        <f>_xll.BDH("BLUE US Equity","ARDR_FV_LIAB_REC_LEVEL_1","FQ1 2020","FQ1 2020","Currency=USD","Period=FQ","BEST_FPERIOD_OVERRIDE=FQ","FILING_STATUS=MR","SCALING_FORMAT=MLN","Sort=A","Dates=H","DateFormat=P","Fill=—","Direction=H","UseDPDF=Y")</f>
        <v>0</v>
      </c>
      <c r="I11" s="13" t="str">
        <f>_xll.BDH("BLUE US Equity","ARDR_FV_LIAB_REC_LEVEL_1","FQ2 2020","FQ2 2020","Currency=USD","Period=FQ","BEST_FPERIOD_OVERRIDE=FQ","FILING_STATUS=MR","SCALING_FORMAT=MLN","Sort=A","Dates=H","DateFormat=P","Fill=—","Direction=H","UseDPDF=Y")</f>
        <v>—</v>
      </c>
      <c r="J11" s="13">
        <f>_xll.BDH("BLUE US Equity","ARDR_FV_LIAB_REC_LEVEL_1","FQ3 2020","FQ3 2020","Currency=USD","Period=FQ","BEST_FPERIOD_OVERRIDE=FQ","FILING_STATUS=MR","SCALING_FORMAT=MLN","Sort=A","Dates=H","DateFormat=P","Fill=—","Direction=H","UseDPDF=Y")</f>
        <v>2.3860000000000001</v>
      </c>
      <c r="K11" s="13" t="str">
        <f>_xll.BDH("BLUE US Equity","ARDR_FV_LIAB_REC_LEVEL_1","FQ4 2020","FQ4 2020","Currency=USD","Period=FQ","BEST_FPERIOD_OVERRIDE=FQ","FILING_STATUS=MR","SCALING_FORMAT=MLN","Sort=A","Dates=H","DateFormat=P","Fill=—","Direction=H","UseDPDF=Y")</f>
        <v>—</v>
      </c>
      <c r="L11" s="13">
        <f>_xll.BDH("BLUE US Equity","ARDR_FV_LIAB_REC_LEVEL_1","FQ1 2021","FQ1 2021","Currency=USD","Period=FQ","BEST_FPERIOD_OVERRIDE=FQ","FILING_STATUS=MR","SCALING_FORMAT=MLN","Sort=A","Dates=H","DateFormat=P","Fill=—","Direction=H","UseDPDF=Y")</f>
        <v>0</v>
      </c>
      <c r="M11" s="13" t="str">
        <f>_xll.BDH("BLUE US Equity","ARDR_FV_LIAB_REC_LEVEL_1","FQ2 2021","FQ2 2021","Currency=USD","Period=FQ","BEST_FPERIOD_OVERRIDE=FQ","FILING_STATUS=MR","SCALING_FORMAT=MLN","Sort=A","Dates=H","DateFormat=P","Fill=—","Direction=H","UseDPDF=Y")</f>
        <v>—</v>
      </c>
      <c r="N11" s="13">
        <f>_xll.BDH("BLUE US Equity","ARDR_FV_LIAB_REC_LEVEL_1","FQ3 2021","FQ3 2021","Currency=USD","Period=FQ","BEST_FPERIOD_OVERRIDE=FQ","FILING_STATUS=MR","SCALING_FORMAT=MLN","Sort=A","Dates=H","DateFormat=P","Fill=—","Direction=H","UseDPDF=Y")</f>
        <v>0</v>
      </c>
      <c r="O11" s="13" t="str">
        <f>_xll.BDH("BLUE US Equity","ARDR_FV_LIAB_REC_LEVEL_1","FQ4 2021","FQ4 2021","Currency=USD","Period=FQ","BEST_FPERIOD_OVERRIDE=FQ","FILING_STATUS=MR","SCALING_FORMAT=MLN","Sort=A","Dates=H","DateFormat=P","Fill=—","Direction=H","UseDPDF=Y")</f>
        <v>—</v>
      </c>
      <c r="P11" s="13" t="str">
        <f>_xll.BDH("BLUE US Equity","ARDR_FV_LIAB_REC_LEVEL_1","FQ1 2022","FQ1 2022","Currency=USD","Period=FQ","BEST_FPERIOD_OVERRIDE=FQ","FILING_STATUS=MR","SCALING_FORMAT=MLN","Sort=A","Dates=H","DateFormat=P","Fill=—","Direction=H","UseDPDF=Y")</f>
        <v>—</v>
      </c>
      <c r="Q11" s="13" t="str">
        <f>_xll.BDH("BLUE US Equity","ARDR_FV_LIAB_REC_LEVEL_1","FQ2 2022","FQ2 2022","Currency=USD","Period=FQ","BEST_FPERIOD_OVERRIDE=FQ","FILING_STATUS=MR","SCALING_FORMAT=MLN","Sort=A","Dates=H","DateFormat=P","Fill=—","Direction=H","UseDPDF=Y")</f>
        <v>—</v>
      </c>
      <c r="R11" s="13" t="str">
        <f>_xll.BDH("BLUE US Equity","ARDR_FV_LIAB_REC_LEVEL_1","FQ3 2022","FQ3 2022","Currency=USD","Period=FQ","BEST_FPERIOD_OVERRIDE=FQ","FILING_STATUS=MR","SCALING_FORMAT=MLN","Sort=A","Dates=H","DateFormat=P","Fill=—","Direction=H","UseDPDF=Y")</f>
        <v>—</v>
      </c>
      <c r="S11" s="13" t="str">
        <f>_xll.BDH("BLUE US Equity","ARDR_FV_LIAB_REC_LEVEL_1","FQ4 2022","FQ4 2022","Currency=USD","Period=FQ","BEST_FPERIOD_OVERRIDE=FQ","FILING_STATUS=MR","SCALING_FORMAT=MLN","Sort=A","Dates=H","DateFormat=P","Fill=—","Direction=H","UseDPDF=Y")</f>
        <v>—</v>
      </c>
      <c r="T11" s="13" t="str">
        <f>_xll.BDH("BLUE US Equity","ARDR_FV_LIAB_REC_LEVEL_1","FQ1 2023","FQ1 2023","Currency=USD","Period=FQ","BEST_FPERIOD_OVERRIDE=FQ","FILING_STATUS=MR","SCALING_FORMAT=MLN","Sort=A","Dates=H","DateFormat=P","Fill=—","Direction=H","UseDPDF=Y")</f>
        <v>—</v>
      </c>
      <c r="U11" s="13" t="str">
        <f>_xll.BDH("BLUE US Equity","ARDR_FV_LIAB_REC_LEVEL_1","FQ2 2023","FQ2 2023","Currency=USD","Period=FQ","BEST_FPERIOD_OVERRIDE=FQ","FILING_STATUS=MR","SCALING_FORMAT=MLN","Sort=A","Dates=H","DateFormat=P","Fill=—","Direction=H","UseDPDF=Y")</f>
        <v>—</v>
      </c>
      <c r="V11" s="13" t="str">
        <f>_xll.BDH("BLUE US Equity","ARDR_FV_LIAB_REC_LEVEL_1","FQ3 2023","FQ3 2023","Currency=USD","Period=FQ","BEST_FPERIOD_OVERRIDE=FQ","FILING_STATUS=MR","SCALING_FORMAT=MLN","Sort=A","Dates=H","DateFormat=P","Fill=—","Direction=H","UseDPDF=Y")</f>
        <v>—</v>
      </c>
      <c r="W11" s="13" t="str">
        <f>_xll.BDH("BLUE US Equity","ARDR_FV_LIAB_REC_LEVEL_1","FQ4 2023","FQ4 2023","Currency=USD","Period=FQ","BEST_FPERIOD_OVERRIDE=FQ","FILING_STATUS=MR","SCALING_FORMAT=MLN","Sort=A","Dates=H","DateFormat=P","Fill=—","Direction=H","UseDPDF=Y")</f>
        <v>—</v>
      </c>
      <c r="X11" s="13" t="str">
        <f>_xll.BDH("BLUE US Equity","ARDR_FV_LIAB_REC_LEVEL_1","FQ1 2024","FQ1 2024","Currency=USD","Period=FQ","BEST_FPERIOD_OVERRIDE=FQ","FILING_STATUS=MR","SCALING_FORMAT=MLN","Sort=A","Dates=H","DateFormat=P","Fill=—","Direction=H","UseDPDF=Y")</f>
        <v>—</v>
      </c>
      <c r="Y11" s="13" t="str">
        <f>_xll.BDH("BLUE US Equity","ARDR_FV_LIAB_REC_LEVEL_1","FQ2 2024","FQ2 2024","Currency=USD","Period=FQ","BEST_FPERIOD_OVERRIDE=FQ","FILING_STATUS=MR","SCALING_FORMAT=MLN","Sort=A","Dates=H","DateFormat=P","Fill=—","Direction=H","UseDPDF=Y")</f>
        <v>—</v>
      </c>
      <c r="Z11" s="13" t="str">
        <f>_xll.BDH("BLUE US Equity","ARDR_FV_LIAB_REC_LEVEL_1","FQ3 2024","FQ3 2024","Currency=USD","Period=FQ","BEST_FPERIOD_OVERRIDE=FQ","FILING_STATUS=MR","SCALING_FORMAT=MLN","Sort=A","Dates=H","DateFormat=P","Fill=—","Direction=H","UseDPDF=Y")</f>
        <v>—</v>
      </c>
      <c r="AA11" s="13" t="str">
        <f>_xll.BDH("BLUE US Equity","ARDR_FV_LIAB_REC_LEVEL_1","FQ4 2024","FQ4 2024","Currency=USD","Period=FQ","BEST_FPERIOD_OVERRIDE=FQ","FILING_STATUS=MR","SCALING_FORMAT=MLN","Sort=A","Dates=H","DateFormat=P","Fill=—","Direction=H","UseDPDF=Y")</f>
        <v>—</v>
      </c>
    </row>
    <row r="12" spans="1:27" x14ac:dyDescent="0.25">
      <c r="A12" s="10" t="s">
        <v>1056</v>
      </c>
      <c r="B12" s="10" t="s">
        <v>934</v>
      </c>
      <c r="C12" s="13">
        <f>_xll.BDH("BLUE US Equity","ARDR_FV_LIAB_REC_LEVEL_2","FQ4 2018","FQ4 2018","Currency=USD","Period=FQ","BEST_FPERIOD_OVERRIDE=FQ","FILING_STATUS=MR","SCALING_FORMAT=MLN","Sort=A","Dates=H","DateFormat=P","Fill=—","Direction=H","UseDPDF=Y")</f>
        <v>0</v>
      </c>
      <c r="D12" s="13">
        <f>_xll.BDH("BLUE US Equity","ARDR_FV_LIAB_REC_LEVEL_2","FQ1 2019","FQ1 2019","Currency=USD","Period=FQ","BEST_FPERIOD_OVERRIDE=FQ","FILING_STATUS=MR","SCALING_FORMAT=MLN","Sort=A","Dates=H","DateFormat=P","Fill=—","Direction=H","UseDPDF=Y")</f>
        <v>0</v>
      </c>
      <c r="E12" s="13" t="str">
        <f>_xll.BDH("BLUE US Equity","ARDR_FV_LIAB_REC_LEVEL_2","FQ2 2019","FQ2 2019","Currency=USD","Period=FQ","BEST_FPERIOD_OVERRIDE=FQ","FILING_STATUS=MR","SCALING_FORMAT=MLN","Sort=A","Dates=H","DateFormat=P","Fill=—","Direction=H","UseDPDF=Y")</f>
        <v>—</v>
      </c>
      <c r="F12" s="13" t="str">
        <f>_xll.BDH("BLUE US Equity","ARDR_FV_LIAB_REC_LEVEL_2","FQ3 2019","FQ3 2019","Currency=USD","Period=FQ","BEST_FPERIOD_OVERRIDE=FQ","FILING_STATUS=MR","SCALING_FORMAT=MLN","Sort=A","Dates=H","DateFormat=P","Fill=—","Direction=H","UseDPDF=Y")</f>
        <v>—</v>
      </c>
      <c r="G12" s="13">
        <f>_xll.BDH("BLUE US Equity","ARDR_FV_LIAB_REC_LEVEL_2","FQ4 2019","FQ4 2019","Currency=USD","Period=FQ","BEST_FPERIOD_OVERRIDE=FQ","FILING_STATUS=MR","SCALING_FORMAT=MLN","Sort=A","Dates=H","DateFormat=P","Fill=—","Direction=H","UseDPDF=Y")</f>
        <v>0</v>
      </c>
      <c r="H12" s="13">
        <f>_xll.BDH("BLUE US Equity","ARDR_FV_LIAB_REC_LEVEL_2","FQ1 2020","FQ1 2020","Currency=USD","Period=FQ","BEST_FPERIOD_OVERRIDE=FQ","FILING_STATUS=MR","SCALING_FORMAT=MLN","Sort=A","Dates=H","DateFormat=P","Fill=—","Direction=H","UseDPDF=Y")</f>
        <v>0</v>
      </c>
      <c r="I12" s="13" t="str">
        <f>_xll.BDH("BLUE US Equity","ARDR_FV_LIAB_REC_LEVEL_2","FQ2 2020","FQ2 2020","Currency=USD","Period=FQ","BEST_FPERIOD_OVERRIDE=FQ","FILING_STATUS=MR","SCALING_FORMAT=MLN","Sort=A","Dates=H","DateFormat=P","Fill=—","Direction=H","UseDPDF=Y")</f>
        <v>—</v>
      </c>
      <c r="J12" s="13">
        <f>_xll.BDH("BLUE US Equity","ARDR_FV_LIAB_REC_LEVEL_2","FQ3 2020","FQ3 2020","Currency=USD","Period=FQ","BEST_FPERIOD_OVERRIDE=FQ","FILING_STATUS=MR","SCALING_FORMAT=MLN","Sort=A","Dates=H","DateFormat=P","Fill=—","Direction=H","UseDPDF=Y")</f>
        <v>0</v>
      </c>
      <c r="K12" s="13" t="str">
        <f>_xll.BDH("BLUE US Equity","ARDR_FV_LIAB_REC_LEVEL_2","FQ4 2020","FQ4 2020","Currency=USD","Period=FQ","BEST_FPERIOD_OVERRIDE=FQ","FILING_STATUS=MR","SCALING_FORMAT=MLN","Sort=A","Dates=H","DateFormat=P","Fill=—","Direction=H","UseDPDF=Y")</f>
        <v>—</v>
      </c>
      <c r="L12" s="13">
        <f>_xll.BDH("BLUE US Equity","ARDR_FV_LIAB_REC_LEVEL_2","FQ1 2021","FQ1 2021","Currency=USD","Period=FQ","BEST_FPERIOD_OVERRIDE=FQ","FILING_STATUS=MR","SCALING_FORMAT=MLN","Sort=A","Dates=H","DateFormat=P","Fill=—","Direction=H","UseDPDF=Y")</f>
        <v>0</v>
      </c>
      <c r="M12" s="13" t="str">
        <f>_xll.BDH("BLUE US Equity","ARDR_FV_LIAB_REC_LEVEL_2","FQ2 2021","FQ2 2021","Currency=USD","Period=FQ","BEST_FPERIOD_OVERRIDE=FQ","FILING_STATUS=MR","SCALING_FORMAT=MLN","Sort=A","Dates=H","DateFormat=P","Fill=—","Direction=H","UseDPDF=Y")</f>
        <v>—</v>
      </c>
      <c r="N12" s="13">
        <f>_xll.BDH("BLUE US Equity","ARDR_FV_LIAB_REC_LEVEL_2","FQ3 2021","FQ3 2021","Currency=USD","Period=FQ","BEST_FPERIOD_OVERRIDE=FQ","FILING_STATUS=MR","SCALING_FORMAT=MLN","Sort=A","Dates=H","DateFormat=P","Fill=—","Direction=H","UseDPDF=Y")</f>
        <v>0</v>
      </c>
      <c r="O12" s="13" t="str">
        <f>_xll.BDH("BLUE US Equity","ARDR_FV_LIAB_REC_LEVEL_2","FQ4 2021","FQ4 2021","Currency=USD","Period=FQ","BEST_FPERIOD_OVERRIDE=FQ","FILING_STATUS=MR","SCALING_FORMAT=MLN","Sort=A","Dates=H","DateFormat=P","Fill=—","Direction=H","UseDPDF=Y")</f>
        <v>—</v>
      </c>
      <c r="P12" s="13" t="str">
        <f>_xll.BDH("BLUE US Equity","ARDR_FV_LIAB_REC_LEVEL_2","FQ1 2022","FQ1 2022","Currency=USD","Period=FQ","BEST_FPERIOD_OVERRIDE=FQ","FILING_STATUS=MR","SCALING_FORMAT=MLN","Sort=A","Dates=H","DateFormat=P","Fill=—","Direction=H","UseDPDF=Y")</f>
        <v>—</v>
      </c>
      <c r="Q12" s="13" t="str">
        <f>_xll.BDH("BLUE US Equity","ARDR_FV_LIAB_REC_LEVEL_2","FQ2 2022","FQ2 2022","Currency=USD","Period=FQ","BEST_FPERIOD_OVERRIDE=FQ","FILING_STATUS=MR","SCALING_FORMAT=MLN","Sort=A","Dates=H","DateFormat=P","Fill=—","Direction=H","UseDPDF=Y")</f>
        <v>—</v>
      </c>
      <c r="R12" s="13" t="str">
        <f>_xll.BDH("BLUE US Equity","ARDR_FV_LIAB_REC_LEVEL_2","FQ3 2022","FQ3 2022","Currency=USD","Period=FQ","BEST_FPERIOD_OVERRIDE=FQ","FILING_STATUS=MR","SCALING_FORMAT=MLN","Sort=A","Dates=H","DateFormat=P","Fill=—","Direction=H","UseDPDF=Y")</f>
        <v>—</v>
      </c>
      <c r="S12" s="13" t="str">
        <f>_xll.BDH("BLUE US Equity","ARDR_FV_LIAB_REC_LEVEL_2","FQ4 2022","FQ4 2022","Currency=USD","Period=FQ","BEST_FPERIOD_OVERRIDE=FQ","FILING_STATUS=MR","SCALING_FORMAT=MLN","Sort=A","Dates=H","DateFormat=P","Fill=—","Direction=H","UseDPDF=Y")</f>
        <v>—</v>
      </c>
      <c r="T12" s="13" t="str">
        <f>_xll.BDH("BLUE US Equity","ARDR_FV_LIAB_REC_LEVEL_2","FQ1 2023","FQ1 2023","Currency=USD","Period=FQ","BEST_FPERIOD_OVERRIDE=FQ","FILING_STATUS=MR","SCALING_FORMAT=MLN","Sort=A","Dates=H","DateFormat=P","Fill=—","Direction=H","UseDPDF=Y")</f>
        <v>—</v>
      </c>
      <c r="U12" s="13" t="str">
        <f>_xll.BDH("BLUE US Equity","ARDR_FV_LIAB_REC_LEVEL_2","FQ2 2023","FQ2 2023","Currency=USD","Period=FQ","BEST_FPERIOD_OVERRIDE=FQ","FILING_STATUS=MR","SCALING_FORMAT=MLN","Sort=A","Dates=H","DateFormat=P","Fill=—","Direction=H","UseDPDF=Y")</f>
        <v>—</v>
      </c>
      <c r="V12" s="13" t="str">
        <f>_xll.BDH("BLUE US Equity","ARDR_FV_LIAB_REC_LEVEL_2","FQ3 2023","FQ3 2023","Currency=USD","Period=FQ","BEST_FPERIOD_OVERRIDE=FQ","FILING_STATUS=MR","SCALING_FORMAT=MLN","Sort=A","Dates=H","DateFormat=P","Fill=—","Direction=H","UseDPDF=Y")</f>
        <v>—</v>
      </c>
      <c r="W12" s="13" t="str">
        <f>_xll.BDH("BLUE US Equity","ARDR_FV_LIAB_REC_LEVEL_2","FQ4 2023","FQ4 2023","Currency=USD","Period=FQ","BEST_FPERIOD_OVERRIDE=FQ","FILING_STATUS=MR","SCALING_FORMAT=MLN","Sort=A","Dates=H","DateFormat=P","Fill=—","Direction=H","UseDPDF=Y")</f>
        <v>—</v>
      </c>
      <c r="X12" s="13" t="str">
        <f>_xll.BDH("BLUE US Equity","ARDR_FV_LIAB_REC_LEVEL_2","FQ1 2024","FQ1 2024","Currency=USD","Period=FQ","BEST_FPERIOD_OVERRIDE=FQ","FILING_STATUS=MR","SCALING_FORMAT=MLN","Sort=A","Dates=H","DateFormat=P","Fill=—","Direction=H","UseDPDF=Y")</f>
        <v>—</v>
      </c>
      <c r="Y12" s="13" t="str">
        <f>_xll.BDH("BLUE US Equity","ARDR_FV_LIAB_REC_LEVEL_2","FQ2 2024","FQ2 2024","Currency=USD","Period=FQ","BEST_FPERIOD_OVERRIDE=FQ","FILING_STATUS=MR","SCALING_FORMAT=MLN","Sort=A","Dates=H","DateFormat=P","Fill=—","Direction=H","UseDPDF=Y")</f>
        <v>—</v>
      </c>
      <c r="Z12" s="13" t="str">
        <f>_xll.BDH("BLUE US Equity","ARDR_FV_LIAB_REC_LEVEL_2","FQ3 2024","FQ3 2024","Currency=USD","Period=FQ","BEST_FPERIOD_OVERRIDE=FQ","FILING_STATUS=MR","SCALING_FORMAT=MLN","Sort=A","Dates=H","DateFormat=P","Fill=—","Direction=H","UseDPDF=Y")</f>
        <v>—</v>
      </c>
      <c r="AA12" s="13" t="str">
        <f>_xll.BDH("BLUE US Equity","ARDR_FV_LIAB_REC_LEVEL_2","FQ4 2024","FQ4 2024","Currency=USD","Period=FQ","BEST_FPERIOD_OVERRIDE=FQ","FILING_STATUS=MR","SCALING_FORMAT=MLN","Sort=A","Dates=H","DateFormat=P","Fill=—","Direction=H","UseDPDF=Y")</f>
        <v>—</v>
      </c>
    </row>
    <row r="13" spans="1:27" x14ac:dyDescent="0.25">
      <c r="A13" s="10" t="s">
        <v>1057</v>
      </c>
      <c r="B13" s="10" t="s">
        <v>936</v>
      </c>
      <c r="C13" s="13">
        <f>_xll.BDH("BLUE US Equity","ARDR_FV_LIAB_REC_LEVEL_3","FQ4 2018","FQ4 2018","Currency=USD","Period=FQ","BEST_FPERIOD_OVERRIDE=FQ","FILING_STATUS=MR","SCALING_FORMAT=MLN","Sort=A","Dates=H","DateFormat=P","Fill=—","Direction=H","UseDPDF=Y")</f>
        <v>5.23</v>
      </c>
      <c r="D13" s="13">
        <f>_xll.BDH("BLUE US Equity","ARDR_FV_LIAB_REC_LEVEL_3","FQ1 2019","FQ1 2019","Currency=USD","Period=FQ","BEST_FPERIOD_OVERRIDE=FQ","FILING_STATUS=MR","SCALING_FORMAT=MLN","Sort=A","Dates=H","DateFormat=P","Fill=—","Direction=H","UseDPDF=Y")</f>
        <v>5.5259999999999998</v>
      </c>
      <c r="E13" s="13">
        <f>_xll.BDH("BLUE US Equity","ARDR_FV_LIAB_REC_LEVEL_3","FQ2 2019","FQ2 2019","Currency=USD","Period=FQ","BEST_FPERIOD_OVERRIDE=FQ","FILING_STATUS=MR","SCALING_FORMAT=MLN","Sort=A","Dates=H","DateFormat=P","Fill=—","Direction=H","UseDPDF=Y")</f>
        <v>5.74</v>
      </c>
      <c r="F13" s="13">
        <f>_xll.BDH("BLUE US Equity","ARDR_FV_LIAB_REC_LEVEL_3","FQ3 2019","FQ3 2019","Currency=USD","Period=FQ","BEST_FPERIOD_OVERRIDE=FQ","FILING_STATUS=MR","SCALING_FORMAT=MLN","Sort=A","Dates=H","DateFormat=P","Fill=—","Direction=H","UseDPDF=Y")</f>
        <v>6.5419999999999998</v>
      </c>
      <c r="G13" s="13">
        <f>_xll.BDH("BLUE US Equity","ARDR_FV_LIAB_REC_LEVEL_3","FQ4 2019","FQ4 2019","Currency=USD","Period=FQ","BEST_FPERIOD_OVERRIDE=FQ","FILING_STATUS=MR","SCALING_FORMAT=MLN","Sort=A","Dates=H","DateFormat=P","Fill=—","Direction=H","UseDPDF=Y")</f>
        <v>7.9770000000000003</v>
      </c>
      <c r="H13" s="13">
        <f>_xll.BDH("BLUE US Equity","ARDR_FV_LIAB_REC_LEVEL_3","FQ1 2020","FQ1 2020","Currency=USD","Period=FQ","BEST_FPERIOD_OVERRIDE=FQ","FILING_STATUS=MR","SCALING_FORMAT=MLN","Sort=A","Dates=H","DateFormat=P","Fill=—","Direction=H","UseDPDF=Y")</f>
        <v>4.8689999999999998</v>
      </c>
      <c r="I13" s="13">
        <f>_xll.BDH("BLUE US Equity","ARDR_FV_LIAB_REC_LEVEL_3","FQ2 2020","FQ2 2020","Currency=USD","Period=FQ","BEST_FPERIOD_OVERRIDE=FQ","FILING_STATUS=MR","SCALING_FORMAT=MLN","Sort=A","Dates=H","DateFormat=P","Fill=—","Direction=H","UseDPDF=Y")</f>
        <v>3.214</v>
      </c>
      <c r="J13" s="13">
        <f>_xll.BDH("BLUE US Equity","ARDR_FV_LIAB_REC_LEVEL_3","FQ3 2020","FQ3 2020","Currency=USD","Period=FQ","BEST_FPERIOD_OVERRIDE=FQ","FILING_STATUS=MR","SCALING_FORMAT=MLN","Sort=A","Dates=H","DateFormat=P","Fill=—","Direction=H","UseDPDF=Y")</f>
        <v>0</v>
      </c>
      <c r="K13" s="13" t="str">
        <f>_xll.BDH("BLUE US Equity","ARDR_FV_LIAB_REC_LEVEL_3","FQ4 2020","FQ4 2020","Currency=USD","Period=FQ","BEST_FPERIOD_OVERRIDE=FQ","FILING_STATUS=MR","SCALING_FORMAT=MLN","Sort=A","Dates=H","DateFormat=P","Fill=—","Direction=H","UseDPDF=Y")</f>
        <v>—</v>
      </c>
      <c r="L13" s="13">
        <f>_xll.BDH("BLUE US Equity","ARDR_FV_LIAB_REC_LEVEL_3","FQ1 2021","FQ1 2021","Currency=USD","Period=FQ","BEST_FPERIOD_OVERRIDE=FQ","FILING_STATUS=MR","SCALING_FORMAT=MLN","Sort=A","Dates=H","DateFormat=P","Fill=—","Direction=H","UseDPDF=Y")</f>
        <v>0</v>
      </c>
      <c r="M13" s="13">
        <f>_xll.BDH("BLUE US Equity","ARDR_FV_LIAB_REC_LEVEL_3","FQ2 2021","FQ2 2021","Currency=USD","Period=FQ","BEST_FPERIOD_OVERRIDE=FQ","FILING_STATUS=MR","SCALING_FORMAT=MLN","Sort=A","Dates=H","DateFormat=P","Fill=—","Direction=H","UseDPDF=Y")</f>
        <v>1.925</v>
      </c>
      <c r="N13" s="13">
        <f>_xll.BDH("BLUE US Equity","ARDR_FV_LIAB_REC_LEVEL_3","FQ3 2021","FQ3 2021","Currency=USD","Period=FQ","BEST_FPERIOD_OVERRIDE=FQ","FILING_STATUS=MR","SCALING_FORMAT=MLN","Sort=A","Dates=H","DateFormat=P","Fill=—","Direction=H","UseDPDF=Y")</f>
        <v>1.9730000000000001</v>
      </c>
      <c r="O13" s="13" t="str">
        <f>_xll.BDH("BLUE US Equity","ARDR_FV_LIAB_REC_LEVEL_3","FQ4 2021","FQ4 2021","Currency=USD","Period=FQ","BEST_FPERIOD_OVERRIDE=FQ","FILING_STATUS=MR","SCALING_FORMAT=MLN","Sort=A","Dates=H","DateFormat=P","Fill=—","Direction=H","UseDPDF=Y")</f>
        <v>—</v>
      </c>
      <c r="P13" s="13" t="str">
        <f>_xll.BDH("BLUE US Equity","ARDR_FV_LIAB_REC_LEVEL_3","FQ1 2022","FQ1 2022","Currency=USD","Period=FQ","BEST_FPERIOD_OVERRIDE=FQ","FILING_STATUS=MR","SCALING_FORMAT=MLN","Sort=A","Dates=H","DateFormat=P","Fill=—","Direction=H","UseDPDF=Y")</f>
        <v>—</v>
      </c>
      <c r="Q13" s="13" t="str">
        <f>_xll.BDH("BLUE US Equity","ARDR_FV_LIAB_REC_LEVEL_3","FQ2 2022","FQ2 2022","Currency=USD","Period=FQ","BEST_FPERIOD_OVERRIDE=FQ","FILING_STATUS=MR","SCALING_FORMAT=MLN","Sort=A","Dates=H","DateFormat=P","Fill=—","Direction=H","UseDPDF=Y")</f>
        <v>—</v>
      </c>
      <c r="R13" s="13" t="str">
        <f>_xll.BDH("BLUE US Equity","ARDR_FV_LIAB_REC_LEVEL_3","FQ3 2022","FQ3 2022","Currency=USD","Period=FQ","BEST_FPERIOD_OVERRIDE=FQ","FILING_STATUS=MR","SCALING_FORMAT=MLN","Sort=A","Dates=H","DateFormat=P","Fill=—","Direction=H","UseDPDF=Y")</f>
        <v>—</v>
      </c>
      <c r="S13" s="13" t="str">
        <f>_xll.BDH("BLUE US Equity","ARDR_FV_LIAB_REC_LEVEL_3","FQ4 2022","FQ4 2022","Currency=USD","Period=FQ","BEST_FPERIOD_OVERRIDE=FQ","FILING_STATUS=MR","SCALING_FORMAT=MLN","Sort=A","Dates=H","DateFormat=P","Fill=—","Direction=H","UseDPDF=Y")</f>
        <v>—</v>
      </c>
      <c r="T13" s="13" t="str">
        <f>_xll.BDH("BLUE US Equity","ARDR_FV_LIAB_REC_LEVEL_3","FQ1 2023","FQ1 2023","Currency=USD","Period=FQ","BEST_FPERIOD_OVERRIDE=FQ","FILING_STATUS=MR","SCALING_FORMAT=MLN","Sort=A","Dates=H","DateFormat=P","Fill=—","Direction=H","UseDPDF=Y")</f>
        <v>—</v>
      </c>
      <c r="U13" s="13" t="str">
        <f>_xll.BDH("BLUE US Equity","ARDR_FV_LIAB_REC_LEVEL_3","FQ2 2023","FQ2 2023","Currency=USD","Period=FQ","BEST_FPERIOD_OVERRIDE=FQ","FILING_STATUS=MR","SCALING_FORMAT=MLN","Sort=A","Dates=H","DateFormat=P","Fill=—","Direction=H","UseDPDF=Y")</f>
        <v>—</v>
      </c>
      <c r="V13" s="13" t="str">
        <f>_xll.BDH("BLUE US Equity","ARDR_FV_LIAB_REC_LEVEL_3","FQ3 2023","FQ3 2023","Currency=USD","Period=FQ","BEST_FPERIOD_OVERRIDE=FQ","FILING_STATUS=MR","SCALING_FORMAT=MLN","Sort=A","Dates=H","DateFormat=P","Fill=—","Direction=H","UseDPDF=Y")</f>
        <v>—</v>
      </c>
      <c r="W13" s="13" t="str">
        <f>_xll.BDH("BLUE US Equity","ARDR_FV_LIAB_REC_LEVEL_3","FQ4 2023","FQ4 2023","Currency=USD","Period=FQ","BEST_FPERIOD_OVERRIDE=FQ","FILING_STATUS=MR","SCALING_FORMAT=MLN","Sort=A","Dates=H","DateFormat=P","Fill=—","Direction=H","UseDPDF=Y")</f>
        <v>—</v>
      </c>
      <c r="X13" s="13" t="str">
        <f>_xll.BDH("BLUE US Equity","ARDR_FV_LIAB_REC_LEVEL_3","FQ1 2024","FQ1 2024","Currency=USD","Period=FQ","BEST_FPERIOD_OVERRIDE=FQ","FILING_STATUS=MR","SCALING_FORMAT=MLN","Sort=A","Dates=H","DateFormat=P","Fill=—","Direction=H","UseDPDF=Y")</f>
        <v>—</v>
      </c>
      <c r="Y13" s="13" t="str">
        <f>_xll.BDH("BLUE US Equity","ARDR_FV_LIAB_REC_LEVEL_3","FQ2 2024","FQ2 2024","Currency=USD","Period=FQ","BEST_FPERIOD_OVERRIDE=FQ","FILING_STATUS=MR","SCALING_FORMAT=MLN","Sort=A","Dates=H","DateFormat=P","Fill=—","Direction=H","UseDPDF=Y")</f>
        <v>—</v>
      </c>
      <c r="Z13" s="13" t="str">
        <f>_xll.BDH("BLUE US Equity","ARDR_FV_LIAB_REC_LEVEL_3","FQ3 2024","FQ3 2024","Currency=USD","Period=FQ","BEST_FPERIOD_OVERRIDE=FQ","FILING_STATUS=MR","SCALING_FORMAT=MLN","Sort=A","Dates=H","DateFormat=P","Fill=—","Direction=H","UseDPDF=Y")</f>
        <v>—</v>
      </c>
      <c r="AA13" s="13" t="str">
        <f>_xll.BDH("BLUE US Equity","ARDR_FV_LIAB_REC_LEVEL_3","FQ4 2024","FQ4 2024","Currency=USD","Period=FQ","BEST_FPERIOD_OVERRIDE=FQ","FILING_STATUS=MR","SCALING_FORMAT=MLN","Sort=A","Dates=H","DateFormat=P","Fill=—","Direction=H","UseDPDF=Y")</f>
        <v>—</v>
      </c>
    </row>
    <row r="14" spans="1:27" x14ac:dyDescent="0.25">
      <c r="A14" s="6" t="s">
        <v>1058</v>
      </c>
      <c r="B14" s="6" t="s">
        <v>938</v>
      </c>
      <c r="C14" s="19">
        <f>_xll.BDH("BLUE US Equity","ARDR_FV_LIAB_REC_TOTAL","FQ4 2018","FQ4 2018","Currency=USD","Period=FQ","BEST_FPERIOD_OVERRIDE=FQ","FILING_STATUS=MR","SCALING_FORMAT=MLN","Sort=A","Dates=H","DateFormat=P","Fill=—","Direction=H","UseDPDF=Y")</f>
        <v>5.23</v>
      </c>
      <c r="D14" s="19">
        <f>_xll.BDH("BLUE US Equity","ARDR_FV_LIAB_REC_TOTAL","FQ1 2019","FQ1 2019","Currency=USD","Period=FQ","BEST_FPERIOD_OVERRIDE=FQ","FILING_STATUS=MR","SCALING_FORMAT=MLN","Sort=A","Dates=H","DateFormat=P","Fill=—","Direction=H","UseDPDF=Y")</f>
        <v>5.5259999999999998</v>
      </c>
      <c r="E14" s="19">
        <f>_xll.BDH("BLUE US Equity","ARDR_FV_LIAB_REC_TOTAL","FQ2 2019","FQ2 2019","Currency=USD","Period=FQ","BEST_FPERIOD_OVERRIDE=FQ","FILING_STATUS=MR","SCALING_FORMAT=MLN","Sort=A","Dates=H","DateFormat=P","Fill=—","Direction=H","UseDPDF=Y")</f>
        <v>5.74</v>
      </c>
      <c r="F14" s="19">
        <f>_xll.BDH("BLUE US Equity","ARDR_FV_LIAB_REC_TOTAL","FQ3 2019","FQ3 2019","Currency=USD","Period=FQ","BEST_FPERIOD_OVERRIDE=FQ","FILING_STATUS=MR","SCALING_FORMAT=MLN","Sort=A","Dates=H","DateFormat=P","Fill=—","Direction=H","UseDPDF=Y")</f>
        <v>6.5419999999999998</v>
      </c>
      <c r="G14" s="19">
        <f>_xll.BDH("BLUE US Equity","ARDR_FV_LIAB_REC_TOTAL","FQ4 2019","FQ4 2019","Currency=USD","Period=FQ","BEST_FPERIOD_OVERRIDE=FQ","FILING_STATUS=MR","SCALING_FORMAT=MLN","Sort=A","Dates=H","DateFormat=P","Fill=—","Direction=H","UseDPDF=Y")</f>
        <v>7.9770000000000003</v>
      </c>
      <c r="H14" s="19">
        <f>_xll.BDH("BLUE US Equity","ARDR_FV_LIAB_REC_TOTAL","FQ1 2020","FQ1 2020","Currency=USD","Period=FQ","BEST_FPERIOD_OVERRIDE=FQ","FILING_STATUS=MR","SCALING_FORMAT=MLN","Sort=A","Dates=H","DateFormat=P","Fill=—","Direction=H","UseDPDF=Y")</f>
        <v>4.8689999999999998</v>
      </c>
      <c r="I14" s="19">
        <f>_xll.BDH("BLUE US Equity","ARDR_FV_LIAB_REC_TOTAL","FQ2 2020","FQ2 2020","Currency=USD","Period=FQ","BEST_FPERIOD_OVERRIDE=FQ","FILING_STATUS=MR","SCALING_FORMAT=MLN","Sort=A","Dates=H","DateFormat=P","Fill=—","Direction=H","UseDPDF=Y")</f>
        <v>3.214</v>
      </c>
      <c r="J14" s="19">
        <f>_xll.BDH("BLUE US Equity","ARDR_FV_LIAB_REC_TOTAL","FQ3 2020","FQ3 2020","Currency=USD","Period=FQ","BEST_FPERIOD_OVERRIDE=FQ","FILING_STATUS=MR","SCALING_FORMAT=MLN","Sort=A","Dates=H","DateFormat=P","Fill=—","Direction=H","UseDPDF=Y")</f>
        <v>2.3860000000000001</v>
      </c>
      <c r="K14" s="19" t="str">
        <f>_xll.BDH("BLUE US Equity","ARDR_FV_LIAB_REC_TOTAL","FQ4 2020","FQ4 2020","Currency=USD","Period=FQ","BEST_FPERIOD_OVERRIDE=FQ","FILING_STATUS=MR","SCALING_FORMAT=MLN","Sort=A","Dates=H","DateFormat=P","Fill=—","Direction=H","UseDPDF=Y")</f>
        <v>—</v>
      </c>
      <c r="L14" s="19">
        <f>_xll.BDH("BLUE US Equity","ARDR_FV_LIAB_REC_TOTAL","FQ1 2021","FQ1 2021","Currency=USD","Period=FQ","BEST_FPERIOD_OVERRIDE=FQ","FILING_STATUS=MR","SCALING_FORMAT=MLN","Sort=A","Dates=H","DateFormat=P","Fill=—","Direction=H","UseDPDF=Y")</f>
        <v>1.8779999999999999</v>
      </c>
      <c r="M14" s="19">
        <f>_xll.BDH("BLUE US Equity","ARDR_FV_LIAB_REC_TOTAL","FQ2 2021","FQ2 2021","Currency=USD","Period=FQ","BEST_FPERIOD_OVERRIDE=FQ","FILING_STATUS=MR","SCALING_FORMAT=MLN","Sort=A","Dates=H","DateFormat=P","Fill=—","Direction=H","UseDPDF=Y")</f>
        <v>1.925</v>
      </c>
      <c r="N14" s="19">
        <f>_xll.BDH("BLUE US Equity","ARDR_FV_LIAB_REC_TOTAL","FQ3 2021","FQ3 2021","Currency=USD","Period=FQ","BEST_FPERIOD_OVERRIDE=FQ","FILING_STATUS=MR","SCALING_FORMAT=MLN","Sort=A","Dates=H","DateFormat=P","Fill=—","Direction=H","UseDPDF=Y")</f>
        <v>1.9730000000000001</v>
      </c>
      <c r="O14" s="19" t="str">
        <f>_xll.BDH("BLUE US Equity","ARDR_FV_LIAB_REC_TOTAL","FQ4 2021","FQ4 2021","Currency=USD","Period=FQ","BEST_FPERIOD_OVERRIDE=FQ","FILING_STATUS=MR","SCALING_FORMAT=MLN","Sort=A","Dates=H","DateFormat=P","Fill=—","Direction=H","UseDPDF=Y")</f>
        <v>—</v>
      </c>
      <c r="P14" s="19" t="str">
        <f>_xll.BDH("BLUE US Equity","ARDR_FV_LIAB_REC_TOTAL","FQ1 2022","FQ1 2022","Currency=USD","Period=FQ","BEST_FPERIOD_OVERRIDE=FQ","FILING_STATUS=MR","SCALING_FORMAT=MLN","Sort=A","Dates=H","DateFormat=P","Fill=—","Direction=H","UseDPDF=Y")</f>
        <v>—</v>
      </c>
      <c r="Q14" s="19" t="str">
        <f>_xll.BDH("BLUE US Equity","ARDR_FV_LIAB_REC_TOTAL","FQ2 2022","FQ2 2022","Currency=USD","Period=FQ","BEST_FPERIOD_OVERRIDE=FQ","FILING_STATUS=MR","SCALING_FORMAT=MLN","Sort=A","Dates=H","DateFormat=P","Fill=—","Direction=H","UseDPDF=Y")</f>
        <v>—</v>
      </c>
      <c r="R14" s="19" t="str">
        <f>_xll.BDH("BLUE US Equity","ARDR_FV_LIAB_REC_TOTAL","FQ3 2022","FQ3 2022","Currency=USD","Period=FQ","BEST_FPERIOD_OVERRIDE=FQ","FILING_STATUS=MR","SCALING_FORMAT=MLN","Sort=A","Dates=H","DateFormat=P","Fill=—","Direction=H","UseDPDF=Y")</f>
        <v>—</v>
      </c>
      <c r="S14" s="19" t="str">
        <f>_xll.BDH("BLUE US Equity","ARDR_FV_LIAB_REC_TOTAL","FQ4 2022","FQ4 2022","Currency=USD","Period=FQ","BEST_FPERIOD_OVERRIDE=FQ","FILING_STATUS=MR","SCALING_FORMAT=MLN","Sort=A","Dates=H","DateFormat=P","Fill=—","Direction=H","UseDPDF=Y")</f>
        <v>—</v>
      </c>
      <c r="T14" s="19" t="str">
        <f>_xll.BDH("BLUE US Equity","ARDR_FV_LIAB_REC_TOTAL","FQ1 2023","FQ1 2023","Currency=USD","Period=FQ","BEST_FPERIOD_OVERRIDE=FQ","FILING_STATUS=MR","SCALING_FORMAT=MLN","Sort=A","Dates=H","DateFormat=P","Fill=—","Direction=H","UseDPDF=Y")</f>
        <v>—</v>
      </c>
      <c r="U14" s="19" t="str">
        <f>_xll.BDH("BLUE US Equity","ARDR_FV_LIAB_REC_TOTAL","FQ2 2023","FQ2 2023","Currency=USD","Period=FQ","BEST_FPERIOD_OVERRIDE=FQ","FILING_STATUS=MR","SCALING_FORMAT=MLN","Sort=A","Dates=H","DateFormat=P","Fill=—","Direction=H","UseDPDF=Y")</f>
        <v>—</v>
      </c>
      <c r="V14" s="19" t="str">
        <f>_xll.BDH("BLUE US Equity","ARDR_FV_LIAB_REC_TOTAL","FQ3 2023","FQ3 2023","Currency=USD","Period=FQ","BEST_FPERIOD_OVERRIDE=FQ","FILING_STATUS=MR","SCALING_FORMAT=MLN","Sort=A","Dates=H","DateFormat=P","Fill=—","Direction=H","UseDPDF=Y")</f>
        <v>—</v>
      </c>
      <c r="W14" s="19" t="str">
        <f>_xll.BDH("BLUE US Equity","ARDR_FV_LIAB_REC_TOTAL","FQ4 2023","FQ4 2023","Currency=USD","Period=FQ","BEST_FPERIOD_OVERRIDE=FQ","FILING_STATUS=MR","SCALING_FORMAT=MLN","Sort=A","Dates=H","DateFormat=P","Fill=—","Direction=H","UseDPDF=Y")</f>
        <v>—</v>
      </c>
      <c r="X14" s="19" t="str">
        <f>_xll.BDH("BLUE US Equity","ARDR_FV_LIAB_REC_TOTAL","FQ1 2024","FQ1 2024","Currency=USD","Period=FQ","BEST_FPERIOD_OVERRIDE=FQ","FILING_STATUS=MR","SCALING_FORMAT=MLN","Sort=A","Dates=H","DateFormat=P","Fill=—","Direction=H","UseDPDF=Y")</f>
        <v>—</v>
      </c>
      <c r="Y14" s="19" t="str">
        <f>_xll.BDH("BLUE US Equity","ARDR_FV_LIAB_REC_TOTAL","FQ2 2024","FQ2 2024","Currency=USD","Period=FQ","BEST_FPERIOD_OVERRIDE=FQ","FILING_STATUS=MR","SCALING_FORMAT=MLN","Sort=A","Dates=H","DateFormat=P","Fill=—","Direction=H","UseDPDF=Y")</f>
        <v>—</v>
      </c>
      <c r="Z14" s="19" t="str">
        <f>_xll.BDH("BLUE US Equity","ARDR_FV_LIAB_REC_TOTAL","FQ3 2024","FQ3 2024","Currency=USD","Period=FQ","BEST_FPERIOD_OVERRIDE=FQ","FILING_STATUS=MR","SCALING_FORMAT=MLN","Sort=A","Dates=H","DateFormat=P","Fill=—","Direction=H","UseDPDF=Y")</f>
        <v>—</v>
      </c>
      <c r="AA14" s="19" t="str">
        <f>_xll.BDH("BLUE US Equity","ARDR_FV_LIAB_REC_TOTAL","FQ4 2024","FQ4 2024","Currency=USD","Period=FQ","BEST_FPERIOD_OVERRIDE=FQ","FILING_STATUS=MR","SCALING_FORMAT=MLN","Sort=A","Dates=H","DateFormat=P","Fill=—","Direction=H","UseDPDF=Y")</f>
        <v>—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1059</v>
      </c>
      <c r="B16" s="10" t="s">
        <v>1060</v>
      </c>
      <c r="C16" s="14">
        <f>_xll.BDH("BLUE US Equity","LEVEL_1_ASSETS_TO_TOTAL_EQUITY","FQ4 2018","FQ4 2018","Currency=USD","Period=FQ","BEST_FPERIOD_OVERRIDE=FQ","FILING_STATUS=MR","Sort=A","Dates=H","DateFormat=P","Fill=—","Direction=H","UseDPDF=Y")</f>
        <v>19.6706</v>
      </c>
      <c r="D16" s="14">
        <f>_xll.BDH("BLUE US Equity","LEVEL_1_ASSETS_TO_TOTAL_EQUITY","FQ1 2019","FQ1 2019","Currency=USD","Period=FQ","BEST_FPERIOD_OVERRIDE=FQ","FILING_STATUS=MR","Sort=A","Dates=H","DateFormat=P","Fill=—","Direction=H","UseDPDF=Y")</f>
        <v>13.172499999999999</v>
      </c>
      <c r="E16" s="14">
        <f>_xll.BDH("BLUE US Equity","LEVEL_1_ASSETS_TO_TOTAL_EQUITY","FQ2 2019","FQ2 2019","Currency=USD","Period=FQ","BEST_FPERIOD_OVERRIDE=FQ","FILING_STATUS=MR","Sort=A","Dates=H","DateFormat=P","Fill=—","Direction=H","UseDPDF=Y")</f>
        <v>18.148499999999999</v>
      </c>
      <c r="F16" s="14">
        <f>_xll.BDH("BLUE US Equity","LEVEL_1_ASSETS_TO_TOTAL_EQUITY","FQ3 2019","FQ3 2019","Currency=USD","Period=FQ","BEST_FPERIOD_OVERRIDE=FQ","FILING_STATUS=MR","Sort=A","Dates=H","DateFormat=P","Fill=—","Direction=H","UseDPDF=Y")</f>
        <v>21.255199999999999</v>
      </c>
      <c r="G16" s="14">
        <f>_xll.BDH("BLUE US Equity","LEVEL_1_ASSETS_TO_TOTAL_EQUITY","FQ4 2019","FQ4 2019","Currency=USD","Period=FQ","BEST_FPERIOD_OVERRIDE=FQ","FILING_STATUS=MR","Sort=A","Dates=H","DateFormat=P","Fill=—","Direction=H","UseDPDF=Y")</f>
        <v>25.223099999999999</v>
      </c>
      <c r="H16" s="14">
        <f>_xll.BDH("BLUE US Equity","LEVEL_1_ASSETS_TO_TOTAL_EQUITY","FQ1 2020","FQ1 2020","Currency=USD","Period=FQ","BEST_FPERIOD_OVERRIDE=FQ","FILING_STATUS=MR","Sort=A","Dates=H","DateFormat=P","Fill=—","Direction=H","UseDPDF=Y")</f>
        <v>30.789899999999999</v>
      </c>
      <c r="I16" s="14">
        <f>_xll.BDH("BLUE US Equity","LEVEL_1_ASSETS_TO_TOTAL_EQUITY","FQ2 2020","FQ2 2020","Currency=USD","Period=FQ","BEST_FPERIOD_OVERRIDE=FQ","FILING_STATUS=MR","Sort=A","Dates=H","DateFormat=P","Fill=—","Direction=H","UseDPDF=Y")</f>
        <v>71.835499999999996</v>
      </c>
      <c r="J16" s="14">
        <f>_xll.BDH("BLUE US Equity","LEVEL_1_ASSETS_TO_TOTAL_EQUITY","FQ3 2020","FQ3 2020","Currency=USD","Period=FQ","BEST_FPERIOD_OVERRIDE=FQ","FILING_STATUS=MR","Sort=A","Dates=H","DateFormat=P","Fill=—","Direction=H","UseDPDF=Y")</f>
        <v>17.4499</v>
      </c>
      <c r="K16" s="14">
        <f>_xll.BDH("BLUE US Equity","LEVEL_1_ASSETS_TO_TOTAL_EQUITY","FQ4 2020","FQ4 2020","Currency=USD","Period=FQ","BEST_FPERIOD_OVERRIDE=FQ","FILING_STATUS=MR","Sort=A","Dates=H","DateFormat=P","Fill=—","Direction=H","UseDPDF=Y")</f>
        <v>19.651</v>
      </c>
      <c r="L16" s="14">
        <f>_xll.BDH("BLUE US Equity","LEVEL_1_ASSETS_TO_TOTAL_EQUITY","FQ1 2021","FQ1 2021","Currency=USD","Period=FQ","BEST_FPERIOD_OVERRIDE=FQ","FILING_STATUS=MR","Sort=A","Dates=H","DateFormat=P","Fill=—","Direction=H","UseDPDF=Y")</f>
        <v>34.442300000000003</v>
      </c>
      <c r="M16" s="14">
        <f>_xll.BDH("BLUE US Equity","LEVEL_1_ASSETS_TO_TOTAL_EQUITY","FQ2 2021","FQ2 2021","Currency=USD","Period=FQ","BEST_FPERIOD_OVERRIDE=FQ","FILING_STATUS=MR","Sort=A","Dates=H","DateFormat=P","Fill=—","Direction=H","UseDPDF=Y")</f>
        <v>31.8368</v>
      </c>
      <c r="N16" s="14">
        <f>_xll.BDH("BLUE US Equity","LEVEL_1_ASSETS_TO_TOTAL_EQUITY","FQ3 2021","FQ3 2021","Currency=USD","Period=FQ","BEST_FPERIOD_OVERRIDE=FQ","FILING_STATUS=MR","Sort=A","Dates=H","DateFormat=P","Fill=—","Direction=H","UseDPDF=Y")</f>
        <v>43.716299999999997</v>
      </c>
      <c r="O16" s="14">
        <f>_xll.BDH("BLUE US Equity","LEVEL_1_ASSETS_TO_TOTAL_EQUITY","FQ4 2021","FQ4 2021","Currency=USD","Period=FQ","BEST_FPERIOD_OVERRIDE=FQ","FILING_STATUS=MR","Sort=A","Dates=H","DateFormat=P","Fill=—","Direction=H","UseDPDF=Y")</f>
        <v>44.041400000000003</v>
      </c>
      <c r="P16" s="14">
        <f>_xll.BDH("BLUE US Equity","LEVEL_1_ASSETS_TO_TOTAL_EQUITY","FQ1 2022","FQ1 2022","Currency=USD","Period=FQ","BEST_FPERIOD_OVERRIDE=FQ","FILING_STATUS=MR","Sort=A","Dates=H","DateFormat=P","Fill=—","Direction=H","UseDPDF=Y")</f>
        <v>40.8123</v>
      </c>
      <c r="Q16" s="14">
        <f>_xll.BDH("BLUE US Equity","LEVEL_1_ASSETS_TO_TOTAL_EQUITY","FQ2 2022","FQ2 2022","Currency=USD","Period=FQ","BEST_FPERIOD_OVERRIDE=FQ","FILING_STATUS=MR","Sort=A","Dates=H","DateFormat=P","Fill=—","Direction=H","UseDPDF=Y")</f>
        <v>45.248100000000001</v>
      </c>
      <c r="R16" s="14">
        <f>_xll.BDH("BLUE US Equity","LEVEL_1_ASSETS_TO_TOTAL_EQUITY","FQ3 2022","FQ3 2022","Currency=USD","Period=FQ","BEST_FPERIOD_OVERRIDE=FQ","FILING_STATUS=MR","Sort=A","Dates=H","DateFormat=P","Fill=—","Direction=H","UseDPDF=Y")</f>
        <v>41.847700000000003</v>
      </c>
      <c r="S16" s="14">
        <f>_xll.BDH("BLUE US Equity","LEVEL_1_ASSETS_TO_TOTAL_EQUITY","FQ4 2022","FQ4 2022","Currency=USD","Period=FQ","BEST_FPERIOD_OVERRIDE=FQ","FILING_STATUS=MR","Sort=A","Dates=H","DateFormat=P","Fill=—","Direction=H","UseDPDF=Y")</f>
        <v>84.123800000000003</v>
      </c>
      <c r="T16" s="14">
        <f>_xll.BDH("BLUE US Equity","LEVEL_1_ASSETS_TO_TOTAL_EQUITY","FQ1 2023","FQ1 2023","Currency=USD","Period=FQ","BEST_FPERIOD_OVERRIDE=FQ","FILING_STATUS=MR","Sort=A","Dates=H","DateFormat=P","Fill=—","Direction=H","UseDPDF=Y")</f>
        <v>67.385999999999996</v>
      </c>
      <c r="U16" s="14">
        <f>_xll.BDH("BLUE US Equity","LEVEL_1_ASSETS_TO_TOTAL_EQUITY","FQ2 2023","FQ2 2023","Currency=USD","Period=FQ","BEST_FPERIOD_OVERRIDE=FQ","FILING_STATUS=MR","Sort=A","Dates=H","DateFormat=P","Fill=—","Direction=H","UseDPDF=Y")</f>
        <v>59.813400000000001</v>
      </c>
      <c r="V16" s="14">
        <f>_xll.BDH("BLUE US Equity","LEVEL_1_ASSETS_TO_TOTAL_EQUITY","FQ3 2023","FQ3 2023","Currency=USD","Period=FQ","BEST_FPERIOD_OVERRIDE=FQ","FILING_STATUS=MR","Sort=A","Dates=H","DateFormat=P","Fill=—","Direction=H","UseDPDF=Y")</f>
        <v>74.301199999999994</v>
      </c>
      <c r="W16" s="14">
        <f>_xll.BDH("BLUE US Equity","LEVEL_1_ASSETS_TO_TOTAL_EQUITY","FQ4 2023","FQ4 2023","Currency=USD","Period=FQ","BEST_FPERIOD_OVERRIDE=FQ","FILING_STATUS=MR","Sort=A","Dates=H","DateFormat=P","Fill=—","Direction=H","UseDPDF=Y")</f>
        <v>113.99120000000001</v>
      </c>
      <c r="X16" s="14">
        <f>_xll.BDH("BLUE US Equity","LEVEL_1_ASSETS_TO_TOTAL_EQUITY","FQ1 2024","FQ1 2024","Currency=USD","Period=FQ","BEST_FPERIOD_OVERRIDE=FQ","FILING_STATUS=MR","Sort=A","Dates=H","DateFormat=P","Fill=—","Direction=H","UseDPDF=Y")</f>
        <v>161.81110000000001</v>
      </c>
      <c r="Y16" s="14">
        <f>_xll.BDH("BLUE US Equity","LEVEL_1_ASSETS_TO_TOTAL_EQUITY","FQ2 2024","FQ2 2024","Currency=USD","Period=FQ","BEST_FPERIOD_OVERRIDE=FQ","FILING_STATUS=MR","Sort=A","Dates=H","DateFormat=P","Fill=—","Direction=H","UseDPDF=Y")</f>
        <v>271.92200000000003</v>
      </c>
      <c r="Z16" s="14">
        <f>_xll.BDH("BLUE US Equity","LEVEL_1_ASSETS_TO_TOTAL_EQUITY","FQ3 2024","FQ3 2024","Currency=USD","Period=FQ","BEST_FPERIOD_OVERRIDE=FQ","FILING_STATUS=MR","Sort=A","Dates=H","DateFormat=P","Fill=—","Direction=H","UseDPDF=Y")</f>
        <v>-1221.0681</v>
      </c>
      <c r="AA16" s="14">
        <f>_xll.BDH("BLUE US Equity","LEVEL_1_ASSETS_TO_TOTAL_EQUITY","FQ4 2024","FQ4 2024","Currency=USD","Period=FQ","BEST_FPERIOD_OVERRIDE=FQ","FILING_STATUS=MR","Sort=A","Dates=H","DateFormat=P","Fill=—","Direction=H","UseDPDF=Y")</f>
        <v>-197.5804</v>
      </c>
    </row>
    <row r="17" spans="1:27" x14ac:dyDescent="0.25">
      <c r="A17" s="10" t="s">
        <v>1061</v>
      </c>
      <c r="B17" s="10" t="s">
        <v>1062</v>
      </c>
      <c r="C17" s="14">
        <f>_xll.BDH("BLUE US Equity","LEVEL_2_ASSETS_TO_TOTAL_EQUITY","FQ4 2018","FQ4 2018","Currency=USD","Period=FQ","BEST_FPERIOD_OVERRIDE=FQ","FILING_STATUS=MR","Sort=A","Dates=H","DateFormat=P","Fill=—","Direction=H","UseDPDF=Y")</f>
        <v>80.666600000000003</v>
      </c>
      <c r="D17" s="14">
        <f>_xll.BDH("BLUE US Equity","LEVEL_2_ASSETS_TO_TOTAL_EQUITY","FQ1 2019","FQ1 2019","Currency=USD","Period=FQ","BEST_FPERIOD_OVERRIDE=FQ","FILING_STATUS=MR","Sort=A","Dates=H","DateFormat=P","Fill=—","Direction=H","UseDPDF=Y")</f>
        <v>84.495099999999994</v>
      </c>
      <c r="E17" s="14">
        <f>_xll.BDH("BLUE US Equity","LEVEL_2_ASSETS_TO_TOTAL_EQUITY","FQ2 2019","FQ2 2019","Currency=USD","Period=FQ","BEST_FPERIOD_OVERRIDE=FQ","FILING_STATUS=MR","Sort=A","Dates=H","DateFormat=P","Fill=—","Direction=H","UseDPDF=Y")</f>
        <v>76.072100000000006</v>
      </c>
      <c r="F17" s="14">
        <f>_xll.BDH("BLUE US Equity","LEVEL_2_ASSETS_TO_TOTAL_EQUITY","FQ3 2019","FQ3 2019","Currency=USD","Period=FQ","BEST_FPERIOD_OVERRIDE=FQ","FILING_STATUS=MR","Sort=A","Dates=H","DateFormat=P","Fill=—","Direction=H","UseDPDF=Y")</f>
        <v>74.272199999999998</v>
      </c>
      <c r="G17" s="14">
        <f>_xll.BDH("BLUE US Equity","LEVEL_2_ASSETS_TO_TOTAL_EQUITY","FQ4 2019","FQ4 2019","Currency=USD","Period=FQ","BEST_FPERIOD_OVERRIDE=FQ","FILING_STATUS=MR","Sort=A","Dates=H","DateFormat=P","Fill=—","Direction=H","UseDPDF=Y")</f>
        <v>71.117199999999997</v>
      </c>
      <c r="H17" s="14">
        <f>_xll.BDH("BLUE US Equity","LEVEL_2_ASSETS_TO_TOTAL_EQUITY","FQ1 2020","FQ1 2020","Currency=USD","Period=FQ","BEST_FPERIOD_OVERRIDE=FQ","FILING_STATUS=MR","Sort=A","Dates=H","DateFormat=P","Fill=—","Direction=H","UseDPDF=Y")</f>
        <v>60.099699999999999</v>
      </c>
      <c r="I17" s="14">
        <f>_xll.BDH("BLUE US Equity","LEVEL_2_ASSETS_TO_TOTAL_EQUITY","FQ2 2020","FQ2 2020","Currency=USD","Period=FQ","BEST_FPERIOD_OVERRIDE=FQ","FILING_STATUS=MR","Sort=A","Dates=H","DateFormat=P","Fill=—","Direction=H","UseDPDF=Y")</f>
        <v>23.215900000000001</v>
      </c>
      <c r="J17" s="14">
        <f>_xll.BDH("BLUE US Equity","LEVEL_2_ASSETS_TO_TOTAL_EQUITY","FQ3 2020","FQ3 2020","Currency=USD","Period=FQ","BEST_FPERIOD_OVERRIDE=FQ","FILING_STATUS=MR","Sort=A","Dates=H","DateFormat=P","Fill=—","Direction=H","UseDPDF=Y")</f>
        <v>76.959100000000007</v>
      </c>
      <c r="K17" s="14">
        <f>_xll.BDH("BLUE US Equity","LEVEL_2_ASSETS_TO_TOTAL_EQUITY","FQ4 2020","FQ4 2020","Currency=USD","Period=FQ","BEST_FPERIOD_OVERRIDE=FQ","FILING_STATUS=MR","Sort=A","Dates=H","DateFormat=P","Fill=—","Direction=H","UseDPDF=Y")</f>
        <v>35.082799999999999</v>
      </c>
      <c r="L17" s="14">
        <f>_xll.BDH("BLUE US Equity","LEVEL_2_ASSETS_TO_TOTAL_EQUITY","FQ1 2021","FQ1 2021","Currency=USD","Period=FQ","BEST_FPERIOD_OVERRIDE=FQ","FILING_STATUS=MR","Sort=A","Dates=H","DateFormat=P","Fill=—","Direction=H","UseDPDF=Y")</f>
        <v>56.661700000000003</v>
      </c>
      <c r="M17" s="14">
        <f>_xll.BDH("BLUE US Equity","LEVEL_2_ASSETS_TO_TOTAL_EQUITY","FQ2 2021","FQ2 2021","Currency=USD","Period=FQ","BEST_FPERIOD_OVERRIDE=FQ","FILING_STATUS=MR","Sort=A","Dates=H","DateFormat=P","Fill=—","Direction=H","UseDPDF=Y")</f>
        <v>63.802500000000002</v>
      </c>
      <c r="N17" s="14">
        <f>_xll.BDH("BLUE US Equity","LEVEL_2_ASSETS_TO_TOTAL_EQUITY","FQ3 2021","FQ3 2021","Currency=USD","Period=FQ","BEST_FPERIOD_OVERRIDE=FQ","FILING_STATUS=MR","Sort=A","Dates=H","DateFormat=P","Fill=—","Direction=H","UseDPDF=Y")</f>
        <v>67.794300000000007</v>
      </c>
      <c r="O17" s="14">
        <f>_xll.BDH("BLUE US Equity","LEVEL_2_ASSETS_TO_TOTAL_EQUITY","FQ4 2021","FQ4 2021","Currency=USD","Period=FQ","BEST_FPERIOD_OVERRIDE=FQ","FILING_STATUS=MR","Sort=A","Dates=H","DateFormat=P","Fill=—","Direction=H","UseDPDF=Y")</f>
        <v>61.927399999999999</v>
      </c>
      <c r="P17" s="14">
        <f>_xll.BDH("BLUE US Equity","LEVEL_2_ASSETS_TO_TOTAL_EQUITY","FQ1 2022","FQ1 2022","Currency=USD","Period=FQ","BEST_FPERIOD_OVERRIDE=FQ","FILING_STATUS=MR","Sort=A","Dates=H","DateFormat=P","Fill=—","Direction=H","UseDPDF=Y")</f>
        <v>60.4709</v>
      </c>
      <c r="Q17" s="14">
        <f>_xll.BDH("BLUE US Equity","LEVEL_2_ASSETS_TO_TOTAL_EQUITY","FQ2 2022","FQ2 2022","Currency=USD","Period=FQ","BEST_FPERIOD_OVERRIDE=FQ","FILING_STATUS=MR","Sort=A","Dates=H","DateFormat=P","Fill=—","Direction=H","UseDPDF=Y")</f>
        <v>50.884399999999999</v>
      </c>
      <c r="R17" s="14">
        <f>_xll.BDH("BLUE US Equity","LEVEL_2_ASSETS_TO_TOTAL_EQUITY","FQ3 2022","FQ3 2022","Currency=USD","Period=FQ","BEST_FPERIOD_OVERRIDE=FQ","FILING_STATUS=MR","Sort=A","Dates=H","DateFormat=P","Fill=—","Direction=H","UseDPDF=Y")</f>
        <v>46.936599999999999</v>
      </c>
      <c r="S17" s="14">
        <f>_xll.BDH("BLUE US Equity","LEVEL_2_ASSETS_TO_TOTAL_EQUITY","FQ4 2022","FQ4 2022","Currency=USD","Period=FQ","BEST_FPERIOD_OVERRIDE=FQ","FILING_STATUS=MR","Sort=A","Dates=H","DateFormat=P","Fill=—","Direction=H","UseDPDF=Y")</f>
        <v>51.1676</v>
      </c>
      <c r="T17" s="14">
        <f>_xll.BDH("BLUE US Equity","LEVEL_2_ASSETS_TO_TOTAL_EQUITY","FQ1 2023","FQ1 2023","Currency=USD","Period=FQ","BEST_FPERIOD_OVERRIDE=FQ","FILING_STATUS=MR","Sort=A","Dates=H","DateFormat=P","Fill=—","Direction=H","UseDPDF=Y")</f>
        <v>22.329599999999999</v>
      </c>
      <c r="U17" s="14">
        <f>_xll.BDH("BLUE US Equity","LEVEL_2_ASSETS_TO_TOTAL_EQUITY","FQ2 2023","FQ2 2023","Currency=USD","Period=FQ","BEST_FPERIOD_OVERRIDE=FQ","FILING_STATUS=MR","Sort=A","Dates=H","DateFormat=P","Fill=—","Direction=H","UseDPDF=Y")</f>
        <v>25.061</v>
      </c>
      <c r="V17" s="14">
        <f>_xll.BDH("BLUE US Equity","LEVEL_2_ASSETS_TO_TOTAL_EQUITY","FQ3 2023","FQ3 2023","Currency=USD","Period=FQ","BEST_FPERIOD_OVERRIDE=FQ","FILING_STATUS=MR","Sort=A","Dates=H","DateFormat=P","Fill=—","Direction=H","UseDPDF=Y")</f>
        <v>4.0199999999999996</v>
      </c>
      <c r="W17" s="14">
        <f>_xll.BDH("BLUE US Equity","LEVEL_2_ASSETS_TO_TOTAL_EQUITY","FQ4 2023","FQ4 2023","Currency=USD","Period=FQ","BEST_FPERIOD_OVERRIDE=FQ","FILING_STATUS=MR","Sort=A","Dates=H","DateFormat=P","Fill=—","Direction=H","UseDPDF=Y")</f>
        <v>0</v>
      </c>
      <c r="X17" s="14">
        <f>_xll.BDH("BLUE US Equity","LEVEL_2_ASSETS_TO_TOTAL_EQUITY","FQ1 2024","FQ1 2024","Currency=USD","Period=FQ","BEST_FPERIOD_OVERRIDE=FQ","FILING_STATUS=MR","Sort=A","Dates=H","DateFormat=P","Fill=—","Direction=H","UseDPDF=Y")</f>
        <v>0</v>
      </c>
      <c r="Y17" s="14">
        <f>_xll.BDH("BLUE US Equity","LEVEL_2_ASSETS_TO_TOTAL_EQUITY","FQ2 2024","FQ2 2024","Currency=USD","Period=FQ","BEST_FPERIOD_OVERRIDE=FQ","FILING_STATUS=MR","Sort=A","Dates=H","DateFormat=P","Fill=—","Direction=H","UseDPDF=Y")</f>
        <v>0</v>
      </c>
      <c r="Z17" s="14">
        <f>_xll.BDH("BLUE US Equity","LEVEL_2_ASSETS_TO_TOTAL_EQUITY","FQ3 2024","FQ3 2024","Currency=USD","Period=FQ","BEST_FPERIOD_OVERRIDE=FQ","FILING_STATUS=MR","Sort=A","Dates=H","DateFormat=P","Fill=—","Direction=H","UseDPDF=Y")</f>
        <v>0</v>
      </c>
      <c r="AA17" s="14">
        <f>_xll.BDH("BLUE US Equity","LEVEL_2_ASSETS_TO_TOTAL_EQUITY","FQ4 2024","FQ4 2024","Currency=USD","Period=FQ","BEST_FPERIOD_OVERRIDE=FQ","FILING_STATUS=MR","Sort=A","Dates=H","DateFormat=P","Fill=—","Direction=H","UseDPDF=Y")</f>
        <v>0</v>
      </c>
    </row>
    <row r="18" spans="1:27" x14ac:dyDescent="0.25">
      <c r="A18" s="10" t="s">
        <v>1063</v>
      </c>
      <c r="B18" s="10" t="s">
        <v>1064</v>
      </c>
      <c r="C18" s="14">
        <f>_xll.BDH("BLUE US Equity","LEVEL_3_ASSETS_TO_TOTAL_EQUITY","FQ4 2018","FQ4 2018","Currency=USD","Period=FQ","BEST_FPERIOD_OVERRIDE=FQ","FILING_STATUS=MR","Sort=A","Dates=H","DateFormat=P","Fill=—","Direction=H","UseDPDF=Y")</f>
        <v>0</v>
      </c>
      <c r="D18" s="14">
        <f>_xll.BDH("BLUE US Equity","LEVEL_3_ASSETS_TO_TOTAL_EQUITY","FQ1 2019","FQ1 2019","Currency=USD","Period=FQ","BEST_FPERIOD_OVERRIDE=FQ","FILING_STATUS=MR","Sort=A","Dates=H","DateFormat=P","Fill=—","Direction=H","UseDPDF=Y")</f>
        <v>0</v>
      </c>
      <c r="E18" s="14">
        <f>_xll.BDH("BLUE US Equity","LEVEL_3_ASSETS_TO_TOTAL_EQUITY","FQ2 2019","FQ2 2019","Currency=USD","Period=FQ","BEST_FPERIOD_OVERRIDE=FQ","FILING_STATUS=MR","Sort=A","Dates=H","DateFormat=P","Fill=—","Direction=H","UseDPDF=Y")</f>
        <v>0</v>
      </c>
      <c r="F18" s="14">
        <f>_xll.BDH("BLUE US Equity","LEVEL_3_ASSETS_TO_TOTAL_EQUITY","FQ3 2019","FQ3 2019","Currency=USD","Period=FQ","BEST_FPERIOD_OVERRIDE=FQ","FILING_STATUS=MR","Sort=A","Dates=H","DateFormat=P","Fill=—","Direction=H","UseDPDF=Y")</f>
        <v>0</v>
      </c>
      <c r="G18" s="14">
        <f>_xll.BDH("BLUE US Equity","LEVEL_3_ASSETS_TO_TOTAL_EQUITY","FQ4 2019","FQ4 2019","Currency=USD","Period=FQ","BEST_FPERIOD_OVERRIDE=FQ","FILING_STATUS=MR","Sort=A","Dates=H","DateFormat=P","Fill=—","Direction=H","UseDPDF=Y")</f>
        <v>0</v>
      </c>
      <c r="H18" s="14">
        <f>_xll.BDH("BLUE US Equity","LEVEL_3_ASSETS_TO_TOTAL_EQUITY","FQ1 2020","FQ1 2020","Currency=USD","Period=FQ","BEST_FPERIOD_OVERRIDE=FQ","FILING_STATUS=MR","Sort=A","Dates=H","DateFormat=P","Fill=—","Direction=H","UseDPDF=Y")</f>
        <v>0</v>
      </c>
      <c r="I18" s="14">
        <f>_xll.BDH("BLUE US Equity","LEVEL_3_ASSETS_TO_TOTAL_EQUITY","FQ2 2020","FQ2 2020","Currency=USD","Period=FQ","BEST_FPERIOD_OVERRIDE=FQ","FILING_STATUS=MR","Sort=A","Dates=H","DateFormat=P","Fill=—","Direction=H","UseDPDF=Y")</f>
        <v>0</v>
      </c>
      <c r="J18" s="14">
        <f>_xll.BDH("BLUE US Equity","LEVEL_3_ASSETS_TO_TOTAL_EQUITY","FQ3 2020","FQ3 2020","Currency=USD","Period=FQ","BEST_FPERIOD_OVERRIDE=FQ","FILING_STATUS=MR","Sort=A","Dates=H","DateFormat=P","Fill=—","Direction=H","UseDPDF=Y")</f>
        <v>0</v>
      </c>
      <c r="K18" s="14">
        <f>_xll.BDH("BLUE US Equity","LEVEL_3_ASSETS_TO_TOTAL_EQUITY","FQ4 2020","FQ4 2020","Currency=USD","Period=FQ","BEST_FPERIOD_OVERRIDE=FQ","FILING_STATUS=MR","Sort=A","Dates=H","DateFormat=P","Fill=—","Direction=H","UseDPDF=Y")</f>
        <v>0</v>
      </c>
      <c r="L18" s="14">
        <f>_xll.BDH("BLUE US Equity","LEVEL_3_ASSETS_TO_TOTAL_EQUITY","FQ1 2021","FQ1 2021","Currency=USD","Period=FQ","BEST_FPERIOD_OVERRIDE=FQ","FILING_STATUS=MR","Sort=A","Dates=H","DateFormat=P","Fill=—","Direction=H","UseDPDF=Y")</f>
        <v>0</v>
      </c>
      <c r="M18" s="14">
        <f>_xll.BDH("BLUE US Equity","LEVEL_3_ASSETS_TO_TOTAL_EQUITY","FQ2 2021","FQ2 2021","Currency=USD","Period=FQ","BEST_FPERIOD_OVERRIDE=FQ","FILING_STATUS=MR","Sort=A","Dates=H","DateFormat=P","Fill=—","Direction=H","UseDPDF=Y")</f>
        <v>0</v>
      </c>
      <c r="N18" s="14">
        <f>_xll.BDH("BLUE US Equity","LEVEL_3_ASSETS_TO_TOTAL_EQUITY","FQ3 2021","FQ3 2021","Currency=USD","Period=FQ","BEST_FPERIOD_OVERRIDE=FQ","FILING_STATUS=MR","Sort=A","Dates=H","DateFormat=P","Fill=—","Direction=H","UseDPDF=Y")</f>
        <v>0</v>
      </c>
      <c r="O18" s="14">
        <f>_xll.BDH("BLUE US Equity","LEVEL_3_ASSETS_TO_TOTAL_EQUITY","FQ4 2021","FQ4 2021","Currency=USD","Period=FQ","BEST_FPERIOD_OVERRIDE=FQ","FILING_STATUS=MR","Sort=A","Dates=H","DateFormat=P","Fill=—","Direction=H","UseDPDF=Y")</f>
        <v>0</v>
      </c>
      <c r="P18" s="14">
        <f>_xll.BDH("BLUE US Equity","LEVEL_3_ASSETS_TO_TOTAL_EQUITY","FQ1 2022","FQ1 2022","Currency=USD","Period=FQ","BEST_FPERIOD_OVERRIDE=FQ","FILING_STATUS=MR","Sort=A","Dates=H","DateFormat=P","Fill=—","Direction=H","UseDPDF=Y")</f>
        <v>0</v>
      </c>
      <c r="Q18" s="14">
        <f>_xll.BDH("BLUE US Equity","LEVEL_3_ASSETS_TO_TOTAL_EQUITY","FQ2 2022","FQ2 2022","Currency=USD","Period=FQ","BEST_FPERIOD_OVERRIDE=FQ","FILING_STATUS=MR","Sort=A","Dates=H","DateFormat=P","Fill=—","Direction=H","UseDPDF=Y")</f>
        <v>0</v>
      </c>
      <c r="R18" s="14">
        <f>_xll.BDH("BLUE US Equity","LEVEL_3_ASSETS_TO_TOTAL_EQUITY","FQ3 2022","FQ3 2022","Currency=USD","Period=FQ","BEST_FPERIOD_OVERRIDE=FQ","FILING_STATUS=MR","Sort=A","Dates=H","DateFormat=P","Fill=—","Direction=H","UseDPDF=Y")</f>
        <v>0</v>
      </c>
      <c r="S18" s="14">
        <f>_xll.BDH("BLUE US Equity","LEVEL_3_ASSETS_TO_TOTAL_EQUITY","FQ4 2022","FQ4 2022","Currency=USD","Period=FQ","BEST_FPERIOD_OVERRIDE=FQ","FILING_STATUS=MR","Sort=A","Dates=H","DateFormat=P","Fill=—","Direction=H","UseDPDF=Y")</f>
        <v>0</v>
      </c>
      <c r="T18" s="14">
        <f>_xll.BDH("BLUE US Equity","LEVEL_3_ASSETS_TO_TOTAL_EQUITY","FQ1 2023","FQ1 2023","Currency=USD","Period=FQ","BEST_FPERIOD_OVERRIDE=FQ","FILING_STATUS=MR","Sort=A","Dates=H","DateFormat=P","Fill=—","Direction=H","UseDPDF=Y")</f>
        <v>0</v>
      </c>
      <c r="U18" s="14">
        <f>_xll.BDH("BLUE US Equity","LEVEL_3_ASSETS_TO_TOTAL_EQUITY","FQ2 2023","FQ2 2023","Currency=USD","Period=FQ","BEST_FPERIOD_OVERRIDE=FQ","FILING_STATUS=MR","Sort=A","Dates=H","DateFormat=P","Fill=—","Direction=H","UseDPDF=Y")</f>
        <v>0</v>
      </c>
      <c r="V18" s="14">
        <f>_xll.BDH("BLUE US Equity","LEVEL_3_ASSETS_TO_TOTAL_EQUITY","FQ3 2023","FQ3 2023","Currency=USD","Period=FQ","BEST_FPERIOD_OVERRIDE=FQ","FILING_STATUS=MR","Sort=A","Dates=H","DateFormat=P","Fill=—","Direction=H","UseDPDF=Y")</f>
        <v>0</v>
      </c>
      <c r="W18" s="14">
        <f>_xll.BDH("BLUE US Equity","LEVEL_3_ASSETS_TO_TOTAL_EQUITY","FQ4 2023","FQ4 2023","Currency=USD","Period=FQ","BEST_FPERIOD_OVERRIDE=FQ","FILING_STATUS=MR","Sort=A","Dates=H","DateFormat=P","Fill=—","Direction=H","UseDPDF=Y")</f>
        <v>0.28789999999999999</v>
      </c>
      <c r="X18" s="14">
        <f>_xll.BDH("BLUE US Equity","LEVEL_3_ASSETS_TO_TOTAL_EQUITY","FQ1 2024","FQ1 2024","Currency=USD","Period=FQ","BEST_FPERIOD_OVERRIDE=FQ","FILING_STATUS=MR","Sort=A","Dates=H","DateFormat=P","Fill=—","Direction=H","UseDPDF=Y")</f>
        <v>0.85470000000000002</v>
      </c>
      <c r="Y18" s="14">
        <f>_xll.BDH("BLUE US Equity","LEVEL_3_ASSETS_TO_TOTAL_EQUITY","FQ2 2024","FQ2 2024","Currency=USD","Period=FQ","BEST_FPERIOD_OVERRIDE=FQ","FILING_STATUS=MR","Sort=A","Dates=H","DateFormat=P","Fill=—","Direction=H","UseDPDF=Y")</f>
        <v>2.718</v>
      </c>
      <c r="Z18" s="14">
        <f>_xll.BDH("BLUE US Equity","LEVEL_3_ASSETS_TO_TOTAL_EQUITY","FQ3 2024","FQ3 2024","Currency=USD","Period=FQ","BEST_FPERIOD_OVERRIDE=FQ","FILING_STATUS=MR","Sort=A","Dates=H","DateFormat=P","Fill=—","Direction=H","UseDPDF=Y")</f>
        <v>-35.4131</v>
      </c>
      <c r="AA18" s="14">
        <f>_xll.BDH("BLUE US Equity","LEVEL_3_ASSETS_TO_TOTAL_EQUITY","FQ4 2024","FQ4 2024","Currency=USD","Period=FQ","BEST_FPERIOD_OVERRIDE=FQ","FILING_STATUS=MR","Sort=A","Dates=H","DateFormat=P","Fill=—","Direction=H","UseDPDF=Y")</f>
        <v>-12.526199999999999</v>
      </c>
    </row>
    <row r="19" spans="1:27" x14ac:dyDescent="0.25">
      <c r="A19" s="6" t="s">
        <v>1065</v>
      </c>
      <c r="B19" s="6" t="s">
        <v>1066</v>
      </c>
      <c r="C19" s="20">
        <f>_xll.BDH("BLUE US Equity","TOT_FAIR_VAL_ASSETS_TO_TOT_EQTY","FQ4 2018","FQ4 2018","Currency=USD","Period=FQ","BEST_FPERIOD_OVERRIDE=FQ","FILING_STATUS=MR","Sort=A","Dates=H","DateFormat=P","Fill=—","Direction=H","UseDPDF=Y")</f>
        <v>100.3372</v>
      </c>
      <c r="D19" s="20">
        <f>_xll.BDH("BLUE US Equity","TOT_FAIR_VAL_ASSETS_TO_TOT_EQTY","FQ1 2019","FQ1 2019","Currency=USD","Period=FQ","BEST_FPERIOD_OVERRIDE=FQ","FILING_STATUS=MR","Sort=A","Dates=H","DateFormat=P","Fill=—","Direction=H","UseDPDF=Y")</f>
        <v>97.667599999999993</v>
      </c>
      <c r="E19" s="20">
        <f>_xll.BDH("BLUE US Equity","TOT_FAIR_VAL_ASSETS_TO_TOT_EQTY","FQ2 2019","FQ2 2019","Currency=USD","Period=FQ","BEST_FPERIOD_OVERRIDE=FQ","FILING_STATUS=MR","Sort=A","Dates=H","DateFormat=P","Fill=—","Direction=H","UseDPDF=Y")</f>
        <v>94.220600000000005</v>
      </c>
      <c r="F19" s="20">
        <f>_xll.BDH("BLUE US Equity","TOT_FAIR_VAL_ASSETS_TO_TOT_EQTY","FQ3 2019","FQ3 2019","Currency=USD","Period=FQ","BEST_FPERIOD_OVERRIDE=FQ","FILING_STATUS=MR","Sort=A","Dates=H","DateFormat=P","Fill=—","Direction=H","UseDPDF=Y")</f>
        <v>95.5274</v>
      </c>
      <c r="G19" s="20">
        <f>_xll.BDH("BLUE US Equity","TOT_FAIR_VAL_ASSETS_TO_TOT_EQTY","FQ4 2019","FQ4 2019","Currency=USD","Period=FQ","BEST_FPERIOD_OVERRIDE=FQ","FILING_STATUS=MR","Sort=A","Dates=H","DateFormat=P","Fill=—","Direction=H","UseDPDF=Y")</f>
        <v>96.340299999999999</v>
      </c>
      <c r="H19" s="20">
        <f>_xll.BDH("BLUE US Equity","TOT_FAIR_VAL_ASSETS_TO_TOT_EQTY","FQ1 2020","FQ1 2020","Currency=USD","Period=FQ","BEST_FPERIOD_OVERRIDE=FQ","FILING_STATUS=MR","Sort=A","Dates=H","DateFormat=P","Fill=—","Direction=H","UseDPDF=Y")</f>
        <v>90.889600000000002</v>
      </c>
      <c r="I19" s="20">
        <f>_xll.BDH("BLUE US Equity","TOT_FAIR_VAL_ASSETS_TO_TOT_EQTY","FQ2 2020","FQ2 2020","Currency=USD","Period=FQ","BEST_FPERIOD_OVERRIDE=FQ","FILING_STATUS=MR","Sort=A","Dates=H","DateFormat=P","Fill=—","Direction=H","UseDPDF=Y")</f>
        <v>95.051299999999998</v>
      </c>
      <c r="J19" s="20">
        <f>_xll.BDH("BLUE US Equity","TOT_FAIR_VAL_ASSETS_TO_TOT_EQTY","FQ3 2020","FQ3 2020","Currency=USD","Period=FQ","BEST_FPERIOD_OVERRIDE=FQ","FILING_STATUS=MR","Sort=A","Dates=H","DateFormat=P","Fill=—","Direction=H","UseDPDF=Y")</f>
        <v>94.409099999999995</v>
      </c>
      <c r="K19" s="20">
        <f>_xll.BDH("BLUE US Equity","TOT_FAIR_VAL_ASSETS_TO_TOT_EQTY","FQ4 2020","FQ4 2020","Currency=USD","Period=FQ","BEST_FPERIOD_OVERRIDE=FQ","FILING_STATUS=MR","Sort=A","Dates=H","DateFormat=P","Fill=—","Direction=H","UseDPDF=Y")</f>
        <v>54.733800000000002</v>
      </c>
      <c r="L19" s="20">
        <f>_xll.BDH("BLUE US Equity","TOT_FAIR_VAL_ASSETS_TO_TOT_EQTY","FQ1 2021","FQ1 2021","Currency=USD","Period=FQ","BEST_FPERIOD_OVERRIDE=FQ","FILING_STATUS=MR","Sort=A","Dates=H","DateFormat=P","Fill=—","Direction=H","UseDPDF=Y")</f>
        <v>91.103999999999999</v>
      </c>
      <c r="M19" s="20">
        <f>_xll.BDH("BLUE US Equity","TOT_FAIR_VAL_ASSETS_TO_TOT_EQTY","FQ2 2021","FQ2 2021","Currency=USD","Period=FQ","BEST_FPERIOD_OVERRIDE=FQ","FILING_STATUS=MR","Sort=A","Dates=H","DateFormat=P","Fill=—","Direction=H","UseDPDF=Y")</f>
        <v>95.639399999999995</v>
      </c>
      <c r="N19" s="20">
        <f>_xll.BDH("BLUE US Equity","TOT_FAIR_VAL_ASSETS_TO_TOT_EQTY","FQ3 2021","FQ3 2021","Currency=USD","Period=FQ","BEST_FPERIOD_OVERRIDE=FQ","FILING_STATUS=MR","Sort=A","Dates=H","DateFormat=P","Fill=—","Direction=H","UseDPDF=Y")</f>
        <v>111.5106</v>
      </c>
      <c r="O19" s="20">
        <f>_xll.BDH("BLUE US Equity","TOT_FAIR_VAL_ASSETS_TO_TOT_EQTY","FQ4 2021","FQ4 2021","Currency=USD","Period=FQ","BEST_FPERIOD_OVERRIDE=FQ","FILING_STATUS=MR","Sort=A","Dates=H","DateFormat=P","Fill=—","Direction=H","UseDPDF=Y")</f>
        <v>105.9688</v>
      </c>
      <c r="P19" s="20">
        <f>_xll.BDH("BLUE US Equity","TOT_FAIR_VAL_ASSETS_TO_TOT_EQTY","FQ1 2022","FQ1 2022","Currency=USD","Period=FQ","BEST_FPERIOD_OVERRIDE=FQ","FILING_STATUS=MR","Sort=A","Dates=H","DateFormat=P","Fill=—","Direction=H","UseDPDF=Y")</f>
        <v>101.2831</v>
      </c>
      <c r="Q19" s="20">
        <f>_xll.BDH("BLUE US Equity","TOT_FAIR_VAL_ASSETS_TO_TOT_EQTY","FQ2 2022","FQ2 2022","Currency=USD","Period=FQ","BEST_FPERIOD_OVERRIDE=FQ","FILING_STATUS=MR","Sort=A","Dates=H","DateFormat=P","Fill=—","Direction=H","UseDPDF=Y")</f>
        <v>96.132499999999993</v>
      </c>
      <c r="R19" s="20">
        <f>_xll.BDH("BLUE US Equity","TOT_FAIR_VAL_ASSETS_TO_TOT_EQTY","FQ3 2022","FQ3 2022","Currency=USD","Period=FQ","BEST_FPERIOD_OVERRIDE=FQ","FILING_STATUS=MR","Sort=A","Dates=H","DateFormat=P","Fill=—","Direction=H","UseDPDF=Y")</f>
        <v>88.784300000000002</v>
      </c>
      <c r="S19" s="20">
        <f>_xll.BDH("BLUE US Equity","TOT_FAIR_VAL_ASSETS_TO_TOT_EQTY","FQ4 2022","FQ4 2022","Currency=USD","Period=FQ","BEST_FPERIOD_OVERRIDE=FQ","FILING_STATUS=MR","Sort=A","Dates=H","DateFormat=P","Fill=—","Direction=H","UseDPDF=Y")</f>
        <v>135.29140000000001</v>
      </c>
      <c r="T19" s="20">
        <f>_xll.BDH("BLUE US Equity","TOT_FAIR_VAL_ASSETS_TO_TOT_EQTY","FQ1 2023","FQ1 2023","Currency=USD","Period=FQ","BEST_FPERIOD_OVERRIDE=FQ","FILING_STATUS=MR","Sort=A","Dates=H","DateFormat=P","Fill=—","Direction=H","UseDPDF=Y")</f>
        <v>89.715599999999995</v>
      </c>
      <c r="U19" s="20">
        <f>_xll.BDH("BLUE US Equity","TOT_FAIR_VAL_ASSETS_TO_TOT_EQTY","FQ2 2023","FQ2 2023","Currency=USD","Period=FQ","BEST_FPERIOD_OVERRIDE=FQ","FILING_STATUS=MR","Sort=A","Dates=H","DateFormat=P","Fill=—","Direction=H","UseDPDF=Y")</f>
        <v>84.874399999999994</v>
      </c>
      <c r="V19" s="20">
        <f>_xll.BDH("BLUE US Equity","TOT_FAIR_VAL_ASSETS_TO_TOT_EQTY","FQ3 2023","FQ3 2023","Currency=USD","Period=FQ","BEST_FPERIOD_OVERRIDE=FQ","FILING_STATUS=MR","Sort=A","Dates=H","DateFormat=P","Fill=—","Direction=H","UseDPDF=Y")</f>
        <v>78.321299999999994</v>
      </c>
      <c r="W19" s="20">
        <f>_xll.BDH("BLUE US Equity","TOT_FAIR_VAL_ASSETS_TO_TOT_EQTY","FQ4 2023","FQ4 2023","Currency=USD","Period=FQ","BEST_FPERIOD_OVERRIDE=FQ","FILING_STATUS=MR","Sort=A","Dates=H","DateFormat=P","Fill=—","Direction=H","UseDPDF=Y")</f>
        <v>114.279</v>
      </c>
      <c r="X19" s="20">
        <f>_xll.BDH("BLUE US Equity","TOT_FAIR_VAL_ASSETS_TO_TOT_EQTY","FQ1 2024","FQ1 2024","Currency=USD","Period=FQ","BEST_FPERIOD_OVERRIDE=FQ","FILING_STATUS=MR","Sort=A","Dates=H","DateFormat=P","Fill=—","Direction=H","UseDPDF=Y")</f>
        <v>162.66579999999999</v>
      </c>
      <c r="Y19" s="20">
        <f>_xll.BDH("BLUE US Equity","TOT_FAIR_VAL_ASSETS_TO_TOT_EQTY","FQ2 2024","FQ2 2024","Currency=USD","Period=FQ","BEST_FPERIOD_OVERRIDE=FQ","FILING_STATUS=MR","Sort=A","Dates=H","DateFormat=P","Fill=—","Direction=H","UseDPDF=Y")</f>
        <v>274.64</v>
      </c>
      <c r="Z19" s="20">
        <f>_xll.BDH("BLUE US Equity","TOT_FAIR_VAL_ASSETS_TO_TOT_EQTY","FQ3 2024","FQ3 2024","Currency=USD","Period=FQ","BEST_FPERIOD_OVERRIDE=FQ","FILING_STATUS=MR","Sort=A","Dates=H","DateFormat=P","Fill=—","Direction=H","UseDPDF=Y")</f>
        <v>-1256.4811999999999</v>
      </c>
      <c r="AA19" s="20">
        <f>_xll.BDH("BLUE US Equity","TOT_FAIR_VAL_ASSETS_TO_TOT_EQTY","FQ4 2024","FQ4 2024","Currency=USD","Period=FQ","BEST_FPERIOD_OVERRIDE=FQ","FILING_STATUS=MR","Sort=A","Dates=H","DateFormat=P","Fill=—","Direction=H","UseDPDF=Y")</f>
        <v>-210.10659999999999</v>
      </c>
    </row>
    <row r="20" spans="1:27" x14ac:dyDescent="0.25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1067</v>
      </c>
      <c r="B21" s="10" t="s">
        <v>1068</v>
      </c>
      <c r="C21" s="14">
        <f>_xll.BDH("BLUE US Equity","LEVEL_1_ASSETS_TO_TOTAL_ASSETS","FQ4 2018","FQ4 2018","Currency=USD","Period=FQ","BEST_FPERIOD_OVERRIDE=FQ","FILING_STATUS=MR","Sort=A","Dates=H","DateFormat=P","Fill=—","Direction=H","UseDPDF=Y")</f>
        <v>16.532800000000002</v>
      </c>
      <c r="D21" s="14">
        <f>_xll.BDH("BLUE US Equity","LEVEL_1_ASSETS_TO_TOTAL_ASSETS","FQ1 2019","FQ1 2019","Currency=USD","Period=FQ","BEST_FPERIOD_OVERRIDE=FQ","FILING_STATUS=MR","Sort=A","Dates=H","DateFormat=P","Fill=—","Direction=H","UseDPDF=Y")</f>
        <v>10.914999999999999</v>
      </c>
      <c r="E21" s="14">
        <f>_xll.BDH("BLUE US Equity","LEVEL_1_ASSETS_TO_TOTAL_ASSETS","FQ2 2019","FQ2 2019","Currency=USD","Period=FQ","BEST_FPERIOD_OVERRIDE=FQ","FILING_STATUS=MR","Sort=A","Dates=H","DateFormat=P","Fill=—","Direction=H","UseDPDF=Y")</f>
        <v>14.6776</v>
      </c>
      <c r="F21" s="14">
        <f>_xll.BDH("BLUE US Equity","LEVEL_1_ASSETS_TO_TOTAL_ASSETS","FQ3 2019","FQ3 2019","Currency=USD","Period=FQ","BEST_FPERIOD_OVERRIDE=FQ","FILING_STATUS=MR","Sort=A","Dates=H","DateFormat=P","Fill=—","Direction=H","UseDPDF=Y")</f>
        <v>16.531700000000001</v>
      </c>
      <c r="G21" s="14">
        <f>_xll.BDH("BLUE US Equity","LEVEL_1_ASSETS_TO_TOTAL_ASSETS","FQ4 2019","FQ4 2019","Currency=USD","Period=FQ","BEST_FPERIOD_OVERRIDE=FQ","FILING_STATUS=MR","Sort=A","Dates=H","DateFormat=P","Fill=—","Direction=H","UseDPDF=Y")</f>
        <v>18.762899999999998</v>
      </c>
      <c r="H21" s="14">
        <f>_xll.BDH("BLUE US Equity","LEVEL_1_ASSETS_TO_TOTAL_ASSETS","FQ1 2020","FQ1 2020","Currency=USD","Period=FQ","BEST_FPERIOD_OVERRIDE=FQ","FILING_STATUS=MR","Sort=A","Dates=H","DateFormat=P","Fill=—","Direction=H","UseDPDF=Y")</f>
        <v>22.5609</v>
      </c>
      <c r="I21" s="14">
        <f>_xll.BDH("BLUE US Equity","LEVEL_1_ASSETS_TO_TOTAL_ASSETS","FQ2 2020","FQ2 2020","Currency=USD","Period=FQ","BEST_FPERIOD_OVERRIDE=FQ","FILING_STATUS=MR","Sort=A","Dates=H","DateFormat=P","Fill=—","Direction=H","UseDPDF=Y")</f>
        <v>57.325200000000002</v>
      </c>
      <c r="J21" s="14">
        <f>_xll.BDH("BLUE US Equity","LEVEL_1_ASSETS_TO_TOTAL_ASSETS","FQ3 2020","FQ3 2020","Currency=USD","Period=FQ","BEST_FPERIOD_OVERRIDE=FQ","FILING_STATUS=MR","Sort=A","Dates=H","DateFormat=P","Fill=—","Direction=H","UseDPDF=Y")</f>
        <v>13.6607</v>
      </c>
      <c r="K21" s="14">
        <f>_xll.BDH("BLUE US Equity","LEVEL_1_ASSETS_TO_TOTAL_ASSETS","FQ4 2020","FQ4 2020","Currency=USD","Period=FQ","BEST_FPERIOD_OVERRIDE=FQ","FILING_STATUS=MR","Sort=A","Dates=H","DateFormat=P","Fill=—","Direction=H","UseDPDF=Y")</f>
        <v>14.9491</v>
      </c>
      <c r="L21" s="14">
        <f>_xll.BDH("BLUE US Equity","LEVEL_1_ASSETS_TO_TOTAL_ASSETS","FQ1 2021","FQ1 2021","Currency=USD","Period=FQ","BEST_FPERIOD_OVERRIDE=FQ","FILING_STATUS=MR","Sort=A","Dates=H","DateFormat=P","Fill=—","Direction=H","UseDPDF=Y")</f>
        <v>25.250599999999999</v>
      </c>
      <c r="M21" s="14">
        <f>_xll.BDH("BLUE US Equity","LEVEL_1_ASSETS_TO_TOTAL_ASSETS","FQ2 2021","FQ2 2021","Currency=USD","Period=FQ","BEST_FPERIOD_OVERRIDE=FQ","FILING_STATUS=MR","Sort=A","Dates=H","DateFormat=P","Fill=—","Direction=H","UseDPDF=Y")</f>
        <v>21.551200000000001</v>
      </c>
      <c r="N21" s="14">
        <f>_xll.BDH("BLUE US Equity","LEVEL_1_ASSETS_TO_TOTAL_ASSETS","FQ3 2021","FQ3 2021","Currency=USD","Period=FQ","BEST_FPERIOD_OVERRIDE=FQ","FILING_STATUS=MR","Sort=A","Dates=H","DateFormat=P","Fill=—","Direction=H","UseDPDF=Y")</f>
        <v>28.407699999999998</v>
      </c>
      <c r="O21" s="14">
        <f>_xll.BDH("BLUE US Equity","LEVEL_1_ASSETS_TO_TOTAL_ASSETS","FQ4 2021","FQ4 2021","Currency=USD","Period=FQ","BEST_FPERIOD_OVERRIDE=FQ","FILING_STATUS=MR","Sort=A","Dates=H","DateFormat=P","Fill=—","Direction=H","UseDPDF=Y")</f>
        <v>27.759899999999998</v>
      </c>
      <c r="P21" s="14">
        <f>_xll.BDH("BLUE US Equity","LEVEL_1_ASSETS_TO_TOTAL_ASSETS","FQ1 2022","FQ1 2022","Currency=USD","Period=FQ","BEST_FPERIOD_OVERRIDE=FQ","FILING_STATUS=MR","Sort=A","Dates=H","DateFormat=P","Fill=—","Direction=H","UseDPDF=Y")</f>
        <v>21.879100000000001</v>
      </c>
      <c r="Q21" s="14">
        <f>_xll.BDH("BLUE US Equity","LEVEL_1_ASSETS_TO_TOTAL_ASSETS","FQ2 2022","FQ2 2022","Currency=USD","Period=FQ","BEST_FPERIOD_OVERRIDE=FQ","FILING_STATUS=MR","Sort=A","Dates=H","DateFormat=P","Fill=—","Direction=H","UseDPDF=Y")</f>
        <v>14.208500000000001</v>
      </c>
      <c r="R21" s="14">
        <f>_xll.BDH("BLUE US Equity","LEVEL_1_ASSETS_TO_TOTAL_ASSETS","FQ3 2022","FQ3 2022","Currency=USD","Period=FQ","BEST_FPERIOD_OVERRIDE=FQ","FILING_STATUS=MR","Sort=A","Dates=H","DateFormat=P","Fill=—","Direction=H","UseDPDF=Y")</f>
        <v>12.7818</v>
      </c>
      <c r="S21" s="14">
        <f>_xll.BDH("BLUE US Equity","LEVEL_1_ASSETS_TO_TOTAL_ASSETS","FQ4 2022","FQ4 2022","Currency=USD","Period=FQ","BEST_FPERIOD_OVERRIDE=FQ","FILING_STATUS=MR","Sort=A","Dates=H","DateFormat=P","Fill=—","Direction=H","UseDPDF=Y")</f>
        <v>19.832100000000001</v>
      </c>
      <c r="T21" s="14">
        <f>_xll.BDH("BLUE US Equity","LEVEL_1_ASSETS_TO_TOTAL_ASSETS","FQ1 2023","FQ1 2023","Currency=USD","Period=FQ","BEST_FPERIOD_OVERRIDE=FQ","FILING_STATUS=MR","Sort=A","Dates=H","DateFormat=P","Fill=—","Direction=H","UseDPDF=Y")</f>
        <v>34.507399999999997</v>
      </c>
      <c r="U21" s="14">
        <f>_xll.BDH("BLUE US Equity","LEVEL_1_ASSETS_TO_TOTAL_ASSETS","FQ2 2023","FQ2 2023","Currency=USD","Period=FQ","BEST_FPERIOD_OVERRIDE=FQ","FILING_STATUS=MR","Sort=A","Dates=H","DateFormat=P","Fill=—","Direction=H","UseDPDF=Y")</f>
        <v>26.058800000000002</v>
      </c>
      <c r="V21" s="14">
        <f>_xll.BDH("BLUE US Equity","LEVEL_1_ASSETS_TO_TOTAL_ASSETS","FQ3 2023","FQ3 2023","Currency=USD","Period=FQ","BEST_FPERIOD_OVERRIDE=FQ","FILING_STATUS=MR","Sort=A","Dates=H","DateFormat=P","Fill=—","Direction=H","UseDPDF=Y")</f>
        <v>26.9467</v>
      </c>
      <c r="W21" s="14">
        <f>_xll.BDH("BLUE US Equity","LEVEL_1_ASSETS_TO_TOTAL_ASSETS","FQ4 2023","FQ4 2023","Currency=USD","Period=FQ","BEST_FPERIOD_OVERRIDE=FQ","FILING_STATUS=MR","Sort=A","Dates=H","DateFormat=P","Fill=—","Direction=H","UseDPDF=Y")</f>
        <v>35.815399999999997</v>
      </c>
      <c r="X21" s="14">
        <f>_xll.BDH("BLUE US Equity","LEVEL_1_ASSETS_TO_TOTAL_ASSETS","FQ1 2024","FQ1 2024","Currency=USD","Period=FQ","BEST_FPERIOD_OVERRIDE=FQ","FILING_STATUS=MR","Sort=A","Dates=H","DateFormat=P","Fill=—","Direction=H","UseDPDF=Y")</f>
        <v>33.5792</v>
      </c>
      <c r="Y21" s="14">
        <f>_xll.BDH("BLUE US Equity","LEVEL_1_ASSETS_TO_TOTAL_ASSETS","FQ2 2024","FQ2 2024","Currency=USD","Period=FQ","BEST_FPERIOD_OVERRIDE=FQ","FILING_STATUS=MR","Sort=A","Dates=H","DateFormat=P","Fill=—","Direction=H","UseDPDF=Y")</f>
        <v>26.425000000000001</v>
      </c>
      <c r="Z21" s="14">
        <f>_xll.BDH("BLUE US Equity","LEVEL_1_ASSETS_TO_TOTAL_ASSETS","FQ3 2024","FQ3 2024","Currency=USD","Period=FQ","BEST_FPERIOD_OVERRIDE=FQ","FILING_STATUS=MR","Sort=A","Dates=H","DateFormat=P","Fill=—","Direction=H","UseDPDF=Y")</f>
        <v>15.1919</v>
      </c>
      <c r="AA21" s="14">
        <f>_xll.BDH("BLUE US Equity","LEVEL_1_ASSETS_TO_TOTAL_ASSETS","FQ4 2024","FQ4 2024","Currency=USD","Period=FQ","BEST_FPERIOD_OVERRIDE=FQ","FILING_STATUS=MR","Sort=A","Dates=H","DateFormat=P","Fill=—","Direction=H","UseDPDF=Y")</f>
        <v>13.537699999999999</v>
      </c>
    </row>
    <row r="22" spans="1:27" x14ac:dyDescent="0.25">
      <c r="A22" s="10" t="s">
        <v>1069</v>
      </c>
      <c r="B22" s="10" t="s">
        <v>1070</v>
      </c>
      <c r="C22" s="14">
        <f>_xll.BDH("BLUE US Equity","LEVEL_2_ASSETS_TO_TOTAL_ASSETS","FQ4 2018","FQ4 2018","Currency=USD","Period=FQ","BEST_FPERIOD_OVERRIDE=FQ","FILING_STATUS=MR","Sort=A","Dates=H","DateFormat=P","Fill=—","Direction=H","UseDPDF=Y")</f>
        <v>67.7988</v>
      </c>
      <c r="D22" s="14">
        <f>_xll.BDH("BLUE US Equity","LEVEL_2_ASSETS_TO_TOTAL_ASSETS","FQ1 2019","FQ1 2019","Currency=USD","Period=FQ","BEST_FPERIOD_OVERRIDE=FQ","FILING_STATUS=MR","Sort=A","Dates=H","DateFormat=P","Fill=—","Direction=H","UseDPDF=Y")</f>
        <v>70.014300000000006</v>
      </c>
      <c r="E22" s="14">
        <f>_xll.BDH("BLUE US Equity","LEVEL_2_ASSETS_TO_TOTAL_ASSETS","FQ2 2019","FQ2 2019","Currency=USD","Period=FQ","BEST_FPERIOD_OVERRIDE=FQ","FILING_STATUS=MR","Sort=A","Dates=H","DateFormat=P","Fill=—","Direction=H","UseDPDF=Y")</f>
        <v>61.523099999999999</v>
      </c>
      <c r="F22" s="14">
        <f>_xll.BDH("BLUE US Equity","LEVEL_2_ASSETS_TO_TOTAL_ASSETS","FQ3 2019","FQ3 2019","Currency=USD","Period=FQ","BEST_FPERIOD_OVERRIDE=FQ","FILING_STATUS=MR","Sort=A","Dates=H","DateFormat=P","Fill=—","Direction=H","UseDPDF=Y")</f>
        <v>57.7667</v>
      </c>
      <c r="G22" s="14">
        <f>_xll.BDH("BLUE US Equity","LEVEL_2_ASSETS_TO_TOTAL_ASSETS","FQ4 2019","FQ4 2019","Currency=USD","Period=FQ","BEST_FPERIOD_OVERRIDE=FQ","FILING_STATUS=MR","Sort=A","Dates=H","DateFormat=P","Fill=—","Direction=H","UseDPDF=Y")</f>
        <v>52.902500000000003</v>
      </c>
      <c r="H22" s="14">
        <f>_xll.BDH("BLUE US Equity","LEVEL_2_ASSETS_TO_TOTAL_ASSETS","FQ1 2020","FQ1 2020","Currency=USD","Period=FQ","BEST_FPERIOD_OVERRIDE=FQ","FILING_STATUS=MR","Sort=A","Dates=H","DateFormat=P","Fill=—","Direction=H","UseDPDF=Y")</f>
        <v>44.037399999999998</v>
      </c>
      <c r="I22" s="14">
        <f>_xll.BDH("BLUE US Equity","LEVEL_2_ASSETS_TO_TOTAL_ASSETS","FQ2 2020","FQ2 2020","Currency=USD","Period=FQ","BEST_FPERIOD_OVERRIDE=FQ","FILING_STATUS=MR","Sort=A","Dates=H","DateFormat=P","Fill=—","Direction=H","UseDPDF=Y")</f>
        <v>18.526399999999999</v>
      </c>
      <c r="J22" s="14">
        <f>_xll.BDH("BLUE US Equity","LEVEL_2_ASSETS_TO_TOTAL_ASSETS","FQ3 2020","FQ3 2020","Currency=USD","Period=FQ","BEST_FPERIOD_OVERRIDE=FQ","FILING_STATUS=MR","Sort=A","Dates=H","DateFormat=P","Fill=—","Direction=H","UseDPDF=Y")</f>
        <v>60.247399999999999</v>
      </c>
      <c r="K22" s="14">
        <f>_xll.BDH("BLUE US Equity","LEVEL_2_ASSETS_TO_TOTAL_ASSETS","FQ4 2020","FQ4 2020","Currency=USD","Period=FQ","BEST_FPERIOD_OVERRIDE=FQ","FILING_STATUS=MR","Sort=A","Dates=H","DateFormat=P","Fill=—","Direction=H","UseDPDF=Y")</f>
        <v>26.688600000000001</v>
      </c>
      <c r="L22" s="14">
        <f>_xll.BDH("BLUE US Equity","LEVEL_2_ASSETS_TO_TOTAL_ASSETS","FQ1 2021","FQ1 2021","Currency=USD","Period=FQ","BEST_FPERIOD_OVERRIDE=FQ","FILING_STATUS=MR","Sort=A","Dates=H","DateFormat=P","Fill=—","Direction=H","UseDPDF=Y")</f>
        <v>41.540199999999999</v>
      </c>
      <c r="M22" s="14">
        <f>_xll.BDH("BLUE US Equity","LEVEL_2_ASSETS_TO_TOTAL_ASSETS","FQ2 2021","FQ2 2021","Currency=USD","Period=FQ","BEST_FPERIOD_OVERRIDE=FQ","FILING_STATUS=MR","Sort=A","Dates=H","DateFormat=P","Fill=—","Direction=H","UseDPDF=Y")</f>
        <v>43.189599999999999</v>
      </c>
      <c r="N22" s="14">
        <f>_xll.BDH("BLUE US Equity","LEVEL_2_ASSETS_TO_TOTAL_ASSETS","FQ3 2021","FQ3 2021","Currency=USD","Period=FQ","BEST_FPERIOD_OVERRIDE=FQ","FILING_STATUS=MR","Sort=A","Dates=H","DateFormat=P","Fill=—","Direction=H","UseDPDF=Y")</f>
        <v>44.054099999999998</v>
      </c>
      <c r="O22" s="14">
        <f>_xll.BDH("BLUE US Equity","LEVEL_2_ASSETS_TO_TOTAL_ASSETS","FQ4 2021","FQ4 2021","Currency=USD","Period=FQ","BEST_FPERIOD_OVERRIDE=FQ","FILING_STATUS=MR","Sort=A","Dates=H","DateFormat=P","Fill=—","Direction=H","UseDPDF=Y")</f>
        <v>39.033700000000003</v>
      </c>
      <c r="P22" s="14">
        <f>_xll.BDH("BLUE US Equity","LEVEL_2_ASSETS_TO_TOTAL_ASSETS","FQ1 2022","FQ1 2022","Currency=USD","Period=FQ","BEST_FPERIOD_OVERRIDE=FQ","FILING_STATUS=MR","Sort=A","Dates=H","DateFormat=P","Fill=—","Direction=H","UseDPDF=Y")</f>
        <v>32.417900000000003</v>
      </c>
      <c r="Q22" s="14">
        <f>_xll.BDH("BLUE US Equity","LEVEL_2_ASSETS_TO_TOTAL_ASSETS","FQ2 2022","FQ2 2022","Currency=USD","Period=FQ","BEST_FPERIOD_OVERRIDE=FQ","FILING_STATUS=MR","Sort=A","Dates=H","DateFormat=P","Fill=—","Direction=H","UseDPDF=Y")</f>
        <v>15.978400000000001</v>
      </c>
      <c r="R22" s="14">
        <f>_xll.BDH("BLUE US Equity","LEVEL_2_ASSETS_TO_TOTAL_ASSETS","FQ3 2022","FQ3 2022","Currency=USD","Period=FQ","BEST_FPERIOD_OVERRIDE=FQ","FILING_STATUS=MR","Sort=A","Dates=H","DateFormat=P","Fill=—","Direction=H","UseDPDF=Y")</f>
        <v>14.3361</v>
      </c>
      <c r="S22" s="14">
        <f>_xll.BDH("BLUE US Equity","LEVEL_2_ASSETS_TO_TOTAL_ASSETS","FQ4 2022","FQ4 2022","Currency=USD","Period=FQ","BEST_FPERIOD_OVERRIDE=FQ","FILING_STATUS=MR","Sort=A","Dates=H","DateFormat=P","Fill=—","Direction=H","UseDPDF=Y")</f>
        <v>12.0627</v>
      </c>
      <c r="T22" s="14">
        <f>_xll.BDH("BLUE US Equity","LEVEL_2_ASSETS_TO_TOTAL_ASSETS","FQ1 2023","FQ1 2023","Currency=USD","Period=FQ","BEST_FPERIOD_OVERRIDE=FQ","FILING_STATUS=MR","Sort=A","Dates=H","DateFormat=P","Fill=—","Direction=H","UseDPDF=Y")</f>
        <v>11.434699999999999</v>
      </c>
      <c r="U22" s="14">
        <f>_xll.BDH("BLUE US Equity","LEVEL_2_ASSETS_TO_TOTAL_ASSETS","FQ2 2023","FQ2 2023","Currency=USD","Period=FQ","BEST_FPERIOD_OVERRIDE=FQ","FILING_STATUS=MR","Sort=A","Dates=H","DateFormat=P","Fill=—","Direction=H","UseDPDF=Y")</f>
        <v>10.9183</v>
      </c>
      <c r="V22" s="14">
        <f>_xll.BDH("BLUE US Equity","LEVEL_2_ASSETS_TO_TOTAL_ASSETS","FQ3 2023","FQ3 2023","Currency=USD","Period=FQ","BEST_FPERIOD_OVERRIDE=FQ","FILING_STATUS=MR","Sort=A","Dates=H","DateFormat=P","Fill=—","Direction=H","UseDPDF=Y")</f>
        <v>1.4579</v>
      </c>
      <c r="W22" s="14">
        <f>_xll.BDH("BLUE US Equity","LEVEL_2_ASSETS_TO_TOTAL_ASSETS","FQ4 2023","FQ4 2023","Currency=USD","Period=FQ","BEST_FPERIOD_OVERRIDE=FQ","FILING_STATUS=MR","Sort=A","Dates=H","DateFormat=P","Fill=—","Direction=H","UseDPDF=Y")</f>
        <v>0</v>
      </c>
      <c r="X22" s="14">
        <f>_xll.BDH("BLUE US Equity","LEVEL_2_ASSETS_TO_TOTAL_ASSETS","FQ1 2024","FQ1 2024","Currency=USD","Period=FQ","BEST_FPERIOD_OVERRIDE=FQ","FILING_STATUS=MR","Sort=A","Dates=H","DateFormat=P","Fill=—","Direction=H","UseDPDF=Y")</f>
        <v>0</v>
      </c>
      <c r="Y22" s="14">
        <f>_xll.BDH("BLUE US Equity","LEVEL_2_ASSETS_TO_TOTAL_ASSETS","FQ2 2024","FQ2 2024","Currency=USD","Period=FQ","BEST_FPERIOD_OVERRIDE=FQ","FILING_STATUS=MR","Sort=A","Dates=H","DateFormat=P","Fill=—","Direction=H","UseDPDF=Y")</f>
        <v>0</v>
      </c>
      <c r="Z22" s="14">
        <f>_xll.BDH("BLUE US Equity","LEVEL_2_ASSETS_TO_TOTAL_ASSETS","FQ3 2024","FQ3 2024","Currency=USD","Period=FQ","BEST_FPERIOD_OVERRIDE=FQ","FILING_STATUS=MR","Sort=A","Dates=H","DateFormat=P","Fill=—","Direction=H","UseDPDF=Y")</f>
        <v>0</v>
      </c>
      <c r="AA22" s="14">
        <f>_xll.BDH("BLUE US Equity","LEVEL_2_ASSETS_TO_TOTAL_ASSETS","FQ4 2024","FQ4 2024","Currency=USD","Period=FQ","BEST_FPERIOD_OVERRIDE=FQ","FILING_STATUS=MR","Sort=A","Dates=H","DateFormat=P","Fill=—","Direction=H","UseDPDF=Y")</f>
        <v>0</v>
      </c>
    </row>
    <row r="23" spans="1:27" x14ac:dyDescent="0.25">
      <c r="A23" s="10" t="s">
        <v>1071</v>
      </c>
      <c r="B23" s="10" t="s">
        <v>1072</v>
      </c>
      <c r="C23" s="14">
        <f>_xll.BDH("BLUE US Equity","LEVEL_3_ASSETS_TO_TOTAL_ASSETS","FQ4 2018","FQ4 2018","Currency=USD","Period=FQ","BEST_FPERIOD_OVERRIDE=FQ","FILING_STATUS=MR","Sort=A","Dates=H","DateFormat=P","Fill=—","Direction=H","UseDPDF=Y")</f>
        <v>0</v>
      </c>
      <c r="D23" s="14">
        <f>_xll.BDH("BLUE US Equity","LEVEL_3_ASSETS_TO_TOTAL_ASSETS","FQ1 2019","FQ1 2019","Currency=USD","Period=FQ","BEST_FPERIOD_OVERRIDE=FQ","FILING_STATUS=MR","Sort=A","Dates=H","DateFormat=P","Fill=—","Direction=H","UseDPDF=Y")</f>
        <v>0</v>
      </c>
      <c r="E23" s="14">
        <f>_xll.BDH("BLUE US Equity","LEVEL_3_ASSETS_TO_TOTAL_ASSETS","FQ2 2019","FQ2 2019","Currency=USD","Period=FQ","BEST_FPERIOD_OVERRIDE=FQ","FILING_STATUS=MR","Sort=A","Dates=H","DateFormat=P","Fill=—","Direction=H","UseDPDF=Y")</f>
        <v>0</v>
      </c>
      <c r="F23" s="14">
        <f>_xll.BDH("BLUE US Equity","LEVEL_3_ASSETS_TO_TOTAL_ASSETS","FQ3 2019","FQ3 2019","Currency=USD","Period=FQ","BEST_FPERIOD_OVERRIDE=FQ","FILING_STATUS=MR","Sort=A","Dates=H","DateFormat=P","Fill=—","Direction=H","UseDPDF=Y")</f>
        <v>0</v>
      </c>
      <c r="G23" s="14">
        <f>_xll.BDH("BLUE US Equity","LEVEL_3_ASSETS_TO_TOTAL_ASSETS","FQ4 2019","FQ4 2019","Currency=USD","Period=FQ","BEST_FPERIOD_OVERRIDE=FQ","FILING_STATUS=MR","Sort=A","Dates=H","DateFormat=P","Fill=—","Direction=H","UseDPDF=Y")</f>
        <v>0</v>
      </c>
      <c r="H23" s="14">
        <f>_xll.BDH("BLUE US Equity","LEVEL_3_ASSETS_TO_TOTAL_ASSETS","FQ1 2020","FQ1 2020","Currency=USD","Period=FQ","BEST_FPERIOD_OVERRIDE=FQ","FILING_STATUS=MR","Sort=A","Dates=H","DateFormat=P","Fill=—","Direction=H","UseDPDF=Y")</f>
        <v>0</v>
      </c>
      <c r="I23" s="14">
        <f>_xll.BDH("BLUE US Equity","LEVEL_3_ASSETS_TO_TOTAL_ASSETS","FQ2 2020","FQ2 2020","Currency=USD","Period=FQ","BEST_FPERIOD_OVERRIDE=FQ","FILING_STATUS=MR","Sort=A","Dates=H","DateFormat=P","Fill=—","Direction=H","UseDPDF=Y")</f>
        <v>0</v>
      </c>
      <c r="J23" s="14">
        <f>_xll.BDH("BLUE US Equity","LEVEL_3_ASSETS_TO_TOTAL_ASSETS","FQ3 2020","FQ3 2020","Currency=USD","Period=FQ","BEST_FPERIOD_OVERRIDE=FQ","FILING_STATUS=MR","Sort=A","Dates=H","DateFormat=P","Fill=—","Direction=H","UseDPDF=Y")</f>
        <v>0</v>
      </c>
      <c r="K23" s="14">
        <f>_xll.BDH("BLUE US Equity","LEVEL_3_ASSETS_TO_TOTAL_ASSETS","FQ4 2020","FQ4 2020","Currency=USD","Period=FQ","BEST_FPERIOD_OVERRIDE=FQ","FILING_STATUS=MR","Sort=A","Dates=H","DateFormat=P","Fill=—","Direction=H","UseDPDF=Y")</f>
        <v>0</v>
      </c>
      <c r="L23" s="14">
        <f>_xll.BDH("BLUE US Equity","LEVEL_3_ASSETS_TO_TOTAL_ASSETS","FQ1 2021","FQ1 2021","Currency=USD","Period=FQ","BEST_FPERIOD_OVERRIDE=FQ","FILING_STATUS=MR","Sort=A","Dates=H","DateFormat=P","Fill=—","Direction=H","UseDPDF=Y")</f>
        <v>0</v>
      </c>
      <c r="M23" s="14">
        <f>_xll.BDH("BLUE US Equity","LEVEL_3_ASSETS_TO_TOTAL_ASSETS","FQ2 2021","FQ2 2021","Currency=USD","Period=FQ","BEST_FPERIOD_OVERRIDE=FQ","FILING_STATUS=MR","Sort=A","Dates=H","DateFormat=P","Fill=—","Direction=H","UseDPDF=Y")</f>
        <v>0</v>
      </c>
      <c r="N23" s="14">
        <f>_xll.BDH("BLUE US Equity","LEVEL_3_ASSETS_TO_TOTAL_ASSETS","FQ3 2021","FQ3 2021","Currency=USD","Period=FQ","BEST_FPERIOD_OVERRIDE=FQ","FILING_STATUS=MR","Sort=A","Dates=H","DateFormat=P","Fill=—","Direction=H","UseDPDF=Y")</f>
        <v>0</v>
      </c>
      <c r="O23" s="14">
        <f>_xll.BDH("BLUE US Equity","LEVEL_3_ASSETS_TO_TOTAL_ASSETS","FQ4 2021","FQ4 2021","Currency=USD","Period=FQ","BEST_FPERIOD_OVERRIDE=FQ","FILING_STATUS=MR","Sort=A","Dates=H","DateFormat=P","Fill=—","Direction=H","UseDPDF=Y")</f>
        <v>0</v>
      </c>
      <c r="P23" s="14">
        <f>_xll.BDH("BLUE US Equity","LEVEL_3_ASSETS_TO_TOTAL_ASSETS","FQ1 2022","FQ1 2022","Currency=USD","Period=FQ","BEST_FPERIOD_OVERRIDE=FQ","FILING_STATUS=MR","Sort=A","Dates=H","DateFormat=P","Fill=—","Direction=H","UseDPDF=Y")</f>
        <v>0</v>
      </c>
      <c r="Q23" s="14">
        <f>_xll.BDH("BLUE US Equity","LEVEL_3_ASSETS_TO_TOTAL_ASSETS","FQ2 2022","FQ2 2022","Currency=USD","Period=FQ","BEST_FPERIOD_OVERRIDE=FQ","FILING_STATUS=MR","Sort=A","Dates=H","DateFormat=P","Fill=—","Direction=H","UseDPDF=Y")</f>
        <v>0</v>
      </c>
      <c r="R23" s="14">
        <f>_xll.BDH("BLUE US Equity","LEVEL_3_ASSETS_TO_TOTAL_ASSETS","FQ3 2022","FQ3 2022","Currency=USD","Period=FQ","BEST_FPERIOD_OVERRIDE=FQ","FILING_STATUS=MR","Sort=A","Dates=H","DateFormat=P","Fill=—","Direction=H","UseDPDF=Y")</f>
        <v>0</v>
      </c>
      <c r="S23" s="14">
        <f>_xll.BDH("BLUE US Equity","LEVEL_3_ASSETS_TO_TOTAL_ASSETS","FQ4 2022","FQ4 2022","Currency=USD","Period=FQ","BEST_FPERIOD_OVERRIDE=FQ","FILING_STATUS=MR","Sort=A","Dates=H","DateFormat=P","Fill=—","Direction=H","UseDPDF=Y")</f>
        <v>0</v>
      </c>
      <c r="T23" s="14">
        <f>_xll.BDH("BLUE US Equity","LEVEL_3_ASSETS_TO_TOTAL_ASSETS","FQ1 2023","FQ1 2023","Currency=USD","Period=FQ","BEST_FPERIOD_OVERRIDE=FQ","FILING_STATUS=MR","Sort=A","Dates=H","DateFormat=P","Fill=—","Direction=H","UseDPDF=Y")</f>
        <v>0</v>
      </c>
      <c r="U23" s="14">
        <f>_xll.BDH("BLUE US Equity","LEVEL_3_ASSETS_TO_TOTAL_ASSETS","FQ2 2023","FQ2 2023","Currency=USD","Period=FQ","BEST_FPERIOD_OVERRIDE=FQ","FILING_STATUS=MR","Sort=A","Dates=H","DateFormat=P","Fill=—","Direction=H","UseDPDF=Y")</f>
        <v>0</v>
      </c>
      <c r="V23" s="14">
        <f>_xll.BDH("BLUE US Equity","LEVEL_3_ASSETS_TO_TOTAL_ASSETS","FQ3 2023","FQ3 2023","Currency=USD","Period=FQ","BEST_FPERIOD_OVERRIDE=FQ","FILING_STATUS=MR","Sort=A","Dates=H","DateFormat=P","Fill=—","Direction=H","UseDPDF=Y")</f>
        <v>0</v>
      </c>
      <c r="W23" s="14">
        <f>_xll.BDH("BLUE US Equity","LEVEL_3_ASSETS_TO_TOTAL_ASSETS","FQ4 2023","FQ4 2023","Currency=USD","Period=FQ","BEST_FPERIOD_OVERRIDE=FQ","FILING_STATUS=MR","Sort=A","Dates=H","DateFormat=P","Fill=—","Direction=H","UseDPDF=Y")</f>
        <v>9.0399999999999994E-2</v>
      </c>
      <c r="X23" s="14">
        <f>_xll.BDH("BLUE US Equity","LEVEL_3_ASSETS_TO_TOTAL_ASSETS","FQ1 2024","FQ1 2024","Currency=USD","Period=FQ","BEST_FPERIOD_OVERRIDE=FQ","FILING_STATUS=MR","Sort=A","Dates=H","DateFormat=P","Fill=—","Direction=H","UseDPDF=Y")</f>
        <v>0.1774</v>
      </c>
      <c r="Y23" s="14">
        <f>_xll.BDH("BLUE US Equity","LEVEL_3_ASSETS_TO_TOTAL_ASSETS","FQ2 2024","FQ2 2024","Currency=USD","Period=FQ","BEST_FPERIOD_OVERRIDE=FQ","FILING_STATUS=MR","Sort=A","Dates=H","DateFormat=P","Fill=—","Direction=H","UseDPDF=Y")</f>
        <v>0.2641</v>
      </c>
      <c r="Z23" s="14">
        <f>_xll.BDH("BLUE US Equity","LEVEL_3_ASSETS_TO_TOTAL_ASSETS","FQ3 2024","FQ3 2024","Currency=USD","Period=FQ","BEST_FPERIOD_OVERRIDE=FQ","FILING_STATUS=MR","Sort=A","Dates=H","DateFormat=P","Fill=—","Direction=H","UseDPDF=Y")</f>
        <v>0.44059999999999999</v>
      </c>
      <c r="AA23" s="14">
        <f>_xll.BDH("BLUE US Equity","LEVEL_3_ASSETS_TO_TOTAL_ASSETS","FQ4 2024","FQ4 2024","Currency=USD","Period=FQ","BEST_FPERIOD_OVERRIDE=FQ","FILING_STATUS=MR","Sort=A","Dates=H","DateFormat=P","Fill=—","Direction=H","UseDPDF=Y")</f>
        <v>0.85829999999999995</v>
      </c>
    </row>
    <row r="24" spans="1:27" x14ac:dyDescent="0.25">
      <c r="A24" s="6" t="s">
        <v>1073</v>
      </c>
      <c r="B24" s="6" t="s">
        <v>1074</v>
      </c>
      <c r="C24" s="20">
        <f>_xll.BDH("BLUE US Equity","TOT_FAIR_VAL_ASSET_TO_TOT_ASSETS","FQ4 2018","FQ4 2018","Currency=USD","Period=FQ","BEST_FPERIOD_OVERRIDE=FQ","FILING_STATUS=MR","Sort=A","Dates=H","DateFormat=P","Fill=—","Direction=H","UseDPDF=Y")</f>
        <v>84.331599999999995</v>
      </c>
      <c r="D24" s="20">
        <f>_xll.BDH("BLUE US Equity","TOT_FAIR_VAL_ASSET_TO_TOT_ASSETS","FQ1 2019","FQ1 2019","Currency=USD","Period=FQ","BEST_FPERIOD_OVERRIDE=FQ","FILING_STATUS=MR","Sort=A","Dates=H","DateFormat=P","Fill=—","Direction=H","UseDPDF=Y")</f>
        <v>80.929299999999998</v>
      </c>
      <c r="E24" s="20">
        <f>_xll.BDH("BLUE US Equity","TOT_FAIR_VAL_ASSET_TO_TOT_ASSETS","FQ2 2019","FQ2 2019","Currency=USD","Period=FQ","BEST_FPERIOD_OVERRIDE=FQ","FILING_STATUS=MR","Sort=A","Dates=H","DateFormat=P","Fill=—","Direction=H","UseDPDF=Y")</f>
        <v>76.200699999999998</v>
      </c>
      <c r="F24" s="20">
        <f>_xll.BDH("BLUE US Equity","TOT_FAIR_VAL_ASSET_TO_TOT_ASSETS","FQ3 2019","FQ3 2019","Currency=USD","Period=FQ","BEST_FPERIOD_OVERRIDE=FQ","FILING_STATUS=MR","Sort=A","Dates=H","DateFormat=P","Fill=—","Direction=H","UseDPDF=Y")</f>
        <v>74.298400000000001</v>
      </c>
      <c r="G24" s="20">
        <f>_xll.BDH("BLUE US Equity","TOT_FAIR_VAL_ASSET_TO_TOT_ASSETS","FQ4 2019","FQ4 2019","Currency=USD","Period=FQ","BEST_FPERIOD_OVERRIDE=FQ","FILING_STATUS=MR","Sort=A","Dates=H","DateFormat=P","Fill=—","Direction=H","UseDPDF=Y")</f>
        <v>71.665400000000005</v>
      </c>
      <c r="H24" s="20">
        <f>_xll.BDH("BLUE US Equity","TOT_FAIR_VAL_ASSET_TO_TOT_ASSETS","FQ1 2020","FQ1 2020","Currency=USD","Period=FQ","BEST_FPERIOD_OVERRIDE=FQ","FILING_STATUS=MR","Sort=A","Dates=H","DateFormat=P","Fill=—","Direction=H","UseDPDF=Y")</f>
        <v>66.598299999999995</v>
      </c>
      <c r="I24" s="20">
        <f>_xll.BDH("BLUE US Equity","TOT_FAIR_VAL_ASSET_TO_TOT_ASSETS","FQ2 2020","FQ2 2020","Currency=USD","Period=FQ","BEST_FPERIOD_OVERRIDE=FQ","FILING_STATUS=MR","Sort=A","Dates=H","DateFormat=P","Fill=—","Direction=H","UseDPDF=Y")</f>
        <v>75.851600000000005</v>
      </c>
      <c r="J24" s="20">
        <f>_xll.BDH("BLUE US Equity","TOT_FAIR_VAL_ASSET_TO_TOT_ASSETS","FQ3 2020","FQ3 2020","Currency=USD","Period=FQ","BEST_FPERIOD_OVERRIDE=FQ","FILING_STATUS=MR","Sort=A","Dates=H","DateFormat=P","Fill=—","Direction=H","UseDPDF=Y")</f>
        <v>73.908100000000005</v>
      </c>
      <c r="K24" s="20">
        <f>_xll.BDH("BLUE US Equity","TOT_FAIR_VAL_ASSET_TO_TOT_ASSETS","FQ4 2020","FQ4 2020","Currency=USD","Period=FQ","BEST_FPERIOD_OVERRIDE=FQ","FILING_STATUS=MR","Sort=A","Dates=H","DateFormat=P","Fill=—","Direction=H","UseDPDF=Y")</f>
        <v>41.637700000000002</v>
      </c>
      <c r="L24" s="20">
        <f>_xll.BDH("BLUE US Equity","TOT_FAIR_VAL_ASSET_TO_TOT_ASSETS","FQ1 2021","FQ1 2021","Currency=USD","Period=FQ","BEST_FPERIOD_OVERRIDE=FQ","FILING_STATUS=MR","Sort=A","Dates=H","DateFormat=P","Fill=—","Direction=H","UseDPDF=Y")</f>
        <v>66.790800000000004</v>
      </c>
      <c r="M24" s="20">
        <f>_xll.BDH("BLUE US Equity","TOT_FAIR_VAL_ASSET_TO_TOT_ASSETS","FQ2 2021","FQ2 2021","Currency=USD","Period=FQ","BEST_FPERIOD_OVERRIDE=FQ","FILING_STATUS=MR","Sort=A","Dates=H","DateFormat=P","Fill=—","Direction=H","UseDPDF=Y")</f>
        <v>64.740799999999993</v>
      </c>
      <c r="N24" s="20">
        <f>_xll.BDH("BLUE US Equity","TOT_FAIR_VAL_ASSET_TO_TOT_ASSETS","FQ3 2021","FQ3 2021","Currency=USD","Period=FQ","BEST_FPERIOD_OVERRIDE=FQ","FILING_STATUS=MR","Sort=A","Dates=H","DateFormat=P","Fill=—","Direction=H","UseDPDF=Y")</f>
        <v>72.461799999999997</v>
      </c>
      <c r="O24" s="20">
        <f>_xll.BDH("BLUE US Equity","TOT_FAIR_VAL_ASSET_TO_TOT_ASSETS","FQ4 2021","FQ4 2021","Currency=USD","Period=FQ","BEST_FPERIOD_OVERRIDE=FQ","FILING_STATUS=MR","Sort=A","Dates=H","DateFormat=P","Fill=—","Direction=H","UseDPDF=Y")</f>
        <v>66.793599999999998</v>
      </c>
      <c r="P24" s="20">
        <f>_xll.BDH("BLUE US Equity","TOT_FAIR_VAL_ASSET_TO_TOT_ASSETS","FQ1 2022","FQ1 2022","Currency=USD","Period=FQ","BEST_FPERIOD_OVERRIDE=FQ","FILING_STATUS=MR","Sort=A","Dates=H","DateFormat=P","Fill=—","Direction=H","UseDPDF=Y")</f>
        <v>54.296999999999997</v>
      </c>
      <c r="Q24" s="20">
        <f>_xll.BDH("BLUE US Equity","TOT_FAIR_VAL_ASSET_TO_TOT_ASSETS","FQ2 2022","FQ2 2022","Currency=USD","Period=FQ","BEST_FPERIOD_OVERRIDE=FQ","FILING_STATUS=MR","Sort=A","Dates=H","DateFormat=P","Fill=—","Direction=H","UseDPDF=Y")</f>
        <v>30.187000000000001</v>
      </c>
      <c r="R24" s="20">
        <f>_xll.BDH("BLUE US Equity","TOT_FAIR_VAL_ASSET_TO_TOT_ASSETS","FQ3 2022","FQ3 2022","Currency=USD","Period=FQ","BEST_FPERIOD_OVERRIDE=FQ","FILING_STATUS=MR","Sort=A","Dates=H","DateFormat=P","Fill=—","Direction=H","UseDPDF=Y")</f>
        <v>27.117999999999999</v>
      </c>
      <c r="S24" s="20">
        <f>_xll.BDH("BLUE US Equity","TOT_FAIR_VAL_ASSET_TO_TOT_ASSETS","FQ4 2022","FQ4 2022","Currency=USD","Period=FQ","BEST_FPERIOD_OVERRIDE=FQ","FILING_STATUS=MR","Sort=A","Dates=H","DateFormat=P","Fill=—","Direction=H","UseDPDF=Y")</f>
        <v>31.8948</v>
      </c>
      <c r="T24" s="20">
        <f>_xll.BDH("BLUE US Equity","TOT_FAIR_VAL_ASSET_TO_TOT_ASSETS","FQ1 2023","FQ1 2023","Currency=USD","Period=FQ","BEST_FPERIOD_OVERRIDE=FQ","FILING_STATUS=MR","Sort=A","Dates=H","DateFormat=P","Fill=—","Direction=H","UseDPDF=Y")</f>
        <v>45.942</v>
      </c>
      <c r="U24" s="20">
        <f>_xll.BDH("BLUE US Equity","TOT_FAIR_VAL_ASSET_TO_TOT_ASSETS","FQ2 2023","FQ2 2023","Currency=USD","Period=FQ","BEST_FPERIOD_OVERRIDE=FQ","FILING_STATUS=MR","Sort=A","Dates=H","DateFormat=P","Fill=—","Direction=H","UseDPDF=Y")</f>
        <v>36.976999999999997</v>
      </c>
      <c r="V24" s="20">
        <f>_xll.BDH("BLUE US Equity","TOT_FAIR_VAL_ASSET_TO_TOT_ASSETS","FQ3 2023","FQ3 2023","Currency=USD","Period=FQ","BEST_FPERIOD_OVERRIDE=FQ","FILING_STATUS=MR","Sort=A","Dates=H","DateFormat=P","Fill=—","Direction=H","UseDPDF=Y")</f>
        <v>28.404599999999999</v>
      </c>
      <c r="W24" s="20">
        <f>_xll.BDH("BLUE US Equity","TOT_FAIR_VAL_ASSET_TO_TOT_ASSETS","FQ4 2023","FQ4 2023","Currency=USD","Period=FQ","BEST_FPERIOD_OVERRIDE=FQ","FILING_STATUS=MR","Sort=A","Dates=H","DateFormat=P","Fill=—","Direction=H","UseDPDF=Y")</f>
        <v>35.905799999999999</v>
      </c>
      <c r="X24" s="20">
        <f>_xll.BDH("BLUE US Equity","TOT_FAIR_VAL_ASSET_TO_TOT_ASSETS","FQ1 2024","FQ1 2024","Currency=USD","Period=FQ","BEST_FPERIOD_OVERRIDE=FQ","FILING_STATUS=MR","Sort=A","Dates=H","DateFormat=P","Fill=—","Direction=H","UseDPDF=Y")</f>
        <v>33.756599999999999</v>
      </c>
      <c r="Y24" s="20">
        <f>_xll.BDH("BLUE US Equity","TOT_FAIR_VAL_ASSET_TO_TOT_ASSETS","FQ2 2024","FQ2 2024","Currency=USD","Period=FQ","BEST_FPERIOD_OVERRIDE=FQ","FILING_STATUS=MR","Sort=A","Dates=H","DateFormat=P","Fill=—","Direction=H","UseDPDF=Y")</f>
        <v>26.6891</v>
      </c>
      <c r="Z24" s="20">
        <f>_xll.BDH("BLUE US Equity","TOT_FAIR_VAL_ASSET_TO_TOT_ASSETS","FQ3 2024","FQ3 2024","Currency=USD","Period=FQ","BEST_FPERIOD_OVERRIDE=FQ","FILING_STATUS=MR","Sort=A","Dates=H","DateFormat=P","Fill=—","Direction=H","UseDPDF=Y")</f>
        <v>15.6325</v>
      </c>
      <c r="AA24" s="20">
        <f>_xll.BDH("BLUE US Equity","TOT_FAIR_VAL_ASSET_TO_TOT_ASSETS","FQ4 2024","FQ4 2024","Currency=USD","Period=FQ","BEST_FPERIOD_OVERRIDE=FQ","FILING_STATUS=MR","Sort=A","Dates=H","DateFormat=P","Fill=—","Direction=H","UseDPDF=Y")</f>
        <v>14.396000000000001</v>
      </c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97</v>
      </c>
      <c r="B6" s="10" t="s">
        <v>70</v>
      </c>
      <c r="C6" s="13">
        <f>_xll.BDH("BLUE US Equity","SALES_REV_TURN","FQ4 2018","FQ4 2018","Currency=USD","Period=FQ","BEST_FPERIOD_OVERRIDE=FQ","FILING_STATUS=MR","SCALING_FORMAT=MLN","FA_ADJUSTED=GAAP","Sort=A","Dates=H","DateFormat=P","Fill=—","Direction=H","UseDPDF=Y")</f>
        <v>19.242999999999999</v>
      </c>
      <c r="D6" s="13">
        <f>_xll.BDH("BLUE US Equity","SALES_REV_TURN","FQ1 2019","FQ1 2019","Currency=USD","Period=FQ","BEST_FPERIOD_OVERRIDE=FQ","FILING_STATUS=MR","SCALING_FORMAT=MLN","FA_ADJUSTED=GAAP","Sort=A","Dates=H","DateFormat=P","Fill=—","Direction=H","UseDPDF=Y")</f>
        <v>12.471</v>
      </c>
      <c r="E6" s="13">
        <f>_xll.BDH("BLUE US Equity","SALES_REV_TURN","FQ2 2019","FQ2 2019","Currency=USD","Period=FQ","BEST_FPERIOD_OVERRIDE=FQ","FILING_STATUS=MR","SCALING_FORMAT=MLN","FA_ADJUSTED=GAAP","Sort=A","Dates=H","DateFormat=P","Fill=—","Direction=H","UseDPDF=Y")</f>
        <v>13.295999999999999</v>
      </c>
      <c r="F6" s="13">
        <f>_xll.BDH("BLUE US Equity","SALES_REV_TURN","FQ3 2019","FQ3 2019","Currency=USD","Period=FQ","BEST_FPERIOD_OVERRIDE=FQ","FILING_STATUS=MR","SCALING_FORMAT=MLN","FA_ADJUSTED=GAAP","Sort=A","Dates=H","DateFormat=P","Fill=—","Direction=H","UseDPDF=Y")</f>
        <v>8.91</v>
      </c>
      <c r="G6" s="13">
        <f>_xll.BDH("BLUE US Equity","SALES_REV_TURN","FQ4 2019","FQ4 2019","Currency=USD","Period=FQ","BEST_FPERIOD_OVERRIDE=FQ","FILING_STATUS=MR","SCALING_FORMAT=MLN","FA_ADJUSTED=GAAP","Sort=A","Dates=H","DateFormat=P","Fill=—","Direction=H","UseDPDF=Y")</f>
        <v>9.9969999999999999</v>
      </c>
      <c r="H6" s="13">
        <f>_xll.BDH("BLUE US Equity","SALES_REV_TURN","FQ1 2020","FQ1 2020","Currency=USD","Period=FQ","BEST_FPERIOD_OVERRIDE=FQ","FILING_STATUS=MR","SCALING_FORMAT=MLN","FA_ADJUSTED=GAAP","Sort=A","Dates=H","DateFormat=P","Fill=—","Direction=H","UseDPDF=Y")</f>
        <v>21.863</v>
      </c>
      <c r="I6" s="13">
        <f>_xll.BDH("BLUE US Equity","SALES_REV_TURN","FQ2 2020","FQ2 2020","Currency=USD","Period=FQ","BEST_FPERIOD_OVERRIDE=FQ","FILING_STATUS=MR","SCALING_FORMAT=MLN","FA_ADJUSTED=GAAP","Sort=A","Dates=H","DateFormat=P","Fill=—","Direction=H","UseDPDF=Y")</f>
        <v>198.89</v>
      </c>
      <c r="J6" s="13">
        <f>_xll.BDH("BLUE US Equity","SALES_REV_TURN","FQ3 2020","FQ3 2020","Currency=USD","Period=FQ","BEST_FPERIOD_OVERRIDE=FQ","FILING_STATUS=MR","SCALING_FORMAT=MLN","FA_ADJUSTED=GAAP","Sort=A","Dates=H","DateFormat=P","Fill=—","Direction=H","UseDPDF=Y")</f>
        <v>19.273</v>
      </c>
      <c r="K6" s="13">
        <f>_xll.BDH("BLUE US Equity","SALES_REV_TURN","FQ4 2020","FQ4 2020","Currency=USD","Period=FQ","BEST_FPERIOD_OVERRIDE=FQ","FILING_STATUS=MR","SCALING_FORMAT=MLN","FA_ADJUSTED=GAAP","Sort=A","Dates=H","DateFormat=P","Fill=—","Direction=H","UseDPDF=Y")</f>
        <v>0</v>
      </c>
      <c r="L6" s="13">
        <f>_xll.BDH("BLUE US Equity","SALES_REV_TURN","FQ1 2021","FQ1 2021","Currency=USD","Period=FQ","BEST_FPERIOD_OVERRIDE=FQ","FILING_STATUS=MR","SCALING_FORMAT=MLN","FA_ADJUSTED=GAAP","Sort=A","Dates=H","DateFormat=P","Fill=—","Direction=H","UseDPDF=Y")</f>
        <v>0.89400000000000002</v>
      </c>
      <c r="M6" s="13">
        <f>_xll.BDH("BLUE US Equity","SALES_REV_TURN","FQ2 2021","FQ2 2021","Currency=USD","Period=FQ","BEST_FPERIOD_OVERRIDE=FQ","FILING_STATUS=MR","SCALING_FORMAT=MLN","FA_ADJUSTED=GAAP","Sort=A","Dates=H","DateFormat=P","Fill=—","Direction=H","UseDPDF=Y")</f>
        <v>7.4720000000000004</v>
      </c>
      <c r="N6" s="13">
        <f>_xll.BDH("BLUE US Equity","SALES_REV_TURN","FQ3 2021","FQ3 2021","Currency=USD","Period=FQ","BEST_FPERIOD_OVERRIDE=FQ","FILING_STATUS=MR","SCALING_FORMAT=MLN","FA_ADJUSTED=GAAP","Sort=A","Dates=H","DateFormat=P","Fill=—","Direction=H","UseDPDF=Y")</f>
        <v>1.0189999999999999</v>
      </c>
      <c r="O6" s="13">
        <f>_xll.BDH("BLUE US Equity","SALES_REV_TURN","FQ4 2021","FQ4 2021","Currency=USD","Period=FQ","BEST_FPERIOD_OVERRIDE=FQ","FILING_STATUS=MR","SCALING_FORMAT=MLN","FA_ADJUSTED=GAAP","Sort=A","Dates=H","DateFormat=P","Fill=—","Direction=H","UseDPDF=Y")</f>
        <v>1.6060000000000001</v>
      </c>
      <c r="P6" s="13">
        <f>_xll.BDH("BLUE US Equity","SALES_REV_TURN","FQ1 2022","FQ1 2022","Currency=USD","Period=FQ","BEST_FPERIOD_OVERRIDE=FQ","FILING_STATUS=MR","SCALING_FORMAT=MLN","FA_ADJUSTED=GAAP","Sort=A","Dates=H","DateFormat=P","Fill=—","Direction=H","UseDPDF=Y")</f>
        <v>1.9450000000000001</v>
      </c>
      <c r="Q6" s="13">
        <f>_xll.BDH("BLUE US Equity","SALES_REV_TURN","FQ2 2022","FQ2 2022","Currency=USD","Period=FQ","BEST_FPERIOD_OVERRIDE=FQ","FILING_STATUS=MR","SCALING_FORMAT=MLN","FA_ADJUSTED=GAAP","Sort=A","Dates=H","DateFormat=P","Fill=—","Direction=H","UseDPDF=Y")</f>
        <v>1.5189999999999999</v>
      </c>
      <c r="R6" s="13">
        <f>_xll.BDH("BLUE US Equity","SALES_REV_TURN","FQ3 2022","FQ3 2022","Currency=USD","Period=FQ","BEST_FPERIOD_OVERRIDE=FQ","FILING_STATUS=MR","SCALING_FORMAT=MLN","FA_ADJUSTED=GAAP","Sort=A","Dates=H","DateFormat=P","Fill=—","Direction=H","UseDPDF=Y")</f>
        <v>7.0999999999999994E-2</v>
      </c>
      <c r="S6" s="13">
        <f>_xll.BDH("BLUE US Equity","SALES_REV_TURN","FQ4 2022","FQ4 2022","Currency=USD","Period=FQ","BEST_FPERIOD_OVERRIDE=FQ","FILING_STATUS=MR","SCALING_FORMAT=MLN","FA_ADJUSTED=GAAP","Sort=A","Dates=H","DateFormat=P","Fill=—","Direction=H","UseDPDF=Y")</f>
        <v>6.2E-2</v>
      </c>
      <c r="T6" s="13">
        <f>_xll.BDH("BLUE US Equity","SALES_REV_TURN","FQ1 2023","FQ1 2023","Currency=USD","Period=FQ","BEST_FPERIOD_OVERRIDE=FQ","FILING_STATUS=MR","SCALING_FORMAT=MLN","FA_ADJUSTED=GAAP","Sort=A","Dates=H","DateFormat=P","Fill=—","Direction=H","UseDPDF=Y")</f>
        <v>2.3809999999999998</v>
      </c>
      <c r="U6" s="13">
        <f>_xll.BDH("BLUE US Equity","SALES_REV_TURN","FQ2 2023","FQ2 2023","Currency=USD","Period=FQ","BEST_FPERIOD_OVERRIDE=FQ","FILING_STATUS=MR","SCALING_FORMAT=MLN","FA_ADJUSTED=GAAP","Sort=A","Dates=H","DateFormat=P","Fill=—","Direction=H","UseDPDF=Y")</f>
        <v>6.89</v>
      </c>
      <c r="V6" s="13">
        <f>_xll.BDH("BLUE US Equity","SALES_REV_TURN","FQ3 2023","FQ3 2023","Currency=USD","Period=FQ","BEST_FPERIOD_OVERRIDE=FQ","FILING_STATUS=MR","SCALING_FORMAT=MLN","FA_ADJUSTED=GAAP","Sort=A","Dates=H","DateFormat=P","Fill=—","Direction=H","UseDPDF=Y")</f>
        <v>12.391999999999999</v>
      </c>
      <c r="W6" s="13">
        <f>_xll.BDH("BLUE US Equity","SALES_REV_TURN","FQ4 2023","FQ4 2023","Currency=USD","Period=FQ","BEST_FPERIOD_OVERRIDE=FQ","FILING_STATUS=MR","SCALING_FORMAT=MLN","FA_ADJUSTED=GAAP","Sort=A","Dates=H","DateFormat=P","Fill=—","Direction=H","UseDPDF=Y")</f>
        <v>7.8339999999999996</v>
      </c>
      <c r="X6" s="13">
        <f>_xll.BDH("BLUE US Equity","SALES_REV_TURN","FQ1 2024","FQ1 2024","Currency=USD","Period=FQ","BEST_FPERIOD_OVERRIDE=FQ","FILING_STATUS=MR","SCALING_FORMAT=MLN","FA_ADJUSTED=GAAP","Sort=A","Dates=H","DateFormat=P","Fill=—","Direction=H","UseDPDF=Y")</f>
        <v>18.573</v>
      </c>
      <c r="Y6" s="13">
        <f>_xll.BDH("BLUE US Equity","SALES_REV_TURN","FQ2 2024","FQ2 2024","Currency=USD","Period=FQ","BEST_FPERIOD_OVERRIDE=FQ","FILING_STATUS=MR","SCALING_FORMAT=MLN","FA_ADJUSTED=GAAP","Sort=A","Dates=H","DateFormat=P","Fill=—","Direction=H","UseDPDF=Y")</f>
        <v>16.100999999999999</v>
      </c>
      <c r="Z6" s="13">
        <f>_xll.BDH("BLUE US Equity","SALES_REV_TURN","FQ3 2024","FQ3 2024","Currency=USD","Period=FQ","BEST_FPERIOD_OVERRIDE=FQ","FILING_STATUS=MR","SCALING_FORMAT=MLN","FA_ADJUSTED=GAAP","Sort=A","Dates=H","DateFormat=P","Fill=—","Direction=H","UseDPDF=Y")</f>
        <v>10.612</v>
      </c>
      <c r="AA6" s="13">
        <f>_xll.BDH("BLUE US Equity","SALES_REV_TURN","FQ4 2024","FQ4 2024","Currency=USD","Period=FQ","BEST_FPERIOD_OVERRIDE=FQ","FILING_STATUS=MR","SCALING_FORMAT=MLN","FA_ADJUSTED=GAAP","Sort=A","Dates=H","DateFormat=P","Fill=—","Direction=H","UseDPDF=Y")</f>
        <v>38.521000000000001</v>
      </c>
    </row>
    <row r="7" spans="1:27" x14ac:dyDescent="0.25">
      <c r="A7" s="10" t="s">
        <v>98</v>
      </c>
      <c r="B7" s="10" t="s">
        <v>99</v>
      </c>
      <c r="C7" s="13">
        <f>_xll.BDH("BLUE US Equity","IS_OPER_INC","FQ4 2018","FQ4 2018","Currency=USD","Period=FQ","BEST_FPERIOD_OVERRIDE=FQ","FILING_STATUS=MR","SCALING_FORMAT=MLN","FA_ADJUSTED=GAAP","Sort=A","Dates=H","DateFormat=P","Fill=—","Direction=H","UseDPDF=Y")</f>
        <v>-156.96100000000001</v>
      </c>
      <c r="D7" s="13">
        <f>_xll.BDH("BLUE US Equity","IS_OPER_INC","FQ1 2019","FQ1 2019","Currency=USD","Period=FQ","BEST_FPERIOD_OVERRIDE=FQ","FILING_STATUS=MR","SCALING_FORMAT=MLN","FA_ADJUSTED=GAAP","Sort=A","Dates=H","DateFormat=P","Fill=—","Direction=H","UseDPDF=Y")</f>
        <v>-171.17400000000001</v>
      </c>
      <c r="E7" s="13">
        <f>_xll.BDH("BLUE US Equity","IS_OPER_INC","FQ2 2019","FQ2 2019","Currency=USD","Period=FQ","BEST_FPERIOD_OVERRIDE=FQ","FILING_STATUS=MR","SCALING_FORMAT=MLN","FA_ADJUSTED=GAAP","Sort=A","Dates=H","DateFormat=P","Fill=—","Direction=H","UseDPDF=Y")</f>
        <v>-202.702</v>
      </c>
      <c r="F7" s="13">
        <f>_xll.BDH("BLUE US Equity","IS_OPER_INC","FQ3 2019","FQ3 2019","Currency=USD","Period=FQ","BEST_FPERIOD_OVERRIDE=FQ","FILING_STATUS=MR","SCALING_FORMAT=MLN","FA_ADJUSTED=GAAP","Sort=A","Dates=H","DateFormat=P","Fill=—","Direction=H","UseDPDF=Y")</f>
        <v>-210.416</v>
      </c>
      <c r="G7" s="13">
        <f>_xll.BDH("BLUE US Equity","IS_OPER_INC","FQ4 2019","FQ4 2019","Currency=USD","Period=FQ","BEST_FPERIOD_OVERRIDE=FQ","FILING_STATUS=MR","SCALING_FORMAT=MLN","FA_ADJUSTED=GAAP","Sort=A","Dates=H","DateFormat=P","Fill=—","Direction=H","UseDPDF=Y")</f>
        <v>-230.53399999999999</v>
      </c>
      <c r="H7" s="13">
        <f>_xll.BDH("BLUE US Equity","IS_OPER_INC","FQ1 2020","FQ1 2020","Currency=USD","Period=FQ","BEST_FPERIOD_OVERRIDE=FQ","FILING_STATUS=MR","SCALING_FORMAT=MLN","FA_ADJUSTED=GAAP","Sort=A","Dates=H","DateFormat=P","Fill=—","Direction=H","UseDPDF=Y")</f>
        <v>-203.42500000000001</v>
      </c>
      <c r="I7" s="13">
        <f>_xll.BDH("BLUE US Equity","IS_OPER_INC","FQ2 2020","FQ2 2020","Currency=USD","Period=FQ","BEST_FPERIOD_OVERRIDE=FQ","FILING_STATUS=MR","SCALING_FORMAT=MLN","FA_ADJUSTED=GAAP","Sort=A","Dates=H","DateFormat=P","Fill=—","Direction=H","UseDPDF=Y")</f>
        <v>-25.945</v>
      </c>
      <c r="J7" s="13">
        <f>_xll.BDH("BLUE US Equity","IS_OPER_INC","FQ3 2020","FQ3 2020","Currency=USD","Period=FQ","BEST_FPERIOD_OVERRIDE=FQ","FILING_STATUS=MR","SCALING_FORMAT=MLN","FA_ADJUSTED=GAAP","Sort=A","Dates=H","DateFormat=P","Fill=—","Direction=H","UseDPDF=Y")</f>
        <v>-189.69399999999999</v>
      </c>
      <c r="K7" s="13">
        <f>_xll.BDH("BLUE US Equity","IS_OPER_INC","FQ4 2020","FQ4 2020","Currency=USD","Period=FQ","BEST_FPERIOD_OVERRIDE=FQ","FILING_STATUS=MR","SCALING_FORMAT=MLN","FA_ADJUSTED=GAAP","Sort=A","Dates=H","DateFormat=P","Fill=—","Direction=H","UseDPDF=Y")</f>
        <v>-139.387</v>
      </c>
      <c r="L7" s="13">
        <f>_xll.BDH("BLUE US Equity","IS_OPER_INC","FQ1 2021","FQ1 2021","Currency=USD","Period=FQ","BEST_FPERIOD_OVERRIDE=FQ","FILING_STATUS=MR","SCALING_FORMAT=MLN","FA_ADJUSTED=GAAP","Sort=A","Dates=H","DateFormat=P","Fill=—","Direction=H","UseDPDF=Y")</f>
        <v>-146.09399999999999</v>
      </c>
      <c r="M7" s="13">
        <f>_xll.BDH("BLUE US Equity","IS_OPER_INC","FQ2 2021","FQ2 2021","Currency=USD","Period=FQ","BEST_FPERIOD_OVERRIDE=FQ","FILING_STATUS=MR","SCALING_FORMAT=MLN","FA_ADJUSTED=GAAP","Sort=A","Dates=H","DateFormat=P","Fill=—","Direction=H","UseDPDF=Y")</f>
        <v>-240.83799999999999</v>
      </c>
      <c r="N7" s="13">
        <f>_xll.BDH("BLUE US Equity","IS_OPER_INC","FQ3 2021","FQ3 2021","Currency=USD","Period=FQ","BEST_FPERIOD_OVERRIDE=FQ","FILING_STATUS=MR","SCALING_FORMAT=MLN","FA_ADJUSTED=GAAP","Sort=A","Dates=H","DateFormat=P","Fill=—","Direction=H","UseDPDF=Y")</f>
        <v>-154.44900000000001</v>
      </c>
      <c r="O7" s="13">
        <f>_xll.BDH("BLUE US Equity","IS_OPER_INC","FQ4 2021","FQ4 2021","Currency=USD","Period=FQ","BEST_FPERIOD_OVERRIDE=FQ","FILING_STATUS=MR","SCALING_FORMAT=MLN","FA_ADJUSTED=GAAP","Sort=A","Dates=H","DateFormat=P","Fill=—","Direction=H","UseDPDF=Y")</f>
        <v>-135.667</v>
      </c>
      <c r="P7" s="13">
        <f>_xll.BDH("BLUE US Equity","IS_OPER_INC","FQ1 2022","FQ1 2022","Currency=USD","Period=FQ","BEST_FPERIOD_OVERRIDE=FQ","FILING_STATUS=MR","SCALING_FORMAT=MLN","FA_ADJUSTED=GAAP","Sort=A","Dates=H","DateFormat=P","Fill=—","Direction=H","UseDPDF=Y")</f>
        <v>-120.346</v>
      </c>
      <c r="Q7" s="13">
        <f>_xll.BDH("BLUE US Equity","IS_OPER_INC","FQ2 2022","FQ2 2022","Currency=USD","Period=FQ","BEST_FPERIOD_OVERRIDE=FQ","FILING_STATUS=MR","SCALING_FORMAT=MLN","FA_ADJUSTED=GAAP","Sort=A","Dates=H","DateFormat=P","Fill=—","Direction=H","UseDPDF=Y")</f>
        <v>-107.4</v>
      </c>
      <c r="R7" s="13">
        <f>_xll.BDH("BLUE US Equity","IS_OPER_INC","FQ3 2022","FQ3 2022","Currency=USD","Period=FQ","BEST_FPERIOD_OVERRIDE=FQ","FILING_STATUS=MR","SCALING_FORMAT=MLN","FA_ADJUSTED=GAAP","Sort=A","Dates=H","DateFormat=P","Fill=—","Direction=H","UseDPDF=Y")</f>
        <v>-84.781000000000006</v>
      </c>
      <c r="S7" s="13">
        <f>_xll.BDH("BLUE US Equity","IS_OPER_INC","FQ4 2022","FQ4 2022","Currency=USD","Period=FQ","BEST_FPERIOD_OVERRIDE=FQ","FILING_STATUS=MR","SCALING_FORMAT=MLN","FA_ADJUSTED=GAAP","Sort=A","Dates=H","DateFormat=P","Fill=—","Direction=H","UseDPDF=Y")</f>
        <v>62.341999999999999</v>
      </c>
      <c r="T7" s="13">
        <f>_xll.BDH("BLUE US Equity","IS_OPER_INC","FQ1 2023","FQ1 2023","Currency=USD","Period=FQ","BEST_FPERIOD_OVERRIDE=FQ","FILING_STATUS=MR","SCALING_FORMAT=MLN","FA_ADJUSTED=GAAP","Sort=A","Dates=H","DateFormat=P","Fill=—","Direction=H","UseDPDF=Y")</f>
        <v>10.744999999999999</v>
      </c>
      <c r="U7" s="13">
        <f>_xll.BDH("BLUE US Equity","IS_OPER_INC","FQ2 2023","FQ2 2023","Currency=USD","Period=FQ","BEST_FPERIOD_OVERRIDE=FQ","FILING_STATUS=MR","SCALING_FORMAT=MLN","FA_ADJUSTED=GAAP","Sort=A","Dates=H","DateFormat=P","Fill=—","Direction=H","UseDPDF=Y")</f>
        <v>-71.716999999999999</v>
      </c>
      <c r="V7" s="13">
        <f>_xll.BDH("BLUE US Equity","IS_OPER_INC","FQ3 2023","FQ3 2023","Currency=USD","Period=FQ","BEST_FPERIOD_OVERRIDE=FQ","FILING_STATUS=MR","SCALING_FORMAT=MLN","FA_ADJUSTED=GAAP","Sort=A","Dates=H","DateFormat=P","Fill=—","Direction=H","UseDPDF=Y")</f>
        <v>-96.006</v>
      </c>
      <c r="W7" s="13">
        <f>_xll.BDH("BLUE US Equity","IS_OPER_INC","FQ4 2023","FQ4 2023","Currency=USD","Period=FQ","BEST_FPERIOD_OVERRIDE=FQ","FILING_STATUS=MR","SCALING_FORMAT=MLN","FA_ADJUSTED=GAAP","Sort=A","Dates=H","DateFormat=P","Fill=—","Direction=H","UseDPDF=Y")</f>
        <v>-82.673000000000002</v>
      </c>
      <c r="X7" s="13">
        <f>_xll.BDH("BLUE US Equity","IS_OPER_INC","FQ1 2024","FQ1 2024","Currency=USD","Period=FQ","BEST_FPERIOD_OVERRIDE=FQ","FILING_STATUS=MR","SCALING_FORMAT=MLN","FA_ADJUSTED=GAAP","Sort=A","Dates=H","DateFormat=P","Fill=—","Direction=H","UseDPDF=Y")</f>
        <v>-78.691999999999993</v>
      </c>
      <c r="Y7" s="13">
        <f>_xll.BDH("BLUE US Equity","IS_OPER_INC","FQ2 2024","FQ2 2024","Currency=USD","Period=FQ","BEST_FPERIOD_OVERRIDE=FQ","FILING_STATUS=MR","SCALING_FORMAT=MLN","FA_ADJUSTED=GAAP","Sort=A","Dates=H","DateFormat=P","Fill=—","Direction=H","UseDPDF=Y")</f>
        <v>-88.391999999999996</v>
      </c>
      <c r="Z7" s="13">
        <f>_xll.BDH("BLUE US Equity","IS_OPER_INC","FQ3 2024","FQ3 2024","Currency=USD","Period=FQ","BEST_FPERIOD_OVERRIDE=FQ","FILING_STATUS=MR","SCALING_FORMAT=MLN","FA_ADJUSTED=GAAP","Sort=A","Dates=H","DateFormat=P","Fill=—","Direction=H","UseDPDF=Y")</f>
        <v>-66.918999999999997</v>
      </c>
      <c r="AA7" s="13">
        <f>_xll.BDH("BLUE US Equity","IS_OPER_INC","FQ4 2024","FQ4 2024","Currency=USD","Period=FQ","BEST_FPERIOD_OVERRIDE=FQ","FILING_STATUS=MR","SCALING_FORMAT=MLN","FA_ADJUSTED=GAAP","Sort=A","Dates=H","DateFormat=P","Fill=—","Direction=H","UseDPDF=Y")</f>
        <v>-36.457999999999998</v>
      </c>
    </row>
    <row r="8" spans="1:27" x14ac:dyDescent="0.25">
      <c r="A8" s="10" t="s">
        <v>100</v>
      </c>
      <c r="B8" s="10" t="s">
        <v>80</v>
      </c>
      <c r="C8" s="13">
        <f>_xll.BDH("BLUE US Equity","EARN_FOR_COMMON","FQ4 2018","FQ4 2018","Currency=USD","Period=FQ","BEST_FPERIOD_OVERRIDE=FQ","FILING_STATUS=MR","SCALING_FORMAT=MLN","FA_ADJUSTED=GAAP","Sort=A","Dates=H","DateFormat=P","Fill=—","Direction=H","UseDPDF=Y")</f>
        <v>-149.023</v>
      </c>
      <c r="D8" s="13">
        <f>_xll.BDH("BLUE US Equity","EARN_FOR_COMMON","FQ1 2019","FQ1 2019","Currency=USD","Period=FQ","BEST_FPERIOD_OVERRIDE=FQ","FILING_STATUS=MR","SCALING_FORMAT=MLN","FA_ADJUSTED=GAAP","Sort=A","Dates=H","DateFormat=P","Fill=—","Direction=H","UseDPDF=Y")</f>
        <v>-164.446</v>
      </c>
      <c r="E8" s="13">
        <f>_xll.BDH("BLUE US Equity","EARN_FOR_COMMON","FQ2 2019","FQ2 2019","Currency=USD","Period=FQ","BEST_FPERIOD_OVERRIDE=FQ","FILING_STATUS=MR","SCALING_FORMAT=MLN","FA_ADJUSTED=GAAP","Sort=A","Dates=H","DateFormat=P","Fill=—","Direction=H","UseDPDF=Y")</f>
        <v>-195.78200000000001</v>
      </c>
      <c r="F8" s="13">
        <f>_xll.BDH("BLUE US Equity","EARN_FOR_COMMON","FQ3 2019","FQ3 2019","Currency=USD","Period=FQ","BEST_FPERIOD_OVERRIDE=FQ","FILING_STATUS=MR","SCALING_FORMAT=MLN","FA_ADJUSTED=GAAP","Sort=A","Dates=H","DateFormat=P","Fill=—","Direction=H","UseDPDF=Y")</f>
        <v>-206.03299999999999</v>
      </c>
      <c r="G8" s="13">
        <f>_xll.BDH("BLUE US Equity","EARN_FOR_COMMON","FQ4 2019","FQ4 2019","Currency=USD","Period=FQ","BEST_FPERIOD_OVERRIDE=FQ","FILING_STATUS=MR","SCALING_FORMAT=MLN","FA_ADJUSTED=GAAP","Sort=A","Dates=H","DateFormat=P","Fill=—","Direction=H","UseDPDF=Y")</f>
        <v>-223.34700000000001</v>
      </c>
      <c r="H8" s="13">
        <f>_xll.BDH("BLUE US Equity","EARN_FOR_COMMON","FQ1 2020","FQ1 2020","Currency=USD","Period=FQ","BEST_FPERIOD_OVERRIDE=FQ","FILING_STATUS=MR","SCALING_FORMAT=MLN","FA_ADJUSTED=GAAP","Sort=A","Dates=H","DateFormat=P","Fill=—","Direction=H","UseDPDF=Y")</f>
        <v>-202.61099999999999</v>
      </c>
      <c r="I8" s="13">
        <f>_xll.BDH("BLUE US Equity","EARN_FOR_COMMON","FQ2 2020","FQ2 2020","Currency=USD","Period=FQ","BEST_FPERIOD_OVERRIDE=FQ","FILING_STATUS=MR","SCALING_FORMAT=MLN","FA_ADJUSTED=GAAP","Sort=A","Dates=H","DateFormat=P","Fill=—","Direction=H","UseDPDF=Y")</f>
        <v>-21.465</v>
      </c>
      <c r="J8" s="13">
        <f>_xll.BDH("BLUE US Equity","EARN_FOR_COMMON","FQ3 2020","FQ3 2020","Currency=USD","Period=FQ","BEST_FPERIOD_OVERRIDE=FQ","FILING_STATUS=MR","SCALING_FORMAT=MLN","FA_ADJUSTED=GAAP","Sort=A","Dates=H","DateFormat=P","Fill=—","Direction=H","UseDPDF=Y")</f>
        <v>-194.745</v>
      </c>
      <c r="K8" s="13">
        <f>_xll.BDH("BLUE US Equity","EARN_FOR_COMMON","FQ4 2020","FQ4 2020","Currency=USD","Period=FQ","BEST_FPERIOD_OVERRIDE=FQ","FILING_STATUS=MR","SCALING_FORMAT=MLN","FA_ADJUSTED=GAAP","Sort=A","Dates=H","DateFormat=P","Fill=—","Direction=H","UseDPDF=Y")</f>
        <v>-199.874</v>
      </c>
      <c r="L8" s="13">
        <f>_xll.BDH("BLUE US Equity","EARN_FOR_COMMON","FQ1 2021","FQ1 2021","Currency=USD","Period=FQ","BEST_FPERIOD_OVERRIDE=FQ","FILING_STATUS=MR","SCALING_FORMAT=MLN","FA_ADJUSTED=GAAP","Sort=A","Dates=H","DateFormat=P","Fill=—","Direction=H","UseDPDF=Y")</f>
        <v>-205.80799999999999</v>
      </c>
      <c r="M8" s="13">
        <f>_xll.BDH("BLUE US Equity","EARN_FOR_COMMON","FQ2 2021","FQ2 2021","Currency=USD","Period=FQ","BEST_FPERIOD_OVERRIDE=FQ","FILING_STATUS=MR","SCALING_FORMAT=MLN","FA_ADJUSTED=GAAP","Sort=A","Dates=H","DateFormat=P","Fill=—","Direction=H","UseDPDF=Y")</f>
        <v>-241.702</v>
      </c>
      <c r="N8" s="13">
        <f>_xll.BDH("BLUE US Equity","EARN_FOR_COMMON","FQ3 2021","FQ3 2021","Currency=USD","Period=FQ","BEST_FPERIOD_OVERRIDE=FQ","FILING_STATUS=MR","SCALING_FORMAT=MLN","FA_ADJUSTED=GAAP","Sort=A","Dates=H","DateFormat=P","Fill=—","Direction=H","UseDPDF=Y")</f>
        <v>-216.816</v>
      </c>
      <c r="O8" s="13">
        <f>_xll.BDH("BLUE US Equity","EARN_FOR_COMMON","FQ4 2021","FQ4 2021","Currency=USD","Period=FQ","BEST_FPERIOD_OVERRIDE=FQ","FILING_STATUS=MR","SCALING_FORMAT=MLN","FA_ADJUSTED=GAAP","Sort=A","Dates=H","DateFormat=P","Fill=—","Direction=H","UseDPDF=Y")</f>
        <v>-155.05199999999999</v>
      </c>
      <c r="P8" s="13">
        <f>_xll.BDH("BLUE US Equity","EARN_FOR_COMMON","FQ1 2022","FQ1 2022","Currency=USD","Period=FQ","BEST_FPERIOD_OVERRIDE=FQ","FILING_STATUS=MR","SCALING_FORMAT=MLN","FA_ADJUSTED=GAAP","Sort=A","Dates=H","DateFormat=P","Fill=—","Direction=H","UseDPDF=Y")</f>
        <v>-122.152</v>
      </c>
      <c r="Q8" s="13">
        <f>_xll.BDH("BLUE US Equity","EARN_FOR_COMMON","FQ2 2022","FQ2 2022","Currency=USD","Period=FQ","BEST_FPERIOD_OVERRIDE=FQ","FILING_STATUS=MR","SCALING_FORMAT=MLN","FA_ADJUSTED=GAAP","Sort=A","Dates=H","DateFormat=P","Fill=—","Direction=H","UseDPDF=Y")</f>
        <v>-100.13800000000001</v>
      </c>
      <c r="R8" s="13">
        <f>_xll.BDH("BLUE US Equity","EARN_FOR_COMMON","FQ3 2022","FQ3 2022","Currency=USD","Period=FQ","BEST_FPERIOD_OVERRIDE=FQ","FILING_STATUS=MR","SCALING_FORMAT=MLN","FA_ADJUSTED=GAAP","Sort=A","Dates=H","DateFormat=P","Fill=—","Direction=H","UseDPDF=Y")</f>
        <v>-76.52</v>
      </c>
      <c r="S8" s="13">
        <f>_xll.BDH("BLUE US Equity","EARN_FOR_COMMON","FQ4 2022","FQ4 2022","Currency=USD","Period=FQ","BEST_FPERIOD_OVERRIDE=FQ","FILING_STATUS=MR","SCALING_FORMAT=MLN","FA_ADJUSTED=GAAP","Sort=A","Dates=H","DateFormat=P","Fill=—","Direction=H","UseDPDF=Y")</f>
        <v>68.468000000000004</v>
      </c>
      <c r="T8" s="13">
        <f>_xll.BDH("BLUE US Equity","EARN_FOR_COMMON","FQ1 2023","FQ1 2023","Currency=USD","Period=FQ","BEST_FPERIOD_OVERRIDE=FQ","FILING_STATUS=MR","SCALING_FORMAT=MLN","FA_ADJUSTED=GAAP","Sort=A","Dates=H","DateFormat=P","Fill=—","Direction=H","UseDPDF=Y")</f>
        <v>18.93</v>
      </c>
      <c r="U8" s="13">
        <f>_xll.BDH("BLUE US Equity","EARN_FOR_COMMON","FQ2 2023","FQ2 2023","Currency=USD","Period=FQ","BEST_FPERIOD_OVERRIDE=FQ","FILING_STATUS=MR","SCALING_FORMAT=MLN","FA_ADJUSTED=GAAP","Sort=A","Dates=H","DateFormat=P","Fill=—","Direction=H","UseDPDF=Y")</f>
        <v>-62.789000000000001</v>
      </c>
      <c r="V8" s="13">
        <f>_xll.BDH("BLUE US Equity","EARN_FOR_COMMON","FQ3 2023","FQ3 2023","Currency=USD","Period=FQ","BEST_FPERIOD_OVERRIDE=FQ","FILING_STATUS=MR","SCALING_FORMAT=MLN","FA_ADJUSTED=GAAP","Sort=A","Dates=H","DateFormat=P","Fill=—","Direction=H","UseDPDF=Y")</f>
        <v>-87.231999999999999</v>
      </c>
      <c r="W8" s="13">
        <f>_xll.BDH("BLUE US Equity","EARN_FOR_COMMON","FQ4 2023","FQ4 2023","Currency=USD","Period=FQ","BEST_FPERIOD_OVERRIDE=FQ","FILING_STATUS=MR","SCALING_FORMAT=MLN","FA_ADJUSTED=GAAP","Sort=A","Dates=H","DateFormat=P","Fill=—","Direction=H","UseDPDF=Y")</f>
        <v>-88.513999999999996</v>
      </c>
      <c r="X8" s="13">
        <f>_xll.BDH("BLUE US Equity","EARN_FOR_COMMON","FQ1 2024","FQ1 2024","Currency=USD","Period=FQ","BEST_FPERIOD_OVERRIDE=FQ","FILING_STATUS=MR","SCALING_FORMAT=MLN","FA_ADJUSTED=GAAP","Sort=A","Dates=H","DateFormat=P","Fill=—","Direction=H","UseDPDF=Y")</f>
        <v>-69.804000000000002</v>
      </c>
      <c r="Y8" s="13">
        <f>_xll.BDH("BLUE US Equity","EARN_FOR_COMMON","FQ2 2024","FQ2 2024","Currency=USD","Period=FQ","BEST_FPERIOD_OVERRIDE=FQ","FILING_STATUS=MR","SCALING_FORMAT=MLN","FA_ADJUSTED=GAAP","Sort=A","Dates=H","DateFormat=P","Fill=—","Direction=H","UseDPDF=Y")</f>
        <v>-81.393000000000001</v>
      </c>
      <c r="Z8" s="13">
        <f>_xll.BDH("BLUE US Equity","EARN_FOR_COMMON","FQ3 2024","FQ3 2024","Currency=USD","Period=FQ","BEST_FPERIOD_OVERRIDE=FQ","FILING_STATUS=MR","SCALING_FORMAT=MLN","FA_ADJUSTED=GAAP","Sort=A","Dates=H","DateFormat=P","Fill=—","Direction=H","UseDPDF=Y")</f>
        <v>-60.808</v>
      </c>
      <c r="AA8" s="13">
        <f>_xll.BDH("BLUE US Equity","EARN_FOR_COMMON","FQ4 2024","FQ4 2024","Currency=USD","Period=FQ","BEST_FPERIOD_OVERRIDE=FQ","FILING_STATUS=MR","SCALING_FORMAT=MLN","FA_ADJUSTED=GAAP","Sort=A","Dates=H","DateFormat=P","Fill=—","Direction=H","UseDPDF=Y")</f>
        <v>-28.71</v>
      </c>
    </row>
    <row r="9" spans="1:27" x14ac:dyDescent="0.25">
      <c r="A9" s="10" t="s">
        <v>101</v>
      </c>
      <c r="B9" s="10" t="s">
        <v>102</v>
      </c>
      <c r="C9" s="14">
        <f>_xll.BDH("BLUE US Equity","IS_EPS","FQ4 2018","FQ4 2018","Currency=USD","Period=FQ","BEST_FPERIOD_OVERRIDE=FQ","FILING_STATUS=MR","FA_ADJUSTED=GAAP","Sort=A","Dates=H","DateFormat=P","Fill=—","Direction=H","UseDPDF=Y")</f>
        <v>-54.4</v>
      </c>
      <c r="D9" s="14">
        <f>_xll.BDH("BLUE US Equity","IS_EPS","FQ1 2019","FQ1 2019","Currency=USD","Period=FQ","BEST_FPERIOD_OVERRIDE=FQ","FILING_STATUS=MR","FA_ADJUSTED=GAAP","Sort=A","Dates=H","DateFormat=P","Fill=—","Direction=H","UseDPDF=Y")</f>
        <v>-59.8</v>
      </c>
      <c r="E9" s="14">
        <f>_xll.BDH("BLUE US Equity","IS_EPS","FQ2 2019","FQ2 2019","Currency=USD","Period=FQ","BEST_FPERIOD_OVERRIDE=FQ","FILING_STATUS=MR","FA_ADJUSTED=GAAP","Sort=A","Dates=H","DateFormat=P","Fill=—","Direction=H","UseDPDF=Y")</f>
        <v>-71</v>
      </c>
      <c r="F9" s="14">
        <f>_xll.BDH("BLUE US Equity","IS_EPS","FQ3 2019","FQ3 2019","Currency=USD","Period=FQ","BEST_FPERIOD_OVERRIDE=FQ","FILING_STATUS=MR","FA_ADJUSTED=GAAP","Sort=A","Dates=H","DateFormat=P","Fill=—","Direction=H","UseDPDF=Y")</f>
        <v>-74.599999999999994</v>
      </c>
      <c r="G9" s="14">
        <f>_xll.BDH("BLUE US Equity","IS_EPS","FQ4 2019","FQ4 2019","Currency=USD","Period=FQ","BEST_FPERIOD_OVERRIDE=FQ","FILING_STATUS=MR","FA_ADJUSTED=GAAP","Sort=A","Dates=H","DateFormat=P","Fill=—","Direction=H","UseDPDF=Y")</f>
        <v>-80.8</v>
      </c>
      <c r="H9" s="14">
        <f>_xll.BDH("BLUE US Equity","IS_EPS","FQ1 2020","FQ1 2020","Currency=USD","Period=FQ","BEST_FPERIOD_OVERRIDE=FQ","FILING_STATUS=MR","FA_ADJUSTED=GAAP","Sort=A","Dates=H","DateFormat=P","Fill=—","Direction=H","UseDPDF=Y")</f>
        <v>-72.8</v>
      </c>
      <c r="I9" s="14">
        <f>_xll.BDH("BLUE US Equity","IS_EPS","FQ2 2020","FQ2 2020","Currency=USD","Period=FQ","BEST_FPERIOD_OVERRIDE=FQ","FILING_STATUS=MR","FA_ADJUSTED=GAAP","Sort=A","Dates=H","DateFormat=P","Fill=—","Direction=H","UseDPDF=Y")</f>
        <v>-7.2</v>
      </c>
      <c r="J9" s="14">
        <f>_xll.BDH("BLUE US Equity","IS_EPS","FQ3 2020","FQ3 2020","Currency=USD","Period=FQ","BEST_FPERIOD_OVERRIDE=FQ","FILING_STATUS=MR","FA_ADJUSTED=GAAP","Sort=A","Dates=H","DateFormat=P","Fill=—","Direction=H","UseDPDF=Y")</f>
        <v>-58.8</v>
      </c>
      <c r="K9" s="14">
        <f>_xll.BDH("BLUE US Equity","IS_EPS","FQ4 2020","FQ4 2020","Currency=USD","Period=FQ","BEST_FPERIOD_OVERRIDE=FQ","FILING_STATUS=MR","FA_ADJUSTED=GAAP","Sort=A","Dates=H","DateFormat=P","Fill=—","Direction=H","UseDPDF=Y")</f>
        <v>-60.2</v>
      </c>
      <c r="L9" s="14">
        <f>_xll.BDH("BLUE US Equity","IS_EPS","FQ1 2021","FQ1 2021","Currency=USD","Period=FQ","BEST_FPERIOD_OVERRIDE=FQ","FILING_STATUS=MR","FA_ADJUSTED=GAAP","Sort=A","Dates=H","DateFormat=P","Fill=—","Direction=H","UseDPDF=Y")</f>
        <v>-61.4</v>
      </c>
      <c r="M9" s="14">
        <f>_xll.BDH("BLUE US Equity","IS_EPS","FQ2 2021","FQ2 2021","Currency=USD","Period=FQ","BEST_FPERIOD_OVERRIDE=FQ","FILING_STATUS=MR","FA_ADJUSTED=GAAP","Sort=A","Dates=H","DateFormat=P","Fill=—","Direction=H","UseDPDF=Y")</f>
        <v>-71.599999999999994</v>
      </c>
      <c r="N9" s="14">
        <f>_xll.BDH("BLUE US Equity","IS_EPS","FQ3 2021","FQ3 2021","Currency=USD","Period=FQ","BEST_FPERIOD_OVERRIDE=FQ","FILING_STATUS=MR","FA_ADJUSTED=GAAP","Sort=A","Dates=H","DateFormat=P","Fill=—","Direction=H","UseDPDF=Y")</f>
        <v>-63.2</v>
      </c>
      <c r="O9" s="14">
        <f>_xll.BDH("BLUE US Equity","IS_EPS","FQ4 2021","FQ4 2021","Currency=USD","Period=FQ","BEST_FPERIOD_OVERRIDE=FQ","FILING_STATUS=MR","FA_ADJUSTED=GAAP","Sort=A","Dates=H","DateFormat=P","Fill=—","Direction=H","UseDPDF=Y")</f>
        <v>-42.8</v>
      </c>
      <c r="P9" s="14">
        <f>_xll.BDH("BLUE US Equity","IS_EPS","FQ1 2022","FQ1 2022","Currency=USD","Period=FQ","BEST_FPERIOD_OVERRIDE=FQ","FILING_STATUS=MR","FA_ADJUSTED=GAAP","Sort=A","Dates=H","DateFormat=P","Fill=—","Direction=H","UseDPDF=Y")</f>
        <v>-33.200000000000003</v>
      </c>
      <c r="Q9" s="14">
        <f>_xll.BDH("BLUE US Equity","IS_EPS","FQ2 2022","FQ2 2022","Currency=USD","Period=FQ","BEST_FPERIOD_OVERRIDE=FQ","FILING_STATUS=MR","FA_ADJUSTED=GAAP","Sort=A","Dates=H","DateFormat=P","Fill=—","Direction=H","UseDPDF=Y")</f>
        <v>-27.2</v>
      </c>
      <c r="R9" s="14">
        <f>_xll.BDH("BLUE US Equity","IS_EPS","FQ3 2022","FQ3 2022","Currency=USD","Period=FQ","BEST_FPERIOD_OVERRIDE=FQ","FILING_STATUS=MR","FA_ADJUSTED=GAAP","Sort=A","Dates=H","DateFormat=P","Fill=—","Direction=H","UseDPDF=Y")</f>
        <v>-18.8</v>
      </c>
      <c r="S9" s="14">
        <f>_xll.BDH("BLUE US Equity","IS_EPS","FQ4 2022","FQ4 2022","Currency=USD","Period=FQ","BEST_FPERIOD_OVERRIDE=FQ","FILING_STATUS=MR","FA_ADJUSTED=GAAP","Sort=A","Dates=H","DateFormat=P","Fill=—","Direction=H","UseDPDF=Y")</f>
        <v>16.0456</v>
      </c>
      <c r="T9" s="14">
        <f>_xll.BDH("BLUE US Equity","IS_EPS","FQ1 2023","FQ1 2023","Currency=USD","Period=FQ","BEST_FPERIOD_OVERRIDE=FQ","FILING_STATUS=MR","FA_ADJUSTED=GAAP","Sort=A","Dates=H","DateFormat=P","Fill=—","Direction=H","UseDPDF=Y")</f>
        <v>3.6</v>
      </c>
      <c r="U9" s="14">
        <f>_xll.BDH("BLUE US Equity","IS_EPS","FQ2 2023","FQ2 2023","Currency=USD","Period=FQ","BEST_FPERIOD_OVERRIDE=FQ","FILING_STATUS=MR","FA_ADJUSTED=GAAP","Sort=A","Dates=H","DateFormat=P","Fill=—","Direction=H","UseDPDF=Y")</f>
        <v>-11.6</v>
      </c>
      <c r="V9" s="14">
        <f>_xll.BDH("BLUE US Equity","IS_EPS","FQ3 2023","FQ3 2023","Currency=USD","Period=FQ","BEST_FPERIOD_OVERRIDE=FQ","FILING_STATUS=MR","FA_ADJUSTED=GAAP","Sort=A","Dates=H","DateFormat=P","Fill=—","Direction=H","UseDPDF=Y")</f>
        <v>-16</v>
      </c>
      <c r="W9" s="14">
        <f>_xll.BDH("BLUE US Equity","IS_EPS","FQ4 2023","FQ4 2023","Currency=USD","Period=FQ","BEST_FPERIOD_OVERRIDE=FQ","FILING_STATUS=MR","FA_ADJUSTED=GAAP","Sort=A","Dates=H","DateFormat=P","Fill=—","Direction=H","UseDPDF=Y")</f>
        <v>-14.9269</v>
      </c>
      <c r="X9" s="14">
        <f>_xll.BDH("BLUE US Equity","IS_EPS","FQ1 2024","FQ1 2024","Currency=USD","Period=FQ","BEST_FPERIOD_OVERRIDE=FQ","FILING_STATUS=MR","FA_ADJUSTED=GAAP","Sort=A","Dates=H","DateFormat=P","Fill=—","Direction=H","UseDPDF=Y")</f>
        <v>-7.2</v>
      </c>
      <c r="Y9" s="14">
        <f>_xll.BDH("BLUE US Equity","IS_EPS","FQ2 2024","FQ2 2024","Currency=USD","Period=FQ","BEST_FPERIOD_OVERRIDE=FQ","FILING_STATUS=MR","FA_ADJUSTED=GAAP","Sort=A","Dates=H","DateFormat=P","Fill=—","Direction=H","UseDPDF=Y")</f>
        <v>-8.4</v>
      </c>
      <c r="Z9" s="14">
        <f>_xll.BDH("BLUE US Equity","IS_EPS","FQ3 2024","FQ3 2024","Currency=USD","Period=FQ","BEST_FPERIOD_OVERRIDE=FQ","FILING_STATUS=MR","FA_ADJUSTED=GAAP","Sort=A","Dates=H","DateFormat=P","Fill=—","Direction=H","UseDPDF=Y")</f>
        <v>-6.2</v>
      </c>
      <c r="AA9" s="14">
        <f>_xll.BDH("BLUE US Equity","IS_EPS","FQ4 2024","FQ4 2024","Currency=USD","Period=FQ","BEST_FPERIOD_OVERRIDE=FQ","FILING_STATUS=MR","FA_ADJUSTED=GAAP","Sort=A","Dates=H","DateFormat=P","Fill=—","Direction=H","UseDPDF=Y")</f>
        <v>-2.9571000000000001</v>
      </c>
    </row>
    <row r="10" spans="1:27" x14ac:dyDescent="0.25">
      <c r="A10" s="10" t="s">
        <v>103</v>
      </c>
      <c r="B10" s="10" t="s">
        <v>104</v>
      </c>
      <c r="C10" s="14">
        <f>_xll.BDH("BLUE US Equity","IS_DILUTED_EPS","FQ4 2018","FQ4 2018","Currency=USD","Period=FQ","BEST_FPERIOD_OVERRIDE=FQ","FILING_STATUS=MR","FA_ADJUSTED=GAAP","Sort=A","Dates=H","DateFormat=P","Fill=—","Direction=H","UseDPDF=Y")</f>
        <v>-54.4</v>
      </c>
      <c r="D10" s="14">
        <f>_xll.BDH("BLUE US Equity","IS_DILUTED_EPS","FQ1 2019","FQ1 2019","Currency=USD","Period=FQ","BEST_FPERIOD_OVERRIDE=FQ","FILING_STATUS=MR","FA_ADJUSTED=GAAP","Sort=A","Dates=H","DateFormat=P","Fill=—","Direction=H","UseDPDF=Y")</f>
        <v>-59.8</v>
      </c>
      <c r="E10" s="14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F10" s="14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G10" s="14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H10" s="14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I10" s="14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J10" s="14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K10" s="14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L10" s="14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M10" s="14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N10" s="14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O10" s="14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P10" s="14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Q10" s="14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R10" s="14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S10" s="14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T10" s="14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U10" s="14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V10" s="14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W10" s="14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X10" s="14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Y10" s="14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Z10" s="14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AA10" s="14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</row>
    <row r="11" spans="1:27" x14ac:dyDescent="0.25">
      <c r="A11" s="10" t="s">
        <v>105</v>
      </c>
      <c r="B11" s="10" t="s">
        <v>106</v>
      </c>
      <c r="C11" s="13">
        <f>_xll.BDH("BLUE US Equity","IS_AVG_NUM_SH_FOR_EPS","FQ4 2018","FQ4 2018","Currency=USD","Period=FQ","BEST_FPERIOD_OVERRIDE=FQ","FILING_STATUS=MR","Sort=A","Dates=H","DateFormat=P","Fill=—","Direction=H","UseDPDF=Y")</f>
        <v>2.7355999999999998</v>
      </c>
      <c r="D11" s="13">
        <f>_xll.BDH("BLUE US Equity","IS_AVG_NUM_SH_FOR_EPS","FQ1 2019","FQ1 2019","Currency=USD","Period=FQ","BEST_FPERIOD_OVERRIDE=FQ","FILING_STATUS=MR","Sort=A","Dates=H","DateFormat=P","Fill=—","Direction=H","UseDPDF=Y")</f>
        <v>2.7479</v>
      </c>
      <c r="E11" s="13">
        <f>_xll.BDH("BLUE US Equity","IS_AVG_NUM_SH_FOR_EPS","FQ2 2019","FQ2 2019","Currency=USD","Period=FQ","BEST_FPERIOD_OVERRIDE=FQ","FILING_STATUS=MR","Sort=A","Dates=H","DateFormat=P","Fill=—","Direction=H","UseDPDF=Y")</f>
        <v>2.7583000000000002</v>
      </c>
      <c r="F11" s="13">
        <f>_xll.BDH("BLUE US Equity","IS_AVG_NUM_SH_FOR_EPS","FQ3 2019","FQ3 2019","Currency=USD","Period=FQ","BEST_FPERIOD_OVERRIDE=FQ","FILING_STATUS=MR","Sort=A","Dates=H","DateFormat=P","Fill=—","Direction=H","UseDPDF=Y")</f>
        <v>2.7646000000000002</v>
      </c>
      <c r="G11" s="13">
        <f>_xll.BDH("BLUE US Equity","IS_AVG_NUM_SH_FOR_EPS","FQ4 2019","FQ4 2019","Currency=USD","Period=FQ","BEST_FPERIOD_OVERRIDE=FQ","FILING_STATUS=MR","Sort=A","Dates=H","DateFormat=P","Fill=—","Direction=H","UseDPDF=Y")</f>
        <v>2.7671999999999999</v>
      </c>
      <c r="H11" s="13">
        <f>_xll.BDH("BLUE US Equity","IS_AVG_NUM_SH_FOR_EPS","FQ1 2020","FQ1 2020","Currency=USD","Period=FQ","BEST_FPERIOD_OVERRIDE=FQ","FILING_STATUS=MR","Sort=A","Dates=H","DateFormat=P","Fill=—","Direction=H","UseDPDF=Y")</f>
        <v>2.7795000000000001</v>
      </c>
      <c r="I11" s="13">
        <f>_xll.BDH("BLUE US Equity","IS_AVG_NUM_SH_FOR_EPS","FQ2 2020","FQ2 2020","Currency=USD","Period=FQ","BEST_FPERIOD_OVERRIDE=FQ","FILING_STATUS=MR","Sort=A","Dates=H","DateFormat=P","Fill=—","Direction=H","UseDPDF=Y")</f>
        <v>3.0192000000000001</v>
      </c>
      <c r="J11" s="13">
        <f>_xll.BDH("BLUE US Equity","IS_AVG_NUM_SH_FOR_EPS","FQ3 2020","FQ3 2020","Currency=USD","Period=FQ","BEST_FPERIOD_OVERRIDE=FQ","FILING_STATUS=MR","Sort=A","Dates=H","DateFormat=P","Fill=—","Direction=H","UseDPDF=Y")</f>
        <v>3.3126000000000002</v>
      </c>
      <c r="K11" s="13">
        <f>_xll.BDH("BLUE US Equity","IS_AVG_NUM_SH_FOR_EPS","FQ4 2020","FQ4 2020","Currency=USD","Period=FQ","BEST_FPERIOD_OVERRIDE=FQ","FILING_STATUS=MR","Sort=A","Dates=H","DateFormat=P","Fill=—","Direction=H","UseDPDF=Y")</f>
        <v>3.3197999999999999</v>
      </c>
      <c r="L11" s="13">
        <f>_xll.BDH("BLUE US Equity","IS_AVG_NUM_SH_FOR_EPS","FQ1 2021","FQ1 2021","Currency=USD","Period=FQ","BEST_FPERIOD_OVERRIDE=FQ","FILING_STATUS=MR","Sort=A","Dates=H","DateFormat=P","Fill=—","Direction=H","UseDPDF=Y")</f>
        <v>3.3488000000000002</v>
      </c>
      <c r="M11" s="13">
        <f>_xll.BDH("BLUE US Equity","IS_AVG_NUM_SH_FOR_EPS","FQ2 2021","FQ2 2021","Currency=USD","Period=FQ","BEST_FPERIOD_OVERRIDE=FQ","FILING_STATUS=MR","Sort=A","Dates=H","DateFormat=P","Fill=—","Direction=H","UseDPDF=Y")</f>
        <v>3.3744000000000001</v>
      </c>
      <c r="N11" s="13">
        <f>_xll.BDH("BLUE US Equity","IS_AVG_NUM_SH_FOR_EPS","FQ3 2021","FQ3 2021","Currency=USD","Period=FQ","BEST_FPERIOD_OVERRIDE=FQ","FILING_STATUS=MR","Sort=A","Dates=H","DateFormat=P","Fill=—","Direction=H","UseDPDF=Y")</f>
        <v>3.4310999999999998</v>
      </c>
      <c r="O11" s="13">
        <f>_xll.BDH("BLUE US Equity","IS_AVG_NUM_SH_FOR_EPS","FQ4 2021","FQ4 2021","Currency=USD","Period=FQ","BEST_FPERIOD_OVERRIDE=FQ","FILING_STATUS=MR","Sort=A","Dates=H","DateFormat=P","Fill=—","Direction=H","UseDPDF=Y")</f>
        <v>3.6248999999999998</v>
      </c>
      <c r="P11" s="13">
        <f>_xll.BDH("BLUE US Equity","IS_AVG_NUM_SH_FOR_EPS","FQ1 2022","FQ1 2022","Currency=USD","Period=FQ","BEST_FPERIOD_OVERRIDE=FQ","FILING_STATUS=MR","Sort=A","Dates=H","DateFormat=P","Fill=—","Direction=H","UseDPDF=Y")</f>
        <v>3.6844000000000001</v>
      </c>
      <c r="Q11" s="13">
        <f>_xll.BDH("BLUE US Equity","IS_AVG_NUM_SH_FOR_EPS","FQ2 2022","FQ2 2022","Currency=USD","Period=FQ","BEST_FPERIOD_OVERRIDE=FQ","FILING_STATUS=MR","Sort=A","Dates=H","DateFormat=P","Fill=—","Direction=H","UseDPDF=Y")</f>
        <v>3.6884000000000001</v>
      </c>
      <c r="R11" s="13">
        <f>_xll.BDH("BLUE US Equity","IS_AVG_NUM_SH_FOR_EPS","FQ3 2022","FQ3 2022","Currency=USD","Period=FQ","BEST_FPERIOD_OVERRIDE=FQ","FILING_STATUS=MR","Sort=A","Dates=H","DateFormat=P","Fill=—","Direction=H","UseDPDF=Y")</f>
        <v>4.0772000000000004</v>
      </c>
      <c r="S11" s="13">
        <f>_xll.BDH("BLUE US Equity","IS_AVG_NUM_SH_FOR_EPS","FQ4 2022","FQ4 2022","Currency=USD","Period=FQ","BEST_FPERIOD_OVERRIDE=FQ","FILING_STATUS=MR","Sort=A","Dates=H","DateFormat=P","Fill=—","Direction=H","UseDPDF=Y")</f>
        <v>4.2671000000000001</v>
      </c>
      <c r="T11" s="13">
        <f>_xll.BDH("BLUE US Equity","IS_AVG_NUM_SH_FOR_EPS","FQ1 2023","FQ1 2023","Currency=USD","Period=FQ","BEST_FPERIOD_OVERRIDE=FQ","FILING_STATUS=MR","Sort=A","Dates=H","DateFormat=P","Fill=—","Direction=H","UseDPDF=Y")</f>
        <v>5.1459999999999999</v>
      </c>
      <c r="U11" s="13">
        <f>_xll.BDH("BLUE US Equity","IS_AVG_NUM_SH_FOR_EPS","FQ2 2023","FQ2 2023","Currency=USD","Period=FQ","BEST_FPERIOD_OVERRIDE=FQ","FILING_STATUS=MR","Sort=A","Dates=H","DateFormat=P","Fill=—","Direction=H","UseDPDF=Y")</f>
        <v>5.4343000000000004</v>
      </c>
      <c r="V11" s="13">
        <f>_xll.BDH("BLUE US Equity","IS_AVG_NUM_SH_FOR_EPS","FQ3 2023","FQ3 2023","Currency=USD","Period=FQ","BEST_FPERIOD_OVERRIDE=FQ","FILING_STATUS=MR","Sort=A","Dates=H","DateFormat=P","Fill=—","Direction=H","UseDPDF=Y")</f>
        <v>5.4549000000000003</v>
      </c>
      <c r="W11" s="13">
        <f>_xll.BDH("BLUE US Equity","IS_AVG_NUM_SH_FOR_EPS","FQ4 2023","FQ4 2023","Currency=USD","Period=FQ","BEST_FPERIOD_OVERRIDE=FQ","FILING_STATUS=MR","Sort=A","Dates=H","DateFormat=P","Fill=—","Direction=H","UseDPDF=Y")</f>
        <v>5.9298999999999999</v>
      </c>
      <c r="X11" s="13">
        <f>_xll.BDH("BLUE US Equity","IS_AVG_NUM_SH_FOR_EPS","FQ1 2024","FQ1 2024","Currency=USD","Period=FQ","BEST_FPERIOD_OVERRIDE=FQ","FILING_STATUS=MR","Sort=A","Dates=H","DateFormat=P","Fill=—","Direction=H","UseDPDF=Y")</f>
        <v>9.6576000000000004</v>
      </c>
      <c r="Y11" s="13">
        <f>_xll.BDH("BLUE US Equity","IS_AVG_NUM_SH_FOR_EPS","FQ2 2024","FQ2 2024","Currency=USD","Period=FQ","BEST_FPERIOD_OVERRIDE=FQ","FILING_STATUS=MR","Sort=A","Dates=H","DateFormat=P","Fill=—","Direction=H","UseDPDF=Y")</f>
        <v>9.6858000000000004</v>
      </c>
      <c r="Z11" s="13">
        <f>_xll.BDH("BLUE US Equity","IS_AVG_NUM_SH_FOR_EPS","FQ3 2024","FQ3 2024","Currency=USD","Period=FQ","BEST_FPERIOD_OVERRIDE=FQ","FILING_STATUS=MR","Sort=A","Dates=H","DateFormat=P","Fill=—","Direction=H","UseDPDF=Y")</f>
        <v>9.6946999999999992</v>
      </c>
      <c r="AA11" s="13">
        <f>_xll.BDH("BLUE US Equity","IS_AVG_NUM_SH_FOR_EPS","FQ4 2024","FQ4 2024","Currency=USD","Period=FQ","BEST_FPERIOD_OVERRIDE=FQ","FILING_STATUS=MR","Sort=A","Dates=H","DateFormat=P","Fill=—","Direction=H","UseDPDF=Y")</f>
        <v>9.7089999999999996</v>
      </c>
    </row>
    <row r="12" spans="1:27" x14ac:dyDescent="0.25">
      <c r="A12" s="10" t="s">
        <v>107</v>
      </c>
      <c r="B12" s="10" t="s">
        <v>108</v>
      </c>
      <c r="C12" s="13">
        <f>_xll.BDH("BLUE US Equity","IS_SH_FOR_DILUTED_EPS","FQ4 2018","FQ4 2018","Currency=USD","Period=FQ","BEST_FPERIOD_OVERRIDE=FQ","FILING_STATUS=MR","Sort=A","Dates=H","DateFormat=P","Fill=—","Direction=H","UseDPDF=Y")</f>
        <v>2.7355999999999998</v>
      </c>
      <c r="D12" s="13">
        <f>_xll.BDH("BLUE US Equity","IS_SH_FOR_DILUTED_EPS","FQ1 2019","FQ1 2019","Currency=USD","Period=FQ","BEST_FPERIOD_OVERRIDE=FQ","FILING_STATUS=MR","Sort=A","Dates=H","DateFormat=P","Fill=—","Direction=H","UseDPDF=Y")</f>
        <v>2.7479</v>
      </c>
      <c r="E12" s="13">
        <f>_xll.BDH("BLUE US Equity","IS_SH_FOR_DILUTED_EPS","FQ2 2019","FQ2 2019","Currency=USD","Period=FQ","BEST_FPERIOD_OVERRIDE=FQ","FILING_STATUS=MR","Sort=A","Dates=H","DateFormat=P","Fill=—","Direction=H","UseDPDF=Y")</f>
        <v>2.7583000000000002</v>
      </c>
      <c r="F12" s="13">
        <f>_xll.BDH("BLUE US Equity","IS_SH_FOR_DILUTED_EPS","FQ3 2019","FQ3 2019","Currency=USD","Period=FQ","BEST_FPERIOD_OVERRIDE=FQ","FILING_STATUS=MR","Sort=A","Dates=H","DateFormat=P","Fill=—","Direction=H","UseDPDF=Y")</f>
        <v>2.7646000000000002</v>
      </c>
      <c r="G12" s="13">
        <f>_xll.BDH("BLUE US Equity","IS_SH_FOR_DILUTED_EPS","FQ4 2019","FQ4 2019","Currency=USD","Period=FQ","BEST_FPERIOD_OVERRIDE=FQ","FILING_STATUS=MR","Sort=A","Dates=H","DateFormat=P","Fill=—","Direction=H","UseDPDF=Y")</f>
        <v>2.7671999999999999</v>
      </c>
      <c r="H12" s="13">
        <f>_xll.BDH("BLUE US Equity","IS_SH_FOR_DILUTED_EPS","FQ1 2020","FQ1 2020","Currency=USD","Period=FQ","BEST_FPERIOD_OVERRIDE=FQ","FILING_STATUS=MR","Sort=A","Dates=H","DateFormat=P","Fill=—","Direction=H","UseDPDF=Y")</f>
        <v>2.7795000000000001</v>
      </c>
      <c r="I12" s="13">
        <f>_xll.BDH("BLUE US Equity","IS_SH_FOR_DILUTED_EPS","FQ2 2020","FQ2 2020","Currency=USD","Period=FQ","BEST_FPERIOD_OVERRIDE=FQ","FILING_STATUS=MR","Sort=A","Dates=H","DateFormat=P","Fill=—","Direction=H","UseDPDF=Y")</f>
        <v>3.0192000000000001</v>
      </c>
      <c r="J12" s="13">
        <f>_xll.BDH("BLUE US Equity","IS_SH_FOR_DILUTED_EPS","FQ3 2020","FQ3 2020","Currency=USD","Period=FQ","BEST_FPERIOD_OVERRIDE=FQ","FILING_STATUS=MR","Sort=A","Dates=H","DateFormat=P","Fill=—","Direction=H","UseDPDF=Y")</f>
        <v>3.3126000000000002</v>
      </c>
      <c r="K12" s="13">
        <f>_xll.BDH("BLUE US Equity","IS_SH_FOR_DILUTED_EPS","FQ4 2020","FQ4 2020","Currency=USD","Period=FQ","BEST_FPERIOD_OVERRIDE=FQ","FILING_STATUS=MR","Sort=A","Dates=H","DateFormat=P","Fill=—","Direction=H","UseDPDF=Y")</f>
        <v>3.3197999999999999</v>
      </c>
      <c r="L12" s="13">
        <f>_xll.BDH("BLUE US Equity","IS_SH_FOR_DILUTED_EPS","FQ1 2021","FQ1 2021","Currency=USD","Period=FQ","BEST_FPERIOD_OVERRIDE=FQ","FILING_STATUS=MR","Sort=A","Dates=H","DateFormat=P","Fill=—","Direction=H","UseDPDF=Y")</f>
        <v>3.3488000000000002</v>
      </c>
      <c r="M12" s="13">
        <f>_xll.BDH("BLUE US Equity","IS_SH_FOR_DILUTED_EPS","FQ2 2021","FQ2 2021","Currency=USD","Period=FQ","BEST_FPERIOD_OVERRIDE=FQ","FILING_STATUS=MR","Sort=A","Dates=H","DateFormat=P","Fill=—","Direction=H","UseDPDF=Y")</f>
        <v>3.3744000000000001</v>
      </c>
      <c r="N12" s="13">
        <f>_xll.BDH("BLUE US Equity","IS_SH_FOR_DILUTED_EPS","FQ3 2021","FQ3 2021","Currency=USD","Period=FQ","BEST_FPERIOD_OVERRIDE=FQ","FILING_STATUS=MR","Sort=A","Dates=H","DateFormat=P","Fill=—","Direction=H","UseDPDF=Y")</f>
        <v>3.4310999999999998</v>
      </c>
      <c r="O12" s="13">
        <f>_xll.BDH("BLUE US Equity","IS_SH_FOR_DILUTED_EPS","FQ4 2021","FQ4 2021","Currency=USD","Period=FQ","BEST_FPERIOD_OVERRIDE=FQ","FILING_STATUS=MR","Sort=A","Dates=H","DateFormat=P","Fill=—","Direction=H","UseDPDF=Y")</f>
        <v>3.6248999999999998</v>
      </c>
      <c r="P12" s="13">
        <f>_xll.BDH("BLUE US Equity","IS_SH_FOR_DILUTED_EPS","FQ1 2022","FQ1 2022","Currency=USD","Period=FQ","BEST_FPERIOD_OVERRIDE=FQ","FILING_STATUS=MR","Sort=A","Dates=H","DateFormat=P","Fill=—","Direction=H","UseDPDF=Y")</f>
        <v>3.6844000000000001</v>
      </c>
      <c r="Q12" s="13">
        <f>_xll.BDH("BLUE US Equity","IS_SH_FOR_DILUTED_EPS","FQ2 2022","FQ2 2022","Currency=USD","Period=FQ","BEST_FPERIOD_OVERRIDE=FQ","FILING_STATUS=MR","Sort=A","Dates=H","DateFormat=P","Fill=—","Direction=H","UseDPDF=Y")</f>
        <v>3.6884000000000001</v>
      </c>
      <c r="R12" s="13">
        <f>_xll.BDH("BLUE US Equity","IS_SH_FOR_DILUTED_EPS","FQ3 2022","FQ3 2022","Currency=USD","Period=FQ","BEST_FPERIOD_OVERRIDE=FQ","FILING_STATUS=MR","Sort=A","Dates=H","DateFormat=P","Fill=—","Direction=H","UseDPDF=Y")</f>
        <v>4.0772000000000004</v>
      </c>
      <c r="S12" s="13">
        <f>_xll.BDH("BLUE US Equity","IS_SH_FOR_DILUTED_EPS","FQ4 2022","FQ4 2022","Currency=USD","Period=FQ","BEST_FPERIOD_OVERRIDE=FQ","FILING_STATUS=MR","Sort=A","Dates=H","DateFormat=P","Fill=—","Direction=H","UseDPDF=Y")</f>
        <v>4.2671000000000001</v>
      </c>
      <c r="T12" s="13">
        <f>_xll.BDH("BLUE US Equity","IS_SH_FOR_DILUTED_EPS","FQ1 2023","FQ1 2023","Currency=USD","Period=FQ","BEST_FPERIOD_OVERRIDE=FQ","FILING_STATUS=MR","Sort=A","Dates=H","DateFormat=P","Fill=—","Direction=H","UseDPDF=Y")</f>
        <v>5.1651999999999996</v>
      </c>
      <c r="U12" s="13">
        <f>_xll.BDH("BLUE US Equity","IS_SH_FOR_DILUTED_EPS","FQ2 2023","FQ2 2023","Currency=USD","Period=FQ","BEST_FPERIOD_OVERRIDE=FQ","FILING_STATUS=MR","Sort=A","Dates=H","DateFormat=P","Fill=—","Direction=H","UseDPDF=Y")</f>
        <v>5.4343000000000004</v>
      </c>
      <c r="V12" s="13">
        <f>_xll.BDH("BLUE US Equity","IS_SH_FOR_DILUTED_EPS","FQ3 2023","FQ3 2023","Currency=USD","Period=FQ","BEST_FPERIOD_OVERRIDE=FQ","FILING_STATUS=MR","Sort=A","Dates=H","DateFormat=P","Fill=—","Direction=H","UseDPDF=Y")</f>
        <v>5.4549000000000003</v>
      </c>
      <c r="W12" s="13">
        <f>_xll.BDH("BLUE US Equity","IS_SH_FOR_DILUTED_EPS","FQ4 2023","FQ4 2023","Currency=USD","Period=FQ","BEST_FPERIOD_OVERRIDE=FQ","FILING_STATUS=MR","Sort=A","Dates=H","DateFormat=P","Fill=—","Direction=H","UseDPDF=Y")</f>
        <v>5.9298999999999999</v>
      </c>
      <c r="X12" s="13">
        <f>_xll.BDH("BLUE US Equity","IS_SH_FOR_DILUTED_EPS","FQ1 2024","FQ1 2024","Currency=USD","Period=FQ","BEST_FPERIOD_OVERRIDE=FQ","FILING_STATUS=MR","Sort=A","Dates=H","DateFormat=P","Fill=—","Direction=H","UseDPDF=Y")</f>
        <v>9.6576000000000004</v>
      </c>
      <c r="Y12" s="13">
        <f>_xll.BDH("BLUE US Equity","IS_SH_FOR_DILUTED_EPS","FQ2 2024","FQ2 2024","Currency=USD","Period=FQ","BEST_FPERIOD_OVERRIDE=FQ","FILING_STATUS=MR","Sort=A","Dates=H","DateFormat=P","Fill=—","Direction=H","UseDPDF=Y")</f>
        <v>9.6858000000000004</v>
      </c>
      <c r="Z12" s="13">
        <f>_xll.BDH("BLUE US Equity","IS_SH_FOR_DILUTED_EPS","FQ3 2024","FQ3 2024","Currency=USD","Period=FQ","BEST_FPERIOD_OVERRIDE=FQ","FILING_STATUS=MR","Sort=A","Dates=H","DateFormat=P","Fill=—","Direction=H","UseDPDF=Y")</f>
        <v>9.6946999999999992</v>
      </c>
      <c r="AA12" s="13">
        <f>_xll.BDH("BLUE US Equity","IS_SH_FOR_DILUTED_EPS","FQ4 2024","FQ4 2024","Currency=USD","Period=FQ","BEST_FPERIOD_OVERRIDE=FQ","FILING_STATUS=MR","Sort=A","Dates=H","DateFormat=P","Fill=—","Direction=H","UseDPDF=Y")</f>
        <v>9.7089999999999996</v>
      </c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109</v>
      </c>
      <c r="B14" s="10" t="s">
        <v>62</v>
      </c>
      <c r="C14" s="13">
        <f>_xll.BDH("BLUE US Equity","CASH_AND_MARKETABLE_SECURITIES","FQ4 2018","FQ4 2018","Currency=USD","Period=FQ","BEST_FPERIOD_OVERRIDE=FQ","FILING_STATUS=MR","SCALING_FORMAT=MLN","Sort=A","Dates=H","DateFormat=P","Fill=—","Direction=H","UseDPDF=Y")</f>
        <v>1891.4269999999999</v>
      </c>
      <c r="D14" s="13">
        <f>_xll.BDH("BLUE US Equity","CASH_AND_MARKETABLE_SECURITIES","FQ1 2019","FQ1 2019","Currency=USD","Period=FQ","BEST_FPERIOD_OVERRIDE=FQ","FILING_STATUS=MR","SCALING_FORMAT=MLN","Sort=A","Dates=H","DateFormat=P","Fill=—","Direction=H","UseDPDF=Y")</f>
        <v>1730.7660000000001</v>
      </c>
      <c r="E14" s="13">
        <f>_xll.BDH("BLUE US Equity","CASH_AND_MARKETABLE_SECURITIES","FQ2 2019","FQ2 2019","Currency=USD","Period=FQ","BEST_FPERIOD_OVERRIDE=FQ","FILING_STATUS=MR","SCALING_FORMAT=MLN","Sort=A","Dates=H","DateFormat=P","Fill=—","Direction=H","UseDPDF=Y")</f>
        <v>1541.8019999999999</v>
      </c>
      <c r="F14" s="13">
        <f>_xll.BDH("BLUE US Equity","CASH_AND_MARKETABLE_SECURITIES","FQ3 2019","FQ3 2019","Currency=USD","Period=FQ","BEST_FPERIOD_OVERRIDE=FQ","FILING_STATUS=MR","SCALING_FORMAT=MLN","Sort=A","Dates=H","DateFormat=P","Fill=—","Direction=H","UseDPDF=Y")</f>
        <v>1405.8869999999999</v>
      </c>
      <c r="G14" s="13">
        <f>_xll.BDH("BLUE US Equity","CASH_AND_MARKETABLE_SECURITIES","FQ4 2019","FQ4 2019","Currency=USD","Period=FQ","BEST_FPERIOD_OVERRIDE=FQ","FILING_STATUS=MR","SCALING_FORMAT=MLN","Sort=A","Dates=H","DateFormat=P","Fill=—","Direction=H","UseDPDF=Y")</f>
        <v>1237.9659999999999</v>
      </c>
      <c r="H14" s="13">
        <f>_xll.BDH("BLUE US Equity","CASH_AND_MARKETABLE_SECURITIES","FQ1 2020","FQ1 2020","Currency=USD","Period=FQ","BEST_FPERIOD_OVERRIDE=FQ","FILING_STATUS=MR","SCALING_FORMAT=MLN","Sort=A","Dates=H","DateFormat=P","Fill=—","Direction=H","UseDPDF=Y")</f>
        <v>1018.357</v>
      </c>
      <c r="I14" s="13">
        <f>_xll.BDH("BLUE US Equity","CASH_AND_MARKETABLE_SECURITIES","FQ2 2020","FQ2 2020","Currency=USD","Period=FQ","BEST_FPERIOD_OVERRIDE=FQ","FILING_STATUS=MR","SCALING_FORMAT=MLN","Sort=A","Dates=H","DateFormat=P","Fill=—","Direction=H","UseDPDF=Y")</f>
        <v>1598.7929999999999</v>
      </c>
      <c r="J14" s="13">
        <f>_xll.BDH("BLUE US Equity","CASH_AND_MARKETABLE_SECURITIES","FQ3 2020","FQ3 2020","Currency=USD","Period=FQ","BEST_FPERIOD_OVERRIDE=FQ","FILING_STATUS=MR","SCALING_FORMAT=MLN","Sort=A","Dates=H","DateFormat=P","Fill=—","Direction=H","UseDPDF=Y")</f>
        <v>1437.87</v>
      </c>
      <c r="K14" s="13">
        <f>_xll.BDH("BLUE US Equity","CASH_AND_MARKETABLE_SECURITIES","FQ4 2020","FQ4 2020","Currency=USD","Period=FQ","BEST_FPERIOD_OVERRIDE=FQ","FILING_STATUS=MR","SCALING_FORMAT=MLN","Sort=A","Dates=H","DateFormat=P","Fill=—","Direction=H","UseDPDF=Y")</f>
        <v>741.673</v>
      </c>
      <c r="L14" s="13">
        <f>_xll.BDH("BLUE US Equity","CASH_AND_MARKETABLE_SECURITIES","FQ1 2021","FQ1 2021","Currency=USD","Period=FQ","BEST_FPERIOD_OVERRIDE=FQ","FILING_STATUS=MR","SCALING_FORMAT=MLN","Sort=A","Dates=H","DateFormat=P","Fill=—","Direction=H","UseDPDF=Y")</f>
        <v>1093.5509999999999</v>
      </c>
      <c r="M14" s="13">
        <f>_xll.BDH("BLUE US Equity","CASH_AND_MARKETABLE_SECURITIES","FQ2 2021","FQ2 2021","Currency=USD","Period=FQ","BEST_FPERIOD_OVERRIDE=FQ","FILING_STATUS=MR","SCALING_FORMAT=MLN","Sort=A","Dates=H","DateFormat=P","Fill=—","Direction=H","UseDPDF=Y")</f>
        <v>941.62800000000004</v>
      </c>
      <c r="N14" s="13">
        <f>_xll.BDH("BLUE US Equity","CASH_AND_MARKETABLE_SECURITIES","FQ3 2021","FQ3 2021","Currency=USD","Period=FQ","BEST_FPERIOD_OVERRIDE=FQ","FILING_STATUS=MR","SCALING_FORMAT=MLN","Sort=A","Dates=H","DateFormat=P","Fill=—","Direction=H","UseDPDF=Y")</f>
        <v>970.73</v>
      </c>
      <c r="O14" s="13">
        <f>_xll.BDH("BLUE US Equity","CASH_AND_MARKETABLE_SECURITIES","FQ4 2021","FQ4 2021","Currency=USD","Period=FQ","BEST_FPERIOD_OVERRIDE=FQ","FILING_STATUS=MR","SCALING_FORMAT=MLN","Sort=A","Dates=H","DateFormat=P","Fill=—","Direction=H","UseDPDF=Y")</f>
        <v>396.61700000000002</v>
      </c>
      <c r="P14" s="13">
        <f>_xll.BDH("BLUE US Equity","CASH_AND_MARKETABLE_SECURITIES","FQ1 2022","FQ1 2022","Currency=USD","Period=FQ","BEST_FPERIOD_OVERRIDE=FQ","FILING_STATUS=MR","SCALING_FORMAT=MLN","Sort=A","Dates=H","DateFormat=P","Fill=—","Direction=H","UseDPDF=Y")</f>
        <v>266.637</v>
      </c>
      <c r="Q14" s="13">
        <f>_xll.BDH("BLUE US Equity","CASH_AND_MARKETABLE_SECURITIES","FQ2 2022","FQ2 2022","Currency=USD","Period=FQ","BEST_FPERIOD_OVERRIDE=FQ","FILING_STATUS=MR","SCALING_FORMAT=MLN","Sort=A","Dates=H","DateFormat=P","Fill=—","Direction=H","UseDPDF=Y")</f>
        <v>173.15</v>
      </c>
      <c r="R14" s="13">
        <f>_xll.BDH("BLUE US Equity","CASH_AND_MARKETABLE_SECURITIES","FQ3 2022","FQ3 2022","Currency=USD","Period=FQ","BEST_FPERIOD_OVERRIDE=FQ","FILING_STATUS=MR","SCALING_FORMAT=MLN","Sort=A","Dates=H","DateFormat=P","Fill=—","Direction=H","UseDPDF=Y")</f>
        <v>141.04</v>
      </c>
      <c r="S14" s="13">
        <f>_xll.BDH("BLUE US Equity","CASH_AND_MARKETABLE_SECURITIES","FQ4 2022","FQ4 2022","Currency=USD","Period=FQ","BEST_FPERIOD_OVERRIDE=FQ","FILING_STATUS=MR","SCALING_FORMAT=MLN","Sort=A","Dates=H","DateFormat=P","Fill=—","Direction=H","UseDPDF=Y")</f>
        <v>181.74100000000001</v>
      </c>
      <c r="T14" s="13">
        <f>_xll.BDH("BLUE US Equity","CASH_AND_MARKETABLE_SECURITIES","FQ1 2023","FQ1 2023","Currency=USD","Period=FQ","BEST_FPERIOD_OVERRIDE=FQ","FILING_STATUS=MR","SCALING_FORMAT=MLN","Sort=A","Dates=H","DateFormat=P","Fill=—","Direction=H","UseDPDF=Y")</f>
        <v>318.25700000000001</v>
      </c>
      <c r="U14" s="13">
        <f>_xll.BDH("BLUE US Equity","CASH_AND_MARKETABLE_SECURITIES","FQ2 2023","FQ2 2023","Currency=USD","Period=FQ","BEST_FPERIOD_OVERRIDE=FQ","FILING_STATUS=MR","SCALING_FORMAT=MLN","Sort=A","Dates=H","DateFormat=P","Fill=—","Direction=H","UseDPDF=Y")</f>
        <v>245.303</v>
      </c>
      <c r="V14" s="13">
        <f>_xll.BDH("BLUE US Equity","CASH_AND_MARKETABLE_SECURITIES","FQ3 2023","FQ3 2023","Currency=USD","Period=FQ","BEST_FPERIOD_OVERRIDE=FQ","FILING_STATUS=MR","SCALING_FORMAT=MLN","Sort=A","Dates=H","DateFormat=P","Fill=—","Direction=H","UseDPDF=Y")</f>
        <v>174.29300000000001</v>
      </c>
      <c r="W14" s="13">
        <f>_xll.BDH("BLUE US Equity","CASH_AND_MARKETABLE_SECURITIES","FQ4 2023","FQ4 2023","Currency=USD","Period=FQ","BEST_FPERIOD_OVERRIDE=FQ","FILING_STATUS=MR","SCALING_FORMAT=MLN","Sort=A","Dates=H","DateFormat=P","Fill=—","Direction=H","UseDPDF=Y")</f>
        <v>221.755</v>
      </c>
      <c r="X14" s="13">
        <f>_xll.BDH("BLUE US Equity","CASH_AND_MARKETABLE_SECURITIES","FQ1 2024","FQ1 2024","Currency=USD","Period=FQ","BEST_FPERIOD_OVERRIDE=FQ","FILING_STATUS=MR","SCALING_FORMAT=MLN","Sort=A","Dates=H","DateFormat=P","Fill=—","Direction=H","UseDPDF=Y")</f>
        <v>212.047</v>
      </c>
      <c r="Y14" s="13">
        <f>_xll.BDH("BLUE US Equity","CASH_AND_MARKETABLE_SECURITIES","FQ2 2024","FQ2 2024","Currency=USD","Period=FQ","BEST_FPERIOD_OVERRIDE=FQ","FILING_STATUS=MR","SCALING_FORMAT=MLN","Sort=A","Dates=H","DateFormat=P","Fill=—","Direction=H","UseDPDF=Y")</f>
        <v>144.06700000000001</v>
      </c>
      <c r="Z14" s="13">
        <f>_xll.BDH("BLUE US Equity","CASH_AND_MARKETABLE_SECURITIES","FQ3 2024","FQ3 2024","Currency=USD","Period=FQ","BEST_FPERIOD_OVERRIDE=FQ","FILING_STATUS=MR","SCALING_FORMAT=MLN","Sort=A","Dates=H","DateFormat=P","Fill=—","Direction=H","UseDPDF=Y")</f>
        <v>70.650999999999996</v>
      </c>
      <c r="AA14" s="13">
        <f>_xll.BDH("BLUE US Equity","CASH_AND_MARKETABLE_SECURITIES","FQ4 2024","FQ4 2024","Currency=USD","Period=FQ","BEST_FPERIOD_OVERRIDE=FQ","FILING_STATUS=MR","SCALING_FORMAT=MLN","Sort=A","Dates=H","DateFormat=P","Fill=—","Direction=H","UseDPDF=Y")</f>
        <v>62.305</v>
      </c>
    </row>
    <row r="15" spans="1:27" x14ac:dyDescent="0.25">
      <c r="A15" s="10" t="s">
        <v>110</v>
      </c>
      <c r="B15" s="10" t="s">
        <v>111</v>
      </c>
      <c r="C15" s="13">
        <f>_xll.BDH("BLUE US Equity","BS_CUR_ASSET_REPORT","FQ4 2018","FQ4 2018","Currency=USD","Period=FQ","BEST_FPERIOD_OVERRIDE=FQ","FILING_STATUS=MR","SCALING_FORMAT=MLN","Sort=A","Dates=H","DateFormat=P","Fill=—","Direction=H","UseDPDF=Y")</f>
        <v>1418.9970000000001</v>
      </c>
      <c r="D15" s="13">
        <f>_xll.BDH("BLUE US Equity","BS_CUR_ASSET_REPORT","FQ1 2019","FQ1 2019","Currency=USD","Period=FQ","BEST_FPERIOD_OVERRIDE=FQ","FILING_STATUS=MR","SCALING_FORMAT=MLN","Sort=A","Dates=H","DateFormat=P","Fill=—","Direction=H","UseDPDF=Y")</f>
        <v>1365.0319999999999</v>
      </c>
      <c r="E15" s="13">
        <f>_xll.BDH("BLUE US Equity","BS_CUR_ASSET_REPORT","FQ2 2019","FQ2 2019","Currency=USD","Period=FQ","BEST_FPERIOD_OVERRIDE=FQ","FILING_STATUS=MR","SCALING_FORMAT=MLN","Sort=A","Dates=H","DateFormat=P","Fill=—","Direction=H","UseDPDF=Y")</f>
        <v>1300.78</v>
      </c>
      <c r="F15" s="13">
        <f>_xll.BDH("BLUE US Equity","BS_CUR_ASSET_REPORT","FQ3 2019","FQ3 2019","Currency=USD","Period=FQ","BEST_FPERIOD_OVERRIDE=FQ","FILING_STATUS=MR","SCALING_FORMAT=MLN","Sort=A","Dates=H","DateFormat=P","Fill=—","Direction=H","UseDPDF=Y")</f>
        <v>1220.0319999999999</v>
      </c>
      <c r="G15" s="13">
        <f>_xll.BDH("BLUE US Equity","BS_CUR_ASSET_REPORT","FQ4 2019","FQ4 2019","Currency=USD","Period=FQ","BEST_FPERIOD_OVERRIDE=FQ","FILING_STATUS=MR","SCALING_FORMAT=MLN","Sort=A","Dates=H","DateFormat=P","Fill=—","Direction=H","UseDPDF=Y")</f>
        <v>1152.174</v>
      </c>
      <c r="H15" s="13">
        <f>_xll.BDH("BLUE US Equity","BS_CUR_ASSET_REPORT","FQ1 2020","FQ1 2020","Currency=USD","Period=FQ","BEST_FPERIOD_OVERRIDE=FQ","FILING_STATUS=MR","SCALING_FORMAT=MLN","Sort=A","Dates=H","DateFormat=P","Fill=—","Direction=H","UseDPDF=Y")</f>
        <v>967.46699999999998</v>
      </c>
      <c r="I15" s="13">
        <f>_xll.BDH("BLUE US Equity","BS_CUR_ASSET_REPORT","FQ2 2020","FQ2 2020","Currency=USD","Period=FQ","BEST_FPERIOD_OVERRIDE=FQ","FILING_STATUS=MR","SCALING_FORMAT=MLN","Sort=A","Dates=H","DateFormat=P","Fill=—","Direction=H","UseDPDF=Y")</f>
        <v>1613.4449999999999</v>
      </c>
      <c r="J15" s="13">
        <f>_xll.BDH("BLUE US Equity","BS_CUR_ASSET_REPORT","FQ3 2020","FQ3 2020","Currency=USD","Period=FQ","BEST_FPERIOD_OVERRIDE=FQ","FILING_STATUS=MR","SCALING_FORMAT=MLN","Sort=A","Dates=H","DateFormat=P","Fill=—","Direction=H","UseDPDF=Y")</f>
        <v>1293.194</v>
      </c>
      <c r="K15" s="13">
        <f>_xll.BDH("BLUE US Equity","BS_CUR_ASSET_REPORT","FQ4 2020","FQ4 2020","Currency=USD","Period=FQ","BEST_FPERIOD_OVERRIDE=FQ","FILING_STATUS=MR","SCALING_FORMAT=MLN","Sort=A","Dates=H","DateFormat=P","Fill=—","Direction=H","UseDPDF=Y")</f>
        <v>1215.537</v>
      </c>
      <c r="L15" s="13">
        <f>_xll.BDH("BLUE US Equity","BS_CUR_ASSET_REPORT","FQ1 2021","FQ1 2021","Currency=USD","Period=FQ","BEST_FPERIOD_OVERRIDE=FQ","FILING_STATUS=MR","SCALING_FORMAT=MLN","Sort=A","Dates=H","DateFormat=P","Fill=—","Direction=H","UseDPDF=Y")</f>
        <v>1097.5350000000001</v>
      </c>
      <c r="M15" s="13">
        <f>_xll.BDH("BLUE US Equity","BS_CUR_ASSET_REPORT","FQ2 2021","FQ2 2021","Currency=USD","Period=FQ","BEST_FPERIOD_OVERRIDE=FQ","FILING_STATUS=MR","SCALING_FORMAT=MLN","Sort=A","Dates=H","DateFormat=P","Fill=—","Direction=H","UseDPDF=Y")</f>
        <v>903.52599999999995</v>
      </c>
      <c r="N15" s="13">
        <f>_xll.BDH("BLUE US Equity","BS_CUR_ASSET_REPORT","FQ3 2021","FQ3 2021","Currency=USD","Period=FQ","BEST_FPERIOD_OVERRIDE=FQ","FILING_STATUS=MR","SCALING_FORMAT=MLN","Sort=A","Dates=H","DateFormat=P","Fill=—","Direction=H","UseDPDF=Y")</f>
        <v>832.32500000000005</v>
      </c>
      <c r="O15" s="13">
        <f>_xll.BDH("BLUE US Equity","BS_CUR_ASSET_REPORT","FQ4 2021","FQ4 2021","Currency=USD","Period=FQ","BEST_FPERIOD_OVERRIDE=FQ","FILING_STATUS=MR","SCALING_FORMAT=MLN","Sort=A","Dates=H","DateFormat=P","Fill=—","Direction=H","UseDPDF=Y")</f>
        <v>336.52</v>
      </c>
      <c r="P15" s="13">
        <f>_xll.BDH("BLUE US Equity","BS_CUR_ASSET_REPORT","FQ1 2022","FQ1 2022","Currency=USD","Period=FQ","BEST_FPERIOD_OVERRIDE=FQ","FILING_STATUS=MR","SCALING_FORMAT=MLN","Sort=A","Dates=H","DateFormat=P","Fill=—","Direction=H","UseDPDF=Y")</f>
        <v>254.917</v>
      </c>
      <c r="Q15" s="13">
        <f>_xll.BDH("BLUE US Equity","BS_CUR_ASSET_REPORT","FQ2 2022","FQ2 2022","Currency=USD","Period=FQ","BEST_FPERIOD_OVERRIDE=FQ","FILING_STATUS=MR","SCALING_FORMAT=MLN","Sort=A","Dates=H","DateFormat=P","Fill=—","Direction=H","UseDPDF=Y")</f>
        <v>167.458</v>
      </c>
      <c r="R15" s="13">
        <f>_xll.BDH("BLUE US Equity","BS_CUR_ASSET_REPORT","FQ3 2022","FQ3 2022","Currency=USD","Period=FQ","BEST_FPERIOD_OVERRIDE=FQ","FILING_STATUS=MR","SCALING_FORMAT=MLN","Sort=A","Dates=H","DateFormat=P","Fill=—","Direction=H","UseDPDF=Y")</f>
        <v>160.43799999999999</v>
      </c>
      <c r="S15" s="13">
        <f>_xll.BDH("BLUE US Equity","BS_CUR_ASSET_REPORT","FQ4 2022","FQ4 2022","Currency=USD","Period=FQ","BEST_FPERIOD_OVERRIDE=FQ","FILING_STATUS=MR","SCALING_FORMAT=MLN","Sort=A","Dates=H","DateFormat=P","Fill=—","Direction=H","UseDPDF=Y")</f>
        <v>203.572</v>
      </c>
      <c r="T15" s="13">
        <f>_xll.BDH("BLUE US Equity","BS_CUR_ASSET_REPORT","FQ1 2023","FQ1 2023","Currency=USD","Period=FQ","BEST_FPERIOD_OVERRIDE=FQ","FILING_STATUS=MR","SCALING_FORMAT=MLN","Sort=A","Dates=H","DateFormat=P","Fill=—","Direction=H","UseDPDF=Y")</f>
        <v>351.07100000000003</v>
      </c>
      <c r="U15" s="13">
        <f>_xll.BDH("BLUE US Equity","BS_CUR_ASSET_REPORT","FQ2 2023","FQ2 2023","Currency=USD","Period=FQ","BEST_FPERIOD_OVERRIDE=FQ","FILING_STATUS=MR","SCALING_FORMAT=MLN","Sort=A","Dates=H","DateFormat=P","Fill=—","Direction=H","UseDPDF=Y")</f>
        <v>287.97699999999998</v>
      </c>
      <c r="V15" s="13">
        <f>_xll.BDH("BLUE US Equity","BS_CUR_ASSET_REPORT","FQ3 2023","FQ3 2023","Currency=USD","Period=FQ","BEST_FPERIOD_OVERRIDE=FQ","FILING_STATUS=MR","SCALING_FORMAT=MLN","Sort=A","Dates=H","DateFormat=P","Fill=—","Direction=H","UseDPDF=Y")</f>
        <v>247.07599999999999</v>
      </c>
      <c r="W15" s="13">
        <f>_xll.BDH("BLUE US Equity","BS_CUR_ASSET_REPORT","FQ4 2023","FQ4 2023","Currency=USD","Period=FQ","BEST_FPERIOD_OVERRIDE=FQ","FILING_STATUS=MR","SCALING_FORMAT=MLN","Sort=A","Dates=H","DateFormat=P","Fill=—","Direction=H","UseDPDF=Y")</f>
        <v>281.685</v>
      </c>
      <c r="X15" s="13">
        <f>_xll.BDH("BLUE US Equity","BS_CUR_ASSET_REPORT","FQ1 2024","FQ1 2024","Currency=USD","Period=FQ","BEST_FPERIOD_OVERRIDE=FQ","FILING_STATUS=MR","SCALING_FORMAT=MLN","Sort=A","Dates=H","DateFormat=P","Fill=—","Direction=H","UseDPDF=Y")</f>
        <v>271.601</v>
      </c>
      <c r="Y15" s="13">
        <f>_xll.BDH("BLUE US Equity","BS_CUR_ASSET_REPORT","FQ2 2024","FQ2 2024","Currency=USD","Period=FQ","BEST_FPERIOD_OVERRIDE=FQ","FILING_STATUS=MR","SCALING_FORMAT=MLN","Sort=A","Dates=H","DateFormat=P","Fill=—","Direction=H","UseDPDF=Y")</f>
        <v>203.51599999999999</v>
      </c>
      <c r="Z15" s="13">
        <f>_xll.BDH("BLUE US Equity","BS_CUR_ASSET_REPORT","FQ3 2024","FQ3 2024","Currency=USD","Period=FQ","BEST_FPERIOD_OVERRIDE=FQ","FILING_STATUS=MR","SCALING_FORMAT=MLN","Sort=A","Dates=H","DateFormat=P","Fill=—","Direction=H","UseDPDF=Y")</f>
        <v>150.81100000000001</v>
      </c>
      <c r="AA15" s="13">
        <f>_xll.BDH("BLUE US Equity","BS_CUR_ASSET_REPORT","FQ4 2024","FQ4 2024","Currency=USD","Period=FQ","BEST_FPERIOD_OVERRIDE=FQ","FILING_STATUS=MR","SCALING_FORMAT=MLN","Sort=A","Dates=H","DateFormat=P","Fill=—","Direction=H","UseDPDF=Y")</f>
        <v>154.66800000000001</v>
      </c>
    </row>
    <row r="16" spans="1:27" x14ac:dyDescent="0.25">
      <c r="A16" s="10" t="s">
        <v>112</v>
      </c>
      <c r="B16" s="10" t="s">
        <v>113</v>
      </c>
      <c r="C16" s="13">
        <f>_xll.BDH("BLUE US Equity","BS_TOT_ASSET","FQ4 2018","FQ4 2018","Currency=USD","Period=FQ","BEST_FPERIOD_OVERRIDE=FQ","FILING_STATUS=MR","SCALING_FORMAT=MLN","Sort=A","Dates=H","DateFormat=P","Fill=—","Direction=H","UseDPDF=Y")</f>
        <v>2242.8440000000001</v>
      </c>
      <c r="D16" s="13">
        <f>_xll.BDH("BLUE US Equity","BS_TOT_ASSET","FQ1 2019","FQ1 2019","Currency=USD","Period=FQ","BEST_FPERIOD_OVERRIDE=FQ","FILING_STATUS=MR","SCALING_FORMAT=MLN","Sort=A","Dates=H","DateFormat=P","Fill=—","Direction=H","UseDPDF=Y")</f>
        <v>2138.6149999999998</v>
      </c>
      <c r="E16" s="13">
        <f>_xll.BDH("BLUE US Equity","BS_TOT_ASSET","FQ2 2019","FQ2 2019","Currency=USD","Period=FQ","BEST_FPERIOD_OVERRIDE=FQ","FILING_STATUS=MR","SCALING_FORMAT=MLN","Sort=A","Dates=H","DateFormat=P","Fill=—","Direction=H","UseDPDF=Y")</f>
        <v>2023.3440000000001</v>
      </c>
      <c r="F16" s="13">
        <f>_xll.BDH("BLUE US Equity","BS_TOT_ASSET","FQ3 2019","FQ3 2019","Currency=USD","Period=FQ","BEST_FPERIOD_OVERRIDE=FQ","FILING_STATUS=MR","SCALING_FORMAT=MLN","Sort=A","Dates=H","DateFormat=P","Fill=—","Direction=H","UseDPDF=Y")</f>
        <v>1892.2180000000001</v>
      </c>
      <c r="G16" s="13">
        <f>_xll.BDH("BLUE US Equity","BS_TOT_ASSET","FQ4 2019","FQ4 2019","Currency=USD","Period=FQ","BEST_FPERIOD_OVERRIDE=FQ","FILING_STATUS=MR","SCALING_FORMAT=MLN","Sort=A","Dates=H","DateFormat=P","Fill=—","Direction=H","UseDPDF=Y")</f>
        <v>1727.424</v>
      </c>
      <c r="H16" s="13">
        <f>_xll.BDH("BLUE US Equity","BS_TOT_ASSET","FQ1 2020","FQ1 2020","Currency=USD","Period=FQ","BEST_FPERIOD_OVERRIDE=FQ","FILING_STATUS=MR","SCALING_FORMAT=MLN","Sort=A","Dates=H","DateFormat=P","Fill=—","Direction=H","UseDPDF=Y")</f>
        <v>1529.104</v>
      </c>
      <c r="I16" s="13">
        <f>_xll.BDH("BLUE US Equity","BS_TOT_ASSET","FQ2 2020","FQ2 2020","Currency=USD","Period=FQ","BEST_FPERIOD_OVERRIDE=FQ","FILING_STATUS=MR","SCALING_FORMAT=MLN","Sort=A","Dates=H","DateFormat=P","Fill=—","Direction=H","UseDPDF=Y")</f>
        <v>2107.79</v>
      </c>
      <c r="J16" s="13">
        <f>_xll.BDH("BLUE US Equity","BS_TOT_ASSET","FQ3 2020","FQ3 2020","Currency=USD","Period=FQ","BEST_FPERIOD_OVERRIDE=FQ","FILING_STATUS=MR","SCALING_FORMAT=MLN","Sort=A","Dates=H","DateFormat=P","Fill=—","Direction=H","UseDPDF=Y")</f>
        <v>1945.4839999999999</v>
      </c>
      <c r="K16" s="13">
        <f>_xll.BDH("BLUE US Equity","BS_TOT_ASSET","FQ4 2020","FQ4 2020","Currency=USD","Period=FQ","BEST_FPERIOD_OVERRIDE=FQ","FILING_STATUS=MR","SCALING_FORMAT=MLN","Sort=A","Dates=H","DateFormat=P","Fill=—","Direction=H","UseDPDF=Y")</f>
        <v>1781.252</v>
      </c>
      <c r="L16" s="13">
        <f>_xll.BDH("BLUE US Equity","BS_TOT_ASSET","FQ1 2021","FQ1 2021","Currency=USD","Period=FQ","BEST_FPERIOD_OVERRIDE=FQ","FILING_STATUS=MR","SCALING_FORMAT=MLN","Sort=A","Dates=H","DateFormat=P","Fill=—","Direction=H","UseDPDF=Y")</f>
        <v>1637.279</v>
      </c>
      <c r="M16" s="13">
        <f>_xll.BDH("BLUE US Equity","BS_TOT_ASSET","FQ2 2021","FQ2 2021","Currency=USD","Period=FQ","BEST_FPERIOD_OVERRIDE=FQ","FILING_STATUS=MR","SCALING_FORMAT=MLN","Sort=A","Dates=H","DateFormat=P","Fill=—","Direction=H","UseDPDF=Y")</f>
        <v>1454.4590000000001</v>
      </c>
      <c r="N16" s="13">
        <f>_xll.BDH("BLUE US Equity","BS_TOT_ASSET","FQ3 2021","FQ3 2021","Currency=USD","Period=FQ","BEST_FPERIOD_OVERRIDE=FQ","FILING_STATUS=MR","SCALING_FORMAT=MLN","Sort=A","Dates=H","DateFormat=P","Fill=—","Direction=H","UseDPDF=Y")</f>
        <v>1339.644</v>
      </c>
      <c r="O16" s="13">
        <f>_xll.BDH("BLUE US Equity","BS_TOT_ASSET","FQ4 2021","FQ4 2021","Currency=USD","Period=FQ","BEST_FPERIOD_OVERRIDE=FQ","FILING_STATUS=MR","SCALING_FORMAT=MLN","Sort=A","Dates=H","DateFormat=P","Fill=—","Direction=H","UseDPDF=Y")</f>
        <v>593.79499999999996</v>
      </c>
      <c r="P16" s="13">
        <f>_xll.BDH("BLUE US Equity","BS_TOT_ASSET","FQ1 2022","FQ1 2022","Currency=USD","Period=FQ","BEST_FPERIOD_OVERRIDE=FQ","FILING_STATUS=MR","SCALING_FORMAT=MLN","Sort=A","Dates=H","DateFormat=P","Fill=—","Direction=H","UseDPDF=Y")</f>
        <v>491.07100000000003</v>
      </c>
      <c r="Q16" s="13">
        <f>_xll.BDH("BLUE US Equity","BS_TOT_ASSET","FQ2 2022","FQ2 2022","Currency=USD","Period=FQ","BEST_FPERIOD_OVERRIDE=FQ","FILING_STATUS=MR","SCALING_FORMAT=MLN","Sort=A","Dates=H","DateFormat=P","Fill=—","Direction=H","UseDPDF=Y")</f>
        <v>573.59199999999998</v>
      </c>
      <c r="R16" s="13">
        <f>_xll.BDH("BLUE US Equity","BS_TOT_ASSET","FQ3 2022","FQ3 2022","Currency=USD","Period=FQ","BEST_FPERIOD_OVERRIDE=FQ","FILING_STATUS=MR","SCALING_FORMAT=MLN","Sort=A","Dates=H","DateFormat=P","Fill=—","Direction=H","UseDPDF=Y")</f>
        <v>520.09799999999996</v>
      </c>
      <c r="S16" s="13">
        <f>_xll.BDH("BLUE US Equity","BS_TOT_ASSET","FQ4 2022","FQ4 2022","Currency=USD","Period=FQ","BEST_FPERIOD_OVERRIDE=FQ","FILING_STATUS=MR","SCALING_FORMAT=MLN","Sort=A","Dates=H","DateFormat=P","Fill=—","Direction=H","UseDPDF=Y")</f>
        <v>569.81399999999996</v>
      </c>
      <c r="T16" s="13">
        <f>_xll.BDH("BLUE US Equity","BS_TOT_ASSET","FQ1 2023","FQ1 2023","Currency=USD","Period=FQ","BEST_FPERIOD_OVERRIDE=FQ","FILING_STATUS=MR","SCALING_FORMAT=MLN","Sort=A","Dates=H","DateFormat=P","Fill=—","Direction=H","UseDPDF=Y")</f>
        <v>692.73599999999999</v>
      </c>
      <c r="U16" s="13">
        <f>_xll.BDH("BLUE US Equity","BS_TOT_ASSET","FQ2 2023","FQ2 2023","Currency=USD","Period=FQ","BEST_FPERIOD_OVERRIDE=FQ","FILING_STATUS=MR","SCALING_FORMAT=MLN","Sort=A","Dates=H","DateFormat=P","Fill=—","Direction=H","UseDPDF=Y")</f>
        <v>663.39300000000003</v>
      </c>
      <c r="V16" s="13">
        <f>_xll.BDH("BLUE US Equity","BS_TOT_ASSET","FQ3 2023","FQ3 2023","Currency=USD","Period=FQ","BEST_FPERIOD_OVERRIDE=FQ","FILING_STATUS=MR","SCALING_FORMAT=MLN","Sort=A","Dates=H","DateFormat=P","Fill=—","Direction=H","UseDPDF=Y")</f>
        <v>613.60799999999995</v>
      </c>
      <c r="W16" s="13">
        <f>_xll.BDH("BLUE US Equity","BS_TOT_ASSET","FQ4 2023","FQ4 2023","Currency=USD","Period=FQ","BEST_FPERIOD_OVERRIDE=FQ","FILING_STATUS=MR","SCALING_FORMAT=MLN","Sort=A","Dates=H","DateFormat=P","Fill=—","Direction=H","UseDPDF=Y")</f>
        <v>619.16099999999994</v>
      </c>
      <c r="X16" s="13">
        <f>_xll.BDH("BLUE US Equity","BS_TOT_ASSET","FQ1 2024","FQ1 2024","Currency=USD","Period=FQ","BEST_FPERIOD_OVERRIDE=FQ","FILING_STATUS=MR","SCALING_FORMAT=MLN","Sort=A","Dates=H","DateFormat=P","Fill=—","Direction=H","UseDPDF=Y")</f>
        <v>631.48299999999995</v>
      </c>
      <c r="Y16" s="13">
        <f>_xll.BDH("BLUE US Equity","BS_TOT_ASSET","FQ2 2024","FQ2 2024","Currency=USD","Period=FQ","BEST_FPERIOD_OVERRIDE=FQ","FILING_STATUS=MR","SCALING_FORMAT=MLN","Sort=A","Dates=H","DateFormat=P","Fill=—","Direction=H","UseDPDF=Y")</f>
        <v>545.19299999999998</v>
      </c>
      <c r="Z16" s="13">
        <f>_xll.BDH("BLUE US Equity","BS_TOT_ASSET","FQ3 2024","FQ3 2024","Currency=USD","Period=FQ","BEST_FPERIOD_OVERRIDE=FQ","FILING_STATUS=MR","SCALING_FORMAT=MLN","Sort=A","Dates=H","DateFormat=P","Fill=—","Direction=H","UseDPDF=Y")</f>
        <v>465.05599999999998</v>
      </c>
      <c r="AA16" s="13">
        <f>_xll.BDH("BLUE US Equity","BS_TOT_ASSET","FQ4 2024","FQ4 2024","Currency=USD","Period=FQ","BEST_FPERIOD_OVERRIDE=FQ","FILING_STATUS=MR","SCALING_FORMAT=MLN","Sort=A","Dates=H","DateFormat=P","Fill=—","Direction=H","UseDPDF=Y")</f>
        <v>460.23200000000003</v>
      </c>
    </row>
    <row r="17" spans="1:27" x14ac:dyDescent="0.25">
      <c r="A17" s="10" t="s">
        <v>114</v>
      </c>
      <c r="B17" s="10" t="s">
        <v>115</v>
      </c>
      <c r="C17" s="13">
        <f>_xll.BDH("BLUE US Equity","BS_CUR_LIAB","FQ4 2018","FQ4 2018","Currency=USD","Period=FQ","BEST_FPERIOD_OVERRIDE=FQ","FILING_STATUS=MR","SCALING_FORMAT=MLN","Sort=A","Dates=H","DateFormat=P","Fill=—","Direction=H","UseDPDF=Y")</f>
        <v>146.43100000000001</v>
      </c>
      <c r="D17" s="13">
        <f>_xll.BDH("BLUE US Equity","BS_CUR_LIAB","FQ1 2019","FQ1 2019","Currency=USD","Period=FQ","BEST_FPERIOD_OVERRIDE=FQ","FILING_STATUS=MR","SCALING_FORMAT=MLN","Sort=A","Dates=H","DateFormat=P","Fill=—","Direction=H","UseDPDF=Y")</f>
        <v>146.691</v>
      </c>
      <c r="E17" s="13">
        <f>_xll.BDH("BLUE US Equity","BS_CUR_LIAB","FQ2 2019","FQ2 2019","Currency=USD","Period=FQ","BEST_FPERIOD_OVERRIDE=FQ","FILING_STATUS=MR","SCALING_FORMAT=MLN","Sort=A","Dates=H","DateFormat=P","Fill=—","Direction=H","UseDPDF=Y")</f>
        <v>162.10900000000001</v>
      </c>
      <c r="F17" s="13">
        <f>_xll.BDH("BLUE US Equity","BS_CUR_LIAB","FQ3 2019","FQ3 2019","Currency=USD","Period=FQ","BEST_FPERIOD_OVERRIDE=FQ","FILING_STATUS=MR","SCALING_FORMAT=MLN","Sort=A","Dates=H","DateFormat=P","Fill=—","Direction=H","UseDPDF=Y")</f>
        <v>196.03100000000001</v>
      </c>
      <c r="G17" s="13">
        <f>_xll.BDH("BLUE US Equity","BS_CUR_LIAB","FQ4 2019","FQ4 2019","Currency=USD","Period=FQ","BEST_FPERIOD_OVERRIDE=FQ","FILING_STATUS=MR","SCALING_FORMAT=MLN","Sort=A","Dates=H","DateFormat=P","Fill=—","Direction=H","UseDPDF=Y")</f>
        <v>223.58</v>
      </c>
      <c r="H17" s="13">
        <f>_xll.BDH("BLUE US Equity","BS_CUR_LIAB","FQ1 2020","FQ1 2020","Currency=USD","Period=FQ","BEST_FPERIOD_OVERRIDE=FQ","FILING_STATUS=MR","SCALING_FORMAT=MLN","Sort=A","Dates=H","DateFormat=P","Fill=—","Direction=H","UseDPDF=Y")</f>
        <v>184.422</v>
      </c>
      <c r="I17" s="13">
        <f>_xll.BDH("BLUE US Equity","BS_CUR_LIAB","FQ2 2020","FQ2 2020","Currency=USD","Period=FQ","BEST_FPERIOD_OVERRIDE=FQ","FILING_STATUS=MR","SCALING_FORMAT=MLN","Sort=A","Dates=H","DateFormat=P","Fill=—","Direction=H","UseDPDF=Y")</f>
        <v>197.18100000000001</v>
      </c>
      <c r="J17" s="13">
        <f>_xll.BDH("BLUE US Equity","BS_CUR_LIAB","FQ3 2020","FQ3 2020","Currency=USD","Period=FQ","BEST_FPERIOD_OVERRIDE=FQ","FILING_STATUS=MR","SCALING_FORMAT=MLN","Sort=A","Dates=H","DateFormat=P","Fill=—","Direction=H","UseDPDF=Y")</f>
        <v>196.90700000000001</v>
      </c>
      <c r="K17" s="13">
        <f>_xll.BDH("BLUE US Equity","BS_CUR_LIAB","FQ4 2020","FQ4 2020","Currency=USD","Period=FQ","BEST_FPERIOD_OVERRIDE=FQ","FILING_STATUS=MR","SCALING_FORMAT=MLN","Sort=A","Dates=H","DateFormat=P","Fill=—","Direction=H","UseDPDF=Y")</f>
        <v>203.58799999999999</v>
      </c>
      <c r="L17" s="13">
        <f>_xll.BDH("BLUE US Equity","BS_CUR_LIAB","FQ1 2021","FQ1 2021","Currency=USD","Period=FQ","BEST_FPERIOD_OVERRIDE=FQ","FILING_STATUS=MR","SCALING_FORMAT=MLN","Sort=A","Dates=H","DateFormat=P","Fill=—","Direction=H","UseDPDF=Y")</f>
        <v>206.315</v>
      </c>
      <c r="M17" s="13">
        <f>_xll.BDH("BLUE US Equity","BS_CUR_LIAB","FQ2 2021","FQ2 2021","Currency=USD","Period=FQ","BEST_FPERIOD_OVERRIDE=FQ","FILING_STATUS=MR","SCALING_FORMAT=MLN","Sort=A","Dates=H","DateFormat=P","Fill=—","Direction=H","UseDPDF=Y")</f>
        <v>247.76499999999999</v>
      </c>
      <c r="N17" s="13">
        <f>_xll.BDH("BLUE US Equity","BS_CUR_LIAB","FQ3 2021","FQ3 2021","Currency=USD","Period=FQ","BEST_FPERIOD_OVERRIDE=FQ","FILING_STATUS=MR","SCALING_FORMAT=MLN","Sort=A","Dates=H","DateFormat=P","Fill=—","Direction=H","UseDPDF=Y")</f>
        <v>266.55900000000003</v>
      </c>
      <c r="O17" s="13">
        <f>_xll.BDH("BLUE US Equity","BS_CUR_LIAB","FQ4 2021","FQ4 2021","Currency=USD","Period=FQ","BEST_FPERIOD_OVERRIDE=FQ","FILING_STATUS=MR","SCALING_FORMAT=MLN","Sort=A","Dates=H","DateFormat=P","Fill=—","Direction=H","UseDPDF=Y")</f>
        <v>152.99299999999999</v>
      </c>
      <c r="P17" s="13">
        <f>_xll.BDH("BLUE US Equity","BS_CUR_LIAB","FQ1 2022","FQ1 2022","Currency=USD","Period=FQ","BEST_FPERIOD_OVERRIDE=FQ","FILING_STATUS=MR","SCALING_FORMAT=MLN","Sort=A","Dates=H","DateFormat=P","Fill=—","Direction=H","UseDPDF=Y")</f>
        <v>142.892</v>
      </c>
      <c r="Q17" s="13">
        <f>_xll.BDH("BLUE US Equity","BS_CUR_LIAB","FQ2 2022","FQ2 2022","Currency=USD","Period=FQ","BEST_FPERIOD_OVERRIDE=FQ","FILING_STATUS=MR","SCALING_FORMAT=MLN","Sort=A","Dates=H","DateFormat=P","Fill=—","Direction=H","UseDPDF=Y")</f>
        <v>148.86099999999999</v>
      </c>
      <c r="R17" s="13">
        <f>_xll.BDH("BLUE US Equity","BS_CUR_LIAB","FQ3 2022","FQ3 2022","Currency=USD","Period=FQ","BEST_FPERIOD_OVERRIDE=FQ","FILING_STATUS=MR","SCALING_FORMAT=MLN","Sort=A","Dates=H","DateFormat=P","Fill=—","Direction=H","UseDPDF=Y")</f>
        <v>126.727</v>
      </c>
      <c r="S17" s="13">
        <f>_xll.BDH("BLUE US Equity","BS_CUR_LIAB","FQ4 2022","FQ4 2022","Currency=USD","Period=FQ","BEST_FPERIOD_OVERRIDE=FQ","FILING_STATUS=MR","SCALING_FORMAT=MLN","Sort=A","Dates=H","DateFormat=P","Fill=—","Direction=H","UseDPDF=Y")</f>
        <v>156.57900000000001</v>
      </c>
      <c r="T17" s="13">
        <f>_xll.BDH("BLUE US Equity","BS_CUR_LIAB","FQ1 2023","FQ1 2023","Currency=USD","Period=FQ","BEST_FPERIOD_OVERRIDE=FQ","FILING_STATUS=MR","SCALING_FORMAT=MLN","Sort=A","Dates=H","DateFormat=P","Fill=—","Direction=H","UseDPDF=Y")</f>
        <v>115.93300000000001</v>
      </c>
      <c r="U17" s="13">
        <f>_xll.BDH("BLUE US Equity","BS_CUR_LIAB","FQ2 2023","FQ2 2023","Currency=USD","Period=FQ","BEST_FPERIOD_OVERRIDE=FQ","FILING_STATUS=MR","SCALING_FORMAT=MLN","Sort=A","Dates=H","DateFormat=P","Fill=—","Direction=H","UseDPDF=Y")</f>
        <v>135.01599999999999</v>
      </c>
      <c r="V17" s="13">
        <f>_xll.BDH("BLUE US Equity","BS_CUR_LIAB","FQ3 2023","FQ3 2023","Currency=USD","Period=FQ","BEST_FPERIOD_OVERRIDE=FQ","FILING_STATUS=MR","SCALING_FORMAT=MLN","Sort=A","Dates=H","DateFormat=P","Fill=—","Direction=H","UseDPDF=Y")</f>
        <v>158.95699999999999</v>
      </c>
      <c r="W17" s="13">
        <f>_xll.BDH("BLUE US Equity","BS_CUR_LIAB","FQ4 2023","FQ4 2023","Currency=USD","Period=FQ","BEST_FPERIOD_OVERRIDE=FQ","FILING_STATUS=MR","SCALING_FORMAT=MLN","Sort=A","Dates=H","DateFormat=P","Fill=—","Direction=H","UseDPDF=Y")</f>
        <v>200.113</v>
      </c>
      <c r="X17" s="13">
        <f>_xll.BDH("BLUE US Equity","BS_CUR_LIAB","FQ1 2024","FQ1 2024","Currency=USD","Period=FQ","BEST_FPERIOD_OVERRIDE=FQ","FILING_STATUS=MR","SCALING_FORMAT=MLN","Sort=A","Dates=H","DateFormat=P","Fill=—","Direction=H","UseDPDF=Y")</f>
        <v>293.57299999999998</v>
      </c>
      <c r="Y17" s="13">
        <f>_xll.BDH("BLUE US Equity","BS_CUR_LIAB","FQ2 2024","FQ2 2024","Currency=USD","Period=FQ","BEST_FPERIOD_OVERRIDE=FQ","FILING_STATUS=MR","SCALING_FORMAT=MLN","Sort=A","Dates=H","DateFormat=P","Fill=—","Direction=H","UseDPDF=Y")</f>
        <v>297.93</v>
      </c>
      <c r="Z17" s="13">
        <f>_xll.BDH("BLUE US Equity","BS_CUR_LIAB","FQ3 2024","FQ3 2024","Currency=USD","Period=FQ","BEST_FPERIOD_OVERRIDE=FQ","FILING_STATUS=MR","SCALING_FORMAT=MLN","Sort=A","Dates=H","DateFormat=P","Fill=—","Direction=H","UseDPDF=Y")</f>
        <v>296.03199999999998</v>
      </c>
      <c r="AA17" s="13">
        <f>_xll.BDH("BLUE US Equity","BS_CUR_LIAB","FQ4 2024","FQ4 2024","Currency=USD","Period=FQ","BEST_FPERIOD_OVERRIDE=FQ","FILING_STATUS=MR","SCALING_FORMAT=MLN","Sort=A","Dates=H","DateFormat=P","Fill=—","Direction=H","UseDPDF=Y")</f>
        <v>321.46199999999999</v>
      </c>
    </row>
    <row r="18" spans="1:27" x14ac:dyDescent="0.25">
      <c r="A18" s="10" t="s">
        <v>116</v>
      </c>
      <c r="B18" s="10" t="s">
        <v>117</v>
      </c>
      <c r="C18" s="13">
        <f>_xll.BDH("BLUE US Equity","BS_TOT_LIAB2","FQ4 2018","FQ4 2018","Currency=USD","Period=FQ","BEST_FPERIOD_OVERRIDE=FQ","FILING_STATUS=MR","SCALING_FORMAT=MLN","Sort=A","Dates=H","DateFormat=P","Fill=—","Direction=H","UseDPDF=Y")</f>
        <v>357.774</v>
      </c>
      <c r="D18" s="13">
        <f>_xll.BDH("BLUE US Equity","BS_TOT_LIAB2","FQ1 2019","FQ1 2019","Currency=USD","Period=FQ","BEST_FPERIOD_OVERRIDE=FQ","FILING_STATUS=MR","SCALING_FORMAT=MLN","Sort=A","Dates=H","DateFormat=P","Fill=—","Direction=H","UseDPDF=Y")</f>
        <v>366.51600000000002</v>
      </c>
      <c r="E18" s="13">
        <f>_xll.BDH("BLUE US Equity","BS_TOT_LIAB2","FQ2 2019","FQ2 2019","Currency=USD","Period=FQ","BEST_FPERIOD_OVERRIDE=FQ","FILING_STATUS=MR","SCALING_FORMAT=MLN","Sort=A","Dates=H","DateFormat=P","Fill=—","Direction=H","UseDPDF=Y")</f>
        <v>386.97</v>
      </c>
      <c r="F18" s="13">
        <f>_xll.BDH("BLUE US Equity","BS_TOT_LIAB2","FQ3 2019","FQ3 2019","Currency=USD","Period=FQ","BEST_FPERIOD_OVERRIDE=FQ","FILING_STATUS=MR","SCALING_FORMAT=MLN","Sort=A","Dates=H","DateFormat=P","Fill=—","Direction=H","UseDPDF=Y")</f>
        <v>420.50799999999998</v>
      </c>
      <c r="G18" s="13">
        <f>_xll.BDH("BLUE US Equity","BS_TOT_LIAB2","FQ4 2019","FQ4 2019","Currency=USD","Period=FQ","BEST_FPERIOD_OVERRIDE=FQ","FILING_STATUS=MR","SCALING_FORMAT=MLN","Sort=A","Dates=H","DateFormat=P","Fill=—","Direction=H","UseDPDF=Y")</f>
        <v>442.43099999999998</v>
      </c>
      <c r="H18" s="13">
        <f>_xll.BDH("BLUE US Equity","BS_TOT_LIAB2","FQ1 2020","FQ1 2020","Currency=USD","Period=FQ","BEST_FPERIOD_OVERRIDE=FQ","FILING_STATUS=MR","SCALING_FORMAT=MLN","Sort=A","Dates=H","DateFormat=P","Fill=—","Direction=H","UseDPDF=Y")</f>
        <v>408.67099999999999</v>
      </c>
      <c r="I18" s="13">
        <f>_xll.BDH("BLUE US Equity","BS_TOT_LIAB2","FQ2 2020","FQ2 2020","Currency=USD","Period=FQ","BEST_FPERIOD_OVERRIDE=FQ","FILING_STATUS=MR","SCALING_FORMAT=MLN","Sort=A","Dates=H","DateFormat=P","Fill=—","Direction=H","UseDPDF=Y")</f>
        <v>425.75900000000001</v>
      </c>
      <c r="J18" s="13">
        <f>_xll.BDH("BLUE US Equity","BS_TOT_LIAB2","FQ3 2020","FQ3 2020","Currency=USD","Period=FQ","BEST_FPERIOD_OVERRIDE=FQ","FILING_STATUS=MR","SCALING_FORMAT=MLN","Sort=A","Dates=H","DateFormat=P","Fill=—","Direction=H","UseDPDF=Y")</f>
        <v>422.46300000000002</v>
      </c>
      <c r="K18" s="13">
        <f>_xll.BDH("BLUE US Equity","BS_TOT_LIAB2","FQ4 2020","FQ4 2020","Currency=USD","Period=FQ","BEST_FPERIOD_OVERRIDE=FQ","FILING_STATUS=MR","SCALING_FORMAT=MLN","Sort=A","Dates=H","DateFormat=P","Fill=—","Direction=H","UseDPDF=Y")</f>
        <v>426.19600000000003</v>
      </c>
      <c r="L18" s="13">
        <f>_xll.BDH("BLUE US Equity","BS_TOT_LIAB2","FQ1 2021","FQ1 2021","Currency=USD","Period=FQ","BEST_FPERIOD_OVERRIDE=FQ","FILING_STATUS=MR","SCALING_FORMAT=MLN","Sort=A","Dates=H","DateFormat=P","Fill=—","Direction=H","UseDPDF=Y")</f>
        <v>436.94600000000003</v>
      </c>
      <c r="M18" s="13">
        <f>_xll.BDH("BLUE US Equity","BS_TOT_LIAB2","FQ2 2021","FQ2 2021","Currency=USD","Period=FQ","BEST_FPERIOD_OVERRIDE=FQ","FILING_STATUS=MR","SCALING_FORMAT=MLN","Sort=A","Dates=H","DateFormat=P","Fill=—","Direction=H","UseDPDF=Y")</f>
        <v>469.89800000000002</v>
      </c>
      <c r="N18" s="13">
        <f>_xll.BDH("BLUE US Equity","BS_TOT_LIAB2","FQ3 2021","FQ3 2021","Currency=USD","Period=FQ","BEST_FPERIOD_OVERRIDE=FQ","FILING_STATUS=MR","SCALING_FORMAT=MLN","Sort=A","Dates=H","DateFormat=P","Fill=—","Direction=H","UseDPDF=Y")</f>
        <v>469.11700000000002</v>
      </c>
      <c r="O18" s="13">
        <f>_xll.BDH("BLUE US Equity","BS_TOT_LIAB2","FQ4 2021","FQ4 2021","Currency=USD","Period=FQ","BEST_FPERIOD_OVERRIDE=FQ","FILING_STATUS=MR","SCALING_FORMAT=MLN","Sort=A","Dates=H","DateFormat=P","Fill=—","Direction=H","UseDPDF=Y")</f>
        <v>219.518</v>
      </c>
      <c r="P18" s="13">
        <f>_xll.BDH("BLUE US Equity","BS_TOT_LIAB2","FQ1 2022","FQ1 2022","Currency=USD","Period=FQ","BEST_FPERIOD_OVERRIDE=FQ","FILING_STATUS=MR","SCALING_FORMAT=MLN","Sort=A","Dates=H","DateFormat=P","Fill=—","Direction=H","UseDPDF=Y")</f>
        <v>227.81200000000001</v>
      </c>
      <c r="Q18" s="13">
        <f>_xll.BDH("BLUE US Equity","BS_TOT_LIAB2","FQ2 2022","FQ2 2022","Currency=USD","Period=FQ","BEST_FPERIOD_OVERRIDE=FQ","FILING_STATUS=MR","SCALING_FORMAT=MLN","Sort=A","Dates=H","DateFormat=P","Fill=—","Direction=H","UseDPDF=Y")</f>
        <v>393.476</v>
      </c>
      <c r="R18" s="13">
        <f>_xll.BDH("BLUE US Equity","BS_TOT_LIAB2","FQ3 2022","FQ3 2022","Currency=USD","Period=FQ","BEST_FPERIOD_OVERRIDE=FQ","FILING_STATUS=MR","SCALING_FORMAT=MLN","Sort=A","Dates=H","DateFormat=P","Fill=—","Direction=H","UseDPDF=Y")</f>
        <v>361.24099999999999</v>
      </c>
      <c r="S18" s="13">
        <f>_xll.BDH("BLUE US Equity","BS_TOT_LIAB2","FQ4 2022","FQ4 2022","Currency=USD","Period=FQ","BEST_FPERIOD_OVERRIDE=FQ","FILING_STATUS=MR","SCALING_FORMAT=MLN","Sort=A","Dates=H","DateFormat=P","Fill=—","Direction=H","UseDPDF=Y")</f>
        <v>435.48099999999999</v>
      </c>
      <c r="T18" s="13">
        <f>_xll.BDH("BLUE US Equity","BS_TOT_LIAB2","FQ1 2023","FQ1 2023","Currency=USD","Period=FQ","BEST_FPERIOD_OVERRIDE=FQ","FILING_STATUS=MR","SCALING_FORMAT=MLN","Sort=A","Dates=H","DateFormat=P","Fill=—","Direction=H","UseDPDF=Y")</f>
        <v>337.99599999999998</v>
      </c>
      <c r="U18" s="13">
        <f>_xll.BDH("BLUE US Equity","BS_TOT_LIAB2","FQ2 2023","FQ2 2023","Currency=USD","Period=FQ","BEST_FPERIOD_OVERRIDE=FQ","FILING_STATUS=MR","SCALING_FORMAT=MLN","Sort=A","Dates=H","DateFormat=P","Fill=—","Direction=H","UseDPDF=Y")</f>
        <v>374.37400000000002</v>
      </c>
      <c r="V18" s="13">
        <f>_xll.BDH("BLUE US Equity","BS_TOT_LIAB2","FQ3 2023","FQ3 2023","Currency=USD","Period=FQ","BEST_FPERIOD_OVERRIDE=FQ","FILING_STATUS=MR","SCALING_FORMAT=MLN","Sort=A","Dates=H","DateFormat=P","Fill=—","Direction=H","UseDPDF=Y")</f>
        <v>391.072</v>
      </c>
      <c r="W18" s="13">
        <f>_xll.BDH("BLUE US Equity","BS_TOT_LIAB2","FQ4 2023","FQ4 2023","Currency=USD","Period=FQ","BEST_FPERIOD_OVERRIDE=FQ","FILING_STATUS=MR","SCALING_FORMAT=MLN","Sort=A","Dates=H","DateFormat=P","Fill=—","Direction=H","UseDPDF=Y")</f>
        <v>424.62400000000002</v>
      </c>
      <c r="X18" s="13">
        <f>_xll.BDH("BLUE US Equity","BS_TOT_LIAB2","FQ1 2024","FQ1 2024","Currency=USD","Period=FQ","BEST_FPERIOD_OVERRIDE=FQ","FILING_STATUS=MR","SCALING_FORMAT=MLN","Sort=A","Dates=H","DateFormat=P","Fill=—","Direction=H","UseDPDF=Y")</f>
        <v>500.43700000000001</v>
      </c>
      <c r="Y18" s="13">
        <f>_xll.BDH("BLUE US Equity","BS_TOT_LIAB2","FQ2 2024","FQ2 2024","Currency=USD","Period=FQ","BEST_FPERIOD_OVERRIDE=FQ","FILING_STATUS=MR","SCALING_FORMAT=MLN","Sort=A","Dates=H","DateFormat=P","Fill=—","Direction=H","UseDPDF=Y")</f>
        <v>492.21199999999999</v>
      </c>
      <c r="Z18" s="13">
        <f>_xll.BDH("BLUE US Equity","BS_TOT_LIAB2","FQ3 2024","FQ3 2024","Currency=USD","Period=FQ","BEST_FPERIOD_OVERRIDE=FQ","FILING_STATUS=MR","SCALING_FORMAT=MLN","Sort=A","Dates=H","DateFormat=P","Fill=—","Direction=H","UseDPDF=Y")</f>
        <v>470.84199999999998</v>
      </c>
      <c r="AA18" s="13">
        <f>_xll.BDH("BLUE US Equity","BS_TOT_LIAB2","FQ4 2024","FQ4 2024","Currency=USD","Period=FQ","BEST_FPERIOD_OVERRIDE=FQ","FILING_STATUS=MR","SCALING_FORMAT=MLN","Sort=A","Dates=H","DateFormat=P","Fill=—","Direction=H","UseDPDF=Y")</f>
        <v>491.76600000000002</v>
      </c>
    </row>
    <row r="19" spans="1:27" x14ac:dyDescent="0.25">
      <c r="A19" s="10" t="s">
        <v>118</v>
      </c>
      <c r="B19" s="10" t="s">
        <v>119</v>
      </c>
      <c r="C19" s="13">
        <f>_xll.BDH("BLUE US Equity","TOTAL_EQUITY","FQ4 2018","FQ4 2018","Currency=USD","Period=FQ","BEST_FPERIOD_OVERRIDE=FQ","FILING_STATUS=MR","SCALING_FORMAT=MLN","Sort=A","Dates=H","DateFormat=P","Fill=—","Direction=H","UseDPDF=Y")</f>
        <v>1885.07</v>
      </c>
      <c r="D19" s="13">
        <f>_xll.BDH("BLUE US Equity","TOTAL_EQUITY","FQ1 2019","FQ1 2019","Currency=USD","Period=FQ","BEST_FPERIOD_OVERRIDE=FQ","FILING_STATUS=MR","SCALING_FORMAT=MLN","Sort=A","Dates=H","DateFormat=P","Fill=—","Direction=H","UseDPDF=Y")</f>
        <v>1772.0989999999999</v>
      </c>
      <c r="E19" s="13">
        <f>_xll.BDH("BLUE US Equity","TOTAL_EQUITY","FQ2 2019","FQ2 2019","Currency=USD","Period=FQ","BEST_FPERIOD_OVERRIDE=FQ","FILING_STATUS=MR","SCALING_FORMAT=MLN","Sort=A","Dates=H","DateFormat=P","Fill=—","Direction=H","UseDPDF=Y")</f>
        <v>1636.374</v>
      </c>
      <c r="F19" s="13">
        <f>_xll.BDH("BLUE US Equity","TOTAL_EQUITY","FQ3 2019","FQ3 2019","Currency=USD","Period=FQ","BEST_FPERIOD_OVERRIDE=FQ","FILING_STATUS=MR","SCALING_FORMAT=MLN","Sort=A","Dates=H","DateFormat=P","Fill=—","Direction=H","UseDPDF=Y")</f>
        <v>1471.71</v>
      </c>
      <c r="G19" s="13">
        <f>_xll.BDH("BLUE US Equity","TOTAL_EQUITY","FQ4 2019","FQ4 2019","Currency=USD","Period=FQ","BEST_FPERIOD_OVERRIDE=FQ","FILING_STATUS=MR","SCALING_FORMAT=MLN","Sort=A","Dates=H","DateFormat=P","Fill=—","Direction=H","UseDPDF=Y")</f>
        <v>1284.9929999999999</v>
      </c>
      <c r="H19" s="13">
        <f>_xll.BDH("BLUE US Equity","TOTAL_EQUITY","FQ1 2020","FQ1 2020","Currency=USD","Period=FQ","BEST_FPERIOD_OVERRIDE=FQ","FILING_STATUS=MR","SCALING_FORMAT=MLN","Sort=A","Dates=H","DateFormat=P","Fill=—","Direction=H","UseDPDF=Y")</f>
        <v>1120.433</v>
      </c>
      <c r="I19" s="13">
        <f>_xll.BDH("BLUE US Equity","TOTAL_EQUITY","FQ2 2020","FQ2 2020","Currency=USD","Period=FQ","BEST_FPERIOD_OVERRIDE=FQ","FILING_STATUS=MR","SCALING_FORMAT=MLN","Sort=A","Dates=H","DateFormat=P","Fill=—","Direction=H","UseDPDF=Y")</f>
        <v>1682.0309999999999</v>
      </c>
      <c r="J19" s="13">
        <f>_xll.BDH("BLUE US Equity","TOTAL_EQUITY","FQ3 2020","FQ3 2020","Currency=USD","Period=FQ","BEST_FPERIOD_OVERRIDE=FQ","FILING_STATUS=MR","SCALING_FORMAT=MLN","Sort=A","Dates=H","DateFormat=P","Fill=—","Direction=H","UseDPDF=Y")</f>
        <v>1523.021</v>
      </c>
      <c r="K19" s="13">
        <f>_xll.BDH("BLUE US Equity","TOTAL_EQUITY","FQ4 2020","FQ4 2020","Currency=USD","Period=FQ","BEST_FPERIOD_OVERRIDE=FQ","FILING_STATUS=MR","SCALING_FORMAT=MLN","Sort=A","Dates=H","DateFormat=P","Fill=—","Direction=H","UseDPDF=Y")</f>
        <v>1355.056</v>
      </c>
      <c r="L19" s="13">
        <f>_xll.BDH("BLUE US Equity","TOTAL_EQUITY","FQ1 2021","FQ1 2021","Currency=USD","Period=FQ","BEST_FPERIOD_OVERRIDE=FQ","FILING_STATUS=MR","SCALING_FORMAT=MLN","Sort=A","Dates=H","DateFormat=P","Fill=—","Direction=H","UseDPDF=Y")</f>
        <v>1200.3330000000001</v>
      </c>
      <c r="M19" s="13">
        <f>_xll.BDH("BLUE US Equity","TOTAL_EQUITY","FQ2 2021","FQ2 2021","Currency=USD","Period=FQ","BEST_FPERIOD_OVERRIDE=FQ","FILING_STATUS=MR","SCALING_FORMAT=MLN","Sort=A","Dates=H","DateFormat=P","Fill=—","Direction=H","UseDPDF=Y")</f>
        <v>984.56100000000004</v>
      </c>
      <c r="N19" s="13">
        <f>_xll.BDH("BLUE US Equity","TOTAL_EQUITY","FQ3 2021","FQ3 2021","Currency=USD","Period=FQ","BEST_FPERIOD_OVERRIDE=FQ","FILING_STATUS=MR","SCALING_FORMAT=MLN","Sort=A","Dates=H","DateFormat=P","Fill=—","Direction=H","UseDPDF=Y")</f>
        <v>870.52700000000004</v>
      </c>
      <c r="O19" s="13">
        <f>_xll.BDH("BLUE US Equity","TOTAL_EQUITY","FQ4 2021","FQ4 2021","Currency=USD","Period=FQ","BEST_FPERIOD_OVERRIDE=FQ","FILING_STATUS=MR","SCALING_FORMAT=MLN","Sort=A","Dates=H","DateFormat=P","Fill=—","Direction=H","UseDPDF=Y")</f>
        <v>374.27699999999999</v>
      </c>
      <c r="P19" s="13">
        <f>_xll.BDH("BLUE US Equity","TOTAL_EQUITY","FQ1 2022","FQ1 2022","Currency=USD","Period=FQ","BEST_FPERIOD_OVERRIDE=FQ","FILING_STATUS=MR","SCALING_FORMAT=MLN","Sort=A","Dates=H","DateFormat=P","Fill=—","Direction=H","UseDPDF=Y")</f>
        <v>263.25900000000001</v>
      </c>
      <c r="Q19" s="13">
        <f>_xll.BDH("BLUE US Equity","TOTAL_EQUITY","FQ2 2022","FQ2 2022","Currency=USD","Period=FQ","BEST_FPERIOD_OVERRIDE=FQ","FILING_STATUS=MR","SCALING_FORMAT=MLN","Sort=A","Dates=H","DateFormat=P","Fill=—","Direction=H","UseDPDF=Y")</f>
        <v>180.11600000000001</v>
      </c>
      <c r="R19" s="13">
        <f>_xll.BDH("BLUE US Equity","TOTAL_EQUITY","FQ3 2022","FQ3 2022","Currency=USD","Period=FQ","BEST_FPERIOD_OVERRIDE=FQ","FILING_STATUS=MR","SCALING_FORMAT=MLN","Sort=A","Dates=H","DateFormat=P","Fill=—","Direction=H","UseDPDF=Y")</f>
        <v>158.857</v>
      </c>
      <c r="S19" s="13">
        <f>_xll.BDH("BLUE US Equity","TOTAL_EQUITY","FQ4 2022","FQ4 2022","Currency=USD","Period=FQ","BEST_FPERIOD_OVERRIDE=FQ","FILING_STATUS=MR","SCALING_FORMAT=MLN","Sort=A","Dates=H","DateFormat=P","Fill=—","Direction=H","UseDPDF=Y")</f>
        <v>134.333</v>
      </c>
      <c r="T19" s="13">
        <f>_xll.BDH("BLUE US Equity","TOTAL_EQUITY","FQ1 2023","FQ1 2023","Currency=USD","Period=FQ","BEST_FPERIOD_OVERRIDE=FQ","FILING_STATUS=MR","SCALING_FORMAT=MLN","Sort=A","Dates=H","DateFormat=P","Fill=—","Direction=H","UseDPDF=Y")</f>
        <v>354.74</v>
      </c>
      <c r="U19" s="13">
        <f>_xll.BDH("BLUE US Equity","TOTAL_EQUITY","FQ2 2023","FQ2 2023","Currency=USD","Period=FQ","BEST_FPERIOD_OVERRIDE=FQ","FILING_STATUS=MR","SCALING_FORMAT=MLN","Sort=A","Dates=H","DateFormat=P","Fill=—","Direction=H","UseDPDF=Y")</f>
        <v>289.01900000000001</v>
      </c>
      <c r="V19" s="13">
        <f>_xll.BDH("BLUE US Equity","TOTAL_EQUITY","FQ3 2023","FQ3 2023","Currency=USD","Period=FQ","BEST_FPERIOD_OVERRIDE=FQ","FILING_STATUS=MR","SCALING_FORMAT=MLN","Sort=A","Dates=H","DateFormat=P","Fill=—","Direction=H","UseDPDF=Y")</f>
        <v>222.536</v>
      </c>
      <c r="W19" s="13">
        <f>_xll.BDH("BLUE US Equity","TOTAL_EQUITY","FQ4 2023","FQ4 2023","Currency=USD","Period=FQ","BEST_FPERIOD_OVERRIDE=FQ","FILING_STATUS=MR","SCALING_FORMAT=MLN","Sort=A","Dates=H","DateFormat=P","Fill=—","Direction=H","UseDPDF=Y")</f>
        <v>194.53700000000001</v>
      </c>
      <c r="X19" s="13">
        <f>_xll.BDH("BLUE US Equity","TOTAL_EQUITY","FQ1 2024","FQ1 2024","Currency=USD","Period=FQ","BEST_FPERIOD_OVERRIDE=FQ","FILING_STATUS=MR","SCALING_FORMAT=MLN","Sort=A","Dates=H","DateFormat=P","Fill=—","Direction=H","UseDPDF=Y")</f>
        <v>131.04599999999999</v>
      </c>
      <c r="Y19" s="13">
        <f>_xll.BDH("BLUE US Equity","TOTAL_EQUITY","FQ2 2024","FQ2 2024","Currency=USD","Period=FQ","BEST_FPERIOD_OVERRIDE=FQ","FILING_STATUS=MR","SCALING_FORMAT=MLN","Sort=A","Dates=H","DateFormat=P","Fill=—","Direction=H","UseDPDF=Y")</f>
        <v>52.981000000000002</v>
      </c>
      <c r="Z19" s="13">
        <f>_xll.BDH("BLUE US Equity","TOTAL_EQUITY","FQ3 2024","FQ3 2024","Currency=USD","Period=FQ","BEST_FPERIOD_OVERRIDE=FQ","FILING_STATUS=MR","SCALING_FORMAT=MLN","Sort=A","Dates=H","DateFormat=P","Fill=—","Direction=H","UseDPDF=Y")</f>
        <v>-5.7859999999999996</v>
      </c>
      <c r="AA19" s="13">
        <f>_xll.BDH("BLUE US Equity","TOTAL_EQUITY","FQ4 2024","FQ4 2024","Currency=USD","Period=FQ","BEST_FPERIOD_OVERRIDE=FQ","FILING_STATUS=MR","SCALING_FORMAT=MLN","Sort=A","Dates=H","DateFormat=P","Fill=—","Direction=H","UseDPDF=Y")</f>
        <v>-31.533999999999999</v>
      </c>
    </row>
    <row r="20" spans="1:27" x14ac:dyDescent="0.25">
      <c r="A20" s="10" t="s">
        <v>120</v>
      </c>
      <c r="B20" s="10" t="s">
        <v>121</v>
      </c>
      <c r="C20" s="13">
        <f>_xll.BDH("BLUE US Equity","BS_SH_OUT","FQ4 2018","FQ4 2018","Currency=USD","Period=FQ","BEST_FPERIOD_OVERRIDE=FQ","FILING_STATUS=MR","Sort=A","Dates=H","DateFormat=P","Fill=—","Direction=H","UseDPDF=Y")</f>
        <v>2.7368999999999999</v>
      </c>
      <c r="D20" s="13">
        <f>_xll.BDH("BLUE US Equity","BS_SH_OUT","FQ1 2019","FQ1 2019","Currency=USD","Period=FQ","BEST_FPERIOD_OVERRIDE=FQ","FILING_STATUS=MR","Sort=A","Dates=H","DateFormat=P","Fill=—","Direction=H","UseDPDF=Y")</f>
        <v>2.7534999999999998</v>
      </c>
      <c r="E20" s="13">
        <f>_xll.BDH("BLUE US Equity","BS_SH_OUT","FQ2 2019","FQ2 2019","Currency=USD","Period=FQ","BEST_FPERIOD_OVERRIDE=FQ","FILING_STATUS=MR","Sort=A","Dates=H","DateFormat=P","Fill=—","Direction=H","UseDPDF=Y")</f>
        <v>2.7614000000000001</v>
      </c>
      <c r="F20" s="13">
        <f>_xll.BDH("BLUE US Equity","BS_SH_OUT","FQ3 2019","FQ3 2019","Currency=USD","Period=FQ","BEST_FPERIOD_OVERRIDE=FQ","FILING_STATUS=MR","Sort=A","Dates=H","DateFormat=P","Fill=—","Direction=H","UseDPDF=Y")</f>
        <v>2.766</v>
      </c>
      <c r="G20" s="13">
        <f>_xll.BDH("BLUE US Equity","BS_SH_OUT","FQ4 2019","FQ4 2019","Currency=USD","Period=FQ","BEST_FPERIOD_OVERRIDE=FQ","FILING_STATUS=MR","Sort=A","Dates=H","DateFormat=P","Fill=—","Direction=H","UseDPDF=Y")</f>
        <v>2.7684000000000002</v>
      </c>
      <c r="H20" s="13">
        <f>_xll.BDH("BLUE US Equity","BS_SH_OUT","FQ1 2020","FQ1 2020","Currency=USD","Period=FQ","BEST_FPERIOD_OVERRIDE=FQ","FILING_STATUS=MR","Sort=A","Dates=H","DateFormat=P","Fill=—","Direction=H","UseDPDF=Y")</f>
        <v>2.7810000000000001</v>
      </c>
      <c r="I20" s="13">
        <f>_xll.BDH("BLUE US Equity","BS_SH_OUT","FQ2 2020","FQ2 2020","Currency=USD","Period=FQ","BEST_FPERIOD_OVERRIDE=FQ","FILING_STATUS=MR","Sort=A","Dates=H","DateFormat=P","Fill=—","Direction=H","UseDPDF=Y")</f>
        <v>3.3098000000000001</v>
      </c>
      <c r="J20" s="13">
        <f>_xll.BDH("BLUE US Equity","BS_SH_OUT","FQ3 2020","FQ3 2020","Currency=USD","Period=FQ","BEST_FPERIOD_OVERRIDE=FQ","FILING_STATUS=MR","Sort=A","Dates=H","DateFormat=P","Fill=—","Direction=H","UseDPDF=Y")</f>
        <v>3.3170000000000002</v>
      </c>
      <c r="K20" s="13">
        <f>_xll.BDH("BLUE US Equity","BS_SH_OUT","FQ4 2020","FQ4 2020","Currency=USD","Period=FQ","BEST_FPERIOD_OVERRIDE=FQ","FILING_STATUS=MR","Sort=A","Dates=H","DateFormat=P","Fill=—","Direction=H","UseDPDF=Y")</f>
        <v>3.3216000000000001</v>
      </c>
      <c r="L20" s="13">
        <f>_xll.BDH("BLUE US Equity","BS_SH_OUT","FQ1 2021","FQ1 2021","Currency=USD","Period=FQ","BEST_FPERIOD_OVERRIDE=FQ","FILING_STATUS=MR","Sort=A","Dates=H","DateFormat=P","Fill=—","Direction=H","UseDPDF=Y")</f>
        <v>3.3711000000000002</v>
      </c>
      <c r="M20" s="13">
        <f>_xll.BDH("BLUE US Equity","BS_SH_OUT","FQ2 2021","FQ2 2021","Currency=USD","Period=FQ","BEST_FPERIOD_OVERRIDE=FQ","FILING_STATUS=MR","Sort=A","Dates=H","DateFormat=P","Fill=—","Direction=H","UseDPDF=Y")</f>
        <v>3.3776000000000002</v>
      </c>
      <c r="N20" s="13">
        <f>_xll.BDH("BLUE US Equity","BS_SH_OUT","FQ3 2021","FQ3 2021","Currency=USD","Period=FQ","BEST_FPERIOD_OVERRIDE=FQ","FILING_STATUS=MR","Sort=A","Dates=H","DateFormat=P","Fill=—","Direction=H","UseDPDF=Y")</f>
        <v>3.5049000000000001</v>
      </c>
      <c r="O20" s="13">
        <f>_xll.BDH("BLUE US Equity","BS_SH_OUT","FQ4 2021","FQ4 2021","Currency=USD","Period=FQ","BEST_FPERIOD_OVERRIDE=FQ","FILING_STATUS=MR","Sort=A","Dates=H","DateFormat=P","Fill=—","Direction=H","UseDPDF=Y")</f>
        <v>3.5558000000000001</v>
      </c>
      <c r="P20" s="13">
        <f>_xll.BDH("BLUE US Equity","BS_SH_OUT","FQ1 2022","FQ1 2022","Currency=USD","Period=FQ","BEST_FPERIOD_OVERRIDE=FQ","FILING_STATUS=MR","Sort=A","Dates=H","DateFormat=P","Fill=—","Direction=H","UseDPDF=Y")</f>
        <v>3.5718999999999999</v>
      </c>
      <c r="Q20" s="13">
        <f>_xll.BDH("BLUE US Equity","BS_SH_OUT","FQ2 2022","FQ2 2022","Currency=USD","Period=FQ","BEST_FPERIOD_OVERRIDE=FQ","FILING_STATUS=MR","Sort=A","Dates=H","DateFormat=P","Fill=—","Direction=H","UseDPDF=Y")</f>
        <v>3.6776</v>
      </c>
      <c r="R20" s="13">
        <f>_xll.BDH("BLUE US Equity","BS_SH_OUT","FQ3 2022","FQ3 2022","Currency=USD","Period=FQ","BEST_FPERIOD_OVERRIDE=FQ","FILING_STATUS=MR","Sort=A","Dates=H","DateFormat=P","Fill=—","Direction=H","UseDPDF=Y")</f>
        <v>4.1440000000000001</v>
      </c>
      <c r="S20" s="13">
        <f>_xll.BDH("BLUE US Equity","BS_SH_OUT","FQ4 2022","FQ4 2022","Currency=USD","Period=FQ","BEST_FPERIOD_OVERRIDE=FQ","FILING_STATUS=MR","Sort=A","Dates=H","DateFormat=P","Fill=—","Direction=H","UseDPDF=Y")</f>
        <v>4.1462000000000003</v>
      </c>
      <c r="T20" s="13">
        <f>_xll.BDH("BLUE US Equity","BS_SH_OUT","FQ1 2023","FQ1 2023","Currency=USD","Period=FQ","BEST_FPERIOD_OVERRIDE=FQ","FILING_STATUS=MR","Sort=A","Dates=H","DateFormat=P","Fill=—","Direction=H","UseDPDF=Y")</f>
        <v>5.3185000000000002</v>
      </c>
      <c r="U20" s="13">
        <f>_xll.BDH("BLUE US Equity","BS_SH_OUT","FQ2 2023","FQ2 2023","Currency=USD","Period=FQ","BEST_FPERIOD_OVERRIDE=FQ","FILING_STATUS=MR","Sort=A","Dates=H","DateFormat=P","Fill=—","Direction=H","UseDPDF=Y")</f>
        <v>5.3227000000000002</v>
      </c>
      <c r="V20" s="13">
        <f>_xll.BDH("BLUE US Equity","BS_SH_OUT","FQ3 2023","FQ3 2023","Currency=USD","Period=FQ","BEST_FPERIOD_OVERRIDE=FQ","FILING_STATUS=MR","Sort=A","Dates=H","DateFormat=P","Fill=—","Direction=H","UseDPDF=Y")</f>
        <v>5.3510999999999997</v>
      </c>
      <c r="W20" s="13">
        <f>_xll.BDH("BLUE US Equity","BS_SH_OUT","FQ4 2023","FQ4 2023","Currency=USD","Period=FQ","BEST_FPERIOD_OVERRIDE=FQ","FILING_STATUS=MR","Sort=A","Dates=H","DateFormat=P","Fill=—","Direction=H","UseDPDF=Y")</f>
        <v>9.6386000000000003</v>
      </c>
      <c r="X20" s="13">
        <f>_xll.BDH("BLUE US Equity","BS_SH_OUT","FQ1 2024","FQ1 2024","Currency=USD","Period=FQ","BEST_FPERIOD_OVERRIDE=FQ","FILING_STATUS=MR","Sort=A","Dates=H","DateFormat=P","Fill=—","Direction=H","UseDPDF=Y")</f>
        <v>9.6791999999999998</v>
      </c>
      <c r="Y20" s="13">
        <f>_xll.BDH("BLUE US Equity","BS_SH_OUT","FQ2 2024","FQ2 2024","Currency=USD","Period=FQ","BEST_FPERIOD_OVERRIDE=FQ","FILING_STATUS=MR","Sort=A","Dates=H","DateFormat=P","Fill=—","Direction=H","UseDPDF=Y")</f>
        <v>9.6928000000000001</v>
      </c>
      <c r="Z20" s="13">
        <f>_xll.BDH("BLUE US Equity","BS_SH_OUT","FQ3 2024","FQ3 2024","Currency=USD","Period=FQ","BEST_FPERIOD_OVERRIDE=FQ","FILING_STATUS=MR","Sort=A","Dates=H","DateFormat=P","Fill=—","Direction=H","UseDPDF=Y")</f>
        <v>9.6959</v>
      </c>
      <c r="AA20" s="13">
        <f>_xll.BDH("BLUE US Equity","BS_SH_OUT","FQ4 2024","FQ4 2024","Currency=USD","Period=FQ","BEST_FPERIOD_OVERRIDE=FQ","FILING_STATUS=MR","Sort=A","Dates=H","DateFormat=P","Fill=—","Direction=H","UseDPDF=Y")</f>
        <v>9.7279999999999998</v>
      </c>
    </row>
    <row r="21" spans="1:27" x14ac:dyDescent="0.25">
      <c r="A21" s="10" t="s">
        <v>122</v>
      </c>
      <c r="B21" s="10" t="s">
        <v>123</v>
      </c>
      <c r="C21" s="13">
        <f>_xll.BDH("BLUE US Equity","ARD_SHARE_OUT_FROM_FRONT_COVER","FQ4 2018","FQ4 2018","Currency=USD","Period=FQ","BEST_FPERIOD_OVERRIDE=FQ","FILING_STATUS=MR","Sort=A","Dates=H","DateFormat=P","Fill=—","Direction=H","UseDPDF=Y")</f>
        <v>54.9512</v>
      </c>
      <c r="D21" s="13">
        <f>_xll.BDH("BLUE US Equity","ARD_SHARE_OUT_FROM_FRONT_COVER","FQ1 2019","FQ1 2019","Currency=USD","Period=FQ","BEST_FPERIOD_OVERRIDE=FQ","FILING_STATUS=MR","Sort=A","Dates=H","DateFormat=P","Fill=—","Direction=H","UseDPDF=Y")</f>
        <v>55.1233</v>
      </c>
      <c r="E21" s="13">
        <f>_xll.BDH("BLUE US Equity","ARD_SHARE_OUT_FROM_FRONT_COVER","FQ2 2019","FQ2 2019","Currency=USD","Period=FQ","BEST_FPERIOD_OVERRIDE=FQ","FILING_STATUS=MR","Sort=A","Dates=H","DateFormat=P","Fill=—","Direction=H","UseDPDF=Y")</f>
        <v>55.269199999999998</v>
      </c>
      <c r="F21" s="13">
        <f>_xll.BDH("BLUE US Equity","ARD_SHARE_OUT_FROM_FRONT_COVER","FQ3 2019","FQ3 2019","Currency=USD","Period=FQ","BEST_FPERIOD_OVERRIDE=FQ","FILING_STATUS=MR","Sort=A","Dates=H","DateFormat=P","Fill=—","Direction=H","UseDPDF=Y")</f>
        <v>55.331000000000003</v>
      </c>
      <c r="G21" s="13">
        <f>_xll.BDH("BLUE US Equity","ARD_SHARE_OUT_FROM_FRONT_COVER","FQ4 2019","FQ4 2019","Currency=USD","Period=FQ","BEST_FPERIOD_OVERRIDE=FQ","FILING_STATUS=MR","Sort=A","Dates=H","DateFormat=P","Fill=—","Direction=H","UseDPDF=Y")</f>
        <v>55.611600000000003</v>
      </c>
      <c r="H21" s="13">
        <f>_xll.BDH("BLUE US Equity","ARD_SHARE_OUT_FROM_FRONT_COVER","FQ1 2020","FQ1 2020","Currency=USD","Period=FQ","BEST_FPERIOD_OVERRIDE=FQ","FILING_STATUS=MR","Sort=A","Dates=H","DateFormat=P","Fill=—","Direction=H","UseDPDF=Y")</f>
        <v>55.652099999999997</v>
      </c>
      <c r="I21" s="13">
        <f>_xll.BDH("BLUE US Equity","ARD_SHARE_OUT_FROM_FRONT_COVER","FQ2 2020","FQ2 2020","Currency=USD","Period=FQ","BEST_FPERIOD_OVERRIDE=FQ","FILING_STATUS=MR","Sort=A","Dates=H","DateFormat=P","Fill=—","Direction=H","UseDPDF=Y")</f>
        <v>66.222999999999999</v>
      </c>
      <c r="J21" s="13">
        <f>_xll.BDH("BLUE US Equity","ARD_SHARE_OUT_FROM_FRONT_COVER","FQ3 2020","FQ3 2020","Currency=USD","Period=FQ","BEST_FPERIOD_OVERRIDE=FQ","FILING_STATUS=MR","Sort=A","Dates=H","DateFormat=P","Fill=—","Direction=H","UseDPDF=Y")</f>
        <v>66.3733</v>
      </c>
      <c r="K21" s="13">
        <f>_xll.BDH("BLUE US Equity","ARD_SHARE_OUT_FROM_FRONT_COVER","FQ4 2020","FQ4 2020","Currency=USD","Period=FQ","BEST_FPERIOD_OVERRIDE=FQ","FILING_STATUS=MR","Sort=A","Dates=H","DateFormat=P","Fill=—","Direction=H","UseDPDF=Y")</f>
        <v>67.141000000000005</v>
      </c>
      <c r="L21" s="13">
        <f>_xll.BDH("BLUE US Equity","ARD_SHARE_OUT_FROM_FRONT_COVER","FQ1 2021","FQ1 2021","Currency=USD","Period=FQ","BEST_FPERIOD_OVERRIDE=FQ","FILING_STATUS=MR","Sort=A","Dates=H","DateFormat=P","Fill=—","Direction=H","UseDPDF=Y")</f>
        <v>67.447500000000005</v>
      </c>
      <c r="M21" s="13">
        <f>_xll.BDH("BLUE US Equity","ARD_SHARE_OUT_FROM_FRONT_COVER","FQ2 2021","FQ2 2021","Currency=USD","Period=FQ","BEST_FPERIOD_OVERRIDE=FQ","FILING_STATUS=MR","Sort=A","Dates=H","DateFormat=P","Fill=—","Direction=H","UseDPDF=Y")</f>
        <v>67.578500000000005</v>
      </c>
      <c r="N21" s="13">
        <f>_xll.BDH("BLUE US Equity","ARD_SHARE_OUT_FROM_FRONT_COVER","FQ3 2021","FQ3 2021","Currency=USD","Period=FQ","BEST_FPERIOD_OVERRIDE=FQ","FILING_STATUS=MR","Sort=A","Dates=H","DateFormat=P","Fill=—","Direction=H","UseDPDF=Y")</f>
        <v>70.107299999999995</v>
      </c>
      <c r="O21" s="13">
        <f>_xll.BDH("BLUE US Equity","ARD_SHARE_OUT_FROM_FRONT_COVER","FQ4 2021","FQ4 2021","Currency=USD","Period=FQ","BEST_FPERIOD_OVERRIDE=FQ","FILING_STATUS=MR","Sort=A","Dates=H","DateFormat=P","Fill=—","Direction=H","UseDPDF=Y")</f>
        <v>71.433300000000003</v>
      </c>
      <c r="P21" s="13">
        <f>_xll.BDH("BLUE US Equity","ARD_SHARE_OUT_FROM_FRONT_COVER","FQ1 2022","FQ1 2022","Currency=USD","Period=FQ","BEST_FPERIOD_OVERRIDE=FQ","FILING_STATUS=MR","Sort=A","Dates=H","DateFormat=P","Fill=—","Direction=H","UseDPDF=Y")</f>
        <v>71.453699999999998</v>
      </c>
      <c r="Q21" s="13">
        <f>_xll.BDH("BLUE US Equity","ARD_SHARE_OUT_FROM_FRONT_COVER","FQ2 2022","FQ2 2022","Currency=USD","Period=FQ","BEST_FPERIOD_OVERRIDE=FQ","FILING_STATUS=MR","Sort=A","Dates=H","DateFormat=P","Fill=—","Direction=H","UseDPDF=Y")</f>
        <v>77.121799999999993</v>
      </c>
      <c r="R21" s="13">
        <f>_xll.BDH("BLUE US Equity","ARD_SHARE_OUT_FROM_FRONT_COVER","FQ3 2022","FQ3 2022","Currency=USD","Period=FQ","BEST_FPERIOD_OVERRIDE=FQ","FILING_STATUS=MR","Sort=A","Dates=H","DateFormat=P","Fill=—","Direction=H","UseDPDF=Y")</f>
        <v>82.91</v>
      </c>
      <c r="S21" s="13">
        <f>_xll.BDH("BLUE US Equity","ARD_SHARE_OUT_FROM_FRONT_COVER","FQ4 2022","FQ4 2022","Currency=USD","Period=FQ","BEST_FPERIOD_OVERRIDE=FQ","FILING_STATUS=MR","Sort=A","Dates=H","DateFormat=P","Fill=—","Direction=H","UseDPDF=Y")</f>
        <v>106.3703</v>
      </c>
      <c r="T21" s="13">
        <f>_xll.BDH("BLUE US Equity","ARD_SHARE_OUT_FROM_FRONT_COVER","FQ1 2023","FQ1 2023","Currency=USD","Period=FQ","BEST_FPERIOD_OVERRIDE=FQ","FILING_STATUS=MR","Sort=A","Dates=H","DateFormat=P","Fill=—","Direction=H","UseDPDF=Y")</f>
        <v>106.41200000000001</v>
      </c>
      <c r="U21" s="13">
        <f>_xll.BDH("BLUE US Equity","ARD_SHARE_OUT_FROM_FRONT_COVER","FQ2 2023","FQ2 2023","Currency=USD","Period=FQ","BEST_FPERIOD_OVERRIDE=FQ","FILING_STATUS=MR","Sort=A","Dates=H","DateFormat=P","Fill=—","Direction=H","UseDPDF=Y")</f>
        <v>106.95269999999999</v>
      </c>
      <c r="V21" s="13">
        <f>_xll.BDH("BLUE US Equity","ARD_SHARE_OUT_FROM_FRONT_COVER","FQ3 2023","FQ3 2023","Currency=USD","Period=FQ","BEST_FPERIOD_OVERRIDE=FQ","FILING_STATUS=MR","Sort=A","Dates=H","DateFormat=P","Fill=—","Direction=H","UseDPDF=Y")</f>
        <v>109.33620000000001</v>
      </c>
      <c r="W21" s="13" t="str">
        <f>_xll.BDH("BLUE US Equity","ARD_SHARE_OUT_FROM_FRONT_COVER","FQ4 2023","FQ4 2023","Currency=USD","Period=FQ","BEST_FPERIOD_OVERRIDE=FQ","FILING_STATUS=MR","Sort=A","Dates=H","DateFormat=P","Fill=—","Direction=H","UseDPDF=Y")</f>
        <v>—</v>
      </c>
      <c r="X21" s="13">
        <f>_xll.BDH("BLUE US Equity","ARD_SHARE_OUT_FROM_FRONT_COVER","FQ1 2024","FQ1 2024","Currency=USD","Period=FQ","BEST_FPERIOD_OVERRIDE=FQ","FILING_STATUS=MR","Sort=A","Dates=H","DateFormat=P","Fill=—","Direction=H","UseDPDF=Y")</f>
        <v>193.9136</v>
      </c>
      <c r="Y21" s="13">
        <f>_xll.BDH("BLUE US Equity","ARD_SHARE_OUT_FROM_FRONT_COVER","FQ2 2024","FQ2 2024","Currency=USD","Period=FQ","BEST_FPERIOD_OVERRIDE=FQ","FILING_STATUS=MR","Sort=A","Dates=H","DateFormat=P","Fill=—","Direction=H","UseDPDF=Y")</f>
        <v>193.9136</v>
      </c>
      <c r="Z21" s="13">
        <f>_xll.BDH("BLUE US Equity","ARD_SHARE_OUT_FROM_FRONT_COVER","FQ3 2024","FQ3 2024","Currency=USD","Period=FQ","BEST_FPERIOD_OVERRIDE=FQ","FILING_STATUS=MR","Sort=A","Dates=H","DateFormat=P","Fill=—","Direction=H","UseDPDF=Y")</f>
        <v>194.4443</v>
      </c>
      <c r="AA21" s="13" t="str">
        <f>_xll.BDH("BLUE US Equity","ARD_SHARE_OUT_FROM_FRONT_COVER","FQ4 2024","FQ4 2024","Currency=USD","Period=FQ","BEST_FPERIOD_OVERRIDE=FQ","FILING_STATUS=MR","Sort=A","Dates=H","DateFormat=P","Fill=—","Direction=H","UseDPDF=Y")</f>
        <v>—</v>
      </c>
    </row>
    <row r="22" spans="1:27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0" t="s">
        <v>124</v>
      </c>
      <c r="B23" s="10" t="s">
        <v>85</v>
      </c>
      <c r="C23" s="13">
        <f>_xll.BDH("BLUE US Equity","CF_CASH_FROM_OPER","FQ4 2018","FQ4 2018","Currency=USD","Period=FQ","BEST_FPERIOD_OVERRIDE=FQ","FILING_STATUS=MR","SCALING_FORMAT=MLN","Sort=A","Dates=H","DateFormat=P","Fill=—","Direction=H","UseDPDF=Y")</f>
        <v>-129.73099999999999</v>
      </c>
      <c r="D23" s="13">
        <f>_xll.BDH("BLUE US Equity","CF_CASH_FROM_OPER","FQ1 2019","FQ1 2019","Currency=USD","Period=FQ","BEST_FPERIOD_OVERRIDE=FQ","FILING_STATUS=MR","SCALING_FORMAT=MLN","Sort=A","Dates=H","DateFormat=P","Fill=—","Direction=H","UseDPDF=Y")</f>
        <v>-154.154</v>
      </c>
      <c r="E23" s="13">
        <f>_xll.BDH("BLUE US Equity","CF_CASH_FROM_OPER","FQ2 2019","FQ2 2019","Currency=USD","Period=FQ","BEST_FPERIOD_OVERRIDE=FQ","FILING_STATUS=MR","SCALING_FORMAT=MLN","Sort=A","Dates=H","DateFormat=P","Fill=—","Direction=H","UseDPDF=Y")</f>
        <v>-137.87299999999999</v>
      </c>
      <c r="F23" s="13">
        <f>_xll.BDH("BLUE US Equity","CF_CASH_FROM_OPER","FQ3 2019","FQ3 2019","Currency=USD","Period=FQ","BEST_FPERIOD_OVERRIDE=FQ","FILING_STATUS=MR","SCALING_FORMAT=MLN","Sort=A","Dates=H","DateFormat=P","Fill=—","Direction=H","UseDPDF=Y")</f>
        <v>-113.381</v>
      </c>
      <c r="G23" s="13">
        <f>_xll.BDH("BLUE US Equity","CF_CASH_FROM_OPER","FQ4 2019","FQ4 2019","Currency=USD","Period=FQ","BEST_FPERIOD_OVERRIDE=FQ","FILING_STATUS=MR","SCALING_FORMAT=MLN","Sort=A","Dates=H","DateFormat=P","Fill=—","Direction=H","UseDPDF=Y")</f>
        <v>-158.976</v>
      </c>
      <c r="H23" s="13">
        <f>_xll.BDH("BLUE US Equity","CF_CASH_FROM_OPER","FQ1 2020","FQ1 2020","Currency=USD","Period=FQ","BEST_FPERIOD_OVERRIDE=FQ","FILING_STATUS=MR","SCALING_FORMAT=MLN","Sort=A","Dates=H","DateFormat=P","Fill=—","Direction=H","UseDPDF=Y")</f>
        <v>-206.12100000000001</v>
      </c>
      <c r="I23" s="13">
        <f>_xll.BDH("BLUE US Equity","CF_CASH_FROM_OPER","FQ2 2020","FQ2 2020","Currency=USD","Period=FQ","BEST_FPERIOD_OVERRIDE=FQ","FILING_STATUS=MR","SCALING_FORMAT=MLN","Sort=A","Dates=H","DateFormat=P","Fill=—","Direction=H","UseDPDF=Y")</f>
        <v>39.743000000000002</v>
      </c>
      <c r="J23" s="13">
        <f>_xll.BDH("BLUE US Equity","CF_CASH_FROM_OPER","FQ3 2020","FQ3 2020","Currency=USD","Period=FQ","BEST_FPERIOD_OVERRIDE=FQ","FILING_STATUS=MR","SCALING_FORMAT=MLN","Sort=A","Dates=H","DateFormat=P","Fill=—","Direction=H","UseDPDF=Y")</f>
        <v>-148.78</v>
      </c>
      <c r="K23" s="13">
        <f>_xll.BDH("BLUE US Equity","CF_CASH_FROM_OPER","FQ4 2020","FQ4 2020","Currency=USD","Period=FQ","BEST_FPERIOD_OVERRIDE=FQ","FILING_STATUS=MR","SCALING_FORMAT=MLN","Sort=A","Dates=H","DateFormat=P","Fill=—","Direction=H","UseDPDF=Y")</f>
        <v>-155.19300000000001</v>
      </c>
      <c r="L23" s="13">
        <f>_xll.BDH("BLUE US Equity","CF_CASH_FROM_OPER","FQ1 2021","FQ1 2021","Currency=USD","Period=FQ","BEST_FPERIOD_OVERRIDE=FQ","FILING_STATUS=MR","SCALING_FORMAT=MLN","Sort=A","Dates=H","DateFormat=P","Fill=—","Direction=H","UseDPDF=Y")</f>
        <v>-203.327</v>
      </c>
      <c r="M23" s="13">
        <f>_xll.BDH("BLUE US Equity","CF_CASH_FROM_OPER","FQ2 2021","FQ2 2021","Currency=USD","Period=FQ","BEST_FPERIOD_OVERRIDE=FQ","FILING_STATUS=MR","SCALING_FORMAT=MLN","Sort=A","Dates=H","DateFormat=P","Fill=—","Direction=H","UseDPDF=Y")</f>
        <v>-145.648</v>
      </c>
      <c r="N23" s="13">
        <f>_xll.BDH("BLUE US Equity","CF_CASH_FROM_OPER","FQ3 2021","FQ3 2021","Currency=USD","Period=FQ","BEST_FPERIOD_OVERRIDE=FQ","FILING_STATUS=MR","SCALING_FORMAT=MLN","Sort=A","Dates=H","DateFormat=P","Fill=—","Direction=H","UseDPDF=Y")</f>
        <v>-146.93899999999999</v>
      </c>
      <c r="O23" s="13">
        <f>_xll.BDH("BLUE US Equity","CF_CASH_FROM_OPER","FQ4 2021","FQ4 2021","Currency=USD","Period=FQ","BEST_FPERIOD_OVERRIDE=FQ","FILING_STATUS=MR","SCALING_FORMAT=MLN","Sort=A","Dates=H","DateFormat=P","Fill=—","Direction=H","UseDPDF=Y")</f>
        <v>-139.72499999999999</v>
      </c>
      <c r="P23" s="13">
        <f>_xll.BDH("BLUE US Equity","CF_CASH_FROM_OPER","FQ1 2022","FQ1 2022","Currency=USD","Period=FQ","BEST_FPERIOD_OVERRIDE=FQ","FILING_STATUS=MR","SCALING_FORMAT=MLN","Sort=A","Dates=H","DateFormat=P","Fill=—","Direction=H","UseDPDF=Y")</f>
        <v>-125.29600000000001</v>
      </c>
      <c r="Q23" s="13">
        <f>_xll.BDH("BLUE US Equity","CF_CASH_FROM_OPER","FQ2 2022","FQ2 2022","Currency=USD","Period=FQ","BEST_FPERIOD_OVERRIDE=FQ","FILING_STATUS=MR","SCALING_FORMAT=MLN","Sort=A","Dates=H","DateFormat=P","Fill=—","Direction=H","UseDPDF=Y")</f>
        <v>-94.358000000000004</v>
      </c>
      <c r="R23" s="13">
        <f>_xll.BDH("BLUE US Equity","CF_CASH_FROM_OPER","FQ3 2022","FQ3 2022","Currency=USD","Period=FQ","BEST_FPERIOD_OVERRIDE=FQ","FILING_STATUS=MR","SCALING_FORMAT=MLN","Sort=A","Dates=H","DateFormat=P","Fill=—","Direction=H","UseDPDF=Y")</f>
        <v>-77.025999999999996</v>
      </c>
      <c r="S23" s="13">
        <f>_xll.BDH("BLUE US Equity","CF_CASH_FROM_OPER","FQ4 2022","FQ4 2022","Currency=USD","Period=FQ","BEST_FPERIOD_OVERRIDE=FQ","FILING_STATUS=MR","SCALING_FORMAT=MLN","Sort=A","Dates=H","DateFormat=P","Fill=—","Direction=H","UseDPDF=Y")</f>
        <v>-19.539000000000001</v>
      </c>
      <c r="T23" s="13">
        <f>_xll.BDH("BLUE US Equity","CF_CASH_FROM_OPER","FQ1 2023","FQ1 2023","Currency=USD","Period=FQ","BEST_FPERIOD_OVERRIDE=FQ","FILING_STATUS=MR","SCALING_FORMAT=MLN","Sort=A","Dates=H","DateFormat=P","Fill=—","Direction=H","UseDPDF=Y")</f>
        <v>-71.358000000000004</v>
      </c>
      <c r="U23" s="13">
        <f>_xll.BDH("BLUE US Equity","CF_CASH_FROM_OPER","FQ2 2023","FQ2 2023","Currency=USD","Period=FQ","BEST_FPERIOD_OVERRIDE=FQ","FILING_STATUS=MR","SCALING_FORMAT=MLN","Sort=A","Dates=H","DateFormat=P","Fill=—","Direction=H","UseDPDF=Y")</f>
        <v>-59.500999999999998</v>
      </c>
      <c r="V23" s="13">
        <f>_xll.BDH("BLUE US Equity","CF_CASH_FROM_OPER","FQ3 2023","FQ3 2023","Currency=USD","Period=FQ","BEST_FPERIOD_OVERRIDE=FQ","FILING_STATUS=MR","SCALING_FORMAT=MLN","Sort=A","Dates=H","DateFormat=P","Fill=—","Direction=H","UseDPDF=Y")</f>
        <v>-50.051000000000002</v>
      </c>
      <c r="W23" s="13">
        <f>_xll.BDH("BLUE US Equity","CF_CASH_FROM_OPER","FQ4 2023","FQ4 2023","Currency=USD","Period=FQ","BEST_FPERIOD_OVERRIDE=FQ","FILING_STATUS=MR","SCALING_FORMAT=MLN","Sort=A","Dates=H","DateFormat=P","Fill=—","Direction=H","UseDPDF=Y")</f>
        <v>-13.837</v>
      </c>
      <c r="X23" s="13">
        <f>_xll.BDH("BLUE US Equity","CF_CASH_FROM_OPER","FQ1 2024","FQ1 2024","Currency=USD","Period=FQ","BEST_FPERIOD_OVERRIDE=FQ","FILING_STATUS=MR","SCALING_FORMAT=MLN","Sort=A","Dates=H","DateFormat=P","Fill=—","Direction=H","UseDPDF=Y")</f>
        <v>-74.676000000000002</v>
      </c>
      <c r="Y23" s="13">
        <f>_xll.BDH("BLUE US Equity","CF_CASH_FROM_OPER","FQ2 2024","FQ2 2024","Currency=USD","Period=FQ","BEST_FPERIOD_OVERRIDE=FQ","FILING_STATUS=MR","SCALING_FORMAT=MLN","Sort=A","Dates=H","DateFormat=P","Fill=—","Direction=H","UseDPDF=Y")</f>
        <v>-66.251999999999995</v>
      </c>
      <c r="Z23" s="13">
        <f>_xll.BDH("BLUE US Equity","CF_CASH_FROM_OPER","FQ3 2024","FQ3 2024","Currency=USD","Period=FQ","BEST_FPERIOD_OVERRIDE=FQ","FILING_STATUS=MR","SCALING_FORMAT=MLN","Sort=A","Dates=H","DateFormat=P","Fill=—","Direction=H","UseDPDF=Y")</f>
        <v>-68.927999999999997</v>
      </c>
      <c r="AA23" s="13">
        <f>_xll.BDH("BLUE US Equity","CF_CASH_FROM_OPER","FQ4 2024","FQ4 2024","Currency=USD","Period=FQ","BEST_FPERIOD_OVERRIDE=FQ","FILING_STATUS=MR","SCALING_FORMAT=MLN","Sort=A","Dates=H","DateFormat=P","Fill=—","Direction=H","UseDPDF=Y")</f>
        <v>-50.164000000000001</v>
      </c>
    </row>
    <row r="24" spans="1:27" x14ac:dyDescent="0.25">
      <c r="A24" s="10" t="s">
        <v>125</v>
      </c>
      <c r="B24" s="10" t="s">
        <v>126</v>
      </c>
      <c r="C24" s="13">
        <f>_xll.BDH("BLUE US Equity","CF_CASH_FROM_INV_ACT","FQ4 2018","FQ4 2018","Currency=USD","Period=FQ","BEST_FPERIOD_OVERRIDE=FQ","FILING_STATUS=MR","SCALING_FORMAT=MLN","Sort=A","Dates=H","DateFormat=P","Fill=—","Direction=H","UseDPDF=Y")</f>
        <v>-421.09100000000001</v>
      </c>
      <c r="D24" s="13">
        <f>_xll.BDH("BLUE US Equity","CF_CASH_FROM_INV_ACT","FQ1 2019","FQ1 2019","Currency=USD","Period=FQ","BEST_FPERIOD_OVERRIDE=FQ","FILING_STATUS=MR","SCALING_FORMAT=MLN","Sort=A","Dates=H","DateFormat=P","Fill=—","Direction=H","UseDPDF=Y")</f>
        <v>-36.912999999999997</v>
      </c>
      <c r="E24" s="13">
        <f>_xll.BDH("BLUE US Equity","CF_CASH_FROM_INV_ACT","FQ2 2019","FQ2 2019","Currency=USD","Period=FQ","BEST_FPERIOD_OVERRIDE=FQ","FILING_STATUS=MR","SCALING_FORMAT=MLN","Sort=A","Dates=H","DateFormat=P","Fill=—","Direction=H","UseDPDF=Y")</f>
        <v>232.42599999999999</v>
      </c>
      <c r="F24" s="13">
        <f>_xll.BDH("BLUE US Equity","CF_CASH_FROM_INV_ACT","FQ3 2019","FQ3 2019","Currency=USD","Period=FQ","BEST_FPERIOD_OVERRIDE=FQ","FILING_STATUS=MR","SCALING_FORMAT=MLN","Sort=A","Dates=H","DateFormat=P","Fill=—","Direction=H","UseDPDF=Y")</f>
        <v>129.041</v>
      </c>
      <c r="G24" s="13">
        <f>_xll.BDH("BLUE US Equity","CF_CASH_FROM_INV_ACT","FQ4 2019","FQ4 2019","Currency=USD","Period=FQ","BEST_FPERIOD_OVERRIDE=FQ","FILING_STATUS=MR","SCALING_FORMAT=MLN","Sort=A","Dates=H","DateFormat=P","Fill=—","Direction=H","UseDPDF=Y")</f>
        <v>183.25299999999999</v>
      </c>
      <c r="H24" s="13">
        <f>_xll.BDH("BLUE US Equity","CF_CASH_FROM_INV_ACT","FQ1 2020","FQ1 2020","Currency=USD","Period=FQ","BEST_FPERIOD_OVERRIDE=FQ","FILING_STATUS=MR","SCALING_FORMAT=MLN","Sort=A","Dates=H","DateFormat=P","Fill=—","Direction=H","UseDPDF=Y")</f>
        <v>224.578</v>
      </c>
      <c r="I24" s="13">
        <f>_xll.BDH("BLUE US Equity","CF_CASH_FROM_INV_ACT","FQ2 2020","FQ2 2020","Currency=USD","Period=FQ","BEST_FPERIOD_OVERRIDE=FQ","FILING_STATUS=MR","SCALING_FORMAT=MLN","Sort=A","Dates=H","DateFormat=P","Fill=—","Direction=H","UseDPDF=Y")</f>
        <v>269.27600000000001</v>
      </c>
      <c r="J24" s="13">
        <f>_xll.BDH("BLUE US Equity","CF_CASH_FROM_INV_ACT","FQ3 2020","FQ3 2020","Currency=USD","Period=FQ","BEST_FPERIOD_OVERRIDE=FQ","FILING_STATUS=MR","SCALING_FORMAT=MLN","Sort=A","Dates=H","DateFormat=P","Fill=—","Direction=H","UseDPDF=Y")</f>
        <v>-727.01499999999999</v>
      </c>
      <c r="K24" s="13">
        <f>_xll.BDH("BLUE US Equity","CF_CASH_FROM_INV_ACT","FQ4 2020","FQ4 2020","Currency=USD","Period=FQ","BEST_FPERIOD_OVERRIDE=FQ","FILING_STATUS=MR","SCALING_FORMAT=MLN","Sort=A","Dates=H","DateFormat=P","Fill=—","Direction=H","UseDPDF=Y")</f>
        <v>148.816</v>
      </c>
      <c r="L24" s="13">
        <f>_xll.BDH("BLUE US Equity","CF_CASH_FROM_INV_ACT","FQ1 2021","FQ1 2021","Currency=USD","Period=FQ","BEST_FPERIOD_OVERRIDE=FQ","FILING_STATUS=MR","SCALING_FORMAT=MLN","Sort=A","Dates=H","DateFormat=P","Fill=—","Direction=H","UseDPDF=Y")</f>
        <v>321.35199999999998</v>
      </c>
      <c r="M24" s="13">
        <f>_xll.BDH("BLUE US Equity","CF_CASH_FROM_INV_ACT","FQ2 2021","FQ2 2021","Currency=USD","Period=FQ","BEST_FPERIOD_OVERRIDE=FQ","FILING_STATUS=MR","SCALING_FORMAT=MLN","Sort=A","Dates=H","DateFormat=P","Fill=—","Direction=H","UseDPDF=Y")</f>
        <v>60.368000000000002</v>
      </c>
      <c r="N24" s="13">
        <f>_xll.BDH("BLUE US Equity","CF_CASH_FROM_INV_ACT","FQ3 2021","FQ3 2021","Currency=USD","Period=FQ","BEST_FPERIOD_OVERRIDE=FQ","FILING_STATUS=MR","SCALING_FORMAT=MLN","Sort=A","Dates=H","DateFormat=P","Fill=—","Direction=H","UseDPDF=Y")</f>
        <v>119.905</v>
      </c>
      <c r="O24" s="13">
        <f>_xll.BDH("BLUE US Equity","CF_CASH_FROM_INV_ACT","FQ4 2021","FQ4 2021","Currency=USD","Period=FQ","BEST_FPERIOD_OVERRIDE=FQ","FILING_STATUS=MR","SCALING_FORMAT=MLN","Sort=A","Dates=H","DateFormat=P","Fill=—","Direction=H","UseDPDF=Y")</f>
        <v>60.932000000000002</v>
      </c>
      <c r="P24" s="13">
        <f>_xll.BDH("BLUE US Equity","CF_CASH_FROM_INV_ACT","FQ1 2022","FQ1 2022","Currency=USD","Period=FQ","BEST_FPERIOD_OVERRIDE=FQ","FILING_STATUS=MR","SCALING_FORMAT=MLN","Sort=A","Dates=H","DateFormat=P","Fill=—","Direction=H","UseDPDF=Y")</f>
        <v>69.926000000000002</v>
      </c>
      <c r="Q24" s="13">
        <f>_xll.BDH("BLUE US Equity","CF_CASH_FROM_INV_ACT","FQ2 2022","FQ2 2022","Currency=USD","Period=FQ","BEST_FPERIOD_OVERRIDE=FQ","FILING_STATUS=MR","SCALING_FORMAT=MLN","Sort=A","Dates=H","DateFormat=P","Fill=—","Direction=H","UseDPDF=Y")</f>
        <v>61.676000000000002</v>
      </c>
      <c r="R24" s="13">
        <f>_xll.BDH("BLUE US Equity","CF_CASH_FROM_INV_ACT","FQ3 2022","FQ3 2022","Currency=USD","Period=FQ","BEST_FPERIOD_OVERRIDE=FQ","FILING_STATUS=MR","SCALING_FORMAT=MLN","Sort=A","Dates=H","DateFormat=P","Fill=—","Direction=H","UseDPDF=Y")</f>
        <v>15.609</v>
      </c>
      <c r="S24" s="13">
        <f>_xll.BDH("BLUE US Equity","CF_CASH_FROM_INV_ACT","FQ4 2022","FQ4 2022","Currency=USD","Period=FQ","BEST_FPERIOD_OVERRIDE=FQ","FILING_STATUS=MR","SCALING_FORMAT=MLN","Sort=A","Dates=H","DateFormat=P","Fill=—","Direction=H","UseDPDF=Y")</f>
        <v>103.242</v>
      </c>
      <c r="T24" s="13">
        <f>_xll.BDH("BLUE US Equity","CF_CASH_FROM_INV_ACT","FQ1 2023","FQ1 2023","Currency=USD","Period=FQ","BEST_FPERIOD_OVERRIDE=FQ","FILING_STATUS=MR","SCALING_FORMAT=MLN","Sort=A","Dates=H","DateFormat=P","Fill=—","Direction=H","UseDPDF=Y")</f>
        <v>82.135999999999996</v>
      </c>
      <c r="U24" s="13">
        <f>_xll.BDH("BLUE US Equity","CF_CASH_FROM_INV_ACT","FQ2 2023","FQ2 2023","Currency=USD","Period=FQ","BEST_FPERIOD_OVERRIDE=FQ","FILING_STATUS=MR","SCALING_FORMAT=MLN","Sort=A","Dates=H","DateFormat=P","Fill=—","Direction=H","UseDPDF=Y")</f>
        <v>6.9450000000000003</v>
      </c>
      <c r="V24" s="13">
        <f>_xll.BDH("BLUE US Equity","CF_CASH_FROM_INV_ACT","FQ3 2023","FQ3 2023","Currency=USD","Period=FQ","BEST_FPERIOD_OVERRIDE=FQ","FILING_STATUS=MR","SCALING_FORMAT=MLN","Sort=A","Dates=H","DateFormat=P","Fill=—","Direction=H","UseDPDF=Y")</f>
        <v>62.082999999999998</v>
      </c>
      <c r="W24" s="13">
        <f>_xll.BDH("BLUE US Equity","CF_CASH_FROM_INV_ACT","FQ4 2023","FQ4 2023","Currency=USD","Period=FQ","BEST_FPERIOD_OVERRIDE=FQ","FILING_STATUS=MR","SCALING_FORMAT=MLN","Sort=A","Dates=H","DateFormat=P","Fill=—","Direction=H","UseDPDF=Y")</f>
        <v>3.786</v>
      </c>
      <c r="X24" s="13">
        <f>_xll.BDH("BLUE US Equity","CF_CASH_FROM_INV_ACT","FQ1 2024","FQ1 2024","Currency=USD","Period=FQ","BEST_FPERIOD_OVERRIDE=FQ","FILING_STATUS=MR","SCALING_FORMAT=MLN","Sort=A","Dates=H","DateFormat=P","Fill=—","Direction=H","UseDPDF=Y")</f>
        <v>-0.65500000000000003</v>
      </c>
      <c r="Y24" s="13">
        <f>_xll.BDH("BLUE US Equity","CF_CASH_FROM_INV_ACT","FQ2 2024","FQ2 2024","Currency=USD","Period=FQ","BEST_FPERIOD_OVERRIDE=FQ","FILING_STATUS=MR","SCALING_FORMAT=MLN","Sort=A","Dates=H","DateFormat=P","Fill=—","Direction=H","UseDPDF=Y")</f>
        <v>1.621</v>
      </c>
      <c r="Z24" s="13">
        <f>_xll.BDH("BLUE US Equity","CF_CASH_FROM_INV_ACT","FQ3 2024","FQ3 2024","Currency=USD","Period=FQ","BEST_FPERIOD_OVERRIDE=FQ","FILING_STATUS=MR","SCALING_FORMAT=MLN","Sort=A","Dates=H","DateFormat=P","Fill=—","Direction=H","UseDPDF=Y")</f>
        <v>0.46600000000000003</v>
      </c>
      <c r="AA24" s="13">
        <f>_xll.BDH("BLUE US Equity","CF_CASH_FROM_INV_ACT","FQ4 2024","FQ4 2024","Currency=USD","Period=FQ","BEST_FPERIOD_OVERRIDE=FQ","FILING_STATUS=MR","SCALING_FORMAT=MLN","Sort=A","Dates=H","DateFormat=P","Fill=—","Direction=H","UseDPDF=Y")</f>
        <v>2.4649999999999999</v>
      </c>
    </row>
    <row r="25" spans="1:27" x14ac:dyDescent="0.25">
      <c r="A25" s="10" t="s">
        <v>127</v>
      </c>
      <c r="B25" s="10" t="s">
        <v>128</v>
      </c>
      <c r="C25" s="13">
        <f>_xll.BDH("BLUE US Equity","CF_CASH_FROM_FNC_ACT","FQ4 2018","FQ4 2018","Currency=USD","Period=FQ","BEST_FPERIOD_OVERRIDE=FQ","FILING_STATUS=MR","SCALING_FORMAT=MLN","Sort=A","Dates=H","DateFormat=P","Fill=—","Direction=H","UseDPDF=Y")</f>
        <v>1.921</v>
      </c>
      <c r="D25" s="13">
        <f>_xll.BDH("BLUE US Equity","CF_CASH_FROM_FNC_ACT","FQ1 2019","FQ1 2019","Currency=USD","Period=FQ","BEST_FPERIOD_OVERRIDE=FQ","FILING_STATUS=MR","SCALING_FORMAT=MLN","Sort=A","Dates=H","DateFormat=P","Fill=—","Direction=H","UseDPDF=Y")</f>
        <v>10.223000000000001</v>
      </c>
      <c r="E25" s="13">
        <f>_xll.BDH("BLUE US Equity","CF_CASH_FROM_FNC_ACT","FQ2 2019","FQ2 2019","Currency=USD","Period=FQ","BEST_FPERIOD_OVERRIDE=FQ","FILING_STATUS=MR","SCALING_FORMAT=MLN","Sort=A","Dates=H","DateFormat=P","Fill=—","Direction=H","UseDPDF=Y")</f>
        <v>4.7809999999999997</v>
      </c>
      <c r="F25" s="13">
        <f>_xll.BDH("BLUE US Equity","CF_CASH_FROM_FNC_ACT","FQ3 2019","FQ3 2019","Currency=USD","Period=FQ","BEST_FPERIOD_OVERRIDE=FQ","FILING_STATUS=MR","SCALING_FORMAT=MLN","Sort=A","Dates=H","DateFormat=P","Fill=—","Direction=H","UseDPDF=Y")</f>
        <v>4.1779999999999999</v>
      </c>
      <c r="G25" s="13">
        <f>_xll.BDH("BLUE US Equity","CF_CASH_FROM_FNC_ACT","FQ4 2019","FQ4 2019","Currency=USD","Period=FQ","BEST_FPERIOD_OVERRIDE=FQ","FILING_STATUS=MR","SCALING_FORMAT=MLN","Sort=A","Dates=H","DateFormat=P","Fill=—","Direction=H","UseDPDF=Y")</f>
        <v>2.0049999999999999</v>
      </c>
      <c r="H25" s="13">
        <f>_xll.BDH("BLUE US Equity","CF_CASH_FROM_FNC_ACT","FQ1 2020","FQ1 2020","Currency=USD","Period=FQ","BEST_FPERIOD_OVERRIDE=FQ","FILING_STATUS=MR","SCALING_FORMAT=MLN","Sort=A","Dates=H","DateFormat=P","Fill=—","Direction=H","UseDPDF=Y")</f>
        <v>0.96299999999999997</v>
      </c>
      <c r="I25" s="13">
        <f>_xll.BDH("BLUE US Equity","CF_CASH_FROM_FNC_ACT","FQ2 2020","FQ2 2020","Currency=USD","Period=FQ","BEST_FPERIOD_OVERRIDE=FQ","FILING_STATUS=MR","SCALING_FORMAT=MLN","Sort=A","Dates=H","DateFormat=P","Fill=—","Direction=H","UseDPDF=Y")</f>
        <v>543.12199999999996</v>
      </c>
      <c r="J25" s="13">
        <f>_xll.BDH("BLUE US Equity","CF_CASH_FROM_FNC_ACT","FQ3 2020","FQ3 2020","Currency=USD","Period=FQ","BEST_FPERIOD_OVERRIDE=FQ","FILING_STATUS=MR","SCALING_FORMAT=MLN","Sort=A","Dates=H","DateFormat=P","Fill=—","Direction=H","UseDPDF=Y")</f>
        <v>1.198</v>
      </c>
      <c r="K25" s="13">
        <f>_xll.BDH("BLUE US Equity","CF_CASH_FROM_FNC_ACT","FQ4 2020","FQ4 2020","Currency=USD","Period=FQ","BEST_FPERIOD_OVERRIDE=FQ","FILING_STATUS=MR","SCALING_FORMAT=MLN","Sort=A","Dates=H","DateFormat=P","Fill=—","Direction=H","UseDPDF=Y")</f>
        <v>1.4319999999999999</v>
      </c>
      <c r="L25" s="13">
        <f>_xll.BDH("BLUE US Equity","CF_CASH_FROM_FNC_ACT","FQ1 2021","FQ1 2021","Currency=USD","Period=FQ","BEST_FPERIOD_OVERRIDE=FQ","FILING_STATUS=MR","SCALING_FORMAT=MLN","Sort=A","Dates=H","DateFormat=P","Fill=—","Direction=H","UseDPDF=Y")</f>
        <v>3.7959999999999998</v>
      </c>
      <c r="M25" s="13">
        <f>_xll.BDH("BLUE US Equity","CF_CASH_FROM_FNC_ACT","FQ2 2021","FQ2 2021","Currency=USD","Period=FQ","BEST_FPERIOD_OVERRIDE=FQ","FILING_STATUS=MR","SCALING_FORMAT=MLN","Sort=A","Dates=H","DateFormat=P","Fill=—","Direction=H","UseDPDF=Y")</f>
        <v>0.39600000000000002</v>
      </c>
      <c r="N25" s="13">
        <f>_xll.BDH("BLUE US Equity","CF_CASH_FROM_FNC_ACT","FQ3 2021","FQ3 2021","Currency=USD","Period=FQ","BEST_FPERIOD_OVERRIDE=FQ","FILING_STATUS=MR","SCALING_FORMAT=MLN","Sort=A","Dates=H","DateFormat=P","Fill=—","Direction=H","UseDPDF=Y")</f>
        <v>75.867999999999995</v>
      </c>
      <c r="O25" s="13">
        <f>_xll.BDH("BLUE US Equity","CF_CASH_FROM_FNC_ACT","FQ4 2021","FQ4 2021","Currency=USD","Period=FQ","BEST_FPERIOD_OVERRIDE=FQ","FILING_STATUS=MR","SCALING_FORMAT=MLN","Sort=A","Dates=H","DateFormat=P","Fill=—","Direction=H","UseDPDF=Y")</f>
        <v>-174.01400000000001</v>
      </c>
      <c r="P25" s="13">
        <f>_xll.BDH("BLUE US Equity","CF_CASH_FROM_FNC_ACT","FQ1 2022","FQ1 2022","Currency=USD","Period=FQ","BEST_FPERIOD_OVERRIDE=FQ","FILING_STATUS=MR","SCALING_FORMAT=MLN","Sort=A","Dates=H","DateFormat=P","Fill=—","Direction=H","UseDPDF=Y")</f>
        <v>8.9999999999999993E-3</v>
      </c>
      <c r="Q25" s="13">
        <f>_xll.BDH("BLUE US Equity","CF_CASH_FROM_FNC_ACT","FQ2 2022","FQ2 2022","Currency=USD","Period=FQ","BEST_FPERIOD_OVERRIDE=FQ","FILING_STATUS=MR","SCALING_FORMAT=MLN","Sort=A","Dates=H","DateFormat=P","Fill=—","Direction=H","UseDPDF=Y")</f>
        <v>8.0340000000000007</v>
      </c>
      <c r="R25" s="13">
        <f>_xll.BDH("BLUE US Equity","CF_CASH_FROM_FNC_ACT","FQ3 2022","FQ3 2022","Currency=USD","Period=FQ","BEST_FPERIOD_OVERRIDE=FQ","FILING_STATUS=MR","SCALING_FORMAT=MLN","Sort=A","Dates=H","DateFormat=P","Fill=—","Direction=H","UseDPDF=Y")</f>
        <v>46.325000000000003</v>
      </c>
      <c r="S25" s="13">
        <f>_xll.BDH("BLUE US Equity","CF_CASH_FROM_FNC_ACT","FQ4 2022","FQ4 2022","Currency=USD","Period=FQ","BEST_FPERIOD_OVERRIDE=FQ","FILING_STATUS=MR","SCALING_FORMAT=MLN","Sort=A","Dates=H","DateFormat=P","Fill=—","Direction=H","UseDPDF=Y")</f>
        <v>-36.848999999999997</v>
      </c>
      <c r="T25" s="13">
        <f>_xll.BDH("BLUE US Equity","CF_CASH_FROM_FNC_ACT","FQ1 2023","FQ1 2023","Currency=USD","Period=FQ","BEST_FPERIOD_OVERRIDE=FQ","FILING_STATUS=MR","SCALING_FORMAT=MLN","Sort=A","Dates=H","DateFormat=P","Fill=—","Direction=H","UseDPDF=Y")</f>
        <v>115.176</v>
      </c>
      <c r="U25" s="13">
        <f>_xll.BDH("BLUE US Equity","CF_CASH_FROM_FNC_ACT","FQ2 2023","FQ2 2023","Currency=USD","Period=FQ","BEST_FPERIOD_OVERRIDE=FQ","FILING_STATUS=MR","SCALING_FORMAT=MLN","Sort=A","Dates=H","DateFormat=P","Fill=—","Direction=H","UseDPDF=Y")</f>
        <v>-13.669</v>
      </c>
      <c r="V25" s="13">
        <f>_xll.BDH("BLUE US Equity","CF_CASH_FROM_FNC_ACT","FQ3 2023","FQ3 2023","Currency=USD","Period=FQ","BEST_FPERIOD_OVERRIDE=FQ","FILING_STATUS=MR","SCALING_FORMAT=MLN","Sort=A","Dates=H","DateFormat=P","Fill=—","Direction=H","UseDPDF=Y")</f>
        <v>-11.837</v>
      </c>
      <c r="W25" s="13">
        <f>_xll.BDH("BLUE US Equity","CF_CASH_FROM_FNC_ACT","FQ4 2023","FQ4 2023","Currency=USD","Period=FQ","BEST_FPERIOD_OVERRIDE=FQ","FILING_STATUS=MR","SCALING_FORMAT=MLN","Sort=A","Dates=H","DateFormat=P","Fill=—","Direction=H","UseDPDF=Y")</f>
        <v>66.278999999999996</v>
      </c>
      <c r="X25" s="13">
        <f>_xll.BDH("BLUE US Equity","CF_CASH_FROM_FNC_ACT","FQ1 2024","FQ1 2024","Currency=USD","Period=FQ","BEST_FPERIOD_OVERRIDE=FQ","FILING_STATUS=MR","SCALING_FORMAT=MLN","Sort=A","Dates=H","DateFormat=P","Fill=—","Direction=H","UseDPDF=Y")</f>
        <v>64.644999999999996</v>
      </c>
      <c r="Y25" s="13">
        <f>_xll.BDH("BLUE US Equity","CF_CASH_FROM_FNC_ACT","FQ2 2024","FQ2 2024","Currency=USD","Period=FQ","BEST_FPERIOD_OVERRIDE=FQ","FILING_STATUS=MR","SCALING_FORMAT=MLN","Sort=A","Dates=H","DateFormat=P","Fill=—","Direction=H","UseDPDF=Y")</f>
        <v>-6.0609999999999999</v>
      </c>
      <c r="Z25" s="13">
        <f>_xll.BDH("BLUE US Equity","CF_CASH_FROM_FNC_ACT","FQ3 2024","FQ3 2024","Currency=USD","Period=FQ","BEST_FPERIOD_OVERRIDE=FQ","FILING_STATUS=MR","SCALING_FORMAT=MLN","Sort=A","Dates=H","DateFormat=P","Fill=—","Direction=H","UseDPDF=Y")</f>
        <v>-6.1050000000000004</v>
      </c>
      <c r="AA25" s="13">
        <f>_xll.BDH("BLUE US Equity","CF_CASH_FROM_FNC_ACT","FQ4 2024","FQ4 2024","Currency=USD","Period=FQ","BEST_FPERIOD_OVERRIDE=FQ","FILING_STATUS=MR","SCALING_FORMAT=MLN","Sort=A","Dates=H","DateFormat=P","Fill=—","Direction=H","UseDPDF=Y")</f>
        <v>34.99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593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1075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1076</v>
      </c>
      <c r="B7" s="10" t="s">
        <v>1077</v>
      </c>
      <c r="C7" s="13">
        <f>_xll.BDH("BLUE US Equity","CF_NET_INC","FQ4 2018","FQ4 2018","Currency=USD","Period=FQ","BEST_FPERIOD_OVERRIDE=FQ","FILING_STATUS=MR","SCALING_FORMAT=MLN","Sort=A","Dates=H","DateFormat=P","Fill=—","Direction=H","UseDPDF=Y")</f>
        <v>-149.023</v>
      </c>
      <c r="D7" s="13">
        <f>_xll.BDH("BLUE US Equity","CF_NET_INC","FQ1 2019","FQ1 2019","Currency=USD","Period=FQ","BEST_FPERIOD_OVERRIDE=FQ","FILING_STATUS=MR","SCALING_FORMAT=MLN","Sort=A","Dates=H","DateFormat=P","Fill=—","Direction=H","UseDPDF=Y")</f>
        <v>-164.446</v>
      </c>
      <c r="E7" s="13">
        <f>_xll.BDH("BLUE US Equity","CF_NET_INC","FQ2 2019","FQ2 2019","Currency=USD","Period=FQ","BEST_FPERIOD_OVERRIDE=FQ","FILING_STATUS=MR","SCALING_FORMAT=MLN","Sort=A","Dates=H","DateFormat=P","Fill=—","Direction=H","UseDPDF=Y")</f>
        <v>-195.78200000000001</v>
      </c>
      <c r="F7" s="13">
        <f>_xll.BDH("BLUE US Equity","CF_NET_INC","FQ3 2019","FQ3 2019","Currency=USD","Period=FQ","BEST_FPERIOD_OVERRIDE=FQ","FILING_STATUS=MR","SCALING_FORMAT=MLN","Sort=A","Dates=H","DateFormat=P","Fill=—","Direction=H","UseDPDF=Y")</f>
        <v>-206.03299999999999</v>
      </c>
      <c r="G7" s="13">
        <f>_xll.BDH("BLUE US Equity","CF_NET_INC","FQ4 2019","FQ4 2019","Currency=USD","Period=FQ","BEST_FPERIOD_OVERRIDE=FQ","FILING_STATUS=MR","SCALING_FORMAT=MLN","Sort=A","Dates=H","DateFormat=P","Fill=—","Direction=H","UseDPDF=Y")</f>
        <v>-223.34700000000001</v>
      </c>
      <c r="H7" s="13">
        <f>_xll.BDH("BLUE US Equity","CF_NET_INC","FQ1 2020","FQ1 2020","Currency=USD","Period=FQ","BEST_FPERIOD_OVERRIDE=FQ","FILING_STATUS=MR","SCALING_FORMAT=MLN","Sort=A","Dates=H","DateFormat=P","Fill=—","Direction=H","UseDPDF=Y")</f>
        <v>-202.61099999999999</v>
      </c>
      <c r="I7" s="13">
        <f>_xll.BDH("BLUE US Equity","CF_NET_INC","FQ2 2020","FQ2 2020","Currency=USD","Period=FQ","BEST_FPERIOD_OVERRIDE=FQ","FILING_STATUS=MR","SCALING_FORMAT=MLN","Sort=A","Dates=H","DateFormat=P","Fill=—","Direction=H","UseDPDF=Y")</f>
        <v>-21.465</v>
      </c>
      <c r="J7" s="13">
        <f>_xll.BDH("BLUE US Equity","CF_NET_INC","FQ3 2020","FQ3 2020","Currency=USD","Period=FQ","BEST_FPERIOD_OVERRIDE=FQ","FILING_STATUS=MR","SCALING_FORMAT=MLN","Sort=A","Dates=H","DateFormat=P","Fill=—","Direction=H","UseDPDF=Y")</f>
        <v>-194.745</v>
      </c>
      <c r="K7" s="13">
        <f>_xll.BDH("BLUE US Equity","CF_NET_INC","FQ4 2020","FQ4 2020","Currency=USD","Period=FQ","BEST_FPERIOD_OVERRIDE=FQ","FILING_STATUS=MR","SCALING_FORMAT=MLN","Sort=A","Dates=H","DateFormat=P","Fill=—","Direction=H","UseDPDF=Y")</f>
        <v>-199.874</v>
      </c>
      <c r="L7" s="13">
        <f>_xll.BDH("BLUE US Equity","CF_NET_INC","FQ1 2021","FQ1 2021","Currency=USD","Period=FQ","BEST_FPERIOD_OVERRIDE=FQ","FILING_STATUS=MR","SCALING_FORMAT=MLN","Sort=A","Dates=H","DateFormat=P","Fill=—","Direction=H","UseDPDF=Y")</f>
        <v>-205.80799999999999</v>
      </c>
      <c r="M7" s="13">
        <f>_xll.BDH("BLUE US Equity","CF_NET_INC","FQ2 2021","FQ2 2021","Currency=USD","Period=FQ","BEST_FPERIOD_OVERRIDE=FQ","FILING_STATUS=MR","SCALING_FORMAT=MLN","Sort=A","Dates=H","DateFormat=P","Fill=—","Direction=H","UseDPDF=Y")</f>
        <v>-241.702</v>
      </c>
      <c r="N7" s="13">
        <f>_xll.BDH("BLUE US Equity","CF_NET_INC","FQ3 2021","FQ3 2021","Currency=USD","Period=FQ","BEST_FPERIOD_OVERRIDE=FQ","FILING_STATUS=MR","SCALING_FORMAT=MLN","Sort=A","Dates=H","DateFormat=P","Fill=—","Direction=H","UseDPDF=Y")</f>
        <v>-216.816</v>
      </c>
      <c r="O7" s="13">
        <f>_xll.BDH("BLUE US Equity","CF_NET_INC","FQ4 2021","FQ4 2021","Currency=USD","Period=FQ","BEST_FPERIOD_OVERRIDE=FQ","FILING_STATUS=MR","SCALING_FORMAT=MLN","Sort=A","Dates=H","DateFormat=P","Fill=—","Direction=H","UseDPDF=Y")</f>
        <v>-155.05199999999999</v>
      </c>
      <c r="P7" s="13">
        <f>_xll.BDH("BLUE US Equity","CF_NET_INC","FQ1 2022","FQ1 2022","Currency=USD","Period=FQ","BEST_FPERIOD_OVERRIDE=FQ","FILING_STATUS=MR","SCALING_FORMAT=MLN","Sort=A","Dates=H","DateFormat=P","Fill=—","Direction=H","UseDPDF=Y")</f>
        <v>-122.152</v>
      </c>
      <c r="Q7" s="13">
        <f>_xll.BDH("BLUE US Equity","CF_NET_INC","FQ2 2022","FQ2 2022","Currency=USD","Period=FQ","BEST_FPERIOD_OVERRIDE=FQ","FILING_STATUS=MR","SCALING_FORMAT=MLN","Sort=A","Dates=H","DateFormat=P","Fill=—","Direction=H","UseDPDF=Y")</f>
        <v>-100.13800000000001</v>
      </c>
      <c r="R7" s="13">
        <f>_xll.BDH("BLUE US Equity","CF_NET_INC","FQ3 2022","FQ3 2022","Currency=USD","Period=FQ","BEST_FPERIOD_OVERRIDE=FQ","FILING_STATUS=MR","SCALING_FORMAT=MLN","Sort=A","Dates=H","DateFormat=P","Fill=—","Direction=H","UseDPDF=Y")</f>
        <v>-76.52</v>
      </c>
      <c r="S7" s="13">
        <f>_xll.BDH("BLUE US Equity","CF_NET_INC","FQ4 2022","FQ4 2022","Currency=USD","Period=FQ","BEST_FPERIOD_OVERRIDE=FQ","FILING_STATUS=MR","SCALING_FORMAT=MLN","Sort=A","Dates=H","DateFormat=P","Fill=—","Direction=H","UseDPDF=Y")</f>
        <v>68.468000000000004</v>
      </c>
      <c r="T7" s="13">
        <f>_xll.BDH("BLUE US Equity","CF_NET_INC","FQ1 2023","FQ1 2023","Currency=USD","Period=FQ","BEST_FPERIOD_OVERRIDE=FQ","FILING_STATUS=MR","SCALING_FORMAT=MLN","Sort=A","Dates=H","DateFormat=P","Fill=—","Direction=H","UseDPDF=Y")</f>
        <v>18.93</v>
      </c>
      <c r="U7" s="13">
        <f>_xll.BDH("BLUE US Equity","CF_NET_INC","FQ2 2023","FQ2 2023","Currency=USD","Period=FQ","BEST_FPERIOD_OVERRIDE=FQ","FILING_STATUS=MR","SCALING_FORMAT=MLN","Sort=A","Dates=H","DateFormat=P","Fill=—","Direction=H","UseDPDF=Y")</f>
        <v>-62.789000000000001</v>
      </c>
      <c r="V7" s="13">
        <f>_xll.BDH("BLUE US Equity","CF_NET_INC","FQ3 2023","FQ3 2023","Currency=USD","Period=FQ","BEST_FPERIOD_OVERRIDE=FQ","FILING_STATUS=MR","SCALING_FORMAT=MLN","Sort=A","Dates=H","DateFormat=P","Fill=—","Direction=H","UseDPDF=Y")</f>
        <v>-87.231999999999999</v>
      </c>
      <c r="W7" s="13">
        <f>_xll.BDH("BLUE US Equity","CF_NET_INC","FQ4 2023","FQ4 2023","Currency=USD","Period=FQ","BEST_FPERIOD_OVERRIDE=FQ","FILING_STATUS=MR","SCALING_FORMAT=MLN","Sort=A","Dates=H","DateFormat=P","Fill=—","Direction=H","UseDPDF=Y")</f>
        <v>-88.513999999999996</v>
      </c>
      <c r="X7" s="13">
        <f>_xll.BDH("BLUE US Equity","CF_NET_INC","FQ1 2024","FQ1 2024","Currency=USD","Period=FQ","BEST_FPERIOD_OVERRIDE=FQ","FILING_STATUS=MR","SCALING_FORMAT=MLN","Sort=A","Dates=H","DateFormat=P","Fill=—","Direction=H","UseDPDF=Y")</f>
        <v>-69.804000000000002</v>
      </c>
      <c r="Y7" s="13">
        <f>_xll.BDH("BLUE US Equity","CF_NET_INC","FQ2 2024","FQ2 2024","Currency=USD","Period=FQ","BEST_FPERIOD_OVERRIDE=FQ","FILING_STATUS=MR","SCALING_FORMAT=MLN","Sort=A","Dates=H","DateFormat=P","Fill=—","Direction=H","UseDPDF=Y")</f>
        <v>-81.393000000000001</v>
      </c>
      <c r="Z7" s="13">
        <f>_xll.BDH("BLUE US Equity","CF_NET_INC","FQ3 2024","FQ3 2024","Currency=USD","Period=FQ","BEST_FPERIOD_OVERRIDE=FQ","FILING_STATUS=MR","SCALING_FORMAT=MLN","Sort=A","Dates=H","DateFormat=P","Fill=—","Direction=H","UseDPDF=Y")</f>
        <v>-60.805999999999997</v>
      </c>
      <c r="AA7" s="13">
        <f>_xll.BDH("BLUE US Equity","CF_NET_INC","FQ4 2024","FQ4 2024","Currency=USD","Period=FQ","BEST_FPERIOD_OVERRIDE=FQ","FILING_STATUS=MR","SCALING_FORMAT=MLN","Sort=A","Dates=H","DateFormat=P","Fill=—","Direction=H","UseDPDF=Y")</f>
        <v>-28.712</v>
      </c>
    </row>
    <row r="8" spans="1:27" x14ac:dyDescent="0.25">
      <c r="A8" s="10" t="s">
        <v>533</v>
      </c>
      <c r="B8" s="10" t="s">
        <v>1078</v>
      </c>
      <c r="C8" s="13">
        <f>_xll.BDH("BLUE US Equity","CF_DEPR_AMORT","FQ4 2018","FQ4 2018","Currency=USD","Period=FQ","BEST_FPERIOD_OVERRIDE=FQ","FILING_STATUS=MR","SCALING_FORMAT=MLN","Sort=A","Dates=H","DateFormat=P","Fill=—","Direction=H","UseDPDF=Y")</f>
        <v>4.5449999999999999</v>
      </c>
      <c r="D8" s="13">
        <f>_xll.BDH("BLUE US Equity","CF_DEPR_AMORT","FQ1 2019","FQ1 2019","Currency=USD","Period=FQ","BEST_FPERIOD_OVERRIDE=FQ","FILING_STATUS=MR","SCALING_FORMAT=MLN","Sort=A","Dates=H","DateFormat=P","Fill=—","Direction=H","UseDPDF=Y")</f>
        <v>3.7829999999999999</v>
      </c>
      <c r="E8" s="13">
        <f>_xll.BDH("BLUE US Equity","CF_DEPR_AMORT","FQ2 2019","FQ2 2019","Currency=USD","Period=FQ","BEST_FPERIOD_OVERRIDE=FQ","FILING_STATUS=MR","SCALING_FORMAT=MLN","Sort=A","Dates=H","DateFormat=P","Fill=—","Direction=H","UseDPDF=Y")</f>
        <v>4.048</v>
      </c>
      <c r="F8" s="13">
        <f>_xll.BDH("BLUE US Equity","CF_DEPR_AMORT","FQ3 2019","FQ3 2019","Currency=USD","Period=FQ","BEST_FPERIOD_OVERRIDE=FQ","FILING_STATUS=MR","SCALING_FORMAT=MLN","Sort=A","Dates=H","DateFormat=P","Fill=—","Direction=H","UseDPDF=Y")</f>
        <v>4.5469999999999997</v>
      </c>
      <c r="G8" s="13">
        <f>_xll.BDH("BLUE US Equity","CF_DEPR_AMORT","FQ4 2019","FQ4 2019","Currency=USD","Period=FQ","BEST_FPERIOD_OVERRIDE=FQ","FILING_STATUS=MR","SCALING_FORMAT=MLN","Sort=A","Dates=H","DateFormat=P","Fill=—","Direction=H","UseDPDF=Y")</f>
        <v>5.056</v>
      </c>
      <c r="H8" s="13">
        <f>_xll.BDH("BLUE US Equity","CF_DEPR_AMORT","FQ1 2020","FQ1 2020","Currency=USD","Period=FQ","BEST_FPERIOD_OVERRIDE=FQ","FILING_STATUS=MR","SCALING_FORMAT=MLN","Sort=A","Dates=H","DateFormat=P","Fill=—","Direction=H","UseDPDF=Y")</f>
        <v>4.88</v>
      </c>
      <c r="I8" s="13">
        <f>_xll.BDH("BLUE US Equity","CF_DEPR_AMORT","FQ2 2020","FQ2 2020","Currency=USD","Period=FQ","BEST_FPERIOD_OVERRIDE=FQ","FILING_STATUS=MR","SCALING_FORMAT=MLN","Sort=A","Dates=H","DateFormat=P","Fill=—","Direction=H","UseDPDF=Y")</f>
        <v>4.55</v>
      </c>
      <c r="J8" s="13">
        <f>_xll.BDH("BLUE US Equity","CF_DEPR_AMORT","FQ3 2020","FQ3 2020","Currency=USD","Period=FQ","BEST_FPERIOD_OVERRIDE=FQ","FILING_STATUS=MR","SCALING_FORMAT=MLN","Sort=A","Dates=H","DateFormat=P","Fill=—","Direction=H","UseDPDF=Y")</f>
        <v>4.9480000000000004</v>
      </c>
      <c r="K8" s="13">
        <f>_xll.BDH("BLUE US Equity","CF_DEPR_AMORT","FQ4 2020","FQ4 2020","Currency=USD","Period=FQ","BEST_FPERIOD_OVERRIDE=FQ","FILING_STATUS=MR","SCALING_FORMAT=MLN","Sort=A","Dates=H","DateFormat=P","Fill=—","Direction=H","UseDPDF=Y")</f>
        <v>4.9779999999999998</v>
      </c>
      <c r="L8" s="13">
        <f>_xll.BDH("BLUE US Equity","CF_DEPR_AMORT","FQ1 2021","FQ1 2021","Currency=USD","Period=FQ","BEST_FPERIOD_OVERRIDE=FQ","FILING_STATUS=MR","SCALING_FORMAT=MLN","Sort=A","Dates=H","DateFormat=P","Fill=—","Direction=H","UseDPDF=Y")</f>
        <v>5.36</v>
      </c>
      <c r="M8" s="13">
        <f>_xll.BDH("BLUE US Equity","CF_DEPR_AMORT","FQ2 2021","FQ2 2021","Currency=USD","Period=FQ","BEST_FPERIOD_OVERRIDE=FQ","FILING_STATUS=MR","SCALING_FORMAT=MLN","Sort=A","Dates=H","DateFormat=P","Fill=—","Direction=H","UseDPDF=Y")</f>
        <v>5.9930000000000003</v>
      </c>
      <c r="N8" s="13">
        <f>_xll.BDH("BLUE US Equity","CF_DEPR_AMORT","FQ3 2021","FQ3 2021","Currency=USD","Period=FQ","BEST_FPERIOD_OVERRIDE=FQ","FILING_STATUS=MR","SCALING_FORMAT=MLN","Sort=A","Dates=H","DateFormat=P","Fill=—","Direction=H","UseDPDF=Y")</f>
        <v>5.9820000000000002</v>
      </c>
      <c r="O8" s="13">
        <f>_xll.BDH("BLUE US Equity","CF_DEPR_AMORT","FQ4 2021","FQ4 2021","Currency=USD","Period=FQ","BEST_FPERIOD_OVERRIDE=FQ","FILING_STATUS=MR","SCALING_FORMAT=MLN","Sort=A","Dates=H","DateFormat=P","Fill=—","Direction=H","UseDPDF=Y")</f>
        <v>2.3140000000000001</v>
      </c>
      <c r="P8" s="13">
        <f>_xll.BDH("BLUE US Equity","CF_DEPR_AMORT","FQ1 2022","FQ1 2022","Currency=USD","Period=FQ","BEST_FPERIOD_OVERRIDE=FQ","FILING_STATUS=MR","SCALING_FORMAT=MLN","Sort=A","Dates=H","DateFormat=P","Fill=—","Direction=H","UseDPDF=Y")</f>
        <v>1.014</v>
      </c>
      <c r="Q8" s="13">
        <f>_xll.BDH("BLUE US Equity","CF_DEPR_AMORT","FQ2 2022","FQ2 2022","Currency=USD","Period=FQ","BEST_FPERIOD_OVERRIDE=FQ","FILING_STATUS=MR","SCALING_FORMAT=MLN","Sort=A","Dates=H","DateFormat=P","Fill=—","Direction=H","UseDPDF=Y")</f>
        <v>1.3440000000000001</v>
      </c>
      <c r="R8" s="13">
        <f>_xll.BDH("BLUE US Equity","CF_DEPR_AMORT","FQ3 2022","FQ3 2022","Currency=USD","Period=FQ","BEST_FPERIOD_OVERRIDE=FQ","FILING_STATUS=MR","SCALING_FORMAT=MLN","Sort=A","Dates=H","DateFormat=P","Fill=—","Direction=H","UseDPDF=Y")</f>
        <v>1.387</v>
      </c>
      <c r="S8" s="13">
        <f>_xll.BDH("BLUE US Equity","CF_DEPR_AMORT","FQ4 2022","FQ4 2022","Currency=USD","Period=FQ","BEST_FPERIOD_OVERRIDE=FQ","FILING_STATUS=MR","SCALING_FORMAT=MLN","Sort=A","Dates=H","DateFormat=P","Fill=—","Direction=H","UseDPDF=Y")</f>
        <v>4.5990000000000002</v>
      </c>
      <c r="T8" s="13">
        <f>_xll.BDH("BLUE US Equity","CF_DEPR_AMORT","FQ1 2023","FQ1 2023","Currency=USD","Period=FQ","BEST_FPERIOD_OVERRIDE=FQ","FILING_STATUS=MR","SCALING_FORMAT=MLN","Sort=A","Dates=H","DateFormat=P","Fill=—","Direction=H","UseDPDF=Y")</f>
        <v>6.1719999999999997</v>
      </c>
      <c r="U8" s="13">
        <f>_xll.BDH("BLUE US Equity","CF_DEPR_AMORT","FQ2 2023","FQ2 2023","Currency=USD","Period=FQ","BEST_FPERIOD_OVERRIDE=FQ","FILING_STATUS=MR","SCALING_FORMAT=MLN","Sort=A","Dates=H","DateFormat=P","Fill=—","Direction=H","UseDPDF=Y")</f>
        <v>6.0780000000000003</v>
      </c>
      <c r="V8" s="13">
        <f>_xll.BDH("BLUE US Equity","CF_DEPR_AMORT","FQ3 2023","FQ3 2023","Currency=USD","Period=FQ","BEST_FPERIOD_OVERRIDE=FQ","FILING_STATUS=MR","SCALING_FORMAT=MLN","Sort=A","Dates=H","DateFormat=P","Fill=—","Direction=H","UseDPDF=Y")</f>
        <v>7.41</v>
      </c>
      <c r="W8" s="13">
        <f>_xll.BDH("BLUE US Equity","CF_DEPR_AMORT","FQ4 2023","FQ4 2023","Currency=USD","Period=FQ","BEST_FPERIOD_OVERRIDE=FQ","FILING_STATUS=MR","SCALING_FORMAT=MLN","Sort=A","Dates=H","DateFormat=P","Fill=—","Direction=H","UseDPDF=Y")</f>
        <v>25.401</v>
      </c>
      <c r="X8" s="13">
        <f>_xll.BDH("BLUE US Equity","CF_DEPR_AMORT","FQ1 2024","FQ1 2024","Currency=USD","Period=FQ","BEST_FPERIOD_OVERRIDE=FQ","FILING_STATUS=MR","SCALING_FORMAT=MLN","Sort=A","Dates=H","DateFormat=P","Fill=—","Direction=H","UseDPDF=Y")</f>
        <v>15.468999999999999</v>
      </c>
      <c r="Y8" s="13">
        <f>_xll.BDH("BLUE US Equity","CF_DEPR_AMORT","FQ2 2024","FQ2 2024","Currency=USD","Period=FQ","BEST_FPERIOD_OVERRIDE=FQ","FILING_STATUS=MR","SCALING_FORMAT=MLN","Sort=A","Dates=H","DateFormat=P","Fill=—","Direction=H","UseDPDF=Y")</f>
        <v>16.526</v>
      </c>
      <c r="Z8" s="13">
        <f>_xll.BDH("BLUE US Equity","CF_DEPR_AMORT","FQ3 2024","FQ3 2024","Currency=USD","Period=FQ","BEST_FPERIOD_OVERRIDE=FQ","FILING_STATUS=MR","SCALING_FORMAT=MLN","Sort=A","Dates=H","DateFormat=P","Fill=—","Direction=H","UseDPDF=Y")</f>
        <v>15.343999999999999</v>
      </c>
      <c r="AA8" s="13">
        <f>_xll.BDH("BLUE US Equity","CF_DEPR_AMORT","FQ4 2024","FQ4 2024","Currency=USD","Period=FQ","BEST_FPERIOD_OVERRIDE=FQ","FILING_STATUS=MR","SCALING_FORMAT=MLN","Sort=A","Dates=H","DateFormat=P","Fill=—","Direction=H","UseDPDF=Y")</f>
        <v>13.904999999999999</v>
      </c>
    </row>
    <row r="9" spans="1:27" x14ac:dyDescent="0.25">
      <c r="A9" s="10" t="s">
        <v>1079</v>
      </c>
      <c r="B9" s="10" t="s">
        <v>1080</v>
      </c>
      <c r="C9" s="13">
        <f>_xll.BDH("BLUE US Equity","NON_CASH_ITEMS_DETAILED","FQ4 2018","FQ4 2018","Currency=USD","Period=FQ","BEST_FPERIOD_OVERRIDE=FQ","FILING_STATUS=MR","SCALING_FORMAT=MLN","Sort=A","Dates=H","DateFormat=P","Fill=—","Direction=H","UseDPDF=Y")</f>
        <v>11.112</v>
      </c>
      <c r="D9" s="13">
        <f>_xll.BDH("BLUE US Equity","NON_CASH_ITEMS_DETAILED","FQ1 2019","FQ1 2019","Currency=USD","Period=FQ","BEST_FPERIOD_OVERRIDE=FQ","FILING_STATUS=MR","SCALING_FORMAT=MLN","Sort=A","Dates=H","DateFormat=P","Fill=—","Direction=H","UseDPDF=Y")</f>
        <v>32.192</v>
      </c>
      <c r="E9" s="13">
        <f>_xll.BDH("BLUE US Equity","NON_CASH_ITEMS_DETAILED","FQ2 2019","FQ2 2019","Currency=USD","Period=FQ","BEST_FPERIOD_OVERRIDE=FQ","FILING_STATUS=MR","SCALING_FORMAT=MLN","Sort=A","Dates=H","DateFormat=P","Fill=—","Direction=H","UseDPDF=Y")</f>
        <v>53.951999999999998</v>
      </c>
      <c r="F9" s="13">
        <f>_xll.BDH("BLUE US Equity","NON_CASH_ITEMS_DETAILED","FQ3 2019","FQ3 2019","Currency=USD","Period=FQ","BEST_FPERIOD_OVERRIDE=FQ","FILING_STATUS=MR","SCALING_FORMAT=MLN","Sort=A","Dates=H","DateFormat=P","Fill=—","Direction=H","UseDPDF=Y")</f>
        <v>38.869999999999997</v>
      </c>
      <c r="G9" s="13">
        <f>_xll.BDH("BLUE US Equity","NON_CASH_ITEMS_DETAILED","FQ4 2019","FQ4 2019","Currency=USD","Period=FQ","BEST_FPERIOD_OVERRIDE=FQ","FILING_STATUS=MR","SCALING_FORMAT=MLN","Sort=A","Dates=H","DateFormat=P","Fill=—","Direction=H","UseDPDF=Y")</f>
        <v>32.536999999999999</v>
      </c>
      <c r="H9" s="13">
        <f>_xll.BDH("BLUE US Equity","NON_CASH_ITEMS_DETAILED","FQ1 2020","FQ1 2020","Currency=USD","Period=FQ","BEST_FPERIOD_OVERRIDE=FQ","FILING_STATUS=MR","SCALING_FORMAT=MLN","Sort=A","Dates=H","DateFormat=P","Fill=—","Direction=H","UseDPDF=Y")</f>
        <v>34.972000000000001</v>
      </c>
      <c r="I9" s="13">
        <f>_xll.BDH("BLUE US Equity","NON_CASH_ITEMS_DETAILED","FQ2 2020","FQ2 2020","Currency=USD","Period=FQ","BEST_FPERIOD_OVERRIDE=FQ","FILING_STATUS=MR","SCALING_FORMAT=MLN","Sort=A","Dates=H","DateFormat=P","Fill=—","Direction=H","UseDPDF=Y")</f>
        <v>58.954999999999998</v>
      </c>
      <c r="J9" s="13">
        <f>_xll.BDH("BLUE US Equity","NON_CASH_ITEMS_DETAILED","FQ3 2020","FQ3 2020","Currency=USD","Period=FQ","BEST_FPERIOD_OVERRIDE=FQ","FILING_STATUS=MR","SCALING_FORMAT=MLN","Sort=A","Dates=H","DateFormat=P","Fill=—","Direction=H","UseDPDF=Y")</f>
        <v>41.951999999999998</v>
      </c>
      <c r="K9" s="13">
        <f>_xll.BDH("BLUE US Equity","NON_CASH_ITEMS_DETAILED","FQ4 2020","FQ4 2020","Currency=USD","Period=FQ","BEST_FPERIOD_OVERRIDE=FQ","FILING_STATUS=MR","SCALING_FORMAT=MLN","Sort=A","Dates=H","DateFormat=P","Fill=—","Direction=H","UseDPDF=Y")</f>
        <v>35.677</v>
      </c>
      <c r="L9" s="13">
        <f>_xll.BDH("BLUE US Equity","NON_CASH_ITEMS_DETAILED","FQ1 2021","FQ1 2021","Currency=USD","Period=FQ","BEST_FPERIOD_OVERRIDE=FQ","FILING_STATUS=MR","SCALING_FORMAT=MLN","Sort=A","Dates=H","DateFormat=P","Fill=—","Direction=H","UseDPDF=Y")</f>
        <v>15.829000000000001</v>
      </c>
      <c r="M9" s="13">
        <f>_xll.BDH("BLUE US Equity","NON_CASH_ITEMS_DETAILED","FQ2 2021","FQ2 2021","Currency=USD","Period=FQ","BEST_FPERIOD_OVERRIDE=FQ","FILING_STATUS=MR","SCALING_FORMAT=MLN","Sort=A","Dates=H","DateFormat=P","Fill=—","Direction=H","UseDPDF=Y")</f>
        <v>51.262999999999998</v>
      </c>
      <c r="N9" s="13">
        <f>_xll.BDH("BLUE US Equity","NON_CASH_ITEMS_DETAILED","FQ3 2021","FQ3 2021","Currency=USD","Period=FQ","BEST_FPERIOD_OVERRIDE=FQ","FILING_STATUS=MR","SCALING_FORMAT=MLN","Sort=A","Dates=H","DateFormat=P","Fill=—","Direction=H","UseDPDF=Y")</f>
        <v>47.847000000000001</v>
      </c>
      <c r="O9" s="13">
        <f>_xll.BDH("BLUE US Equity","NON_CASH_ITEMS_DETAILED","FQ4 2021","FQ4 2021","Currency=USD","Period=FQ","BEST_FPERIOD_OVERRIDE=FQ","FILING_STATUS=MR","SCALING_FORMAT=MLN","Sort=A","Dates=H","DateFormat=P","Fill=—","Direction=H","UseDPDF=Y")</f>
        <v>29.172000000000001</v>
      </c>
      <c r="P9" s="13">
        <f>_xll.BDH("BLUE US Equity","NON_CASH_ITEMS_DETAILED","FQ1 2022","FQ1 2022","Currency=USD","Period=FQ","BEST_FPERIOD_OVERRIDE=FQ","FILING_STATUS=MR","SCALING_FORMAT=MLN","Sort=A","Dates=H","DateFormat=P","Fill=—","Direction=H","UseDPDF=Y")</f>
        <v>22.995000000000001</v>
      </c>
      <c r="Q9" s="13">
        <f>_xll.BDH("BLUE US Equity","NON_CASH_ITEMS_DETAILED","FQ2 2022","FQ2 2022","Currency=USD","Period=FQ","BEST_FPERIOD_OVERRIDE=FQ","FILING_STATUS=MR","SCALING_FORMAT=MLN","Sort=A","Dates=H","DateFormat=P","Fill=—","Direction=H","UseDPDF=Y")</f>
        <v>16.652000000000001</v>
      </c>
      <c r="R9" s="13">
        <f>_xll.BDH("BLUE US Equity","NON_CASH_ITEMS_DETAILED","FQ3 2022","FQ3 2022","Currency=USD","Period=FQ","BEST_FPERIOD_OVERRIDE=FQ","FILING_STATUS=MR","SCALING_FORMAT=MLN","Sort=A","Dates=H","DateFormat=P","Fill=—","Direction=H","UseDPDF=Y")</f>
        <v>11.532999999999999</v>
      </c>
      <c r="S9" s="13">
        <f>_xll.BDH("BLUE US Equity","NON_CASH_ITEMS_DETAILED","FQ4 2022","FQ4 2022","Currency=USD","Period=FQ","BEST_FPERIOD_OVERRIDE=FQ","FILING_STATUS=MR","SCALING_FORMAT=MLN","Sort=A","Dates=H","DateFormat=P","Fill=—","Direction=H","UseDPDF=Y")</f>
        <v>-84.429000000000002</v>
      </c>
      <c r="T9" s="13">
        <f>_xll.BDH("BLUE US Equity","NON_CASH_ITEMS_DETAILED","FQ1 2023","FQ1 2023","Currency=USD","Period=FQ","BEST_FPERIOD_OVERRIDE=FQ","FILING_STATUS=MR","SCALING_FORMAT=MLN","Sort=A","Dates=H","DateFormat=P","Fill=—","Direction=H","UseDPDF=Y")</f>
        <v>-82.409000000000006</v>
      </c>
      <c r="U9" s="13">
        <f>_xll.BDH("BLUE US Equity","NON_CASH_ITEMS_DETAILED","FQ2 2023","FQ2 2023","Currency=USD","Period=FQ","BEST_FPERIOD_OVERRIDE=FQ","FILING_STATUS=MR","SCALING_FORMAT=MLN","Sort=A","Dates=H","DateFormat=P","Fill=—","Direction=H","UseDPDF=Y")</f>
        <v>8.9499999999999993</v>
      </c>
      <c r="V9" s="13">
        <f>_xll.BDH("BLUE US Equity","NON_CASH_ITEMS_DETAILED","FQ3 2023","FQ3 2023","Currency=USD","Period=FQ","BEST_FPERIOD_OVERRIDE=FQ","FILING_STATUS=MR","SCALING_FORMAT=MLN","Sort=A","Dates=H","DateFormat=P","Fill=—","Direction=H","UseDPDF=Y")</f>
        <v>32.036000000000001</v>
      </c>
      <c r="W9" s="13">
        <f>_xll.BDH("BLUE US Equity","NON_CASH_ITEMS_DETAILED","FQ4 2023","FQ4 2023","Currency=USD","Period=FQ","BEST_FPERIOD_OVERRIDE=FQ","FILING_STATUS=MR","SCALING_FORMAT=MLN","Sort=A","Dates=H","DateFormat=P","Fill=—","Direction=H","UseDPDF=Y")</f>
        <v>22.994</v>
      </c>
      <c r="X9" s="13">
        <f>_xll.BDH("BLUE US Equity","NON_CASH_ITEMS_DETAILED","FQ1 2024","FQ1 2024","Currency=USD","Period=FQ","BEST_FPERIOD_OVERRIDE=FQ","FILING_STATUS=MR","SCALING_FORMAT=MLN","Sort=A","Dates=H","DateFormat=P","Fill=—","Direction=H","UseDPDF=Y")</f>
        <v>6.2809999999999997</v>
      </c>
      <c r="Y9" s="13">
        <f>_xll.BDH("BLUE US Equity","NON_CASH_ITEMS_DETAILED","FQ2 2024","FQ2 2024","Currency=USD","Period=FQ","BEST_FPERIOD_OVERRIDE=FQ","FILING_STATUS=MR","SCALING_FORMAT=MLN","Sort=A","Dates=H","DateFormat=P","Fill=—","Direction=H","UseDPDF=Y")</f>
        <v>10.36</v>
      </c>
      <c r="Z9" s="13">
        <f>_xll.BDH("BLUE US Equity","NON_CASH_ITEMS_DETAILED","FQ3 2024","FQ3 2024","Currency=USD","Period=FQ","BEST_FPERIOD_OVERRIDE=FQ","FILING_STATUS=MR","SCALING_FORMAT=MLN","Sort=A","Dates=H","DateFormat=P","Fill=—","Direction=H","UseDPDF=Y")</f>
        <v>5.5709999999999997</v>
      </c>
      <c r="AA9" s="13">
        <f>_xll.BDH("BLUE US Equity","NON_CASH_ITEMS_DETAILED","FQ4 2024","FQ4 2024","Currency=USD","Period=FQ","BEST_FPERIOD_OVERRIDE=FQ","FILING_STATUS=MR","SCALING_FORMAT=MLN","Sort=A","Dates=H","DateFormat=P","Fill=—","Direction=H","UseDPDF=Y")</f>
        <v>6.0819999999999999</v>
      </c>
    </row>
    <row r="10" spans="1:27" x14ac:dyDescent="0.25">
      <c r="A10" s="10" t="s">
        <v>1081</v>
      </c>
      <c r="B10" s="10" t="s">
        <v>1082</v>
      </c>
      <c r="C10" s="13">
        <f>_xll.BDH("BLUE US Equity","CF_STOCK_BASED_COMPENSATION","FQ4 2018","FQ4 2018","Currency=USD","Period=FQ","BEST_FPERIOD_OVERRIDE=FQ","FILING_STATUS=MR","SCALING_FORMAT=MLN","Sort=A","Dates=H","DateFormat=P","Fill=—","Direction=H","UseDPDF=Y")</f>
        <v>29.986999999999998</v>
      </c>
      <c r="D10" s="13">
        <f>_xll.BDH("BLUE US Equity","CF_STOCK_BASED_COMPENSATION","FQ1 2019","FQ1 2019","Currency=USD","Period=FQ","BEST_FPERIOD_OVERRIDE=FQ","FILING_STATUS=MR","SCALING_FORMAT=MLN","Sort=A","Dates=H","DateFormat=P","Fill=—","Direction=H","UseDPDF=Y")</f>
        <v>32.341000000000001</v>
      </c>
      <c r="E10" s="13">
        <f>_xll.BDH("BLUE US Equity","CF_STOCK_BASED_COMPENSATION","FQ2 2019","FQ2 2019","Currency=USD","Period=FQ","BEST_FPERIOD_OVERRIDE=FQ","FILING_STATUS=MR","SCALING_FORMAT=MLN","Sort=A","Dates=H","DateFormat=P","Fill=—","Direction=H","UseDPDF=Y")</f>
        <v>55.110999999999997</v>
      </c>
      <c r="F10" s="13">
        <f>_xll.BDH("BLUE US Equity","CF_STOCK_BASED_COMPENSATION","FQ3 2019","FQ3 2019","Currency=USD","Period=FQ","BEST_FPERIOD_OVERRIDE=FQ","FILING_STATUS=MR","SCALING_FORMAT=MLN","Sort=A","Dates=H","DateFormat=P","Fill=—","Direction=H","UseDPDF=Y")</f>
        <v>38.545999999999999</v>
      </c>
      <c r="G10" s="13">
        <f>_xll.BDH("BLUE US Equity","CF_STOCK_BASED_COMPENSATION","FQ4 2019","FQ4 2019","Currency=USD","Period=FQ","BEST_FPERIOD_OVERRIDE=FQ","FILING_STATUS=MR","SCALING_FORMAT=MLN","Sort=A","Dates=H","DateFormat=P","Fill=—","Direction=H","UseDPDF=Y")</f>
        <v>34.631</v>
      </c>
      <c r="H10" s="13">
        <f>_xll.BDH("BLUE US Equity","CF_STOCK_BASED_COMPENSATION","FQ1 2020","FQ1 2020","Currency=USD","Period=FQ","BEST_FPERIOD_OVERRIDE=FQ","FILING_STATUS=MR","SCALING_FORMAT=MLN","Sort=A","Dates=H","DateFormat=P","Fill=—","Direction=H","UseDPDF=Y")</f>
        <v>36.292999999999999</v>
      </c>
      <c r="I10" s="13">
        <f>_xll.BDH("BLUE US Equity","CF_STOCK_BASED_COMPENSATION","FQ2 2020","FQ2 2020","Currency=USD","Period=FQ","BEST_FPERIOD_OVERRIDE=FQ","FILING_STATUS=MR","SCALING_FORMAT=MLN","Sort=A","Dates=H","DateFormat=P","Fill=—","Direction=H","UseDPDF=Y")</f>
        <v>48.529000000000003</v>
      </c>
      <c r="J10" s="13">
        <f>_xll.BDH("BLUE US Equity","CF_STOCK_BASED_COMPENSATION","FQ3 2020","FQ3 2020","Currency=USD","Period=FQ","BEST_FPERIOD_OVERRIDE=FQ","FILING_STATUS=MR","SCALING_FORMAT=MLN","Sort=A","Dates=H","DateFormat=P","Fill=—","Direction=H","UseDPDF=Y")</f>
        <v>38.817999999999998</v>
      </c>
      <c r="K10" s="13">
        <f>_xll.BDH("BLUE US Equity","CF_STOCK_BASED_COMPENSATION","FQ4 2020","FQ4 2020","Currency=USD","Period=FQ","BEST_FPERIOD_OVERRIDE=FQ","FILING_STATUS=MR","SCALING_FORMAT=MLN","Sort=A","Dates=H","DateFormat=P","Fill=—","Direction=H","UseDPDF=Y")</f>
        <v>32.991</v>
      </c>
      <c r="L10" s="13">
        <f>_xll.BDH("BLUE US Equity","CF_STOCK_BASED_COMPENSATION","FQ1 2021","FQ1 2021","Currency=USD","Period=FQ","BEST_FPERIOD_OVERRIDE=FQ","FILING_STATUS=MR","SCALING_FORMAT=MLN","Sort=A","Dates=H","DateFormat=P","Fill=—","Direction=H","UseDPDF=Y")</f>
        <v>42.527000000000001</v>
      </c>
      <c r="M10" s="13">
        <f>_xll.BDH("BLUE US Equity","CF_STOCK_BASED_COMPENSATION","FQ2 2021","FQ2 2021","Currency=USD","Period=FQ","BEST_FPERIOD_OVERRIDE=FQ","FILING_STATUS=MR","SCALING_FORMAT=MLN","Sort=A","Dates=H","DateFormat=P","Fill=—","Direction=H","UseDPDF=Y")</f>
        <v>31.16</v>
      </c>
      <c r="N10" s="13">
        <f>_xll.BDH("BLUE US Equity","CF_STOCK_BASED_COMPENSATION","FQ3 2021","FQ3 2021","Currency=USD","Period=FQ","BEST_FPERIOD_OVERRIDE=FQ","FILING_STATUS=MR","SCALING_FORMAT=MLN","Sort=A","Dates=H","DateFormat=P","Fill=—","Direction=H","UseDPDF=Y")</f>
        <v>28.141999999999999</v>
      </c>
      <c r="O10" s="13">
        <f>_xll.BDH("BLUE US Equity","CF_STOCK_BASED_COMPENSATION","FQ4 2021","FQ4 2021","Currency=USD","Period=FQ","BEST_FPERIOD_OVERRIDE=FQ","FILING_STATUS=MR","SCALING_FORMAT=MLN","Sort=A","Dates=H","DateFormat=P","Fill=—","Direction=H","UseDPDF=Y")</f>
        <v>26.085999999999999</v>
      </c>
      <c r="P10" s="13">
        <f>_xll.BDH("BLUE US Equity","CF_STOCK_BASED_COMPENSATION","FQ1 2022","FQ1 2022","Currency=USD","Period=FQ","BEST_FPERIOD_OVERRIDE=FQ","FILING_STATUS=MR","SCALING_FORMAT=MLN","Sort=A","Dates=H","DateFormat=P","Fill=—","Direction=H","UseDPDF=Y")</f>
        <v>12.39</v>
      </c>
      <c r="Q10" s="13">
        <f>_xll.BDH("BLUE US Equity","CF_STOCK_BASED_COMPENSATION","FQ2 2022","FQ2 2022","Currency=USD","Period=FQ","BEST_FPERIOD_OVERRIDE=FQ","FILING_STATUS=MR","SCALING_FORMAT=MLN","Sort=A","Dates=H","DateFormat=P","Fill=—","Direction=H","UseDPDF=Y")</f>
        <v>8.9079999999999995</v>
      </c>
      <c r="R10" s="13">
        <f>_xll.BDH("BLUE US Equity","CF_STOCK_BASED_COMPENSATION","FQ3 2022","FQ3 2022","Currency=USD","Period=FQ","BEST_FPERIOD_OVERRIDE=FQ","FILING_STATUS=MR","SCALING_FORMAT=MLN","Sort=A","Dates=H","DateFormat=P","Fill=—","Direction=H","UseDPDF=Y")</f>
        <v>9.2110000000000003</v>
      </c>
      <c r="S10" s="13">
        <f>_xll.BDH("BLUE US Equity","CF_STOCK_BASED_COMPENSATION","FQ4 2022","FQ4 2022","Currency=USD","Period=FQ","BEST_FPERIOD_OVERRIDE=FQ","FILING_STATUS=MR","SCALING_FORMAT=MLN","Sort=A","Dates=H","DateFormat=P","Fill=—","Direction=H","UseDPDF=Y")</f>
        <v>4.5810000000000004</v>
      </c>
      <c r="T10" s="13">
        <f>_xll.BDH("BLUE US Equity","CF_STOCK_BASED_COMPENSATION","FQ1 2023","FQ1 2023","Currency=USD","Period=FQ","BEST_FPERIOD_OVERRIDE=FQ","FILING_STATUS=MR","SCALING_FORMAT=MLN","Sort=A","Dates=H","DateFormat=P","Fill=—","Direction=H","UseDPDF=Y")</f>
        <v>5.391</v>
      </c>
      <c r="U10" s="13">
        <f>_xll.BDH("BLUE US Equity","CF_STOCK_BASED_COMPENSATION","FQ2 2023","FQ2 2023","Currency=USD","Period=FQ","BEST_FPERIOD_OVERRIDE=FQ","FILING_STATUS=MR","SCALING_FORMAT=MLN","Sort=A","Dates=H","DateFormat=P","Fill=—","Direction=H","UseDPDF=Y")</f>
        <v>5.7539999999999996</v>
      </c>
      <c r="V10" s="13">
        <f>_xll.BDH("BLUE US Equity","CF_STOCK_BASED_COMPENSATION","FQ3 2023","FQ3 2023","Currency=USD","Period=FQ","BEST_FPERIOD_OVERRIDE=FQ","FILING_STATUS=MR","SCALING_FORMAT=MLN","Sort=A","Dates=H","DateFormat=P","Fill=—","Direction=H","UseDPDF=Y")</f>
        <v>4.8680000000000003</v>
      </c>
      <c r="W10" s="13">
        <f>_xll.BDH("BLUE US Equity","CF_STOCK_BASED_COMPENSATION","FQ4 2023","FQ4 2023","Currency=USD","Period=FQ","BEST_FPERIOD_OVERRIDE=FQ","FILING_STATUS=MR","SCALING_FORMAT=MLN","Sort=A","Dates=H","DateFormat=P","Fill=—","Direction=H","UseDPDF=Y")</f>
        <v>3.4159999999999999</v>
      </c>
      <c r="X10" s="13">
        <f>_xll.BDH("BLUE US Equity","CF_STOCK_BASED_COMPENSATION","FQ1 2024","FQ1 2024","Currency=USD","Period=FQ","BEST_FPERIOD_OVERRIDE=FQ","FILING_STATUS=MR","SCALING_FORMAT=MLN","Sort=A","Dates=H","DateFormat=P","Fill=—","Direction=H","UseDPDF=Y")</f>
        <v>3.7610000000000001</v>
      </c>
      <c r="Y10" s="13">
        <f>_xll.BDH("BLUE US Equity","CF_STOCK_BASED_COMPENSATION","FQ2 2024","FQ2 2024","Currency=USD","Period=FQ","BEST_FPERIOD_OVERRIDE=FQ","FILING_STATUS=MR","SCALING_FORMAT=MLN","Sort=A","Dates=H","DateFormat=P","Fill=—","Direction=H","UseDPDF=Y")</f>
        <v>3.2069999999999999</v>
      </c>
      <c r="Z10" s="13">
        <f>_xll.BDH("BLUE US Equity","CF_STOCK_BASED_COMPENSATION","FQ3 2024","FQ3 2024","Currency=USD","Period=FQ","BEST_FPERIOD_OVERRIDE=FQ","FILING_STATUS=MR","SCALING_FORMAT=MLN","Sort=A","Dates=H","DateFormat=P","Fill=—","Direction=H","UseDPDF=Y")</f>
        <v>2.7010000000000001</v>
      </c>
      <c r="AA10" s="13">
        <f>_xll.BDH("BLUE US Equity","CF_STOCK_BASED_COMPENSATION","FQ4 2024","FQ4 2024","Currency=USD","Period=FQ","BEST_FPERIOD_OVERRIDE=FQ","FILING_STATUS=MR","SCALING_FORMAT=MLN","Sort=A","Dates=H","DateFormat=P","Fill=—","Direction=H","UseDPDF=Y")</f>
        <v>4.0679999999999996</v>
      </c>
    </row>
    <row r="11" spans="1:27" x14ac:dyDescent="0.25">
      <c r="A11" s="10" t="s">
        <v>1083</v>
      </c>
      <c r="B11" s="10" t="s">
        <v>1084</v>
      </c>
      <c r="C11" s="13">
        <f>_xll.BDH("BLUE US Equity","OTHER_NON_CASH_ADJ_LESS_DETAILED","FQ4 2018","FQ4 2018","Currency=USD","Period=FQ","BEST_FPERIOD_OVERRIDE=FQ","FILING_STATUS=MR","SCALING_FORMAT=MLN","Sort=A","Dates=H","DateFormat=P","Fill=—","Direction=H","UseDPDF=Y")</f>
        <v>-18.875</v>
      </c>
      <c r="D11" s="13">
        <f>_xll.BDH("BLUE US Equity","OTHER_NON_CASH_ADJ_LESS_DETAILED","FQ1 2019","FQ1 2019","Currency=USD","Period=FQ","BEST_FPERIOD_OVERRIDE=FQ","FILING_STATUS=MR","SCALING_FORMAT=MLN","Sort=A","Dates=H","DateFormat=P","Fill=—","Direction=H","UseDPDF=Y")</f>
        <v>-0.14899999999999999</v>
      </c>
      <c r="E11" s="13">
        <f>_xll.BDH("BLUE US Equity","OTHER_NON_CASH_ADJ_LESS_DETAILED","FQ2 2019","FQ2 2019","Currency=USD","Period=FQ","BEST_FPERIOD_OVERRIDE=FQ","FILING_STATUS=MR","SCALING_FORMAT=MLN","Sort=A","Dates=H","DateFormat=P","Fill=—","Direction=H","UseDPDF=Y")</f>
        <v>-1.159</v>
      </c>
      <c r="F11" s="13">
        <f>_xll.BDH("BLUE US Equity","OTHER_NON_CASH_ADJ_LESS_DETAILED","FQ3 2019","FQ3 2019","Currency=USD","Period=FQ","BEST_FPERIOD_OVERRIDE=FQ","FILING_STATUS=MR","SCALING_FORMAT=MLN","Sort=A","Dates=H","DateFormat=P","Fill=—","Direction=H","UseDPDF=Y")</f>
        <v>0.32400000000000001</v>
      </c>
      <c r="G11" s="13">
        <f>_xll.BDH("BLUE US Equity","OTHER_NON_CASH_ADJ_LESS_DETAILED","FQ4 2019","FQ4 2019","Currency=USD","Period=FQ","BEST_FPERIOD_OVERRIDE=FQ","FILING_STATUS=MR","SCALING_FORMAT=MLN","Sort=A","Dates=H","DateFormat=P","Fill=—","Direction=H","UseDPDF=Y")</f>
        <v>-2.0939999999999999</v>
      </c>
      <c r="H11" s="13">
        <f>_xll.BDH("BLUE US Equity","OTHER_NON_CASH_ADJ_LESS_DETAILED","FQ1 2020","FQ1 2020","Currency=USD","Period=FQ","BEST_FPERIOD_OVERRIDE=FQ","FILING_STATUS=MR","SCALING_FORMAT=MLN","Sort=A","Dates=H","DateFormat=P","Fill=—","Direction=H","UseDPDF=Y")</f>
        <v>-1.321</v>
      </c>
      <c r="I11" s="13">
        <f>_xll.BDH("BLUE US Equity","OTHER_NON_CASH_ADJ_LESS_DETAILED","FQ2 2020","FQ2 2020","Currency=USD","Period=FQ","BEST_FPERIOD_OVERRIDE=FQ","FILING_STATUS=MR","SCALING_FORMAT=MLN","Sort=A","Dates=H","DateFormat=P","Fill=—","Direction=H","UseDPDF=Y")</f>
        <v>10.426</v>
      </c>
      <c r="J11" s="13">
        <f>_xll.BDH("BLUE US Equity","OTHER_NON_CASH_ADJ_LESS_DETAILED","FQ3 2020","FQ3 2020","Currency=USD","Period=FQ","BEST_FPERIOD_OVERRIDE=FQ","FILING_STATUS=MR","SCALING_FORMAT=MLN","Sort=A","Dates=H","DateFormat=P","Fill=—","Direction=H","UseDPDF=Y")</f>
        <v>3.1339999999999999</v>
      </c>
      <c r="K11" s="13">
        <f>_xll.BDH("BLUE US Equity","OTHER_NON_CASH_ADJ_LESS_DETAILED","FQ4 2020","FQ4 2020","Currency=USD","Period=FQ","BEST_FPERIOD_OVERRIDE=FQ","FILING_STATUS=MR","SCALING_FORMAT=MLN","Sort=A","Dates=H","DateFormat=P","Fill=—","Direction=H","UseDPDF=Y")</f>
        <v>2.6859999999999999</v>
      </c>
      <c r="L11" s="13">
        <f>_xll.BDH("BLUE US Equity","OTHER_NON_CASH_ADJ_LESS_DETAILED","FQ1 2021","FQ1 2021","Currency=USD","Period=FQ","BEST_FPERIOD_OVERRIDE=FQ","FILING_STATUS=MR","SCALING_FORMAT=MLN","Sort=A","Dates=H","DateFormat=P","Fill=—","Direction=H","UseDPDF=Y")</f>
        <v>-26.698</v>
      </c>
      <c r="M11" s="13">
        <f>_xll.BDH("BLUE US Equity","OTHER_NON_CASH_ADJ_LESS_DETAILED","FQ2 2021","FQ2 2021","Currency=USD","Period=FQ","BEST_FPERIOD_OVERRIDE=FQ","FILING_STATUS=MR","SCALING_FORMAT=MLN","Sort=A","Dates=H","DateFormat=P","Fill=—","Direction=H","UseDPDF=Y")</f>
        <v>20.103000000000002</v>
      </c>
      <c r="N11" s="13">
        <f>_xll.BDH("BLUE US Equity","OTHER_NON_CASH_ADJ_LESS_DETAILED","FQ3 2021","FQ3 2021","Currency=USD","Period=FQ","BEST_FPERIOD_OVERRIDE=FQ","FILING_STATUS=MR","SCALING_FORMAT=MLN","Sort=A","Dates=H","DateFormat=P","Fill=—","Direction=H","UseDPDF=Y")</f>
        <v>19.704999999999998</v>
      </c>
      <c r="O11" s="13">
        <f>_xll.BDH("BLUE US Equity","OTHER_NON_CASH_ADJ_LESS_DETAILED","FQ4 2021","FQ4 2021","Currency=USD","Period=FQ","BEST_FPERIOD_OVERRIDE=FQ","FILING_STATUS=MR","SCALING_FORMAT=MLN","Sort=A","Dates=H","DateFormat=P","Fill=—","Direction=H","UseDPDF=Y")</f>
        <v>3.0859999999999999</v>
      </c>
      <c r="P11" s="13">
        <f>_xll.BDH("BLUE US Equity","OTHER_NON_CASH_ADJ_LESS_DETAILED","FQ1 2022","FQ1 2022","Currency=USD","Period=FQ","BEST_FPERIOD_OVERRIDE=FQ","FILING_STATUS=MR","SCALING_FORMAT=MLN","Sort=A","Dates=H","DateFormat=P","Fill=—","Direction=H","UseDPDF=Y")</f>
        <v>10.605</v>
      </c>
      <c r="Q11" s="13">
        <f>_xll.BDH("BLUE US Equity","OTHER_NON_CASH_ADJ_LESS_DETAILED","FQ2 2022","FQ2 2022","Currency=USD","Period=FQ","BEST_FPERIOD_OVERRIDE=FQ","FILING_STATUS=MR","SCALING_FORMAT=MLN","Sort=A","Dates=H","DateFormat=P","Fill=—","Direction=H","UseDPDF=Y")</f>
        <v>7.7439999999999998</v>
      </c>
      <c r="R11" s="13">
        <f>_xll.BDH("BLUE US Equity","OTHER_NON_CASH_ADJ_LESS_DETAILED","FQ3 2022","FQ3 2022","Currency=USD","Period=FQ","BEST_FPERIOD_OVERRIDE=FQ","FILING_STATUS=MR","SCALING_FORMAT=MLN","Sort=A","Dates=H","DateFormat=P","Fill=—","Direction=H","UseDPDF=Y")</f>
        <v>2.3220000000000001</v>
      </c>
      <c r="S11" s="13">
        <f>_xll.BDH("BLUE US Equity","OTHER_NON_CASH_ADJ_LESS_DETAILED","FQ4 2022","FQ4 2022","Currency=USD","Period=FQ","BEST_FPERIOD_OVERRIDE=FQ","FILING_STATUS=MR","SCALING_FORMAT=MLN","Sort=A","Dates=H","DateFormat=P","Fill=—","Direction=H","UseDPDF=Y")</f>
        <v>-89.01</v>
      </c>
      <c r="T11" s="13">
        <f>_xll.BDH("BLUE US Equity","OTHER_NON_CASH_ADJ_LESS_DETAILED","FQ1 2023","FQ1 2023","Currency=USD","Period=FQ","BEST_FPERIOD_OVERRIDE=FQ","FILING_STATUS=MR","SCALING_FORMAT=MLN","Sort=A","Dates=H","DateFormat=P","Fill=—","Direction=H","UseDPDF=Y")</f>
        <v>-87.8</v>
      </c>
      <c r="U11" s="13">
        <f>_xll.BDH("BLUE US Equity","OTHER_NON_CASH_ADJ_LESS_DETAILED","FQ2 2023","FQ2 2023","Currency=USD","Period=FQ","BEST_FPERIOD_OVERRIDE=FQ","FILING_STATUS=MR","SCALING_FORMAT=MLN","Sort=A","Dates=H","DateFormat=P","Fill=—","Direction=H","UseDPDF=Y")</f>
        <v>3.1960000000000002</v>
      </c>
      <c r="V11" s="13">
        <f>_xll.BDH("BLUE US Equity","OTHER_NON_CASH_ADJ_LESS_DETAILED","FQ3 2023","FQ3 2023","Currency=USD","Period=FQ","BEST_FPERIOD_OVERRIDE=FQ","FILING_STATUS=MR","SCALING_FORMAT=MLN","Sort=A","Dates=H","DateFormat=P","Fill=—","Direction=H","UseDPDF=Y")</f>
        <v>27.167999999999999</v>
      </c>
      <c r="W11" s="13">
        <f>_xll.BDH("BLUE US Equity","OTHER_NON_CASH_ADJ_LESS_DETAILED","FQ4 2023","FQ4 2023","Currency=USD","Period=FQ","BEST_FPERIOD_OVERRIDE=FQ","FILING_STATUS=MR","SCALING_FORMAT=MLN","Sort=A","Dates=H","DateFormat=P","Fill=—","Direction=H","UseDPDF=Y")</f>
        <v>19.577999999999999</v>
      </c>
      <c r="X11" s="13">
        <f>_xll.BDH("BLUE US Equity","OTHER_NON_CASH_ADJ_LESS_DETAILED","FQ1 2024","FQ1 2024","Currency=USD","Period=FQ","BEST_FPERIOD_OVERRIDE=FQ","FILING_STATUS=MR","SCALING_FORMAT=MLN","Sort=A","Dates=H","DateFormat=P","Fill=—","Direction=H","UseDPDF=Y")</f>
        <v>2.52</v>
      </c>
      <c r="Y11" s="13">
        <f>_xll.BDH("BLUE US Equity","OTHER_NON_CASH_ADJ_LESS_DETAILED","FQ2 2024","FQ2 2024","Currency=USD","Period=FQ","BEST_FPERIOD_OVERRIDE=FQ","FILING_STATUS=MR","SCALING_FORMAT=MLN","Sort=A","Dates=H","DateFormat=P","Fill=—","Direction=H","UseDPDF=Y")</f>
        <v>7.1529999999999996</v>
      </c>
      <c r="Z11" s="13">
        <f>_xll.BDH("BLUE US Equity","OTHER_NON_CASH_ADJ_LESS_DETAILED","FQ3 2024","FQ3 2024","Currency=USD","Period=FQ","BEST_FPERIOD_OVERRIDE=FQ","FILING_STATUS=MR","SCALING_FORMAT=MLN","Sort=A","Dates=H","DateFormat=P","Fill=—","Direction=H","UseDPDF=Y")</f>
        <v>2.87</v>
      </c>
      <c r="AA11" s="13">
        <f>_xll.BDH("BLUE US Equity","OTHER_NON_CASH_ADJ_LESS_DETAILED","FQ4 2024","FQ4 2024","Currency=USD","Period=FQ","BEST_FPERIOD_OVERRIDE=FQ","FILING_STATUS=MR","SCALING_FORMAT=MLN","Sort=A","Dates=H","DateFormat=P","Fill=—","Direction=H","UseDPDF=Y")</f>
        <v>2.0139999999999998</v>
      </c>
    </row>
    <row r="12" spans="1:27" x14ac:dyDescent="0.25">
      <c r="A12" s="10" t="s">
        <v>1085</v>
      </c>
      <c r="B12" s="10" t="s">
        <v>1086</v>
      </c>
      <c r="C12" s="13">
        <f>_xll.BDH("BLUE US Equity","CF_CHNG_NON_CASH_WORK_CAP","FQ4 2018","FQ4 2018","Currency=USD","Period=FQ","BEST_FPERIOD_OVERRIDE=FQ","FILING_STATUS=MR","SCALING_FORMAT=MLN","Sort=A","Dates=H","DateFormat=P","Fill=—","Direction=H","UseDPDF=Y")</f>
        <v>3.6349999999999998</v>
      </c>
      <c r="D12" s="13">
        <f>_xll.BDH("BLUE US Equity","CF_CHNG_NON_CASH_WORK_CAP","FQ1 2019","FQ1 2019","Currency=USD","Period=FQ","BEST_FPERIOD_OVERRIDE=FQ","FILING_STATUS=MR","SCALING_FORMAT=MLN","Sort=A","Dates=H","DateFormat=P","Fill=—","Direction=H","UseDPDF=Y")</f>
        <v>-25.683</v>
      </c>
      <c r="E12" s="13">
        <f>_xll.BDH("BLUE US Equity","CF_CHNG_NON_CASH_WORK_CAP","FQ2 2019","FQ2 2019","Currency=USD","Period=FQ","BEST_FPERIOD_OVERRIDE=FQ","FILING_STATUS=MR","SCALING_FORMAT=MLN","Sort=A","Dates=H","DateFormat=P","Fill=—","Direction=H","UseDPDF=Y")</f>
        <v>-9.0999999999999998E-2</v>
      </c>
      <c r="F12" s="13">
        <f>_xll.BDH("BLUE US Equity","CF_CHNG_NON_CASH_WORK_CAP","FQ3 2019","FQ3 2019","Currency=USD","Period=FQ","BEST_FPERIOD_OVERRIDE=FQ","FILING_STATUS=MR","SCALING_FORMAT=MLN","Sort=A","Dates=H","DateFormat=P","Fill=—","Direction=H","UseDPDF=Y")</f>
        <v>49.234999999999999</v>
      </c>
      <c r="G12" s="13">
        <f>_xll.BDH("BLUE US Equity","CF_CHNG_NON_CASH_WORK_CAP","FQ4 2019","FQ4 2019","Currency=USD","Period=FQ","BEST_FPERIOD_OVERRIDE=FQ","FILING_STATUS=MR","SCALING_FORMAT=MLN","Sort=A","Dates=H","DateFormat=P","Fill=—","Direction=H","UseDPDF=Y")</f>
        <v>26.777999999999999</v>
      </c>
      <c r="H12" s="13">
        <f>_xll.BDH("BLUE US Equity","CF_CHNG_NON_CASH_WORK_CAP","FQ1 2020","FQ1 2020","Currency=USD","Period=FQ","BEST_FPERIOD_OVERRIDE=FQ","FILING_STATUS=MR","SCALING_FORMAT=MLN","Sort=A","Dates=H","DateFormat=P","Fill=—","Direction=H","UseDPDF=Y")</f>
        <v>-43.362000000000002</v>
      </c>
      <c r="I12" s="13">
        <f>_xll.BDH("BLUE US Equity","CF_CHNG_NON_CASH_WORK_CAP","FQ2 2020","FQ2 2020","Currency=USD","Period=FQ","BEST_FPERIOD_OVERRIDE=FQ","FILING_STATUS=MR","SCALING_FORMAT=MLN","Sort=A","Dates=H","DateFormat=P","Fill=—","Direction=H","UseDPDF=Y")</f>
        <v>-2.2970000000000002</v>
      </c>
      <c r="J12" s="13">
        <f>_xll.BDH("BLUE US Equity","CF_CHNG_NON_CASH_WORK_CAP","FQ3 2020","FQ3 2020","Currency=USD","Period=FQ","BEST_FPERIOD_OVERRIDE=FQ","FILING_STATUS=MR","SCALING_FORMAT=MLN","Sort=A","Dates=H","DateFormat=P","Fill=—","Direction=H","UseDPDF=Y")</f>
        <v>-0.93500000000000005</v>
      </c>
      <c r="K12" s="13">
        <f>_xll.BDH("BLUE US Equity","CF_CHNG_NON_CASH_WORK_CAP","FQ4 2020","FQ4 2020","Currency=USD","Period=FQ","BEST_FPERIOD_OVERRIDE=FQ","FILING_STATUS=MR","SCALING_FORMAT=MLN","Sort=A","Dates=H","DateFormat=P","Fill=—","Direction=H","UseDPDF=Y")</f>
        <v>4.0259999999999998</v>
      </c>
      <c r="L12" s="13">
        <f>_xll.BDH("BLUE US Equity","CF_CHNG_NON_CASH_WORK_CAP","FQ1 2021","FQ1 2021","Currency=USD","Period=FQ","BEST_FPERIOD_OVERRIDE=FQ","FILING_STATUS=MR","SCALING_FORMAT=MLN","Sort=A","Dates=H","DateFormat=P","Fill=—","Direction=H","UseDPDF=Y")</f>
        <v>-18.707999999999998</v>
      </c>
      <c r="M12" s="13">
        <f>_xll.BDH("BLUE US Equity","CF_CHNG_NON_CASH_WORK_CAP","FQ2 2021","FQ2 2021","Currency=USD","Period=FQ","BEST_FPERIOD_OVERRIDE=FQ","FILING_STATUS=MR","SCALING_FORMAT=MLN","Sort=A","Dates=H","DateFormat=P","Fill=—","Direction=H","UseDPDF=Y")</f>
        <v>38.798000000000002</v>
      </c>
      <c r="N12" s="13">
        <f>_xll.BDH("BLUE US Equity","CF_CHNG_NON_CASH_WORK_CAP","FQ3 2021","FQ3 2021","Currency=USD","Period=FQ","BEST_FPERIOD_OVERRIDE=FQ","FILING_STATUS=MR","SCALING_FORMAT=MLN","Sort=A","Dates=H","DateFormat=P","Fill=—","Direction=H","UseDPDF=Y")</f>
        <v>16.047999999999998</v>
      </c>
      <c r="O12" s="13">
        <f>_xll.BDH("BLUE US Equity","CF_CHNG_NON_CASH_WORK_CAP","FQ4 2021","FQ4 2021","Currency=USD","Period=FQ","BEST_FPERIOD_OVERRIDE=FQ","FILING_STATUS=MR","SCALING_FORMAT=MLN","Sort=A","Dates=H","DateFormat=P","Fill=—","Direction=H","UseDPDF=Y")</f>
        <v>-16.158999999999999</v>
      </c>
      <c r="P12" s="13">
        <f>_xll.BDH("BLUE US Equity","CF_CHNG_NON_CASH_WORK_CAP","FQ1 2022","FQ1 2022","Currency=USD","Period=FQ","BEST_FPERIOD_OVERRIDE=FQ","FILING_STATUS=MR","SCALING_FORMAT=MLN","Sort=A","Dates=H","DateFormat=P","Fill=—","Direction=H","UseDPDF=Y")</f>
        <v>-27.152999999999999</v>
      </c>
      <c r="Q12" s="13">
        <f>_xll.BDH("BLUE US Equity","CF_CHNG_NON_CASH_WORK_CAP","FQ2 2022","FQ2 2022","Currency=USD","Period=FQ","BEST_FPERIOD_OVERRIDE=FQ","FILING_STATUS=MR","SCALING_FORMAT=MLN","Sort=A","Dates=H","DateFormat=P","Fill=—","Direction=H","UseDPDF=Y")</f>
        <v>-12.215999999999999</v>
      </c>
      <c r="R12" s="13">
        <f>_xll.BDH("BLUE US Equity","CF_CHNG_NON_CASH_WORK_CAP","FQ3 2022","FQ3 2022","Currency=USD","Period=FQ","BEST_FPERIOD_OVERRIDE=FQ","FILING_STATUS=MR","SCALING_FORMAT=MLN","Sort=A","Dates=H","DateFormat=P","Fill=—","Direction=H","UseDPDF=Y")</f>
        <v>-13.426</v>
      </c>
      <c r="S12" s="13">
        <f>_xll.BDH("BLUE US Equity","CF_CHNG_NON_CASH_WORK_CAP","FQ4 2022","FQ4 2022","Currency=USD","Period=FQ","BEST_FPERIOD_OVERRIDE=FQ","FILING_STATUS=MR","SCALING_FORMAT=MLN","Sort=A","Dates=H","DateFormat=P","Fill=—","Direction=H","UseDPDF=Y")</f>
        <v>-8.1769999999999996</v>
      </c>
      <c r="T12" s="13">
        <f>_xll.BDH("BLUE US Equity","CF_CHNG_NON_CASH_WORK_CAP","FQ1 2023","FQ1 2023","Currency=USD","Period=FQ","BEST_FPERIOD_OVERRIDE=FQ","FILING_STATUS=MR","SCALING_FORMAT=MLN","Sort=A","Dates=H","DateFormat=P","Fill=—","Direction=H","UseDPDF=Y")</f>
        <v>-14.051</v>
      </c>
      <c r="U12" s="13">
        <f>_xll.BDH("BLUE US Equity","CF_CHNG_NON_CASH_WORK_CAP","FQ2 2023","FQ2 2023","Currency=USD","Period=FQ","BEST_FPERIOD_OVERRIDE=FQ","FILING_STATUS=MR","SCALING_FORMAT=MLN","Sort=A","Dates=H","DateFormat=P","Fill=—","Direction=H","UseDPDF=Y")</f>
        <v>-11.74</v>
      </c>
      <c r="V12" s="13">
        <f>_xll.BDH("BLUE US Equity","CF_CHNG_NON_CASH_WORK_CAP","FQ3 2023","FQ3 2023","Currency=USD","Period=FQ","BEST_FPERIOD_OVERRIDE=FQ","FILING_STATUS=MR","SCALING_FORMAT=MLN","Sort=A","Dates=H","DateFormat=P","Fill=—","Direction=H","UseDPDF=Y")</f>
        <v>-2.2650000000000001</v>
      </c>
      <c r="W12" s="13">
        <f>_xll.BDH("BLUE US Equity","CF_CHNG_NON_CASH_WORK_CAP","FQ4 2023","FQ4 2023","Currency=USD","Period=FQ","BEST_FPERIOD_OVERRIDE=FQ","FILING_STATUS=MR","SCALING_FORMAT=MLN","Sort=A","Dates=H","DateFormat=P","Fill=—","Direction=H","UseDPDF=Y")</f>
        <v>26.282</v>
      </c>
      <c r="X12" s="13">
        <f>_xll.BDH("BLUE US Equity","CF_CHNG_NON_CASH_WORK_CAP","FQ1 2024","FQ1 2024","Currency=USD","Period=FQ","BEST_FPERIOD_OVERRIDE=FQ","FILING_STATUS=MR","SCALING_FORMAT=MLN","Sort=A","Dates=H","DateFormat=P","Fill=—","Direction=H","UseDPDF=Y")</f>
        <v>-26.622</v>
      </c>
      <c r="Y12" s="13">
        <f>_xll.BDH("BLUE US Equity","CF_CHNG_NON_CASH_WORK_CAP","FQ2 2024","FQ2 2024","Currency=USD","Period=FQ","BEST_FPERIOD_OVERRIDE=FQ","FILING_STATUS=MR","SCALING_FORMAT=MLN","Sort=A","Dates=H","DateFormat=P","Fill=—","Direction=H","UseDPDF=Y")</f>
        <v>-11.744999999999999</v>
      </c>
      <c r="Z12" s="13">
        <f>_xll.BDH("BLUE US Equity","CF_CHNG_NON_CASH_WORK_CAP","FQ3 2024","FQ3 2024","Currency=USD","Period=FQ","BEST_FPERIOD_OVERRIDE=FQ","FILING_STATUS=MR","SCALING_FORMAT=MLN","Sort=A","Dates=H","DateFormat=P","Fill=—","Direction=H","UseDPDF=Y")</f>
        <v>-29.036999999999999</v>
      </c>
      <c r="AA12" s="13">
        <f>_xll.BDH("BLUE US Equity","CF_CHNG_NON_CASH_WORK_CAP","FQ4 2024","FQ4 2024","Currency=USD","Period=FQ","BEST_FPERIOD_OVERRIDE=FQ","FILING_STATUS=MR","SCALING_FORMAT=MLN","Sort=A","Dates=H","DateFormat=P","Fill=—","Direction=H","UseDPDF=Y")</f>
        <v>-41.439</v>
      </c>
    </row>
    <row r="13" spans="1:27" x14ac:dyDescent="0.25">
      <c r="A13" s="10" t="s">
        <v>1087</v>
      </c>
      <c r="B13" s="10" t="s">
        <v>1088</v>
      </c>
      <c r="C13" s="13">
        <f>_xll.BDH("BLUE US Equity","CF_ACCT_RCV_UNBILLED_REV","FQ4 2018","FQ4 2018","Currency=USD","Period=FQ","BEST_FPERIOD_OVERRIDE=FQ","FILING_STATUS=MR","SCALING_FORMAT=MLN","Sort=A","Dates=H","DateFormat=P","Fill=—","Direction=H","UseDPDF=Y")</f>
        <v>0</v>
      </c>
      <c r="D13" s="13">
        <f>_xll.BDH("BLUE US Equity","CF_ACCT_RCV_UNBILLED_REV","FQ1 2019","FQ1 2019","Currency=USD","Period=FQ","BEST_FPERIOD_OVERRIDE=FQ","FILING_STATUS=MR","SCALING_FORMAT=MLN","Sort=A","Dates=H","DateFormat=P","Fill=—","Direction=H","UseDPDF=Y")</f>
        <v>0</v>
      </c>
      <c r="E13" s="13">
        <f>_xll.BDH("BLUE US Equity","CF_ACCT_RCV_UNBILLED_REV","FQ2 2019","FQ2 2019","Currency=USD","Period=FQ","BEST_FPERIOD_OVERRIDE=FQ","FILING_STATUS=MR","SCALING_FORMAT=MLN","Sort=A","Dates=H","DateFormat=P","Fill=—","Direction=H","UseDPDF=Y")</f>
        <v>0</v>
      </c>
      <c r="F13" s="13">
        <f>_xll.BDH("BLUE US Equity","CF_ACCT_RCV_UNBILLED_REV","FQ3 2019","FQ3 2019","Currency=USD","Period=FQ","BEST_FPERIOD_OVERRIDE=FQ","FILING_STATUS=MR","SCALING_FORMAT=MLN","Sort=A","Dates=H","DateFormat=P","Fill=—","Direction=H","UseDPDF=Y")</f>
        <v>0</v>
      </c>
      <c r="G13" s="13">
        <f>_xll.BDH("BLUE US Equity","CF_ACCT_RCV_UNBILLED_REV","FQ4 2019","FQ4 2019","Currency=USD","Period=FQ","BEST_FPERIOD_OVERRIDE=FQ","FILING_STATUS=MR","SCALING_FORMAT=MLN","Sort=A","Dates=H","DateFormat=P","Fill=—","Direction=H","UseDPDF=Y")</f>
        <v>0</v>
      </c>
      <c r="H13" s="13">
        <f>_xll.BDH("BLUE US Equity","CF_ACCT_RCV_UNBILLED_REV","FQ1 2020","FQ1 2020","Currency=USD","Period=FQ","BEST_FPERIOD_OVERRIDE=FQ","FILING_STATUS=MR","SCALING_FORMAT=MLN","Sort=A","Dates=H","DateFormat=P","Fill=—","Direction=H","UseDPDF=Y")</f>
        <v>0</v>
      </c>
      <c r="I13" s="13">
        <f>_xll.BDH("BLUE US Equity","CF_ACCT_RCV_UNBILLED_REV","FQ2 2020","FQ2 2020","Currency=USD","Period=FQ","BEST_FPERIOD_OVERRIDE=FQ","FILING_STATUS=MR","SCALING_FORMAT=MLN","Sort=A","Dates=H","DateFormat=P","Fill=—","Direction=H","UseDPDF=Y")</f>
        <v>0</v>
      </c>
      <c r="J13" s="13">
        <f>_xll.BDH("BLUE US Equity","CF_ACCT_RCV_UNBILLED_REV","FQ3 2020","FQ3 2020","Currency=USD","Period=FQ","BEST_FPERIOD_OVERRIDE=FQ","FILING_STATUS=MR","SCALING_FORMAT=MLN","Sort=A","Dates=H","DateFormat=P","Fill=—","Direction=H","UseDPDF=Y")</f>
        <v>0</v>
      </c>
      <c r="K13" s="13">
        <f>_xll.BDH("BLUE US Equity","CF_ACCT_RCV_UNBILLED_REV","FQ4 2020","FQ4 2020","Currency=USD","Period=FQ","BEST_FPERIOD_OVERRIDE=FQ","FILING_STATUS=MR","SCALING_FORMAT=MLN","Sort=A","Dates=H","DateFormat=P","Fill=—","Direction=H","UseDPDF=Y")</f>
        <v>0</v>
      </c>
      <c r="L13" s="13">
        <f>_xll.BDH("BLUE US Equity","CF_ACCT_RCV_UNBILLED_REV","FQ1 2021","FQ1 2021","Currency=USD","Period=FQ","BEST_FPERIOD_OVERRIDE=FQ","FILING_STATUS=MR","SCALING_FORMAT=MLN","Sort=A","Dates=H","DateFormat=P","Fill=—","Direction=H","UseDPDF=Y")</f>
        <v>0</v>
      </c>
      <c r="M13" s="13">
        <f>_xll.BDH("BLUE US Equity","CF_ACCT_RCV_UNBILLED_REV","FQ2 2021","FQ2 2021","Currency=USD","Period=FQ","BEST_FPERIOD_OVERRIDE=FQ","FILING_STATUS=MR","SCALING_FORMAT=MLN","Sort=A","Dates=H","DateFormat=P","Fill=—","Direction=H","UseDPDF=Y")</f>
        <v>0</v>
      </c>
      <c r="N13" s="13">
        <f>_xll.BDH("BLUE US Equity","CF_ACCT_RCV_UNBILLED_REV","FQ3 2021","FQ3 2021","Currency=USD","Period=FQ","BEST_FPERIOD_OVERRIDE=FQ","FILING_STATUS=MR","SCALING_FORMAT=MLN","Sort=A","Dates=H","DateFormat=P","Fill=—","Direction=H","UseDPDF=Y")</f>
        <v>0</v>
      </c>
      <c r="O13" s="13">
        <f>_xll.BDH("BLUE US Equity","CF_ACCT_RCV_UNBILLED_REV","FQ4 2021","FQ4 2021","Currency=USD","Period=FQ","BEST_FPERIOD_OVERRIDE=FQ","FILING_STATUS=MR","SCALING_FORMAT=MLN","Sort=A","Dates=H","DateFormat=P","Fill=—","Direction=H","UseDPDF=Y")</f>
        <v>0</v>
      </c>
      <c r="P13" s="13">
        <f>_xll.BDH("BLUE US Equity","CF_ACCT_RCV_UNBILLED_REV","FQ1 2022","FQ1 2022","Currency=USD","Period=FQ","BEST_FPERIOD_OVERRIDE=FQ","FILING_STATUS=MR","SCALING_FORMAT=MLN","Sort=A","Dates=H","DateFormat=P","Fill=—","Direction=H","UseDPDF=Y")</f>
        <v>0</v>
      </c>
      <c r="Q13" s="13">
        <f>_xll.BDH("BLUE US Equity","CF_ACCT_RCV_UNBILLED_REV","FQ2 2022","FQ2 2022","Currency=USD","Period=FQ","BEST_FPERIOD_OVERRIDE=FQ","FILING_STATUS=MR","SCALING_FORMAT=MLN","Sort=A","Dates=H","DateFormat=P","Fill=—","Direction=H","UseDPDF=Y")</f>
        <v>0</v>
      </c>
      <c r="R13" s="13">
        <f>_xll.BDH("BLUE US Equity","CF_ACCT_RCV_UNBILLED_REV","FQ3 2022","FQ3 2022","Currency=USD","Period=FQ","BEST_FPERIOD_OVERRIDE=FQ","FILING_STATUS=MR","SCALING_FORMAT=MLN","Sort=A","Dates=H","DateFormat=P","Fill=—","Direction=H","UseDPDF=Y")</f>
        <v>0</v>
      </c>
      <c r="S13" s="13">
        <f>_xll.BDH("BLUE US Equity","CF_ACCT_RCV_UNBILLED_REV","FQ4 2022","FQ4 2022","Currency=USD","Period=FQ","BEST_FPERIOD_OVERRIDE=FQ","FILING_STATUS=MR","SCALING_FORMAT=MLN","Sort=A","Dates=H","DateFormat=P","Fill=—","Direction=H","UseDPDF=Y")</f>
        <v>0</v>
      </c>
      <c r="T13" s="13">
        <f>_xll.BDH("BLUE US Equity","CF_ACCT_RCV_UNBILLED_REV","FQ1 2023","FQ1 2023","Currency=USD","Period=FQ","BEST_FPERIOD_OVERRIDE=FQ","FILING_STATUS=MR","SCALING_FORMAT=MLN","Sort=A","Dates=H","DateFormat=P","Fill=—","Direction=H","UseDPDF=Y")</f>
        <v>0</v>
      </c>
      <c r="U13" s="13">
        <f>_xll.BDH("BLUE US Equity","CF_ACCT_RCV_UNBILLED_REV","FQ2 2023","FQ2 2023","Currency=USD","Period=FQ","BEST_FPERIOD_OVERRIDE=FQ","FILING_STATUS=MR","SCALING_FORMAT=MLN","Sort=A","Dates=H","DateFormat=P","Fill=—","Direction=H","UseDPDF=Y")</f>
        <v>0</v>
      </c>
      <c r="V13" s="13">
        <f>_xll.BDH("BLUE US Equity","CF_ACCT_RCV_UNBILLED_REV","FQ3 2023","FQ3 2023","Currency=USD","Period=FQ","BEST_FPERIOD_OVERRIDE=FQ","FILING_STATUS=MR","SCALING_FORMAT=MLN","Sort=A","Dates=H","DateFormat=P","Fill=—","Direction=H","UseDPDF=Y")</f>
        <v>-14.6</v>
      </c>
      <c r="W13" s="13">
        <f>_xll.BDH("BLUE US Equity","CF_ACCT_RCV_UNBILLED_REV","FQ4 2023","FQ4 2023","Currency=USD","Period=FQ","BEST_FPERIOD_OVERRIDE=FQ","FILING_STATUS=MR","SCALING_FORMAT=MLN","Sort=A","Dates=H","DateFormat=P","Fill=—","Direction=H","UseDPDF=Y")</f>
        <v>23</v>
      </c>
      <c r="X13" s="13">
        <f>_xll.BDH("BLUE US Equity","CF_ACCT_RCV_UNBILLED_REV","FQ1 2024","FQ1 2024","Currency=USD","Period=FQ","BEST_FPERIOD_OVERRIDE=FQ","FILING_STATUS=MR","SCALING_FORMAT=MLN","Sort=A","Dates=H","DateFormat=P","Fill=—","Direction=H","UseDPDF=Y")</f>
        <v>0</v>
      </c>
      <c r="Y13" s="13">
        <f>_xll.BDH("BLUE US Equity","CF_ACCT_RCV_UNBILLED_REV","FQ2 2024","FQ2 2024","Currency=USD","Period=FQ","BEST_FPERIOD_OVERRIDE=FQ","FILING_STATUS=MR","SCALING_FORMAT=MLN","Sort=A","Dates=H","DateFormat=P","Fill=—","Direction=H","UseDPDF=Y")</f>
        <v>0</v>
      </c>
      <c r="Z13" s="13">
        <f>_xll.BDH("BLUE US Equity","CF_ACCT_RCV_UNBILLED_REV","FQ3 2024","FQ3 2024","Currency=USD","Period=FQ","BEST_FPERIOD_OVERRIDE=FQ","FILING_STATUS=MR","SCALING_FORMAT=MLN","Sort=A","Dates=H","DateFormat=P","Fill=—","Direction=H","UseDPDF=Y")</f>
        <v>0</v>
      </c>
      <c r="AA13" s="13">
        <f>_xll.BDH("BLUE US Equity","CF_ACCT_RCV_UNBILLED_REV","FQ4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1089</v>
      </c>
      <c r="B14" s="10" t="s">
        <v>1090</v>
      </c>
      <c r="C14" s="13">
        <f>_xll.BDH("BLUE US Equity","CF_CHANGE_IN_INVENTORIES","FQ4 2018","FQ4 2018","Currency=USD","Period=FQ","BEST_FPERIOD_OVERRIDE=FQ","FILING_STATUS=MR","SCALING_FORMAT=MLN","Sort=A","Dates=H","DateFormat=P","Fill=—","Direction=H","UseDPDF=Y")</f>
        <v>0</v>
      </c>
      <c r="D14" s="13">
        <f>_xll.BDH("BLUE US Equity","CF_CHANGE_IN_INVENTORIES","FQ1 2019","FQ1 2019","Currency=USD","Period=FQ","BEST_FPERIOD_OVERRIDE=FQ","FILING_STATUS=MR","SCALING_FORMAT=MLN","Sort=A","Dates=H","DateFormat=P","Fill=—","Direction=H","UseDPDF=Y")</f>
        <v>0</v>
      </c>
      <c r="E14" s="13">
        <f>_xll.BDH("BLUE US Equity","CF_CHANGE_IN_INVENTORIES","FQ2 2019","FQ2 2019","Currency=USD","Period=FQ","BEST_FPERIOD_OVERRIDE=FQ","FILING_STATUS=MR","SCALING_FORMAT=MLN","Sort=A","Dates=H","DateFormat=P","Fill=—","Direction=H","UseDPDF=Y")</f>
        <v>0</v>
      </c>
      <c r="F14" s="13">
        <f>_xll.BDH("BLUE US Equity","CF_CHANGE_IN_INVENTORIES","FQ3 2019","FQ3 2019","Currency=USD","Period=FQ","BEST_FPERIOD_OVERRIDE=FQ","FILING_STATUS=MR","SCALING_FORMAT=MLN","Sort=A","Dates=H","DateFormat=P","Fill=—","Direction=H","UseDPDF=Y")</f>
        <v>0</v>
      </c>
      <c r="G14" s="13">
        <f>_xll.BDH("BLUE US Equity","CF_CHANGE_IN_INVENTORIES","FQ4 2019","FQ4 2019","Currency=USD","Period=FQ","BEST_FPERIOD_OVERRIDE=FQ","FILING_STATUS=MR","SCALING_FORMAT=MLN","Sort=A","Dates=H","DateFormat=P","Fill=—","Direction=H","UseDPDF=Y")</f>
        <v>0</v>
      </c>
      <c r="H14" s="13">
        <f>_xll.BDH("BLUE US Equity","CF_CHANGE_IN_INVENTORIES","FQ1 2020","FQ1 2020","Currency=USD","Period=FQ","BEST_FPERIOD_OVERRIDE=FQ","FILING_STATUS=MR","SCALING_FORMAT=MLN","Sort=A","Dates=H","DateFormat=P","Fill=—","Direction=H","UseDPDF=Y")</f>
        <v>0</v>
      </c>
      <c r="I14" s="13">
        <f>_xll.BDH("BLUE US Equity","CF_CHANGE_IN_INVENTORIES","FQ2 2020","FQ2 2020","Currency=USD","Period=FQ","BEST_FPERIOD_OVERRIDE=FQ","FILING_STATUS=MR","SCALING_FORMAT=MLN","Sort=A","Dates=H","DateFormat=P","Fill=—","Direction=H","UseDPDF=Y")</f>
        <v>0</v>
      </c>
      <c r="J14" s="13">
        <f>_xll.BDH("BLUE US Equity","CF_CHANGE_IN_INVENTORIES","FQ3 2020","FQ3 2020","Currency=USD","Period=FQ","BEST_FPERIOD_OVERRIDE=FQ","FILING_STATUS=MR","SCALING_FORMAT=MLN","Sort=A","Dates=H","DateFormat=P","Fill=—","Direction=H","UseDPDF=Y")</f>
        <v>0</v>
      </c>
      <c r="K14" s="13">
        <f>_xll.BDH("BLUE US Equity","CF_CHANGE_IN_INVENTORIES","FQ4 2020","FQ4 2020","Currency=USD","Period=FQ","BEST_FPERIOD_OVERRIDE=FQ","FILING_STATUS=MR","SCALING_FORMAT=MLN","Sort=A","Dates=H","DateFormat=P","Fill=—","Direction=H","UseDPDF=Y")</f>
        <v>0</v>
      </c>
      <c r="L14" s="13" t="str">
        <f>_xll.BDH("BLUE US Equity","CF_CHANGE_IN_INVENTORIES","FQ1 2021","FQ1 2021","Currency=USD","Period=FQ","BEST_FPERIOD_OVERRIDE=FQ","FILING_STATUS=MR","SCALING_FORMAT=MLN","Sort=A","Dates=H","DateFormat=P","Fill=—","Direction=H","UseDPDF=Y")</f>
        <v>—</v>
      </c>
      <c r="M14" s="13">
        <f>_xll.BDH("BLUE US Equity","CF_CHANGE_IN_INVENTORIES","FQ2 2021","FQ2 2021","Currency=USD","Period=FQ","BEST_FPERIOD_OVERRIDE=FQ","FILING_STATUS=MR","SCALING_FORMAT=MLN","Sort=A","Dates=H","DateFormat=P","Fill=—","Direction=H","UseDPDF=Y")</f>
        <v>-10.301</v>
      </c>
      <c r="N14" s="13" t="str">
        <f>_xll.BDH("BLUE US Equity","CF_CHANGE_IN_INVENTORIES","FQ3 2021","FQ3 2021","Currency=USD","Period=FQ","BEST_FPERIOD_OVERRIDE=FQ","FILING_STATUS=MR","SCALING_FORMAT=MLN","Sort=A","Dates=H","DateFormat=P","Fill=—","Direction=H","UseDPDF=Y")</f>
        <v>—</v>
      </c>
      <c r="O14" s="13">
        <f>_xll.BDH("BLUE US Equity","CF_CHANGE_IN_INVENTORIES","FQ4 2021","FQ4 2021","Currency=USD","Period=FQ","BEST_FPERIOD_OVERRIDE=FQ","FILING_STATUS=MR","SCALING_FORMAT=MLN","Sort=A","Dates=H","DateFormat=P","Fill=—","Direction=H","UseDPDF=Y")</f>
        <v>0.56000000000000005</v>
      </c>
      <c r="P14" s="13">
        <f>_xll.BDH("BLUE US Equity","CF_CHANGE_IN_INVENTORIES","FQ1 2022","FQ1 2022","Currency=USD","Period=FQ","BEST_FPERIOD_OVERRIDE=FQ","FILING_STATUS=MR","SCALING_FORMAT=MLN","Sort=A","Dates=H","DateFormat=P","Fill=—","Direction=H","UseDPDF=Y")</f>
        <v>0</v>
      </c>
      <c r="Q14" s="13">
        <f>_xll.BDH("BLUE US Equity","CF_CHANGE_IN_INVENTORIES","FQ2 2022","FQ2 2022","Currency=USD","Period=FQ","BEST_FPERIOD_OVERRIDE=FQ","FILING_STATUS=MR","SCALING_FORMAT=MLN","Sort=A","Dates=H","DateFormat=P","Fill=—","Direction=H","UseDPDF=Y")</f>
        <v>0</v>
      </c>
      <c r="R14" s="13">
        <f>_xll.BDH("BLUE US Equity","CF_CHANGE_IN_INVENTORIES","FQ3 2022","FQ3 2022","Currency=USD","Period=FQ","BEST_FPERIOD_OVERRIDE=FQ","FILING_STATUS=MR","SCALING_FORMAT=MLN","Sort=A","Dates=H","DateFormat=P","Fill=—","Direction=H","UseDPDF=Y")</f>
        <v>0</v>
      </c>
      <c r="S14" s="13">
        <f>_xll.BDH("BLUE US Equity","CF_CHANGE_IN_INVENTORIES","FQ4 2022","FQ4 2022","Currency=USD","Period=FQ","BEST_FPERIOD_OVERRIDE=FQ","FILING_STATUS=MR","SCALING_FORMAT=MLN","Sort=A","Dates=H","DateFormat=P","Fill=—","Direction=H","UseDPDF=Y")</f>
        <v>-7.2270000000000003</v>
      </c>
      <c r="T14" s="13">
        <f>_xll.BDH("BLUE US Equity","CF_CHANGE_IN_INVENTORIES","FQ1 2023","FQ1 2023","Currency=USD","Period=FQ","BEST_FPERIOD_OVERRIDE=FQ","FILING_STATUS=MR","SCALING_FORMAT=MLN","Sort=A","Dates=H","DateFormat=P","Fill=—","Direction=H","UseDPDF=Y")</f>
        <v>-5.3310000000000004</v>
      </c>
      <c r="U14" s="13">
        <f>_xll.BDH("BLUE US Equity","CF_CHANGE_IN_INVENTORIES","FQ2 2023","FQ2 2023","Currency=USD","Period=FQ","BEST_FPERIOD_OVERRIDE=FQ","FILING_STATUS=MR","SCALING_FORMAT=MLN","Sort=A","Dates=H","DateFormat=P","Fill=—","Direction=H","UseDPDF=Y")</f>
        <v>-12.268000000000001</v>
      </c>
      <c r="V14" s="13">
        <f>_xll.BDH("BLUE US Equity","CF_CHANGE_IN_INVENTORIES","FQ3 2023","FQ3 2023","Currency=USD","Period=FQ","BEST_FPERIOD_OVERRIDE=FQ","FILING_STATUS=MR","SCALING_FORMAT=MLN","Sort=A","Dates=H","DateFormat=P","Fill=—","Direction=H","UseDPDF=Y")</f>
        <v>-8.5980000000000008</v>
      </c>
      <c r="W14" s="13">
        <f>_xll.BDH("BLUE US Equity","CF_CHANGE_IN_INVENTORIES","FQ4 2023","FQ4 2023","Currency=USD","Period=FQ","BEST_FPERIOD_OVERRIDE=FQ","FILING_STATUS=MR","SCALING_FORMAT=MLN","Sort=A","Dates=H","DateFormat=P","Fill=—","Direction=H","UseDPDF=Y")</f>
        <v>-11.629</v>
      </c>
      <c r="X14" s="13">
        <f>_xll.BDH("BLUE US Equity","CF_CHANGE_IN_INVENTORIES","FQ1 2024","FQ1 2024","Currency=USD","Period=FQ","BEST_FPERIOD_OVERRIDE=FQ","FILING_STATUS=MR","SCALING_FORMAT=MLN","Sort=A","Dates=H","DateFormat=P","Fill=—","Direction=H","UseDPDF=Y")</f>
        <v>-7.1849999999999996</v>
      </c>
      <c r="Y14" s="13">
        <f>_xll.BDH("BLUE US Equity","CF_CHANGE_IN_INVENTORIES","FQ2 2024","FQ2 2024","Currency=USD","Period=FQ","BEST_FPERIOD_OVERRIDE=FQ","FILING_STATUS=MR","SCALING_FORMAT=MLN","Sort=A","Dates=H","DateFormat=P","Fill=—","Direction=H","UseDPDF=Y")</f>
        <v>-8.5440000000000005</v>
      </c>
      <c r="Z14" s="13">
        <f>_xll.BDH("BLUE US Equity","CF_CHANGE_IN_INVENTORIES","FQ3 2024","FQ3 2024","Currency=USD","Period=FQ","BEST_FPERIOD_OVERRIDE=FQ","FILING_STATUS=MR","SCALING_FORMAT=MLN","Sort=A","Dates=H","DateFormat=P","Fill=—","Direction=H","UseDPDF=Y")</f>
        <v>-22.309000000000001</v>
      </c>
      <c r="AA14" s="13">
        <f>_xll.BDH("BLUE US Equity","CF_CHANGE_IN_INVENTORIES","FQ4 2024","FQ4 2024","Currency=USD","Period=FQ","BEST_FPERIOD_OVERRIDE=FQ","FILING_STATUS=MR","SCALING_FORMAT=MLN","Sort=A","Dates=H","DateFormat=P","Fill=—","Direction=H","UseDPDF=Y")</f>
        <v>-14.422000000000001</v>
      </c>
    </row>
    <row r="15" spans="1:27" x14ac:dyDescent="0.25">
      <c r="A15" s="10" t="s">
        <v>1091</v>
      </c>
      <c r="B15" s="10" t="s">
        <v>1092</v>
      </c>
      <c r="C15" s="13">
        <f>_xll.BDH("BLUE US Equity","CF_CHANGE_IN_ACCOUNTS_PAYABLE","FQ4 2018","FQ4 2018","Currency=USD","Period=FQ","BEST_FPERIOD_OVERRIDE=FQ","FILING_STATUS=MR","SCALING_FORMAT=MLN","Sort=A","Dates=H","DateFormat=P","Fill=—","Direction=H","UseDPDF=Y")</f>
        <v>4.1070000000000002</v>
      </c>
      <c r="D15" s="13">
        <f>_xll.BDH("BLUE US Equity","CF_CHANGE_IN_ACCOUNTS_PAYABLE","FQ1 2019","FQ1 2019","Currency=USD","Period=FQ","BEST_FPERIOD_OVERRIDE=FQ","FILING_STATUS=MR","SCALING_FORMAT=MLN","Sort=A","Dates=H","DateFormat=P","Fill=—","Direction=H","UseDPDF=Y")</f>
        <v>10.59</v>
      </c>
      <c r="E15" s="13">
        <f>_xll.BDH("BLUE US Equity","CF_CHANGE_IN_ACCOUNTS_PAYABLE","FQ2 2019","FQ2 2019","Currency=USD","Period=FQ","BEST_FPERIOD_OVERRIDE=FQ","FILING_STATUS=MR","SCALING_FORMAT=MLN","Sort=A","Dates=H","DateFormat=P","Fill=—","Direction=H","UseDPDF=Y")</f>
        <v>-3.9380000000000002</v>
      </c>
      <c r="F15" s="13">
        <f>_xll.BDH("BLUE US Equity","CF_CHANGE_IN_ACCOUNTS_PAYABLE","FQ3 2019","FQ3 2019","Currency=USD","Period=FQ","BEST_FPERIOD_OVERRIDE=FQ","FILING_STATUS=MR","SCALING_FORMAT=MLN","Sort=A","Dates=H","DateFormat=P","Fill=—","Direction=H","UseDPDF=Y")</f>
        <v>16.628</v>
      </c>
      <c r="G15" s="13">
        <f>_xll.BDH("BLUE US Equity","CF_CHANGE_IN_ACCOUNTS_PAYABLE","FQ4 2019","FQ4 2019","Currency=USD","Period=FQ","BEST_FPERIOD_OVERRIDE=FQ","FILING_STATUS=MR","SCALING_FORMAT=MLN","Sort=A","Dates=H","DateFormat=P","Fill=—","Direction=H","UseDPDF=Y")</f>
        <v>0.32</v>
      </c>
      <c r="H15" s="13">
        <f>_xll.BDH("BLUE US Equity","CF_CHANGE_IN_ACCOUNTS_PAYABLE","FQ1 2020","FQ1 2020","Currency=USD","Period=FQ","BEST_FPERIOD_OVERRIDE=FQ","FILING_STATUS=MR","SCALING_FORMAT=MLN","Sort=A","Dates=H","DateFormat=P","Fill=—","Direction=H","UseDPDF=Y")</f>
        <v>-9.5190000000000001</v>
      </c>
      <c r="I15" s="13">
        <f>_xll.BDH("BLUE US Equity","CF_CHANGE_IN_ACCOUNTS_PAYABLE","FQ2 2020","FQ2 2020","Currency=USD","Period=FQ","BEST_FPERIOD_OVERRIDE=FQ","FILING_STATUS=MR","SCALING_FORMAT=MLN","Sort=A","Dates=H","DateFormat=P","Fill=—","Direction=H","UseDPDF=Y")</f>
        <v>-4.5229999999999997</v>
      </c>
      <c r="J15" s="13">
        <f>_xll.BDH("BLUE US Equity","CF_CHANGE_IN_ACCOUNTS_PAYABLE","FQ3 2020","FQ3 2020","Currency=USD","Period=FQ","BEST_FPERIOD_OVERRIDE=FQ","FILING_STATUS=MR","SCALING_FORMAT=MLN","Sort=A","Dates=H","DateFormat=P","Fill=—","Direction=H","UseDPDF=Y")</f>
        <v>-1.3779999999999999</v>
      </c>
      <c r="K15" s="13">
        <f>_xll.BDH("BLUE US Equity","CF_CHANGE_IN_ACCOUNTS_PAYABLE","FQ4 2020","FQ4 2020","Currency=USD","Period=FQ","BEST_FPERIOD_OVERRIDE=FQ","FILING_STATUS=MR","SCALING_FORMAT=MLN","Sort=A","Dates=H","DateFormat=P","Fill=—","Direction=H","UseDPDF=Y")</f>
        <v>-4.68</v>
      </c>
      <c r="L15" s="13">
        <f>_xll.BDH("BLUE US Equity","CF_CHANGE_IN_ACCOUNTS_PAYABLE","FQ1 2021","FQ1 2021","Currency=USD","Period=FQ","BEST_FPERIOD_OVERRIDE=FQ","FILING_STATUS=MR","SCALING_FORMAT=MLN","Sort=A","Dates=H","DateFormat=P","Fill=—","Direction=H","UseDPDF=Y")</f>
        <v>6.7000000000000004E-2</v>
      </c>
      <c r="M15" s="13">
        <f>_xll.BDH("BLUE US Equity","CF_CHANGE_IN_ACCOUNTS_PAYABLE","FQ2 2021","FQ2 2021","Currency=USD","Period=FQ","BEST_FPERIOD_OVERRIDE=FQ","FILING_STATUS=MR","SCALING_FORMAT=MLN","Sort=A","Dates=H","DateFormat=P","Fill=—","Direction=H","UseDPDF=Y")</f>
        <v>7.4080000000000004</v>
      </c>
      <c r="N15" s="13">
        <f>_xll.BDH("BLUE US Equity","CF_CHANGE_IN_ACCOUNTS_PAYABLE","FQ3 2021","FQ3 2021","Currency=USD","Period=FQ","BEST_FPERIOD_OVERRIDE=FQ","FILING_STATUS=MR","SCALING_FORMAT=MLN","Sort=A","Dates=H","DateFormat=P","Fill=—","Direction=H","UseDPDF=Y")</f>
        <v>-5.4710000000000001</v>
      </c>
      <c r="O15" s="13">
        <f>_xll.BDH("BLUE US Equity","CF_CHANGE_IN_ACCOUNTS_PAYABLE","FQ4 2021","FQ4 2021","Currency=USD","Period=FQ","BEST_FPERIOD_OVERRIDE=FQ","FILING_STATUS=MR","SCALING_FORMAT=MLN","Sort=A","Dates=H","DateFormat=P","Fill=—","Direction=H","UseDPDF=Y")</f>
        <v>7.282</v>
      </c>
      <c r="P15" s="13">
        <f>_xll.BDH("BLUE US Equity","CF_CHANGE_IN_ACCOUNTS_PAYABLE","FQ1 2022","FQ1 2022","Currency=USD","Period=FQ","BEST_FPERIOD_OVERRIDE=FQ","FILING_STATUS=MR","SCALING_FORMAT=MLN","Sort=A","Dates=H","DateFormat=P","Fill=—","Direction=H","UseDPDF=Y")</f>
        <v>2.4670000000000001</v>
      </c>
      <c r="Q15" s="13">
        <f>_xll.BDH("BLUE US Equity","CF_CHANGE_IN_ACCOUNTS_PAYABLE","FQ2 2022","FQ2 2022","Currency=USD","Period=FQ","BEST_FPERIOD_OVERRIDE=FQ","FILING_STATUS=MR","SCALING_FORMAT=MLN","Sort=A","Dates=H","DateFormat=P","Fill=—","Direction=H","UseDPDF=Y")</f>
        <v>-3.6419999999999999</v>
      </c>
      <c r="R15" s="13">
        <f>_xll.BDH("BLUE US Equity","CF_CHANGE_IN_ACCOUNTS_PAYABLE","FQ3 2022","FQ3 2022","Currency=USD","Period=FQ","BEST_FPERIOD_OVERRIDE=FQ","FILING_STATUS=MR","SCALING_FORMAT=MLN","Sort=A","Dates=H","DateFormat=P","Fill=—","Direction=H","UseDPDF=Y")</f>
        <v>-6.3769999999999998</v>
      </c>
      <c r="S15" s="13">
        <f>_xll.BDH("BLUE US Equity","CF_CHANGE_IN_ACCOUNTS_PAYABLE","FQ4 2022","FQ4 2022","Currency=USD","Period=FQ","BEST_FPERIOD_OVERRIDE=FQ","FILING_STATUS=MR","SCALING_FORMAT=MLN","Sort=A","Dates=H","DateFormat=P","Fill=—","Direction=H","UseDPDF=Y")</f>
        <v>-0.157</v>
      </c>
      <c r="T15" s="13">
        <f>_xll.BDH("BLUE US Equity","CF_CHANGE_IN_ACCOUNTS_PAYABLE","FQ1 2023","FQ1 2023","Currency=USD","Period=FQ","BEST_FPERIOD_OVERRIDE=FQ","FILING_STATUS=MR","SCALING_FORMAT=MLN","Sort=A","Dates=H","DateFormat=P","Fill=—","Direction=H","UseDPDF=Y")</f>
        <v>1.26</v>
      </c>
      <c r="U15" s="13">
        <f>_xll.BDH("BLUE US Equity","CF_CHANGE_IN_ACCOUNTS_PAYABLE","FQ2 2023","FQ2 2023","Currency=USD","Period=FQ","BEST_FPERIOD_OVERRIDE=FQ","FILING_STATUS=MR","SCALING_FORMAT=MLN","Sort=A","Dates=H","DateFormat=P","Fill=—","Direction=H","UseDPDF=Y")</f>
        <v>-6.883</v>
      </c>
      <c r="V15" s="13">
        <f>_xll.BDH("BLUE US Equity","CF_CHANGE_IN_ACCOUNTS_PAYABLE","FQ3 2023","FQ3 2023","Currency=USD","Period=FQ","BEST_FPERIOD_OVERRIDE=FQ","FILING_STATUS=MR","SCALING_FORMAT=MLN","Sort=A","Dates=H","DateFormat=P","Fill=—","Direction=H","UseDPDF=Y")</f>
        <v>7.335</v>
      </c>
      <c r="W15" s="13">
        <f>_xll.BDH("BLUE US Equity","CF_CHANGE_IN_ACCOUNTS_PAYABLE","FQ4 2023","FQ4 2023","Currency=USD","Period=FQ","BEST_FPERIOD_OVERRIDE=FQ","FILING_STATUS=MR","SCALING_FORMAT=MLN","Sort=A","Dates=H","DateFormat=P","Fill=—","Direction=H","UseDPDF=Y")</f>
        <v>8.6280000000000001</v>
      </c>
      <c r="X15" s="13">
        <f>_xll.BDH("BLUE US Equity","CF_CHANGE_IN_ACCOUNTS_PAYABLE","FQ1 2024","FQ1 2024","Currency=USD","Period=FQ","BEST_FPERIOD_OVERRIDE=FQ","FILING_STATUS=MR","SCALING_FORMAT=MLN","Sort=A","Dates=H","DateFormat=P","Fill=—","Direction=H","UseDPDF=Y")</f>
        <v>1.454</v>
      </c>
      <c r="Y15" s="13">
        <f>_xll.BDH("BLUE US Equity","CF_CHANGE_IN_ACCOUNTS_PAYABLE","FQ2 2024","FQ2 2024","Currency=USD","Period=FQ","BEST_FPERIOD_OVERRIDE=FQ","FILING_STATUS=MR","SCALING_FORMAT=MLN","Sort=A","Dates=H","DateFormat=P","Fill=—","Direction=H","UseDPDF=Y")</f>
        <v>11.063000000000001</v>
      </c>
      <c r="Z15" s="13">
        <f>_xll.BDH("BLUE US Equity","CF_CHANGE_IN_ACCOUNTS_PAYABLE","FQ3 2024","FQ3 2024","Currency=USD","Period=FQ","BEST_FPERIOD_OVERRIDE=FQ","FILING_STATUS=MR","SCALING_FORMAT=MLN","Sort=A","Dates=H","DateFormat=P","Fill=—","Direction=H","UseDPDF=Y")</f>
        <v>-5.8570000000000002</v>
      </c>
      <c r="AA15" s="13">
        <f>_xll.BDH("BLUE US Equity","CF_CHANGE_IN_ACCOUNTS_PAYABLE","FQ4 2024","FQ4 2024","Currency=USD","Period=FQ","BEST_FPERIOD_OVERRIDE=FQ","FILING_STATUS=MR","SCALING_FORMAT=MLN","Sort=A","Dates=H","DateFormat=P","Fill=—","Direction=H","UseDPDF=Y")</f>
        <v>9.8439999999999994</v>
      </c>
    </row>
    <row r="16" spans="1:27" x14ac:dyDescent="0.25">
      <c r="A16" s="10" t="s">
        <v>1093</v>
      </c>
      <c r="B16" s="10" t="s">
        <v>1094</v>
      </c>
      <c r="C16" s="13">
        <f>_xll.BDH("BLUE US Equity","INC_DEC_IN_OT_OP_AST_LIAB_DETAIL","FQ4 2018","FQ4 2018","Currency=USD","Period=FQ","BEST_FPERIOD_OVERRIDE=FQ","FILING_STATUS=MR","SCALING_FORMAT=MLN","Sort=A","Dates=H","DateFormat=P","Fill=—","Direction=H","UseDPDF=Y")</f>
        <v>-0.47199999999999998</v>
      </c>
      <c r="D16" s="13">
        <f>_xll.BDH("BLUE US Equity","INC_DEC_IN_OT_OP_AST_LIAB_DETAIL","FQ1 2019","FQ1 2019","Currency=USD","Period=FQ","BEST_FPERIOD_OVERRIDE=FQ","FILING_STATUS=MR","SCALING_FORMAT=MLN","Sort=A","Dates=H","DateFormat=P","Fill=—","Direction=H","UseDPDF=Y")</f>
        <v>-36.273000000000003</v>
      </c>
      <c r="E16" s="13">
        <f>_xll.BDH("BLUE US Equity","INC_DEC_IN_OT_OP_AST_LIAB_DETAIL","FQ2 2019","FQ2 2019","Currency=USD","Period=FQ","BEST_FPERIOD_OVERRIDE=FQ","FILING_STATUS=MR","SCALING_FORMAT=MLN","Sort=A","Dates=H","DateFormat=P","Fill=—","Direction=H","UseDPDF=Y")</f>
        <v>3.847</v>
      </c>
      <c r="F16" s="13">
        <f>_xll.BDH("BLUE US Equity","INC_DEC_IN_OT_OP_AST_LIAB_DETAIL","FQ3 2019","FQ3 2019","Currency=USD","Period=FQ","BEST_FPERIOD_OVERRIDE=FQ","FILING_STATUS=MR","SCALING_FORMAT=MLN","Sort=A","Dates=H","DateFormat=P","Fill=—","Direction=H","UseDPDF=Y")</f>
        <v>32.606999999999999</v>
      </c>
      <c r="G16" s="13">
        <f>_xll.BDH("BLUE US Equity","INC_DEC_IN_OT_OP_AST_LIAB_DETAIL","FQ4 2019","FQ4 2019","Currency=USD","Period=FQ","BEST_FPERIOD_OVERRIDE=FQ","FILING_STATUS=MR","SCALING_FORMAT=MLN","Sort=A","Dates=H","DateFormat=P","Fill=—","Direction=H","UseDPDF=Y")</f>
        <v>26.457999999999998</v>
      </c>
      <c r="H16" s="13">
        <f>_xll.BDH("BLUE US Equity","INC_DEC_IN_OT_OP_AST_LIAB_DETAIL","FQ1 2020","FQ1 2020","Currency=USD","Period=FQ","BEST_FPERIOD_OVERRIDE=FQ","FILING_STATUS=MR","SCALING_FORMAT=MLN","Sort=A","Dates=H","DateFormat=P","Fill=—","Direction=H","UseDPDF=Y")</f>
        <v>-33.843000000000004</v>
      </c>
      <c r="I16" s="13">
        <f>_xll.BDH("BLUE US Equity","INC_DEC_IN_OT_OP_AST_LIAB_DETAIL","FQ2 2020","FQ2 2020","Currency=USD","Period=FQ","BEST_FPERIOD_OVERRIDE=FQ","FILING_STATUS=MR","SCALING_FORMAT=MLN","Sort=A","Dates=H","DateFormat=P","Fill=—","Direction=H","UseDPDF=Y")</f>
        <v>2.226</v>
      </c>
      <c r="J16" s="13">
        <f>_xll.BDH("BLUE US Equity","INC_DEC_IN_OT_OP_AST_LIAB_DETAIL","FQ3 2020","FQ3 2020","Currency=USD","Period=FQ","BEST_FPERIOD_OVERRIDE=FQ","FILING_STATUS=MR","SCALING_FORMAT=MLN","Sort=A","Dates=H","DateFormat=P","Fill=—","Direction=H","UseDPDF=Y")</f>
        <v>0.443</v>
      </c>
      <c r="K16" s="13">
        <f>_xll.BDH("BLUE US Equity","INC_DEC_IN_OT_OP_AST_LIAB_DETAIL","FQ4 2020","FQ4 2020","Currency=USD","Period=FQ","BEST_FPERIOD_OVERRIDE=FQ","FILING_STATUS=MR","SCALING_FORMAT=MLN","Sort=A","Dates=H","DateFormat=P","Fill=—","Direction=H","UseDPDF=Y")</f>
        <v>8.7059999999999995</v>
      </c>
      <c r="L16" s="13">
        <f>_xll.BDH("BLUE US Equity","INC_DEC_IN_OT_OP_AST_LIAB_DETAIL","FQ1 2021","FQ1 2021","Currency=USD","Period=FQ","BEST_FPERIOD_OVERRIDE=FQ","FILING_STATUS=MR","SCALING_FORMAT=MLN","Sort=A","Dates=H","DateFormat=P","Fill=—","Direction=H","UseDPDF=Y")</f>
        <v>-18.774999999999999</v>
      </c>
      <c r="M16" s="13">
        <f>_xll.BDH("BLUE US Equity","INC_DEC_IN_OT_OP_AST_LIAB_DETAIL","FQ2 2021","FQ2 2021","Currency=USD","Period=FQ","BEST_FPERIOD_OVERRIDE=FQ","FILING_STATUS=MR","SCALING_FORMAT=MLN","Sort=A","Dates=H","DateFormat=P","Fill=—","Direction=H","UseDPDF=Y")</f>
        <v>41.691000000000003</v>
      </c>
      <c r="N16" s="13">
        <f>_xll.BDH("BLUE US Equity","INC_DEC_IN_OT_OP_AST_LIAB_DETAIL","FQ3 2021","FQ3 2021","Currency=USD","Period=FQ","BEST_FPERIOD_OVERRIDE=FQ","FILING_STATUS=MR","SCALING_FORMAT=MLN","Sort=A","Dates=H","DateFormat=P","Fill=—","Direction=H","UseDPDF=Y")</f>
        <v>11.218</v>
      </c>
      <c r="O16" s="13">
        <f>_xll.BDH("BLUE US Equity","INC_DEC_IN_OT_OP_AST_LIAB_DETAIL","FQ4 2021","FQ4 2021","Currency=USD","Period=FQ","BEST_FPERIOD_OVERRIDE=FQ","FILING_STATUS=MR","SCALING_FORMAT=MLN","Sort=A","Dates=H","DateFormat=P","Fill=—","Direction=H","UseDPDF=Y")</f>
        <v>-24.001000000000001</v>
      </c>
      <c r="P16" s="13">
        <f>_xll.BDH("BLUE US Equity","INC_DEC_IN_OT_OP_AST_LIAB_DETAIL","FQ1 2022","FQ1 2022","Currency=USD","Period=FQ","BEST_FPERIOD_OVERRIDE=FQ","FILING_STATUS=MR","SCALING_FORMAT=MLN","Sort=A","Dates=H","DateFormat=P","Fill=—","Direction=H","UseDPDF=Y")</f>
        <v>-29.62</v>
      </c>
      <c r="Q16" s="13">
        <f>_xll.BDH("BLUE US Equity","INC_DEC_IN_OT_OP_AST_LIAB_DETAIL","FQ2 2022","FQ2 2022","Currency=USD","Period=FQ","BEST_FPERIOD_OVERRIDE=FQ","FILING_STATUS=MR","SCALING_FORMAT=MLN","Sort=A","Dates=H","DateFormat=P","Fill=—","Direction=H","UseDPDF=Y")</f>
        <v>-8.5739999999999998</v>
      </c>
      <c r="R16" s="13">
        <f>_xll.BDH("BLUE US Equity","INC_DEC_IN_OT_OP_AST_LIAB_DETAIL","FQ3 2022","FQ3 2022","Currency=USD","Period=FQ","BEST_FPERIOD_OVERRIDE=FQ","FILING_STATUS=MR","SCALING_FORMAT=MLN","Sort=A","Dates=H","DateFormat=P","Fill=—","Direction=H","UseDPDF=Y")</f>
        <v>-7.0490000000000004</v>
      </c>
      <c r="S16" s="13">
        <f>_xll.BDH("BLUE US Equity","INC_DEC_IN_OT_OP_AST_LIAB_DETAIL","FQ4 2022","FQ4 2022","Currency=USD","Period=FQ","BEST_FPERIOD_OVERRIDE=FQ","FILING_STATUS=MR","SCALING_FORMAT=MLN","Sort=A","Dates=H","DateFormat=P","Fill=—","Direction=H","UseDPDF=Y")</f>
        <v>-0.79300000000000004</v>
      </c>
      <c r="T16" s="13">
        <f>_xll.BDH("BLUE US Equity","INC_DEC_IN_OT_OP_AST_LIAB_DETAIL","FQ1 2023","FQ1 2023","Currency=USD","Period=FQ","BEST_FPERIOD_OVERRIDE=FQ","FILING_STATUS=MR","SCALING_FORMAT=MLN","Sort=A","Dates=H","DateFormat=P","Fill=—","Direction=H","UseDPDF=Y")</f>
        <v>-9.98</v>
      </c>
      <c r="U16" s="13">
        <f>_xll.BDH("BLUE US Equity","INC_DEC_IN_OT_OP_AST_LIAB_DETAIL","FQ2 2023","FQ2 2023","Currency=USD","Period=FQ","BEST_FPERIOD_OVERRIDE=FQ","FILING_STATUS=MR","SCALING_FORMAT=MLN","Sort=A","Dates=H","DateFormat=P","Fill=—","Direction=H","UseDPDF=Y")</f>
        <v>7.4109999999999996</v>
      </c>
      <c r="V16" s="13">
        <f>_xll.BDH("BLUE US Equity","INC_DEC_IN_OT_OP_AST_LIAB_DETAIL","FQ3 2023","FQ3 2023","Currency=USD","Period=FQ","BEST_FPERIOD_OVERRIDE=FQ","FILING_STATUS=MR","SCALING_FORMAT=MLN","Sort=A","Dates=H","DateFormat=P","Fill=—","Direction=H","UseDPDF=Y")</f>
        <v>13.598000000000001</v>
      </c>
      <c r="W16" s="13">
        <f>_xll.BDH("BLUE US Equity","INC_DEC_IN_OT_OP_AST_LIAB_DETAIL","FQ4 2023","FQ4 2023","Currency=USD","Period=FQ","BEST_FPERIOD_OVERRIDE=FQ","FILING_STATUS=MR","SCALING_FORMAT=MLN","Sort=A","Dates=H","DateFormat=P","Fill=—","Direction=H","UseDPDF=Y")</f>
        <v>6.2830000000000004</v>
      </c>
      <c r="X16" s="13">
        <f>_xll.BDH("BLUE US Equity","INC_DEC_IN_OT_OP_AST_LIAB_DETAIL","FQ1 2024","FQ1 2024","Currency=USD","Period=FQ","BEST_FPERIOD_OVERRIDE=FQ","FILING_STATUS=MR","SCALING_FORMAT=MLN","Sort=A","Dates=H","DateFormat=P","Fill=—","Direction=H","UseDPDF=Y")</f>
        <v>-20.890999999999998</v>
      </c>
      <c r="Y16" s="13">
        <f>_xll.BDH("BLUE US Equity","INC_DEC_IN_OT_OP_AST_LIAB_DETAIL","FQ2 2024","FQ2 2024","Currency=USD","Period=FQ","BEST_FPERIOD_OVERRIDE=FQ","FILING_STATUS=MR","SCALING_FORMAT=MLN","Sort=A","Dates=H","DateFormat=P","Fill=—","Direction=H","UseDPDF=Y")</f>
        <v>-14.263999999999999</v>
      </c>
      <c r="Z16" s="13">
        <f>_xll.BDH("BLUE US Equity","INC_DEC_IN_OT_OP_AST_LIAB_DETAIL","FQ3 2024","FQ3 2024","Currency=USD","Period=FQ","BEST_FPERIOD_OVERRIDE=FQ","FILING_STATUS=MR","SCALING_FORMAT=MLN","Sort=A","Dates=H","DateFormat=P","Fill=—","Direction=H","UseDPDF=Y")</f>
        <v>-0.871</v>
      </c>
      <c r="AA16" s="13">
        <f>_xll.BDH("BLUE US Equity","INC_DEC_IN_OT_OP_AST_LIAB_DETAIL","FQ4 2024","FQ4 2024","Currency=USD","Period=FQ","BEST_FPERIOD_OVERRIDE=FQ","FILING_STATUS=MR","SCALING_FORMAT=MLN","Sort=A","Dates=H","DateFormat=P","Fill=—","Direction=H","UseDPDF=Y")</f>
        <v>-36.860999999999997</v>
      </c>
    </row>
    <row r="17" spans="1:27" x14ac:dyDescent="0.25">
      <c r="A17" s="10" t="s">
        <v>1095</v>
      </c>
      <c r="B17" s="10" t="s">
        <v>1096</v>
      </c>
      <c r="C17" s="13">
        <f>_xll.BDH("BLUE US Equity","CF_NET_CASH_DISCONT_OPS_OPER","FQ4 2018","FQ4 2018","Currency=USD","Period=FQ","BEST_FPERIOD_OVERRIDE=FQ","FILING_STATUS=MR","SCALING_FORMAT=MLN","Sort=A","Dates=H","DateFormat=P","Fill=—","Direction=H","UseDPDF=Y")</f>
        <v>0</v>
      </c>
      <c r="D17" s="13">
        <f>_xll.BDH("BLUE US Equity","CF_NET_CASH_DISCONT_OPS_OPER","FQ1 2019","FQ1 2019","Currency=USD","Period=FQ","BEST_FPERIOD_OVERRIDE=FQ","FILING_STATUS=MR","SCALING_FORMAT=MLN","Sort=A","Dates=H","DateFormat=P","Fill=—","Direction=H","UseDPDF=Y")</f>
        <v>0</v>
      </c>
      <c r="E17" s="13">
        <f>_xll.BDH("BLUE US Equity","CF_NET_CASH_DISCONT_OPS_OPER","FQ2 2019","FQ2 2019","Currency=USD","Period=FQ","BEST_FPERIOD_OVERRIDE=FQ","FILING_STATUS=MR","SCALING_FORMAT=MLN","Sort=A","Dates=H","DateFormat=P","Fill=—","Direction=H","UseDPDF=Y")</f>
        <v>0</v>
      </c>
      <c r="F17" s="13">
        <f>_xll.BDH("BLUE US Equity","CF_NET_CASH_DISCONT_OPS_OPER","FQ3 2019","FQ3 2019","Currency=USD","Period=FQ","BEST_FPERIOD_OVERRIDE=FQ","FILING_STATUS=MR","SCALING_FORMAT=MLN","Sort=A","Dates=H","DateFormat=P","Fill=—","Direction=H","UseDPDF=Y")</f>
        <v>0</v>
      </c>
      <c r="G17" s="13">
        <f>_xll.BDH("BLUE US Equity","CF_NET_CASH_DISCONT_OPS_OPER","FQ4 2019","FQ4 2019","Currency=USD","Period=FQ","BEST_FPERIOD_OVERRIDE=FQ","FILING_STATUS=MR","SCALING_FORMAT=MLN","Sort=A","Dates=H","DateFormat=P","Fill=—","Direction=H","UseDPDF=Y")</f>
        <v>0</v>
      </c>
      <c r="H17" s="13">
        <f>_xll.BDH("BLUE US Equity","CF_NET_CASH_DISCONT_OPS_OPER","FQ1 2020","FQ1 2020","Currency=USD","Period=FQ","BEST_FPERIOD_OVERRIDE=FQ","FILING_STATUS=MR","SCALING_FORMAT=MLN","Sort=A","Dates=H","DateFormat=P","Fill=—","Direction=H","UseDPDF=Y")</f>
        <v>0</v>
      </c>
      <c r="I17" s="13">
        <f>_xll.BDH("BLUE US Equity","CF_NET_CASH_DISCONT_OPS_OPER","FQ2 2020","FQ2 2020","Currency=USD","Period=FQ","BEST_FPERIOD_OVERRIDE=FQ","FILING_STATUS=MR","SCALING_FORMAT=MLN","Sort=A","Dates=H","DateFormat=P","Fill=—","Direction=H","UseDPDF=Y")</f>
        <v>0</v>
      </c>
      <c r="J17" s="13">
        <f>_xll.BDH("BLUE US Equity","CF_NET_CASH_DISCONT_OPS_OPER","FQ3 2020","FQ3 2020","Currency=USD","Period=FQ","BEST_FPERIOD_OVERRIDE=FQ","FILING_STATUS=MR","SCALING_FORMAT=MLN","Sort=A","Dates=H","DateFormat=P","Fill=—","Direction=H","UseDPDF=Y")</f>
        <v>0</v>
      </c>
      <c r="K17" s="13">
        <f>_xll.BDH("BLUE US Equity","CF_NET_CASH_DISCONT_OPS_OPER","FQ4 2020","FQ4 2020","Currency=USD","Period=FQ","BEST_FPERIOD_OVERRIDE=FQ","FILING_STATUS=MR","SCALING_FORMAT=MLN","Sort=A","Dates=H","DateFormat=P","Fill=—","Direction=H","UseDPDF=Y")</f>
        <v>0</v>
      </c>
      <c r="L17" s="13">
        <f>_xll.BDH("BLUE US Equity","CF_NET_CASH_DISCONT_OPS_OPER","FQ1 2021","FQ1 2021","Currency=USD","Period=FQ","BEST_FPERIOD_OVERRIDE=FQ","FILING_STATUS=MR","SCALING_FORMAT=MLN","Sort=A","Dates=H","DateFormat=P","Fill=—","Direction=H","UseDPDF=Y")</f>
        <v>0</v>
      </c>
      <c r="M17" s="13">
        <f>_xll.BDH("BLUE US Equity","CF_NET_CASH_DISCONT_OPS_OPER","FQ2 2021","FQ2 2021","Currency=USD","Period=FQ","BEST_FPERIOD_OVERRIDE=FQ","FILING_STATUS=MR","SCALING_FORMAT=MLN","Sort=A","Dates=H","DateFormat=P","Fill=—","Direction=H","UseDPDF=Y")</f>
        <v>0</v>
      </c>
      <c r="N17" s="13" t="str">
        <f>_xll.BDH("BLUE US Equity","CF_NET_CASH_DISCONT_OPS_OPER","FQ3 2021","FQ3 2021","Currency=USD","Period=FQ","BEST_FPERIOD_OVERRIDE=FQ","FILING_STATUS=MR","SCALING_FORMAT=MLN","Sort=A","Dates=H","DateFormat=P","Fill=—","Direction=H","UseDPDF=Y")</f>
        <v>—</v>
      </c>
      <c r="O17" s="13">
        <f>_xll.BDH("BLUE US Equity","CF_NET_CASH_DISCONT_OPS_OPER","FQ4 2021","FQ4 2021","Currency=USD","Period=FQ","BEST_FPERIOD_OVERRIDE=FQ","FILING_STATUS=MR","SCALING_FORMAT=MLN","Sort=A","Dates=H","DateFormat=P","Fill=—","Direction=H","UseDPDF=Y")</f>
        <v>0</v>
      </c>
      <c r="P17" s="13">
        <f>_xll.BDH("BLUE US Equity","CF_NET_CASH_DISCONT_OPS_OPER","FQ1 2022","FQ1 2022","Currency=USD","Period=FQ","BEST_FPERIOD_OVERRIDE=FQ","FILING_STATUS=MR","SCALING_FORMAT=MLN","Sort=A","Dates=H","DateFormat=P","Fill=—","Direction=H","UseDPDF=Y")</f>
        <v>0</v>
      </c>
      <c r="Q17" s="13">
        <f>_xll.BDH("BLUE US Equity","CF_NET_CASH_DISCONT_OPS_OPER","FQ2 2022","FQ2 2022","Currency=USD","Period=FQ","BEST_FPERIOD_OVERRIDE=FQ","FILING_STATUS=MR","SCALING_FORMAT=MLN","Sort=A","Dates=H","DateFormat=P","Fill=—","Direction=H","UseDPDF=Y")</f>
        <v>0</v>
      </c>
      <c r="R17" s="13">
        <f>_xll.BDH("BLUE US Equity","CF_NET_CASH_DISCONT_OPS_OPER","FQ3 2022","FQ3 2022","Currency=USD","Period=FQ","BEST_FPERIOD_OVERRIDE=FQ","FILING_STATUS=MR","SCALING_FORMAT=MLN","Sort=A","Dates=H","DateFormat=P","Fill=—","Direction=H","UseDPDF=Y")</f>
        <v>0</v>
      </c>
      <c r="S17" s="13">
        <f>_xll.BDH("BLUE US Equity","CF_NET_CASH_DISCONT_OPS_OPER","FQ4 2022","FQ4 2022","Currency=USD","Period=FQ","BEST_FPERIOD_OVERRIDE=FQ","FILING_STATUS=MR","SCALING_FORMAT=MLN","Sort=A","Dates=H","DateFormat=P","Fill=—","Direction=H","UseDPDF=Y")</f>
        <v>0</v>
      </c>
      <c r="T17" s="13">
        <f>_xll.BDH("BLUE US Equity","CF_NET_CASH_DISCONT_OPS_OPER","FQ1 2023","FQ1 2023","Currency=USD","Period=FQ","BEST_FPERIOD_OVERRIDE=FQ","FILING_STATUS=MR","SCALING_FORMAT=MLN","Sort=A","Dates=H","DateFormat=P","Fill=—","Direction=H","UseDPDF=Y")</f>
        <v>0</v>
      </c>
      <c r="U17" s="13">
        <f>_xll.BDH("BLUE US Equity","CF_NET_CASH_DISCONT_OPS_OPER","FQ2 2023","FQ2 2023","Currency=USD","Period=FQ","BEST_FPERIOD_OVERRIDE=FQ","FILING_STATUS=MR","SCALING_FORMAT=MLN","Sort=A","Dates=H","DateFormat=P","Fill=—","Direction=H","UseDPDF=Y")</f>
        <v>0</v>
      </c>
      <c r="V17" s="13">
        <f>_xll.BDH("BLUE US Equity","CF_NET_CASH_DISCONT_OPS_OPER","FQ3 2023","FQ3 2023","Currency=USD","Period=FQ","BEST_FPERIOD_OVERRIDE=FQ","FILING_STATUS=MR","SCALING_FORMAT=MLN","Sort=A","Dates=H","DateFormat=P","Fill=—","Direction=H","UseDPDF=Y")</f>
        <v>0</v>
      </c>
      <c r="W17" s="13">
        <f>_xll.BDH("BLUE US Equity","CF_NET_CASH_DISCONT_OPS_OPER","FQ4 2023","FQ4 2023","Currency=USD","Period=FQ","BEST_FPERIOD_OVERRIDE=FQ","FILING_STATUS=MR","SCALING_FORMAT=MLN","Sort=A","Dates=H","DateFormat=P","Fill=—","Direction=H","UseDPDF=Y")</f>
        <v>0</v>
      </c>
      <c r="X17" s="13">
        <f>_xll.BDH("BLUE US Equity","CF_NET_CASH_DISCONT_OPS_OPER","FQ1 2024","FQ1 2024","Currency=USD","Period=FQ","BEST_FPERIOD_OVERRIDE=FQ","FILING_STATUS=MR","SCALING_FORMAT=MLN","Sort=A","Dates=H","DateFormat=P","Fill=—","Direction=H","UseDPDF=Y")</f>
        <v>0</v>
      </c>
      <c r="Y17" s="13">
        <f>_xll.BDH("BLUE US Equity","CF_NET_CASH_DISCONT_OPS_OPER","FQ2 2024","FQ2 2024","Currency=USD","Period=FQ","BEST_FPERIOD_OVERRIDE=FQ","FILING_STATUS=MR","SCALING_FORMAT=MLN","Sort=A","Dates=H","DateFormat=P","Fill=—","Direction=H","UseDPDF=Y")</f>
        <v>0</v>
      </c>
      <c r="Z17" s="13">
        <f>_xll.BDH("BLUE US Equity","CF_NET_CASH_DISCONT_OPS_OPER","FQ3 2024","FQ3 2024","Currency=USD","Period=FQ","BEST_FPERIOD_OVERRIDE=FQ","FILING_STATUS=MR","SCALING_FORMAT=MLN","Sort=A","Dates=H","DateFormat=P","Fill=—","Direction=H","UseDPDF=Y")</f>
        <v>0</v>
      </c>
      <c r="AA17" s="13">
        <f>_xll.BDH("BLUE US Equity","CF_NET_CASH_DISCONT_OPS_OPER","FQ4 2024","FQ4 2024","Currency=USD","Period=FQ","BEST_FPERIOD_OVERRIDE=FQ","FILING_STATUS=MR","SCALING_FORMAT=MLN","Sort=A","Dates=H","DateFormat=P","Fill=—","Direction=H","UseDPDF=Y")</f>
        <v>0</v>
      </c>
    </row>
    <row r="18" spans="1:27" x14ac:dyDescent="0.25">
      <c r="A18" s="6" t="s">
        <v>1075</v>
      </c>
      <c r="B18" s="6" t="s">
        <v>85</v>
      </c>
      <c r="C18" s="19">
        <f>_xll.BDH("BLUE US Equity","CF_CASH_FROM_OPER","FQ4 2018","FQ4 2018","Currency=USD","Period=FQ","BEST_FPERIOD_OVERRIDE=FQ","FILING_STATUS=MR","SCALING_FORMAT=MLN","Sort=A","Dates=H","DateFormat=P","Fill=—","Direction=H","UseDPDF=Y")</f>
        <v>-129.73099999999999</v>
      </c>
      <c r="D18" s="19">
        <f>_xll.BDH("BLUE US Equity","CF_CASH_FROM_OPER","FQ1 2019","FQ1 2019","Currency=USD","Period=FQ","BEST_FPERIOD_OVERRIDE=FQ","FILING_STATUS=MR","SCALING_FORMAT=MLN","Sort=A","Dates=H","DateFormat=P","Fill=—","Direction=H","UseDPDF=Y")</f>
        <v>-154.154</v>
      </c>
      <c r="E18" s="19">
        <f>_xll.BDH("BLUE US Equity","CF_CASH_FROM_OPER","FQ2 2019","FQ2 2019","Currency=USD","Period=FQ","BEST_FPERIOD_OVERRIDE=FQ","FILING_STATUS=MR","SCALING_FORMAT=MLN","Sort=A","Dates=H","DateFormat=P","Fill=—","Direction=H","UseDPDF=Y")</f>
        <v>-137.87299999999999</v>
      </c>
      <c r="F18" s="19">
        <f>_xll.BDH("BLUE US Equity","CF_CASH_FROM_OPER","FQ3 2019","FQ3 2019","Currency=USD","Period=FQ","BEST_FPERIOD_OVERRIDE=FQ","FILING_STATUS=MR","SCALING_FORMAT=MLN","Sort=A","Dates=H","DateFormat=P","Fill=—","Direction=H","UseDPDF=Y")</f>
        <v>-113.381</v>
      </c>
      <c r="G18" s="19">
        <f>_xll.BDH("BLUE US Equity","CF_CASH_FROM_OPER","FQ4 2019","FQ4 2019","Currency=USD","Period=FQ","BEST_FPERIOD_OVERRIDE=FQ","FILING_STATUS=MR","SCALING_FORMAT=MLN","Sort=A","Dates=H","DateFormat=P","Fill=—","Direction=H","UseDPDF=Y")</f>
        <v>-158.976</v>
      </c>
      <c r="H18" s="19">
        <f>_xll.BDH("BLUE US Equity","CF_CASH_FROM_OPER","FQ1 2020","FQ1 2020","Currency=USD","Period=FQ","BEST_FPERIOD_OVERRIDE=FQ","FILING_STATUS=MR","SCALING_FORMAT=MLN","Sort=A","Dates=H","DateFormat=P","Fill=—","Direction=H","UseDPDF=Y")</f>
        <v>-206.12100000000001</v>
      </c>
      <c r="I18" s="19">
        <f>_xll.BDH("BLUE US Equity","CF_CASH_FROM_OPER","FQ2 2020","FQ2 2020","Currency=USD","Period=FQ","BEST_FPERIOD_OVERRIDE=FQ","FILING_STATUS=MR","SCALING_FORMAT=MLN","Sort=A","Dates=H","DateFormat=P","Fill=—","Direction=H","UseDPDF=Y")</f>
        <v>39.743000000000002</v>
      </c>
      <c r="J18" s="19">
        <f>_xll.BDH("BLUE US Equity","CF_CASH_FROM_OPER","FQ3 2020","FQ3 2020","Currency=USD","Period=FQ","BEST_FPERIOD_OVERRIDE=FQ","FILING_STATUS=MR","SCALING_FORMAT=MLN","Sort=A","Dates=H","DateFormat=P","Fill=—","Direction=H","UseDPDF=Y")</f>
        <v>-148.78</v>
      </c>
      <c r="K18" s="19">
        <f>_xll.BDH("BLUE US Equity","CF_CASH_FROM_OPER","FQ4 2020","FQ4 2020","Currency=USD","Period=FQ","BEST_FPERIOD_OVERRIDE=FQ","FILING_STATUS=MR","SCALING_FORMAT=MLN","Sort=A","Dates=H","DateFormat=P","Fill=—","Direction=H","UseDPDF=Y")</f>
        <v>-155.19300000000001</v>
      </c>
      <c r="L18" s="19">
        <f>_xll.BDH("BLUE US Equity","CF_CASH_FROM_OPER","FQ1 2021","FQ1 2021","Currency=USD","Period=FQ","BEST_FPERIOD_OVERRIDE=FQ","FILING_STATUS=MR","SCALING_FORMAT=MLN","Sort=A","Dates=H","DateFormat=P","Fill=—","Direction=H","UseDPDF=Y")</f>
        <v>-203.327</v>
      </c>
      <c r="M18" s="19">
        <f>_xll.BDH("BLUE US Equity","CF_CASH_FROM_OPER","FQ2 2021","FQ2 2021","Currency=USD","Period=FQ","BEST_FPERIOD_OVERRIDE=FQ","FILING_STATUS=MR","SCALING_FORMAT=MLN","Sort=A","Dates=H","DateFormat=P","Fill=—","Direction=H","UseDPDF=Y")</f>
        <v>-145.648</v>
      </c>
      <c r="N18" s="19">
        <f>_xll.BDH("BLUE US Equity","CF_CASH_FROM_OPER","FQ3 2021","FQ3 2021","Currency=USD","Period=FQ","BEST_FPERIOD_OVERRIDE=FQ","FILING_STATUS=MR","SCALING_FORMAT=MLN","Sort=A","Dates=H","DateFormat=P","Fill=—","Direction=H","UseDPDF=Y")</f>
        <v>-146.93899999999999</v>
      </c>
      <c r="O18" s="19">
        <f>_xll.BDH("BLUE US Equity","CF_CASH_FROM_OPER","FQ4 2021","FQ4 2021","Currency=USD","Period=FQ","BEST_FPERIOD_OVERRIDE=FQ","FILING_STATUS=MR","SCALING_FORMAT=MLN","Sort=A","Dates=H","DateFormat=P","Fill=—","Direction=H","UseDPDF=Y")</f>
        <v>-139.72499999999999</v>
      </c>
      <c r="P18" s="19">
        <f>_xll.BDH("BLUE US Equity","CF_CASH_FROM_OPER","FQ1 2022","FQ1 2022","Currency=USD","Period=FQ","BEST_FPERIOD_OVERRIDE=FQ","FILING_STATUS=MR","SCALING_FORMAT=MLN","Sort=A","Dates=H","DateFormat=P","Fill=—","Direction=H","UseDPDF=Y")</f>
        <v>-125.29600000000001</v>
      </c>
      <c r="Q18" s="19">
        <f>_xll.BDH("BLUE US Equity","CF_CASH_FROM_OPER","FQ2 2022","FQ2 2022","Currency=USD","Period=FQ","BEST_FPERIOD_OVERRIDE=FQ","FILING_STATUS=MR","SCALING_FORMAT=MLN","Sort=A","Dates=H","DateFormat=P","Fill=—","Direction=H","UseDPDF=Y")</f>
        <v>-94.358000000000004</v>
      </c>
      <c r="R18" s="19">
        <f>_xll.BDH("BLUE US Equity","CF_CASH_FROM_OPER","FQ3 2022","FQ3 2022","Currency=USD","Period=FQ","BEST_FPERIOD_OVERRIDE=FQ","FILING_STATUS=MR","SCALING_FORMAT=MLN","Sort=A","Dates=H","DateFormat=P","Fill=—","Direction=H","UseDPDF=Y")</f>
        <v>-77.025999999999996</v>
      </c>
      <c r="S18" s="19">
        <f>_xll.BDH("BLUE US Equity","CF_CASH_FROM_OPER","FQ4 2022","FQ4 2022","Currency=USD","Period=FQ","BEST_FPERIOD_OVERRIDE=FQ","FILING_STATUS=MR","SCALING_FORMAT=MLN","Sort=A","Dates=H","DateFormat=P","Fill=—","Direction=H","UseDPDF=Y")</f>
        <v>-19.539000000000001</v>
      </c>
      <c r="T18" s="19">
        <f>_xll.BDH("BLUE US Equity","CF_CASH_FROM_OPER","FQ1 2023","FQ1 2023","Currency=USD","Period=FQ","BEST_FPERIOD_OVERRIDE=FQ","FILING_STATUS=MR","SCALING_FORMAT=MLN","Sort=A","Dates=H","DateFormat=P","Fill=—","Direction=H","UseDPDF=Y")</f>
        <v>-71.358000000000004</v>
      </c>
      <c r="U18" s="19">
        <f>_xll.BDH("BLUE US Equity","CF_CASH_FROM_OPER","FQ2 2023","FQ2 2023","Currency=USD","Period=FQ","BEST_FPERIOD_OVERRIDE=FQ","FILING_STATUS=MR","SCALING_FORMAT=MLN","Sort=A","Dates=H","DateFormat=P","Fill=—","Direction=H","UseDPDF=Y")</f>
        <v>-59.500999999999998</v>
      </c>
      <c r="V18" s="19">
        <f>_xll.BDH("BLUE US Equity","CF_CASH_FROM_OPER","FQ3 2023","FQ3 2023","Currency=USD","Period=FQ","BEST_FPERIOD_OVERRIDE=FQ","FILING_STATUS=MR","SCALING_FORMAT=MLN","Sort=A","Dates=H","DateFormat=P","Fill=—","Direction=H","UseDPDF=Y")</f>
        <v>-50.051000000000002</v>
      </c>
      <c r="W18" s="19">
        <f>_xll.BDH("BLUE US Equity","CF_CASH_FROM_OPER","FQ4 2023","FQ4 2023","Currency=USD","Period=FQ","BEST_FPERIOD_OVERRIDE=FQ","FILING_STATUS=MR","SCALING_FORMAT=MLN","Sort=A","Dates=H","DateFormat=P","Fill=—","Direction=H","UseDPDF=Y")</f>
        <v>-13.837</v>
      </c>
      <c r="X18" s="19">
        <f>_xll.BDH("BLUE US Equity","CF_CASH_FROM_OPER","FQ1 2024","FQ1 2024","Currency=USD","Period=FQ","BEST_FPERIOD_OVERRIDE=FQ","FILING_STATUS=MR","SCALING_FORMAT=MLN","Sort=A","Dates=H","DateFormat=P","Fill=—","Direction=H","UseDPDF=Y")</f>
        <v>-74.676000000000002</v>
      </c>
      <c r="Y18" s="19">
        <f>_xll.BDH("BLUE US Equity","CF_CASH_FROM_OPER","FQ2 2024","FQ2 2024","Currency=USD","Period=FQ","BEST_FPERIOD_OVERRIDE=FQ","FILING_STATUS=MR","SCALING_FORMAT=MLN","Sort=A","Dates=H","DateFormat=P","Fill=—","Direction=H","UseDPDF=Y")</f>
        <v>-66.251999999999995</v>
      </c>
      <c r="Z18" s="19">
        <f>_xll.BDH("BLUE US Equity","CF_CASH_FROM_OPER","FQ3 2024","FQ3 2024","Currency=USD","Period=FQ","BEST_FPERIOD_OVERRIDE=FQ","FILING_STATUS=MR","SCALING_FORMAT=MLN","Sort=A","Dates=H","DateFormat=P","Fill=—","Direction=H","UseDPDF=Y")</f>
        <v>-68.927999999999997</v>
      </c>
      <c r="AA18" s="19">
        <f>_xll.BDH("BLUE US Equity","CF_CASH_FROM_OPER","FQ4 2024","FQ4 2024","Currency=USD","Period=FQ","BEST_FPERIOD_OVERRIDE=FQ","FILING_STATUS=MR","SCALING_FORMAT=MLN","Sort=A","Dates=H","DateFormat=P","Fill=—","Direction=H","UseDPDF=Y")</f>
        <v>-50.164000000000001</v>
      </c>
    </row>
    <row r="19" spans="1:27" x14ac:dyDescent="0.25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x14ac:dyDescent="0.25">
      <c r="A20" s="6" t="s">
        <v>1097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1098</v>
      </c>
      <c r="B21" s="10" t="s">
        <v>1099</v>
      </c>
      <c r="C21" s="13">
        <f>_xll.BDH("BLUE US Equity","FIXED_INTANG_ASST_CHANGE","FQ4 2018","FQ4 2018","Currency=USD","Period=FQ","BEST_FPERIOD_OVERRIDE=FQ","FILING_STATUS=MR","SCALING_FORMAT=MLN","Sort=A","Dates=H","DateFormat=P","Fill=—","Direction=H","UseDPDF=Y")</f>
        <v>-12.893000000000001</v>
      </c>
      <c r="D21" s="13">
        <f>_xll.BDH("BLUE US Equity","FIXED_INTANG_ASST_CHANGE","FQ1 2019","FQ1 2019","Currency=USD","Period=FQ","BEST_FPERIOD_OVERRIDE=FQ","FILING_STATUS=MR","SCALING_FORMAT=MLN","Sort=A","Dates=H","DateFormat=P","Fill=—","Direction=H","UseDPDF=Y")</f>
        <v>-19.321000000000002</v>
      </c>
      <c r="E21" s="13">
        <f>_xll.BDH("BLUE US Equity","FIXED_INTANG_ASST_CHANGE","FQ2 2019","FQ2 2019","Currency=USD","Period=FQ","BEST_FPERIOD_OVERRIDE=FQ","FILING_STATUS=MR","SCALING_FORMAT=MLN","Sort=A","Dates=H","DateFormat=P","Fill=—","Direction=H","UseDPDF=Y")</f>
        <v>-18.603999999999999</v>
      </c>
      <c r="F21" s="13">
        <f>_xll.BDH("BLUE US Equity","FIXED_INTANG_ASST_CHANGE","FQ3 2019","FQ3 2019","Currency=USD","Period=FQ","BEST_FPERIOD_OVERRIDE=FQ","FILING_STATUS=MR","SCALING_FORMAT=MLN","Sort=A","Dates=H","DateFormat=P","Fill=—","Direction=H","UseDPDF=Y")</f>
        <v>-24.937000000000001</v>
      </c>
      <c r="G21" s="13">
        <f>_xll.BDH("BLUE US Equity","FIXED_INTANG_ASST_CHANGE","FQ4 2019","FQ4 2019","Currency=USD","Period=FQ","BEST_FPERIOD_OVERRIDE=FQ","FILING_STATUS=MR","SCALING_FORMAT=MLN","Sort=A","Dates=H","DateFormat=P","Fill=—","Direction=H","UseDPDF=Y")</f>
        <v>-13.39</v>
      </c>
      <c r="H21" s="13">
        <f>_xll.BDH("BLUE US Equity","FIXED_INTANG_ASST_CHANGE","FQ1 2020","FQ1 2020","Currency=USD","Period=FQ","BEST_FPERIOD_OVERRIDE=FQ","FILING_STATUS=MR","SCALING_FORMAT=MLN","Sort=A","Dates=H","DateFormat=P","Fill=—","Direction=H","UseDPDF=Y")</f>
        <v>-10.676</v>
      </c>
      <c r="I21" s="13">
        <f>_xll.BDH("BLUE US Equity","FIXED_INTANG_ASST_CHANGE","FQ2 2020","FQ2 2020","Currency=USD","Period=FQ","BEST_FPERIOD_OVERRIDE=FQ","FILING_STATUS=MR","SCALING_FORMAT=MLN","Sort=A","Dates=H","DateFormat=P","Fill=—","Direction=H","UseDPDF=Y")</f>
        <v>-4.8019999999999996</v>
      </c>
      <c r="J21" s="13">
        <f>_xll.BDH("BLUE US Equity","FIXED_INTANG_ASST_CHANGE","FQ3 2020","FQ3 2020","Currency=USD","Period=FQ","BEST_FPERIOD_OVERRIDE=FQ","FILING_STATUS=MR","SCALING_FORMAT=MLN","Sort=A","Dates=H","DateFormat=P","Fill=—","Direction=H","UseDPDF=Y")</f>
        <v>-5.62</v>
      </c>
      <c r="K21" s="13">
        <f>_xll.BDH("BLUE US Equity","FIXED_INTANG_ASST_CHANGE","FQ4 2020","FQ4 2020","Currency=USD","Period=FQ","BEST_FPERIOD_OVERRIDE=FQ","FILING_STATUS=MR","SCALING_FORMAT=MLN","Sort=A","Dates=H","DateFormat=P","Fill=—","Direction=H","UseDPDF=Y")</f>
        <v>-7.8879999999999999</v>
      </c>
      <c r="L21" s="13">
        <f>_xll.BDH("BLUE US Equity","FIXED_INTANG_ASST_CHANGE","FQ1 2021","FQ1 2021","Currency=USD","Period=FQ","BEST_FPERIOD_OVERRIDE=FQ","FILING_STATUS=MR","SCALING_FORMAT=MLN","Sort=A","Dates=H","DateFormat=P","Fill=—","Direction=H","UseDPDF=Y")</f>
        <v>-7.6260000000000003</v>
      </c>
      <c r="M21" s="13">
        <f>_xll.BDH("BLUE US Equity","FIXED_INTANG_ASST_CHANGE","FQ2 2021","FQ2 2021","Currency=USD","Period=FQ","BEST_FPERIOD_OVERRIDE=FQ","FILING_STATUS=MR","SCALING_FORMAT=MLN","Sort=A","Dates=H","DateFormat=P","Fill=—","Direction=H","UseDPDF=Y")</f>
        <v>-3.5779999999999998</v>
      </c>
      <c r="N21" s="13">
        <f>_xll.BDH("BLUE US Equity","FIXED_INTANG_ASST_CHANGE","FQ3 2021","FQ3 2021","Currency=USD","Period=FQ","BEST_FPERIOD_OVERRIDE=FQ","FILING_STATUS=MR","SCALING_FORMAT=MLN","Sort=A","Dates=H","DateFormat=P","Fill=—","Direction=H","UseDPDF=Y")</f>
        <v>-9.74</v>
      </c>
      <c r="O21" s="13">
        <f>_xll.BDH("BLUE US Equity","FIXED_INTANG_ASST_CHANGE","FQ4 2021","FQ4 2021","Currency=USD","Period=FQ","BEST_FPERIOD_OVERRIDE=FQ","FILING_STATUS=MR","SCALING_FORMAT=MLN","Sort=A","Dates=H","DateFormat=P","Fill=—","Direction=H","UseDPDF=Y")</f>
        <v>-2.0590000000000002</v>
      </c>
      <c r="P21" s="13">
        <f>_xll.BDH("BLUE US Equity","FIXED_INTANG_ASST_CHANGE","FQ1 2022","FQ1 2022","Currency=USD","Period=FQ","BEST_FPERIOD_OVERRIDE=FQ","FILING_STATUS=MR","SCALING_FORMAT=MLN","Sort=A","Dates=H","DateFormat=P","Fill=—","Direction=H","UseDPDF=Y")</f>
        <v>-0.85699999999999998</v>
      </c>
      <c r="Q21" s="13">
        <f>_xll.BDH("BLUE US Equity","FIXED_INTANG_ASST_CHANGE","FQ2 2022","FQ2 2022","Currency=USD","Period=FQ","BEST_FPERIOD_OVERRIDE=FQ","FILING_STATUS=MR","SCALING_FORMAT=MLN","Sort=A","Dates=H","DateFormat=P","Fill=—","Direction=H","UseDPDF=Y")</f>
        <v>-5.9790000000000001</v>
      </c>
      <c r="R21" s="13">
        <f>_xll.BDH("BLUE US Equity","FIXED_INTANG_ASST_CHANGE","FQ3 2022","FQ3 2022","Currency=USD","Period=FQ","BEST_FPERIOD_OVERRIDE=FQ","FILING_STATUS=MR","SCALING_FORMAT=MLN","Sort=A","Dates=H","DateFormat=P","Fill=—","Direction=H","UseDPDF=Y")</f>
        <v>-1.264</v>
      </c>
      <c r="S21" s="13">
        <f>_xll.BDH("BLUE US Equity","FIXED_INTANG_ASST_CHANGE","FQ4 2022","FQ4 2022","Currency=USD","Period=FQ","BEST_FPERIOD_OVERRIDE=FQ","FILING_STATUS=MR","SCALING_FORMAT=MLN","Sort=A","Dates=H","DateFormat=P","Fill=—","Direction=H","UseDPDF=Y")</f>
        <v>-5.1079999999999997</v>
      </c>
      <c r="T21" s="13">
        <f>_xll.BDH("BLUE US Equity","FIXED_INTANG_ASST_CHANGE","FQ1 2023","FQ1 2023","Currency=USD","Period=FQ","BEST_FPERIOD_OVERRIDE=FQ","FILING_STATUS=MR","SCALING_FORMAT=MLN","Sort=A","Dates=H","DateFormat=P","Fill=—","Direction=H","UseDPDF=Y")</f>
        <v>-1.1000000000000001</v>
      </c>
      <c r="U21" s="13">
        <f>_xll.BDH("BLUE US Equity","FIXED_INTANG_ASST_CHANGE","FQ2 2023","FQ2 2023","Currency=USD","Period=FQ","BEST_FPERIOD_OVERRIDE=FQ","FILING_STATUS=MR","SCALING_FORMAT=MLN","Sort=A","Dates=H","DateFormat=P","Fill=—","Direction=H","UseDPDF=Y")</f>
        <v>-0.70499999999999996</v>
      </c>
      <c r="V21" s="13">
        <f>_xll.BDH("BLUE US Equity","FIXED_INTANG_ASST_CHANGE","FQ3 2023","FQ3 2023","Currency=USD","Period=FQ","BEST_FPERIOD_OVERRIDE=FQ","FILING_STATUS=MR","SCALING_FORMAT=MLN","Sort=A","Dates=H","DateFormat=P","Fill=—","Direction=H","UseDPDF=Y")</f>
        <v>-2.0379999999999998</v>
      </c>
      <c r="W21" s="13">
        <f>_xll.BDH("BLUE US Equity","FIXED_INTANG_ASST_CHANGE","FQ4 2023","FQ4 2023","Currency=USD","Period=FQ","BEST_FPERIOD_OVERRIDE=FQ","FILING_STATUS=MR","SCALING_FORMAT=MLN","Sort=A","Dates=H","DateFormat=P","Fill=—","Direction=H","UseDPDF=Y")</f>
        <v>-5.2140000000000004</v>
      </c>
      <c r="X21" s="13">
        <f>_xll.BDH("BLUE US Equity","FIXED_INTANG_ASST_CHANGE","FQ1 2024","FQ1 2024","Currency=USD","Period=FQ","BEST_FPERIOD_OVERRIDE=FQ","FILING_STATUS=MR","SCALING_FORMAT=MLN","Sort=A","Dates=H","DateFormat=P","Fill=—","Direction=H","UseDPDF=Y")</f>
        <v>-1.7749999999999999</v>
      </c>
      <c r="Y21" s="13">
        <f>_xll.BDH("BLUE US Equity","FIXED_INTANG_ASST_CHANGE","FQ2 2024","FQ2 2024","Currency=USD","Period=FQ","BEST_FPERIOD_OVERRIDE=FQ","FILING_STATUS=MR","SCALING_FORMAT=MLN","Sort=A","Dates=H","DateFormat=P","Fill=—","Direction=H","UseDPDF=Y")</f>
        <v>-5.8999999999999997E-2</v>
      </c>
      <c r="Z21" s="13">
        <f>_xll.BDH("BLUE US Equity","FIXED_INTANG_ASST_CHANGE","FQ3 2024","FQ3 2024","Currency=USD","Period=FQ","BEST_FPERIOD_OVERRIDE=FQ","FILING_STATUS=MR","SCALING_FORMAT=MLN","Sort=A","Dates=H","DateFormat=P","Fill=—","Direction=H","UseDPDF=Y")</f>
        <v>-0.28000000000000003</v>
      </c>
      <c r="AA21" s="13">
        <f>_xll.BDH("BLUE US Equity","FIXED_INTANG_ASST_CHANGE","FQ4 2024","FQ4 2024","Currency=USD","Period=FQ","BEST_FPERIOD_OVERRIDE=FQ","FILING_STATUS=MR","SCALING_FORMAT=MLN","Sort=A","Dates=H","DateFormat=P","Fill=—","Direction=H","UseDPDF=Y")</f>
        <v>-0.48499999999999999</v>
      </c>
    </row>
    <row r="22" spans="1:27" x14ac:dyDescent="0.25">
      <c r="A22" s="10" t="s">
        <v>1100</v>
      </c>
      <c r="B22" s="10" t="s">
        <v>1101</v>
      </c>
      <c r="C22" s="13">
        <f>_xll.BDH("BLUE US Equity","DISPOSAL_OF_FIXED_INTANG","FQ4 2018","FQ4 2018","Currency=USD","Period=FQ","BEST_FPERIOD_OVERRIDE=FQ","FILING_STATUS=MR","SCALING_FORMAT=MLN","Sort=A","Dates=H","DateFormat=P","Fill=—","Direction=H","UseDPDF=Y")</f>
        <v>0</v>
      </c>
      <c r="D22" s="13">
        <f>_xll.BDH("BLUE US Equity","DISPOSAL_OF_FIXED_INTANG","FQ1 2019","FQ1 2019","Currency=USD","Period=FQ","BEST_FPERIOD_OVERRIDE=FQ","FILING_STATUS=MR","SCALING_FORMAT=MLN","Sort=A","Dates=H","DateFormat=P","Fill=—","Direction=H","UseDPDF=Y")</f>
        <v>0</v>
      </c>
      <c r="E22" s="13">
        <f>_xll.BDH("BLUE US Equity","DISPOSAL_OF_FIXED_INTANG","FQ2 2019","FQ2 2019","Currency=USD","Period=FQ","BEST_FPERIOD_OVERRIDE=FQ","FILING_STATUS=MR","SCALING_FORMAT=MLN","Sort=A","Dates=H","DateFormat=P","Fill=—","Direction=H","UseDPDF=Y")</f>
        <v>0</v>
      </c>
      <c r="F22" s="13">
        <f>_xll.BDH("BLUE US Equity","DISPOSAL_OF_FIXED_INTANG","FQ3 2019","FQ3 2019","Currency=USD","Period=FQ","BEST_FPERIOD_OVERRIDE=FQ","FILING_STATUS=MR","SCALING_FORMAT=MLN","Sort=A","Dates=H","DateFormat=P","Fill=—","Direction=H","UseDPDF=Y")</f>
        <v>0</v>
      </c>
      <c r="G22" s="13">
        <f>_xll.BDH("BLUE US Equity","DISPOSAL_OF_FIXED_INTANG","FQ4 2019","FQ4 2019","Currency=USD","Period=FQ","BEST_FPERIOD_OVERRIDE=FQ","FILING_STATUS=MR","SCALING_FORMAT=MLN","Sort=A","Dates=H","DateFormat=P","Fill=—","Direction=H","UseDPDF=Y")</f>
        <v>0</v>
      </c>
      <c r="H22" s="13">
        <f>_xll.BDH("BLUE US Equity","DISPOSAL_OF_FIXED_INTANG","FQ1 2020","FQ1 2020","Currency=USD","Period=FQ","BEST_FPERIOD_OVERRIDE=FQ","FILING_STATUS=MR","SCALING_FORMAT=MLN","Sort=A","Dates=H","DateFormat=P","Fill=—","Direction=H","UseDPDF=Y")</f>
        <v>0</v>
      </c>
      <c r="I22" s="13">
        <f>_xll.BDH("BLUE US Equity","DISPOSAL_OF_FIXED_INTANG","FQ2 2020","FQ2 2020","Currency=USD","Period=FQ","BEST_FPERIOD_OVERRIDE=FQ","FILING_STATUS=MR","SCALING_FORMAT=MLN","Sort=A","Dates=H","DateFormat=P","Fill=—","Direction=H","UseDPDF=Y")</f>
        <v>0</v>
      </c>
      <c r="J22" s="13">
        <f>_xll.BDH("BLUE US Equity","DISPOSAL_OF_FIXED_INTANG","FQ3 2020","FQ3 2020","Currency=USD","Period=FQ","BEST_FPERIOD_OVERRIDE=FQ","FILING_STATUS=MR","SCALING_FORMAT=MLN","Sort=A","Dates=H","DateFormat=P","Fill=—","Direction=H","UseDPDF=Y")</f>
        <v>0</v>
      </c>
      <c r="K22" s="13">
        <f>_xll.BDH("BLUE US Equity","DISPOSAL_OF_FIXED_INTANG","FQ4 2020","FQ4 2020","Currency=USD","Period=FQ","BEST_FPERIOD_OVERRIDE=FQ","FILING_STATUS=MR","SCALING_FORMAT=MLN","Sort=A","Dates=H","DateFormat=P","Fill=—","Direction=H","UseDPDF=Y")</f>
        <v>0</v>
      </c>
      <c r="L22" s="13">
        <f>_xll.BDH("BLUE US Equity","DISPOSAL_OF_FIXED_INTANG","FQ1 2021","FQ1 2021","Currency=USD","Period=FQ","BEST_FPERIOD_OVERRIDE=FQ","FILING_STATUS=MR","SCALING_FORMAT=MLN","Sort=A","Dates=H","DateFormat=P","Fill=—","Direction=H","UseDPDF=Y")</f>
        <v>0</v>
      </c>
      <c r="M22" s="13">
        <f>_xll.BDH("BLUE US Equity","DISPOSAL_OF_FIXED_INTANG","FQ2 2021","FQ2 2021","Currency=USD","Period=FQ","BEST_FPERIOD_OVERRIDE=FQ","FILING_STATUS=MR","SCALING_FORMAT=MLN","Sort=A","Dates=H","DateFormat=P","Fill=—","Direction=H","UseDPDF=Y")</f>
        <v>0</v>
      </c>
      <c r="N22" s="13">
        <f>_xll.BDH("BLUE US Equity","DISPOSAL_OF_FIXED_INTANG","FQ3 2021","FQ3 2021","Currency=USD","Period=FQ","BEST_FPERIOD_OVERRIDE=FQ","FILING_STATUS=MR","SCALING_FORMAT=MLN","Sort=A","Dates=H","DateFormat=P","Fill=—","Direction=H","UseDPDF=Y")</f>
        <v>0</v>
      </c>
      <c r="O22" s="13">
        <f>_xll.BDH("BLUE US Equity","DISPOSAL_OF_FIXED_INTANG","FQ4 2021","FQ4 2021","Currency=USD","Period=FQ","BEST_FPERIOD_OVERRIDE=FQ","FILING_STATUS=MR","SCALING_FORMAT=MLN","Sort=A","Dates=H","DateFormat=P","Fill=—","Direction=H","UseDPDF=Y")</f>
        <v>0</v>
      </c>
      <c r="P22" s="13">
        <f>_xll.BDH("BLUE US Equity","DISPOSAL_OF_FIXED_INTANG","FQ1 2022","FQ1 2022","Currency=USD","Period=FQ","BEST_FPERIOD_OVERRIDE=FQ","FILING_STATUS=MR","SCALING_FORMAT=MLN","Sort=A","Dates=H","DateFormat=P","Fill=—","Direction=H","UseDPDF=Y")</f>
        <v>0</v>
      </c>
      <c r="Q22" s="13">
        <f>_xll.BDH("BLUE US Equity","DISPOSAL_OF_FIXED_INTANG","FQ2 2022","FQ2 2022","Currency=USD","Period=FQ","BEST_FPERIOD_OVERRIDE=FQ","FILING_STATUS=MR","SCALING_FORMAT=MLN","Sort=A","Dates=H","DateFormat=P","Fill=—","Direction=H","UseDPDF=Y")</f>
        <v>0</v>
      </c>
      <c r="R22" s="13">
        <f>_xll.BDH("BLUE US Equity","DISPOSAL_OF_FIXED_INTANG","FQ3 2022","FQ3 2022","Currency=USD","Period=FQ","BEST_FPERIOD_OVERRIDE=FQ","FILING_STATUS=MR","SCALING_FORMAT=MLN","Sort=A","Dates=H","DateFormat=P","Fill=—","Direction=H","UseDPDF=Y")</f>
        <v>0</v>
      </c>
      <c r="S22" s="13">
        <f>_xll.BDH("BLUE US Equity","DISPOSAL_OF_FIXED_INTANG","FQ4 2022","FQ4 2022","Currency=USD","Period=FQ","BEST_FPERIOD_OVERRIDE=FQ","FILING_STATUS=MR","SCALING_FORMAT=MLN","Sort=A","Dates=H","DateFormat=P","Fill=—","Direction=H","UseDPDF=Y")</f>
        <v>0</v>
      </c>
      <c r="T22" s="13">
        <f>_xll.BDH("BLUE US Equity","DISPOSAL_OF_FIXED_INTANG","FQ1 2023","FQ1 2023","Currency=USD","Period=FQ","BEST_FPERIOD_OVERRIDE=FQ","FILING_STATUS=MR","SCALING_FORMAT=MLN","Sort=A","Dates=H","DateFormat=P","Fill=—","Direction=H","UseDPDF=Y")</f>
        <v>0</v>
      </c>
      <c r="U22" s="13">
        <f>_xll.BDH("BLUE US Equity","DISPOSAL_OF_FIXED_INTANG","FQ2 2023","FQ2 2023","Currency=USD","Period=FQ","BEST_FPERIOD_OVERRIDE=FQ","FILING_STATUS=MR","SCALING_FORMAT=MLN","Sort=A","Dates=H","DateFormat=P","Fill=—","Direction=H","UseDPDF=Y")</f>
        <v>0</v>
      </c>
      <c r="V22" s="13">
        <f>_xll.BDH("BLUE US Equity","DISPOSAL_OF_FIXED_INTANG","FQ3 2023","FQ3 2023","Currency=USD","Period=FQ","BEST_FPERIOD_OVERRIDE=FQ","FILING_STATUS=MR","SCALING_FORMAT=MLN","Sort=A","Dates=H","DateFormat=P","Fill=—","Direction=H","UseDPDF=Y")</f>
        <v>0</v>
      </c>
      <c r="W22" s="13">
        <f>_xll.BDH("BLUE US Equity","DISPOSAL_OF_FIXED_INTANG","FQ4 2023","FQ4 2023","Currency=USD","Period=FQ","BEST_FPERIOD_OVERRIDE=FQ","FILING_STATUS=MR","SCALING_FORMAT=MLN","Sort=A","Dates=H","DateFormat=P","Fill=—","Direction=H","UseDPDF=Y")</f>
        <v>0</v>
      </c>
      <c r="X22" s="13">
        <f>_xll.BDH("BLUE US Equity","DISPOSAL_OF_FIXED_INTANG","FQ1 2024","FQ1 2024","Currency=USD","Period=FQ","BEST_FPERIOD_OVERRIDE=FQ","FILING_STATUS=MR","SCALING_FORMAT=MLN","Sort=A","Dates=H","DateFormat=P","Fill=—","Direction=H","UseDPDF=Y")</f>
        <v>0</v>
      </c>
      <c r="Y22" s="13">
        <f>_xll.BDH("BLUE US Equity","DISPOSAL_OF_FIXED_INTANG","FQ2 2024","FQ2 2024","Currency=USD","Period=FQ","BEST_FPERIOD_OVERRIDE=FQ","FILING_STATUS=MR","SCALING_FORMAT=MLN","Sort=A","Dates=H","DateFormat=P","Fill=—","Direction=H","UseDPDF=Y")</f>
        <v>0</v>
      </c>
      <c r="Z22" s="13">
        <f>_xll.BDH("BLUE US Equity","DISPOSAL_OF_FIXED_INTANG","FQ3 2024","FQ3 2024","Currency=USD","Period=FQ","BEST_FPERIOD_OVERRIDE=FQ","FILING_STATUS=MR","SCALING_FORMAT=MLN","Sort=A","Dates=H","DateFormat=P","Fill=—","Direction=H","UseDPDF=Y")</f>
        <v>0</v>
      </c>
      <c r="AA22" s="13">
        <f>_xll.BDH("BLUE US Equity","DISPOSAL_OF_FIXED_INTANG","FQ4 2024","FQ4 2024","Currency=USD","Period=FQ","BEST_FPERIOD_OVERRIDE=FQ","FILING_STATUS=MR","SCALING_FORMAT=MLN","Sort=A","Dates=H","DateFormat=P","Fill=—","Direction=H","UseDPDF=Y")</f>
        <v>0</v>
      </c>
    </row>
    <row r="23" spans="1:27" x14ac:dyDescent="0.25">
      <c r="A23" s="11" t="s">
        <v>1102</v>
      </c>
      <c r="B23" s="11" t="s">
        <v>1103</v>
      </c>
      <c r="C23" s="25">
        <f>_xll.BDH("BLUE US Equity","CF_DISPOSAL_OF_FIXED_PROD_ASSETS","FQ4 2018","FQ4 2018","Currency=USD","Period=FQ","BEST_FPERIOD_OVERRIDE=FQ","FILING_STATUS=MR","SCALING_FORMAT=MLN","Sort=A","Dates=H","DateFormat=P","Fill=—","Direction=H","UseDPDF=Y")</f>
        <v>0</v>
      </c>
      <c r="D23" s="25">
        <f>_xll.BDH("BLUE US Equity","CF_DISPOSAL_OF_FIXED_PROD_ASSETS","FQ1 2019","FQ1 2019","Currency=USD","Period=FQ","BEST_FPERIOD_OVERRIDE=FQ","FILING_STATUS=MR","SCALING_FORMAT=MLN","Sort=A","Dates=H","DateFormat=P","Fill=—","Direction=H","UseDPDF=Y")</f>
        <v>0</v>
      </c>
      <c r="E23" s="25">
        <f>_xll.BDH("BLUE US Equity","CF_DISPOSAL_OF_FIXED_PROD_ASSETS","FQ2 2019","FQ2 2019","Currency=USD","Period=FQ","BEST_FPERIOD_OVERRIDE=FQ","FILING_STATUS=MR","SCALING_FORMAT=MLN","Sort=A","Dates=H","DateFormat=P","Fill=—","Direction=H","UseDPDF=Y")</f>
        <v>0</v>
      </c>
      <c r="F23" s="25">
        <f>_xll.BDH("BLUE US Equity","CF_DISPOSAL_OF_FIXED_PROD_ASSETS","FQ3 2019","FQ3 2019","Currency=USD","Period=FQ","BEST_FPERIOD_OVERRIDE=FQ","FILING_STATUS=MR","SCALING_FORMAT=MLN","Sort=A","Dates=H","DateFormat=P","Fill=—","Direction=H","UseDPDF=Y")</f>
        <v>0</v>
      </c>
      <c r="G23" s="25">
        <f>_xll.BDH("BLUE US Equity","CF_DISPOSAL_OF_FIXED_PROD_ASSETS","FQ4 2019","FQ4 2019","Currency=USD","Period=FQ","BEST_FPERIOD_OVERRIDE=FQ","FILING_STATUS=MR","SCALING_FORMAT=MLN","Sort=A","Dates=H","DateFormat=P","Fill=—","Direction=H","UseDPDF=Y")</f>
        <v>0</v>
      </c>
      <c r="H23" s="25">
        <f>_xll.BDH("BLUE US Equity","CF_DISPOSAL_OF_FIXED_PROD_ASSETS","FQ1 2020","FQ1 2020","Currency=USD","Period=FQ","BEST_FPERIOD_OVERRIDE=FQ","FILING_STATUS=MR","SCALING_FORMAT=MLN","Sort=A","Dates=H","DateFormat=P","Fill=—","Direction=H","UseDPDF=Y")</f>
        <v>0</v>
      </c>
      <c r="I23" s="25">
        <f>_xll.BDH("BLUE US Equity","CF_DISPOSAL_OF_FIXED_PROD_ASSETS","FQ2 2020","FQ2 2020","Currency=USD","Period=FQ","BEST_FPERIOD_OVERRIDE=FQ","FILING_STATUS=MR","SCALING_FORMAT=MLN","Sort=A","Dates=H","DateFormat=P","Fill=—","Direction=H","UseDPDF=Y")</f>
        <v>0</v>
      </c>
      <c r="J23" s="25">
        <f>_xll.BDH("BLUE US Equity","CF_DISPOSAL_OF_FIXED_PROD_ASSETS","FQ3 2020","FQ3 2020","Currency=USD","Period=FQ","BEST_FPERIOD_OVERRIDE=FQ","FILING_STATUS=MR","SCALING_FORMAT=MLN","Sort=A","Dates=H","DateFormat=P","Fill=—","Direction=H","UseDPDF=Y")</f>
        <v>0</v>
      </c>
      <c r="K23" s="25">
        <f>_xll.BDH("BLUE US Equity","CF_DISPOSAL_OF_FIXED_PROD_ASSETS","FQ4 2020","FQ4 2020","Currency=USD","Period=FQ","BEST_FPERIOD_OVERRIDE=FQ","FILING_STATUS=MR","SCALING_FORMAT=MLN","Sort=A","Dates=H","DateFormat=P","Fill=—","Direction=H","UseDPDF=Y")</f>
        <v>0</v>
      </c>
      <c r="L23" s="25">
        <f>_xll.BDH("BLUE US Equity","CF_DISPOSAL_OF_FIXED_PROD_ASSETS","FQ1 2021","FQ1 2021","Currency=USD","Period=FQ","BEST_FPERIOD_OVERRIDE=FQ","FILING_STATUS=MR","SCALING_FORMAT=MLN","Sort=A","Dates=H","DateFormat=P","Fill=—","Direction=H","UseDPDF=Y")</f>
        <v>0</v>
      </c>
      <c r="M23" s="25">
        <f>_xll.BDH("BLUE US Equity","CF_DISPOSAL_OF_FIXED_PROD_ASSETS","FQ2 2021","FQ2 2021","Currency=USD","Period=FQ","BEST_FPERIOD_OVERRIDE=FQ","FILING_STATUS=MR","SCALING_FORMAT=MLN","Sort=A","Dates=H","DateFormat=P","Fill=—","Direction=H","UseDPDF=Y")</f>
        <v>0</v>
      </c>
      <c r="N23" s="25">
        <f>_xll.BDH("BLUE US Equity","CF_DISPOSAL_OF_FIXED_PROD_ASSETS","FQ3 2021","FQ3 2021","Currency=USD","Period=FQ","BEST_FPERIOD_OVERRIDE=FQ","FILING_STATUS=MR","SCALING_FORMAT=MLN","Sort=A","Dates=H","DateFormat=P","Fill=—","Direction=H","UseDPDF=Y")</f>
        <v>0</v>
      </c>
      <c r="O23" s="25">
        <f>_xll.BDH("BLUE US Equity","CF_DISPOSAL_OF_FIXED_PROD_ASSETS","FQ4 2021","FQ4 2021","Currency=USD","Period=FQ","BEST_FPERIOD_OVERRIDE=FQ","FILING_STATUS=MR","SCALING_FORMAT=MLN","Sort=A","Dates=H","DateFormat=P","Fill=—","Direction=H","UseDPDF=Y")</f>
        <v>0</v>
      </c>
      <c r="P23" s="25">
        <f>_xll.BDH("BLUE US Equity","CF_DISPOSAL_OF_FIXED_PROD_ASSETS","FQ1 2022","FQ1 2022","Currency=USD","Period=FQ","BEST_FPERIOD_OVERRIDE=FQ","FILING_STATUS=MR","SCALING_FORMAT=MLN","Sort=A","Dates=H","DateFormat=P","Fill=—","Direction=H","UseDPDF=Y")</f>
        <v>0</v>
      </c>
      <c r="Q23" s="25">
        <f>_xll.BDH("BLUE US Equity","CF_DISPOSAL_OF_FIXED_PROD_ASSETS","FQ2 2022","FQ2 2022","Currency=USD","Period=FQ","BEST_FPERIOD_OVERRIDE=FQ","FILING_STATUS=MR","SCALING_FORMAT=MLN","Sort=A","Dates=H","DateFormat=P","Fill=—","Direction=H","UseDPDF=Y")</f>
        <v>0</v>
      </c>
      <c r="R23" s="25">
        <f>_xll.BDH("BLUE US Equity","CF_DISPOSAL_OF_FIXED_PROD_ASSETS","FQ3 2022","FQ3 2022","Currency=USD","Period=FQ","BEST_FPERIOD_OVERRIDE=FQ","FILING_STATUS=MR","SCALING_FORMAT=MLN","Sort=A","Dates=H","DateFormat=P","Fill=—","Direction=H","UseDPDF=Y")</f>
        <v>0</v>
      </c>
      <c r="S23" s="25">
        <f>_xll.BDH("BLUE US Equity","CF_DISPOSAL_OF_FIXED_PROD_ASSETS","FQ4 2022","FQ4 2022","Currency=USD","Period=FQ","BEST_FPERIOD_OVERRIDE=FQ","FILING_STATUS=MR","SCALING_FORMAT=MLN","Sort=A","Dates=H","DateFormat=P","Fill=—","Direction=H","UseDPDF=Y")</f>
        <v>0</v>
      </c>
      <c r="T23" s="25">
        <f>_xll.BDH("BLUE US Equity","CF_DISPOSAL_OF_FIXED_PROD_ASSETS","FQ1 2023","FQ1 2023","Currency=USD","Period=FQ","BEST_FPERIOD_OVERRIDE=FQ","FILING_STATUS=MR","SCALING_FORMAT=MLN","Sort=A","Dates=H","DateFormat=P","Fill=—","Direction=H","UseDPDF=Y")</f>
        <v>0</v>
      </c>
      <c r="U23" s="25">
        <f>_xll.BDH("BLUE US Equity","CF_DISPOSAL_OF_FIXED_PROD_ASSETS","FQ2 2023","FQ2 2023","Currency=USD","Period=FQ","BEST_FPERIOD_OVERRIDE=FQ","FILING_STATUS=MR","SCALING_FORMAT=MLN","Sort=A","Dates=H","DateFormat=P","Fill=—","Direction=H","UseDPDF=Y")</f>
        <v>0</v>
      </c>
      <c r="V23" s="25">
        <f>_xll.BDH("BLUE US Equity","CF_DISPOSAL_OF_FIXED_PROD_ASSETS","FQ3 2023","FQ3 2023","Currency=USD","Period=FQ","BEST_FPERIOD_OVERRIDE=FQ","FILING_STATUS=MR","SCALING_FORMAT=MLN","Sort=A","Dates=H","DateFormat=P","Fill=—","Direction=H","UseDPDF=Y")</f>
        <v>0</v>
      </c>
      <c r="W23" s="25">
        <f>_xll.BDH("BLUE US Equity","CF_DISPOSAL_OF_FIXED_PROD_ASSETS","FQ4 2023","FQ4 2023","Currency=USD","Period=FQ","BEST_FPERIOD_OVERRIDE=FQ","FILING_STATUS=MR","SCALING_FORMAT=MLN","Sort=A","Dates=H","DateFormat=P","Fill=—","Direction=H","UseDPDF=Y")</f>
        <v>0</v>
      </c>
      <c r="X23" s="25">
        <f>_xll.BDH("BLUE US Equity","CF_DISPOSAL_OF_FIXED_PROD_ASSETS","FQ1 2024","FQ1 2024","Currency=USD","Period=FQ","BEST_FPERIOD_OVERRIDE=FQ","FILING_STATUS=MR","SCALING_FORMAT=MLN","Sort=A","Dates=H","DateFormat=P","Fill=—","Direction=H","UseDPDF=Y")</f>
        <v>0</v>
      </c>
      <c r="Y23" s="25">
        <f>_xll.BDH("BLUE US Equity","CF_DISPOSAL_OF_FIXED_PROD_ASSETS","FQ2 2024","FQ2 2024","Currency=USD","Period=FQ","BEST_FPERIOD_OVERRIDE=FQ","FILING_STATUS=MR","SCALING_FORMAT=MLN","Sort=A","Dates=H","DateFormat=P","Fill=—","Direction=H","UseDPDF=Y")</f>
        <v>0</v>
      </c>
      <c r="Z23" s="25">
        <f>_xll.BDH("BLUE US Equity","CF_DISPOSAL_OF_FIXED_PROD_ASSETS","FQ3 2024","FQ3 2024","Currency=USD","Period=FQ","BEST_FPERIOD_OVERRIDE=FQ","FILING_STATUS=MR","SCALING_FORMAT=MLN","Sort=A","Dates=H","DateFormat=P","Fill=—","Direction=H","UseDPDF=Y")</f>
        <v>0</v>
      </c>
      <c r="AA23" s="25">
        <f>_xll.BDH("BLUE US Equity","CF_DISPOSAL_OF_FIXED_PROD_ASSETS","FQ4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11" t="s">
        <v>1104</v>
      </c>
      <c r="B24" s="11" t="s">
        <v>1105</v>
      </c>
      <c r="C24" s="25">
        <f>_xll.BDH("BLUE US Equity","CF_DISPOSAL_OF_INTANGIBLE_ASSETS","FQ4 2018","FQ4 2018","Currency=USD","Period=FQ","BEST_FPERIOD_OVERRIDE=FQ","FILING_STATUS=MR","SCALING_FORMAT=MLN","Sort=A","Dates=H","DateFormat=P","Fill=—","Direction=H","UseDPDF=Y")</f>
        <v>0</v>
      </c>
      <c r="D24" s="25">
        <f>_xll.BDH("BLUE US Equity","CF_DISPOSAL_OF_INTANGIBLE_ASSETS","FQ1 2019","FQ1 2019","Currency=USD","Period=FQ","BEST_FPERIOD_OVERRIDE=FQ","FILING_STATUS=MR","SCALING_FORMAT=MLN","Sort=A","Dates=H","DateFormat=P","Fill=—","Direction=H","UseDPDF=Y")</f>
        <v>0</v>
      </c>
      <c r="E24" s="25">
        <f>_xll.BDH("BLUE US Equity","CF_DISPOSAL_OF_INTANGIBLE_ASSETS","FQ2 2019","FQ2 2019","Currency=USD","Period=FQ","BEST_FPERIOD_OVERRIDE=FQ","FILING_STATUS=MR","SCALING_FORMAT=MLN","Sort=A","Dates=H","DateFormat=P","Fill=—","Direction=H","UseDPDF=Y")</f>
        <v>0</v>
      </c>
      <c r="F24" s="25">
        <f>_xll.BDH("BLUE US Equity","CF_DISPOSAL_OF_INTANGIBLE_ASSETS","FQ3 2019","FQ3 2019","Currency=USD","Period=FQ","BEST_FPERIOD_OVERRIDE=FQ","FILING_STATUS=MR","SCALING_FORMAT=MLN","Sort=A","Dates=H","DateFormat=P","Fill=—","Direction=H","UseDPDF=Y")</f>
        <v>0</v>
      </c>
      <c r="G24" s="25">
        <f>_xll.BDH("BLUE US Equity","CF_DISPOSAL_OF_INTANGIBLE_ASSETS","FQ4 2019","FQ4 2019","Currency=USD","Period=FQ","BEST_FPERIOD_OVERRIDE=FQ","FILING_STATUS=MR","SCALING_FORMAT=MLN","Sort=A","Dates=H","DateFormat=P","Fill=—","Direction=H","UseDPDF=Y")</f>
        <v>0</v>
      </c>
      <c r="H24" s="25">
        <f>_xll.BDH("BLUE US Equity","CF_DISPOSAL_OF_INTANGIBLE_ASSETS","FQ1 2020","FQ1 2020","Currency=USD","Period=FQ","BEST_FPERIOD_OVERRIDE=FQ","FILING_STATUS=MR","SCALING_FORMAT=MLN","Sort=A","Dates=H","DateFormat=P","Fill=—","Direction=H","UseDPDF=Y")</f>
        <v>0</v>
      </c>
      <c r="I24" s="25">
        <f>_xll.BDH("BLUE US Equity","CF_DISPOSAL_OF_INTANGIBLE_ASSETS","FQ2 2020","FQ2 2020","Currency=USD","Period=FQ","BEST_FPERIOD_OVERRIDE=FQ","FILING_STATUS=MR","SCALING_FORMAT=MLN","Sort=A","Dates=H","DateFormat=P","Fill=—","Direction=H","UseDPDF=Y")</f>
        <v>0</v>
      </c>
      <c r="J24" s="25">
        <f>_xll.BDH("BLUE US Equity","CF_DISPOSAL_OF_INTANGIBLE_ASSETS","FQ3 2020","FQ3 2020","Currency=USD","Period=FQ","BEST_FPERIOD_OVERRIDE=FQ","FILING_STATUS=MR","SCALING_FORMAT=MLN","Sort=A","Dates=H","DateFormat=P","Fill=—","Direction=H","UseDPDF=Y")</f>
        <v>0</v>
      </c>
      <c r="K24" s="25">
        <f>_xll.BDH("BLUE US Equity","CF_DISPOSAL_OF_INTANGIBLE_ASSETS","FQ4 2020","FQ4 2020","Currency=USD","Period=FQ","BEST_FPERIOD_OVERRIDE=FQ","FILING_STATUS=MR","SCALING_FORMAT=MLN","Sort=A","Dates=H","DateFormat=P","Fill=—","Direction=H","UseDPDF=Y")</f>
        <v>0</v>
      </c>
      <c r="L24" s="25">
        <f>_xll.BDH("BLUE US Equity","CF_DISPOSAL_OF_INTANGIBLE_ASSETS","FQ1 2021","FQ1 2021","Currency=USD","Period=FQ","BEST_FPERIOD_OVERRIDE=FQ","FILING_STATUS=MR","SCALING_FORMAT=MLN","Sort=A","Dates=H","DateFormat=P","Fill=—","Direction=H","UseDPDF=Y")</f>
        <v>0</v>
      </c>
      <c r="M24" s="25">
        <f>_xll.BDH("BLUE US Equity","CF_DISPOSAL_OF_INTANGIBLE_ASSETS","FQ2 2021","FQ2 2021","Currency=USD","Period=FQ","BEST_FPERIOD_OVERRIDE=FQ","FILING_STATUS=MR","SCALING_FORMAT=MLN","Sort=A","Dates=H","DateFormat=P","Fill=—","Direction=H","UseDPDF=Y")</f>
        <v>0</v>
      </c>
      <c r="N24" s="25">
        <f>_xll.BDH("BLUE US Equity","CF_DISPOSAL_OF_INTANGIBLE_ASSETS","FQ3 2021","FQ3 2021","Currency=USD","Period=FQ","BEST_FPERIOD_OVERRIDE=FQ","FILING_STATUS=MR","SCALING_FORMAT=MLN","Sort=A","Dates=H","DateFormat=P","Fill=—","Direction=H","UseDPDF=Y")</f>
        <v>0</v>
      </c>
      <c r="O24" s="25">
        <f>_xll.BDH("BLUE US Equity","CF_DISPOSAL_OF_INTANGIBLE_ASSETS","FQ4 2021","FQ4 2021","Currency=USD","Period=FQ","BEST_FPERIOD_OVERRIDE=FQ","FILING_STATUS=MR","SCALING_FORMAT=MLN","Sort=A","Dates=H","DateFormat=P","Fill=—","Direction=H","UseDPDF=Y")</f>
        <v>0</v>
      </c>
      <c r="P24" s="25">
        <f>_xll.BDH("BLUE US Equity","CF_DISPOSAL_OF_INTANGIBLE_ASSETS","FQ1 2022","FQ1 2022","Currency=USD","Period=FQ","BEST_FPERIOD_OVERRIDE=FQ","FILING_STATUS=MR","SCALING_FORMAT=MLN","Sort=A","Dates=H","DateFormat=P","Fill=—","Direction=H","UseDPDF=Y")</f>
        <v>0</v>
      </c>
      <c r="Q24" s="25">
        <f>_xll.BDH("BLUE US Equity","CF_DISPOSAL_OF_INTANGIBLE_ASSETS","FQ2 2022","FQ2 2022","Currency=USD","Period=FQ","BEST_FPERIOD_OVERRIDE=FQ","FILING_STATUS=MR","SCALING_FORMAT=MLN","Sort=A","Dates=H","DateFormat=P","Fill=—","Direction=H","UseDPDF=Y")</f>
        <v>0</v>
      </c>
      <c r="R24" s="25">
        <f>_xll.BDH("BLUE US Equity","CF_DISPOSAL_OF_INTANGIBLE_ASSETS","FQ3 2022","FQ3 2022","Currency=USD","Period=FQ","BEST_FPERIOD_OVERRIDE=FQ","FILING_STATUS=MR","SCALING_FORMAT=MLN","Sort=A","Dates=H","DateFormat=P","Fill=—","Direction=H","UseDPDF=Y")</f>
        <v>0</v>
      </c>
      <c r="S24" s="25">
        <f>_xll.BDH("BLUE US Equity","CF_DISPOSAL_OF_INTANGIBLE_ASSETS","FQ4 2022","FQ4 2022","Currency=USD","Period=FQ","BEST_FPERIOD_OVERRIDE=FQ","FILING_STATUS=MR","SCALING_FORMAT=MLN","Sort=A","Dates=H","DateFormat=P","Fill=—","Direction=H","UseDPDF=Y")</f>
        <v>0</v>
      </c>
      <c r="T24" s="25">
        <f>_xll.BDH("BLUE US Equity","CF_DISPOSAL_OF_INTANGIBLE_ASSETS","FQ1 2023","FQ1 2023","Currency=USD","Period=FQ","BEST_FPERIOD_OVERRIDE=FQ","FILING_STATUS=MR","SCALING_FORMAT=MLN","Sort=A","Dates=H","DateFormat=P","Fill=—","Direction=H","UseDPDF=Y")</f>
        <v>0</v>
      </c>
      <c r="U24" s="25">
        <f>_xll.BDH("BLUE US Equity","CF_DISPOSAL_OF_INTANGIBLE_ASSETS","FQ2 2023","FQ2 2023","Currency=USD","Period=FQ","BEST_FPERIOD_OVERRIDE=FQ","FILING_STATUS=MR","SCALING_FORMAT=MLN","Sort=A","Dates=H","DateFormat=P","Fill=—","Direction=H","UseDPDF=Y")</f>
        <v>0</v>
      </c>
      <c r="V24" s="25">
        <f>_xll.BDH("BLUE US Equity","CF_DISPOSAL_OF_INTANGIBLE_ASSETS","FQ3 2023","FQ3 2023","Currency=USD","Period=FQ","BEST_FPERIOD_OVERRIDE=FQ","FILING_STATUS=MR","SCALING_FORMAT=MLN","Sort=A","Dates=H","DateFormat=P","Fill=—","Direction=H","UseDPDF=Y")</f>
        <v>0</v>
      </c>
      <c r="W24" s="25">
        <f>_xll.BDH("BLUE US Equity","CF_DISPOSAL_OF_INTANGIBLE_ASSETS","FQ4 2023","FQ4 2023","Currency=USD","Period=FQ","BEST_FPERIOD_OVERRIDE=FQ","FILING_STATUS=MR","SCALING_FORMAT=MLN","Sort=A","Dates=H","DateFormat=P","Fill=—","Direction=H","UseDPDF=Y")</f>
        <v>0</v>
      </c>
      <c r="X24" s="25">
        <f>_xll.BDH("BLUE US Equity","CF_DISPOSAL_OF_INTANGIBLE_ASSETS","FQ1 2024","FQ1 2024","Currency=USD","Period=FQ","BEST_FPERIOD_OVERRIDE=FQ","FILING_STATUS=MR","SCALING_FORMAT=MLN","Sort=A","Dates=H","DateFormat=P","Fill=—","Direction=H","UseDPDF=Y")</f>
        <v>0</v>
      </c>
      <c r="Y24" s="25">
        <f>_xll.BDH("BLUE US Equity","CF_DISPOSAL_OF_INTANGIBLE_ASSETS","FQ2 2024","FQ2 2024","Currency=USD","Period=FQ","BEST_FPERIOD_OVERRIDE=FQ","FILING_STATUS=MR","SCALING_FORMAT=MLN","Sort=A","Dates=H","DateFormat=P","Fill=—","Direction=H","UseDPDF=Y")</f>
        <v>0</v>
      </c>
      <c r="Z24" s="25">
        <f>_xll.BDH("BLUE US Equity","CF_DISPOSAL_OF_INTANGIBLE_ASSETS","FQ3 2024","FQ3 2024","Currency=USD","Period=FQ","BEST_FPERIOD_OVERRIDE=FQ","FILING_STATUS=MR","SCALING_FORMAT=MLN","Sort=A","Dates=H","DateFormat=P","Fill=—","Direction=H","UseDPDF=Y")</f>
        <v>0</v>
      </c>
      <c r="AA24" s="25">
        <f>_xll.BDH("BLUE US Equity","CF_DISPOSAL_OF_INTANGIBLE_ASSETS","FQ4 2024","FQ4 2024","Currency=USD","Period=FQ","BEST_FPERIOD_OVERRIDE=FQ","FILING_STATUS=MR","SCALING_FORMAT=MLN","Sort=A","Dates=H","DateFormat=P","Fill=—","Direction=H","UseDPDF=Y")</f>
        <v>0</v>
      </c>
    </row>
    <row r="25" spans="1:27" x14ac:dyDescent="0.25">
      <c r="A25" s="10" t="s">
        <v>1106</v>
      </c>
      <c r="B25" s="10" t="s">
        <v>1107</v>
      </c>
      <c r="C25" s="13">
        <f>_xll.BDH("BLUE US Equity","ACQUIS_OF_FIXED_INTANG","FQ4 2018","FQ4 2018","Currency=USD","Period=FQ","BEST_FPERIOD_OVERRIDE=FQ","FILING_STATUS=MR","SCALING_FORMAT=MLN","Sort=A","Dates=H","DateFormat=P","Fill=—","Direction=H","UseDPDF=Y")</f>
        <v>-12.893000000000001</v>
      </c>
      <c r="D25" s="13">
        <f>_xll.BDH("BLUE US Equity","ACQUIS_OF_FIXED_INTANG","FQ1 2019","FQ1 2019","Currency=USD","Period=FQ","BEST_FPERIOD_OVERRIDE=FQ","FILING_STATUS=MR","SCALING_FORMAT=MLN","Sort=A","Dates=H","DateFormat=P","Fill=—","Direction=H","UseDPDF=Y")</f>
        <v>-19.321000000000002</v>
      </c>
      <c r="E25" s="13">
        <f>_xll.BDH("BLUE US Equity","ACQUIS_OF_FIXED_INTANG","FQ2 2019","FQ2 2019","Currency=USD","Period=FQ","BEST_FPERIOD_OVERRIDE=FQ","FILING_STATUS=MR","SCALING_FORMAT=MLN","Sort=A","Dates=H","DateFormat=P","Fill=—","Direction=H","UseDPDF=Y")</f>
        <v>-18.603999999999999</v>
      </c>
      <c r="F25" s="13">
        <f>_xll.BDH("BLUE US Equity","ACQUIS_OF_FIXED_INTANG","FQ3 2019","FQ3 2019","Currency=USD","Period=FQ","BEST_FPERIOD_OVERRIDE=FQ","FILING_STATUS=MR","SCALING_FORMAT=MLN","Sort=A","Dates=H","DateFormat=P","Fill=—","Direction=H","UseDPDF=Y")</f>
        <v>-24.937000000000001</v>
      </c>
      <c r="G25" s="13">
        <f>_xll.BDH("BLUE US Equity","ACQUIS_OF_FIXED_INTANG","FQ4 2019","FQ4 2019","Currency=USD","Period=FQ","BEST_FPERIOD_OVERRIDE=FQ","FILING_STATUS=MR","SCALING_FORMAT=MLN","Sort=A","Dates=H","DateFormat=P","Fill=—","Direction=H","UseDPDF=Y")</f>
        <v>-13.39</v>
      </c>
      <c r="H25" s="13">
        <f>_xll.BDH("BLUE US Equity","ACQUIS_OF_FIXED_INTANG","FQ1 2020","FQ1 2020","Currency=USD","Period=FQ","BEST_FPERIOD_OVERRIDE=FQ","FILING_STATUS=MR","SCALING_FORMAT=MLN","Sort=A","Dates=H","DateFormat=P","Fill=—","Direction=H","UseDPDF=Y")</f>
        <v>-10.676</v>
      </c>
      <c r="I25" s="13">
        <f>_xll.BDH("BLUE US Equity","ACQUIS_OF_FIXED_INTANG","FQ2 2020","FQ2 2020","Currency=USD","Period=FQ","BEST_FPERIOD_OVERRIDE=FQ","FILING_STATUS=MR","SCALING_FORMAT=MLN","Sort=A","Dates=H","DateFormat=P","Fill=—","Direction=H","UseDPDF=Y")</f>
        <v>-4.8019999999999996</v>
      </c>
      <c r="J25" s="13">
        <f>_xll.BDH("BLUE US Equity","ACQUIS_OF_FIXED_INTANG","FQ3 2020","FQ3 2020","Currency=USD","Period=FQ","BEST_FPERIOD_OVERRIDE=FQ","FILING_STATUS=MR","SCALING_FORMAT=MLN","Sort=A","Dates=H","DateFormat=P","Fill=—","Direction=H","UseDPDF=Y")</f>
        <v>-5.62</v>
      </c>
      <c r="K25" s="13">
        <f>_xll.BDH("BLUE US Equity","ACQUIS_OF_FIXED_INTANG","FQ4 2020","FQ4 2020","Currency=USD","Period=FQ","BEST_FPERIOD_OVERRIDE=FQ","FILING_STATUS=MR","SCALING_FORMAT=MLN","Sort=A","Dates=H","DateFormat=P","Fill=—","Direction=H","UseDPDF=Y")</f>
        <v>-7.8879999999999999</v>
      </c>
      <c r="L25" s="13">
        <f>_xll.BDH("BLUE US Equity","ACQUIS_OF_FIXED_INTANG","FQ1 2021","FQ1 2021","Currency=USD","Period=FQ","BEST_FPERIOD_OVERRIDE=FQ","FILING_STATUS=MR","SCALING_FORMAT=MLN","Sort=A","Dates=H","DateFormat=P","Fill=—","Direction=H","UseDPDF=Y")</f>
        <v>-7.6260000000000003</v>
      </c>
      <c r="M25" s="13">
        <f>_xll.BDH("BLUE US Equity","ACQUIS_OF_FIXED_INTANG","FQ2 2021","FQ2 2021","Currency=USD","Period=FQ","BEST_FPERIOD_OVERRIDE=FQ","FILING_STATUS=MR","SCALING_FORMAT=MLN","Sort=A","Dates=H","DateFormat=P","Fill=—","Direction=H","UseDPDF=Y")</f>
        <v>-3.5779999999999998</v>
      </c>
      <c r="N25" s="13">
        <f>_xll.BDH("BLUE US Equity","ACQUIS_OF_FIXED_INTANG","FQ3 2021","FQ3 2021","Currency=USD","Period=FQ","BEST_FPERIOD_OVERRIDE=FQ","FILING_STATUS=MR","SCALING_FORMAT=MLN","Sort=A","Dates=H","DateFormat=P","Fill=—","Direction=H","UseDPDF=Y")</f>
        <v>-9.74</v>
      </c>
      <c r="O25" s="13">
        <f>_xll.BDH("BLUE US Equity","ACQUIS_OF_FIXED_INTANG","FQ4 2021","FQ4 2021","Currency=USD","Period=FQ","BEST_FPERIOD_OVERRIDE=FQ","FILING_STATUS=MR","SCALING_FORMAT=MLN","Sort=A","Dates=H","DateFormat=P","Fill=—","Direction=H","UseDPDF=Y")</f>
        <v>-2.0590000000000002</v>
      </c>
      <c r="P25" s="13">
        <f>_xll.BDH("BLUE US Equity","ACQUIS_OF_FIXED_INTANG","FQ1 2022","FQ1 2022","Currency=USD","Period=FQ","BEST_FPERIOD_OVERRIDE=FQ","FILING_STATUS=MR","SCALING_FORMAT=MLN","Sort=A","Dates=H","DateFormat=P","Fill=—","Direction=H","UseDPDF=Y")</f>
        <v>-0.85699999999999998</v>
      </c>
      <c r="Q25" s="13">
        <f>_xll.BDH("BLUE US Equity","ACQUIS_OF_FIXED_INTANG","FQ2 2022","FQ2 2022","Currency=USD","Period=FQ","BEST_FPERIOD_OVERRIDE=FQ","FILING_STATUS=MR","SCALING_FORMAT=MLN","Sort=A","Dates=H","DateFormat=P","Fill=—","Direction=H","UseDPDF=Y")</f>
        <v>-5.9790000000000001</v>
      </c>
      <c r="R25" s="13">
        <f>_xll.BDH("BLUE US Equity","ACQUIS_OF_FIXED_INTANG","FQ3 2022","FQ3 2022","Currency=USD","Period=FQ","BEST_FPERIOD_OVERRIDE=FQ","FILING_STATUS=MR","SCALING_FORMAT=MLN","Sort=A","Dates=H","DateFormat=P","Fill=—","Direction=H","UseDPDF=Y")</f>
        <v>-1.264</v>
      </c>
      <c r="S25" s="13">
        <f>_xll.BDH("BLUE US Equity","ACQUIS_OF_FIXED_INTANG","FQ4 2022","FQ4 2022","Currency=USD","Period=FQ","BEST_FPERIOD_OVERRIDE=FQ","FILING_STATUS=MR","SCALING_FORMAT=MLN","Sort=A","Dates=H","DateFormat=P","Fill=—","Direction=H","UseDPDF=Y")</f>
        <v>-5.1079999999999997</v>
      </c>
      <c r="T25" s="13">
        <f>_xll.BDH("BLUE US Equity","ACQUIS_OF_FIXED_INTANG","FQ1 2023","FQ1 2023","Currency=USD","Period=FQ","BEST_FPERIOD_OVERRIDE=FQ","FILING_STATUS=MR","SCALING_FORMAT=MLN","Sort=A","Dates=H","DateFormat=P","Fill=—","Direction=H","UseDPDF=Y")</f>
        <v>-1.1000000000000001</v>
      </c>
      <c r="U25" s="13">
        <f>_xll.BDH("BLUE US Equity","ACQUIS_OF_FIXED_INTANG","FQ2 2023","FQ2 2023","Currency=USD","Period=FQ","BEST_FPERIOD_OVERRIDE=FQ","FILING_STATUS=MR","SCALING_FORMAT=MLN","Sort=A","Dates=H","DateFormat=P","Fill=—","Direction=H","UseDPDF=Y")</f>
        <v>-0.70499999999999996</v>
      </c>
      <c r="V25" s="13">
        <f>_xll.BDH("BLUE US Equity","ACQUIS_OF_FIXED_INTANG","FQ3 2023","FQ3 2023","Currency=USD","Period=FQ","BEST_FPERIOD_OVERRIDE=FQ","FILING_STATUS=MR","SCALING_FORMAT=MLN","Sort=A","Dates=H","DateFormat=P","Fill=—","Direction=H","UseDPDF=Y")</f>
        <v>-2.0379999999999998</v>
      </c>
      <c r="W25" s="13">
        <f>_xll.BDH("BLUE US Equity","ACQUIS_OF_FIXED_INTANG","FQ4 2023","FQ4 2023","Currency=USD","Period=FQ","BEST_FPERIOD_OVERRIDE=FQ","FILING_STATUS=MR","SCALING_FORMAT=MLN","Sort=A","Dates=H","DateFormat=P","Fill=—","Direction=H","UseDPDF=Y")</f>
        <v>-5.2140000000000004</v>
      </c>
      <c r="X25" s="13">
        <f>_xll.BDH("BLUE US Equity","ACQUIS_OF_FIXED_INTANG","FQ1 2024","FQ1 2024","Currency=USD","Period=FQ","BEST_FPERIOD_OVERRIDE=FQ","FILING_STATUS=MR","SCALING_FORMAT=MLN","Sort=A","Dates=H","DateFormat=P","Fill=—","Direction=H","UseDPDF=Y")</f>
        <v>-1.7749999999999999</v>
      </c>
      <c r="Y25" s="13">
        <f>_xll.BDH("BLUE US Equity","ACQUIS_OF_FIXED_INTANG","FQ2 2024","FQ2 2024","Currency=USD","Period=FQ","BEST_FPERIOD_OVERRIDE=FQ","FILING_STATUS=MR","SCALING_FORMAT=MLN","Sort=A","Dates=H","DateFormat=P","Fill=—","Direction=H","UseDPDF=Y")</f>
        <v>-5.8999999999999997E-2</v>
      </c>
      <c r="Z25" s="13">
        <f>_xll.BDH("BLUE US Equity","ACQUIS_OF_FIXED_INTANG","FQ3 2024","FQ3 2024","Currency=USD","Period=FQ","BEST_FPERIOD_OVERRIDE=FQ","FILING_STATUS=MR","SCALING_FORMAT=MLN","Sort=A","Dates=H","DateFormat=P","Fill=—","Direction=H","UseDPDF=Y")</f>
        <v>-0.28000000000000003</v>
      </c>
      <c r="AA25" s="13">
        <f>_xll.BDH("BLUE US Equity","ACQUIS_OF_FIXED_INTANG","FQ4 2024","FQ4 2024","Currency=USD","Period=FQ","BEST_FPERIOD_OVERRIDE=FQ","FILING_STATUS=MR","SCALING_FORMAT=MLN","Sort=A","Dates=H","DateFormat=P","Fill=—","Direction=H","UseDPDF=Y")</f>
        <v>-0.48499999999999999</v>
      </c>
    </row>
    <row r="26" spans="1:27" x14ac:dyDescent="0.25">
      <c r="A26" s="11" t="s">
        <v>1108</v>
      </c>
      <c r="B26" s="11" t="s">
        <v>1109</v>
      </c>
      <c r="C26" s="25">
        <f>_xll.BDH("BLUE US Equity","CF_PURCHASE_OF_FIXED_PROD_ASSETS","FQ4 2018","FQ4 2018","Currency=USD","Period=FQ","BEST_FPERIOD_OVERRIDE=FQ","FILING_STATUS=MR","SCALING_FORMAT=MLN","Sort=A","Dates=H","DateFormat=P","Fill=—","Direction=H","UseDPDF=Y")</f>
        <v>-12.893000000000001</v>
      </c>
      <c r="D26" s="25">
        <f>_xll.BDH("BLUE US Equity","CF_PURCHASE_OF_FIXED_PROD_ASSETS","FQ1 2019","FQ1 2019","Currency=USD","Period=FQ","BEST_FPERIOD_OVERRIDE=FQ","FILING_STATUS=MR","SCALING_FORMAT=MLN","Sort=A","Dates=H","DateFormat=P","Fill=—","Direction=H","UseDPDF=Y")</f>
        <v>-19.321000000000002</v>
      </c>
      <c r="E26" s="25">
        <f>_xll.BDH("BLUE US Equity","CF_PURCHASE_OF_FIXED_PROD_ASSETS","FQ2 2019","FQ2 2019","Currency=USD","Period=FQ","BEST_FPERIOD_OVERRIDE=FQ","FILING_STATUS=MR","SCALING_FORMAT=MLN","Sort=A","Dates=H","DateFormat=P","Fill=—","Direction=H","UseDPDF=Y")</f>
        <v>-18.603999999999999</v>
      </c>
      <c r="F26" s="25">
        <f>_xll.BDH("BLUE US Equity","CF_PURCHASE_OF_FIXED_PROD_ASSETS","FQ3 2019","FQ3 2019","Currency=USD","Period=FQ","BEST_FPERIOD_OVERRIDE=FQ","FILING_STATUS=MR","SCALING_FORMAT=MLN","Sort=A","Dates=H","DateFormat=P","Fill=—","Direction=H","UseDPDF=Y")</f>
        <v>-20.713000000000001</v>
      </c>
      <c r="G26" s="25">
        <f>_xll.BDH("BLUE US Equity","CF_PURCHASE_OF_FIXED_PROD_ASSETS","FQ4 2019","FQ4 2019","Currency=USD","Period=FQ","BEST_FPERIOD_OVERRIDE=FQ","FILING_STATUS=MR","SCALING_FORMAT=MLN","Sort=A","Dates=H","DateFormat=P","Fill=—","Direction=H","UseDPDF=Y")</f>
        <v>-12.39</v>
      </c>
      <c r="H26" s="25">
        <f>_xll.BDH("BLUE US Equity","CF_PURCHASE_OF_FIXED_PROD_ASSETS","FQ1 2020","FQ1 2020","Currency=USD","Period=FQ","BEST_FPERIOD_OVERRIDE=FQ","FILING_STATUS=MR","SCALING_FORMAT=MLN","Sort=A","Dates=H","DateFormat=P","Fill=—","Direction=H","UseDPDF=Y")</f>
        <v>-10.676</v>
      </c>
      <c r="I26" s="25">
        <f>_xll.BDH("BLUE US Equity","CF_PURCHASE_OF_FIXED_PROD_ASSETS","FQ2 2020","FQ2 2020","Currency=USD","Period=FQ","BEST_FPERIOD_OVERRIDE=FQ","FILING_STATUS=MR","SCALING_FORMAT=MLN","Sort=A","Dates=H","DateFormat=P","Fill=—","Direction=H","UseDPDF=Y")</f>
        <v>-4.8019999999999996</v>
      </c>
      <c r="J26" s="25">
        <f>_xll.BDH("BLUE US Equity","CF_PURCHASE_OF_FIXED_PROD_ASSETS","FQ3 2020","FQ3 2020","Currency=USD","Period=FQ","BEST_FPERIOD_OVERRIDE=FQ","FILING_STATUS=MR","SCALING_FORMAT=MLN","Sort=A","Dates=H","DateFormat=P","Fill=—","Direction=H","UseDPDF=Y")</f>
        <v>-5.62</v>
      </c>
      <c r="K26" s="25">
        <f>_xll.BDH("BLUE US Equity","CF_PURCHASE_OF_FIXED_PROD_ASSETS","FQ4 2020","FQ4 2020","Currency=USD","Period=FQ","BEST_FPERIOD_OVERRIDE=FQ","FILING_STATUS=MR","SCALING_FORMAT=MLN","Sort=A","Dates=H","DateFormat=P","Fill=—","Direction=H","UseDPDF=Y")</f>
        <v>-7.8879999999999999</v>
      </c>
      <c r="L26" s="25">
        <f>_xll.BDH("BLUE US Equity","CF_PURCHASE_OF_FIXED_PROD_ASSETS","FQ1 2021","FQ1 2021","Currency=USD","Period=FQ","BEST_FPERIOD_OVERRIDE=FQ","FILING_STATUS=MR","SCALING_FORMAT=MLN","Sort=A","Dates=H","DateFormat=P","Fill=—","Direction=H","UseDPDF=Y")</f>
        <v>-7.6260000000000003</v>
      </c>
      <c r="M26" s="25">
        <f>_xll.BDH("BLUE US Equity","CF_PURCHASE_OF_FIXED_PROD_ASSETS","FQ2 2021","FQ2 2021","Currency=USD","Period=FQ","BEST_FPERIOD_OVERRIDE=FQ","FILING_STATUS=MR","SCALING_FORMAT=MLN","Sort=A","Dates=H","DateFormat=P","Fill=—","Direction=H","UseDPDF=Y")</f>
        <v>-1.5780000000000001</v>
      </c>
      <c r="N26" s="25">
        <f>_xll.BDH("BLUE US Equity","CF_PURCHASE_OF_FIXED_PROD_ASSETS","FQ3 2021","FQ3 2021","Currency=USD","Period=FQ","BEST_FPERIOD_OVERRIDE=FQ","FILING_STATUS=MR","SCALING_FORMAT=MLN","Sort=A","Dates=H","DateFormat=P","Fill=—","Direction=H","UseDPDF=Y")</f>
        <v>-3.74</v>
      </c>
      <c r="O26" s="25">
        <f>_xll.BDH("BLUE US Equity","CF_PURCHASE_OF_FIXED_PROD_ASSETS","FQ4 2021","FQ4 2021","Currency=USD","Period=FQ","BEST_FPERIOD_OVERRIDE=FQ","FILING_STATUS=MR","SCALING_FORMAT=MLN","Sort=A","Dates=H","DateFormat=P","Fill=—","Direction=H","UseDPDF=Y")</f>
        <v>-1.5589999999999999</v>
      </c>
      <c r="P26" s="25">
        <f>_xll.BDH("BLUE US Equity","CF_PURCHASE_OF_FIXED_PROD_ASSETS","FQ1 2022","FQ1 2022","Currency=USD","Period=FQ","BEST_FPERIOD_OVERRIDE=FQ","FILING_STATUS=MR","SCALING_FORMAT=MLN","Sort=A","Dates=H","DateFormat=P","Fill=—","Direction=H","UseDPDF=Y")</f>
        <v>-0.85699999999999998</v>
      </c>
      <c r="Q26" s="25">
        <f>_xll.BDH("BLUE US Equity","CF_PURCHASE_OF_FIXED_PROD_ASSETS","FQ2 2022","FQ2 2022","Currency=USD","Period=FQ","BEST_FPERIOD_OVERRIDE=FQ","FILING_STATUS=MR","SCALING_FORMAT=MLN","Sort=A","Dates=H","DateFormat=P","Fill=—","Direction=H","UseDPDF=Y")</f>
        <v>-5.9790000000000001</v>
      </c>
      <c r="R26" s="25">
        <f>_xll.BDH("BLUE US Equity","CF_PURCHASE_OF_FIXED_PROD_ASSETS","FQ3 2022","FQ3 2022","Currency=USD","Period=FQ","BEST_FPERIOD_OVERRIDE=FQ","FILING_STATUS=MR","SCALING_FORMAT=MLN","Sort=A","Dates=H","DateFormat=P","Fill=—","Direction=H","UseDPDF=Y")</f>
        <v>-1.264</v>
      </c>
      <c r="S26" s="25">
        <f>_xll.BDH("BLUE US Equity","CF_PURCHASE_OF_FIXED_PROD_ASSETS","FQ4 2022","FQ4 2022","Currency=USD","Period=FQ","BEST_FPERIOD_OVERRIDE=FQ","FILING_STATUS=MR","SCALING_FORMAT=MLN","Sort=A","Dates=H","DateFormat=P","Fill=—","Direction=H","UseDPDF=Y")</f>
        <v>-0.108</v>
      </c>
      <c r="T26" s="25">
        <f>_xll.BDH("BLUE US Equity","CF_PURCHASE_OF_FIXED_PROD_ASSETS","FQ1 2023","FQ1 2023","Currency=USD","Period=FQ","BEST_FPERIOD_OVERRIDE=FQ","FILING_STATUS=MR","SCALING_FORMAT=MLN","Sort=A","Dates=H","DateFormat=P","Fill=—","Direction=H","UseDPDF=Y")</f>
        <v>-0.23200000000000001</v>
      </c>
      <c r="U26" s="25">
        <f>_xll.BDH("BLUE US Equity","CF_PURCHASE_OF_FIXED_PROD_ASSETS","FQ2 2023","FQ2 2023","Currency=USD","Period=FQ","BEST_FPERIOD_OVERRIDE=FQ","FILING_STATUS=MR","SCALING_FORMAT=MLN","Sort=A","Dates=H","DateFormat=P","Fill=—","Direction=H","UseDPDF=Y")</f>
        <v>-0.70499999999999996</v>
      </c>
      <c r="V26" s="25">
        <f>_xll.BDH("BLUE US Equity","CF_PURCHASE_OF_FIXED_PROD_ASSETS","FQ3 2023","FQ3 2023","Currency=USD","Period=FQ","BEST_FPERIOD_OVERRIDE=FQ","FILING_STATUS=MR","SCALING_FORMAT=MLN","Sort=A","Dates=H","DateFormat=P","Fill=—","Direction=H","UseDPDF=Y")</f>
        <v>-2.0379999999999998</v>
      </c>
      <c r="W26" s="25">
        <f>_xll.BDH("BLUE US Equity","CF_PURCHASE_OF_FIXED_PROD_ASSETS","FQ4 2023","FQ4 2023","Currency=USD","Period=FQ","BEST_FPERIOD_OVERRIDE=FQ","FILING_STATUS=MR","SCALING_FORMAT=MLN","Sort=A","Dates=H","DateFormat=P","Fill=—","Direction=H","UseDPDF=Y")</f>
        <v>-1.214</v>
      </c>
      <c r="X26" s="25">
        <f>_xll.BDH("BLUE US Equity","CF_PURCHASE_OF_FIXED_PROD_ASSETS","FQ1 2024","FQ1 2024","Currency=USD","Period=FQ","BEST_FPERIOD_OVERRIDE=FQ","FILING_STATUS=MR","SCALING_FORMAT=MLN","Sort=A","Dates=H","DateFormat=P","Fill=—","Direction=H","UseDPDF=Y")</f>
        <v>-1.7749999999999999</v>
      </c>
      <c r="Y26" s="25">
        <f>_xll.BDH("BLUE US Equity","CF_PURCHASE_OF_FIXED_PROD_ASSETS","FQ2 2024","FQ2 2024","Currency=USD","Period=FQ","BEST_FPERIOD_OVERRIDE=FQ","FILING_STATUS=MR","SCALING_FORMAT=MLN","Sort=A","Dates=H","DateFormat=P","Fill=—","Direction=H","UseDPDF=Y")</f>
        <v>-5.8999999999999997E-2</v>
      </c>
      <c r="Z26" s="25">
        <f>_xll.BDH("BLUE US Equity","CF_PURCHASE_OF_FIXED_PROD_ASSETS","FQ3 2024","FQ3 2024","Currency=USD","Period=FQ","BEST_FPERIOD_OVERRIDE=FQ","FILING_STATUS=MR","SCALING_FORMAT=MLN","Sort=A","Dates=H","DateFormat=P","Fill=—","Direction=H","UseDPDF=Y")</f>
        <v>-0.28000000000000003</v>
      </c>
      <c r="AA26" s="25">
        <f>_xll.BDH("BLUE US Equity","CF_PURCHASE_OF_FIXED_PROD_ASSETS","FQ4 2024","FQ4 2024","Currency=USD","Period=FQ","BEST_FPERIOD_OVERRIDE=FQ","FILING_STATUS=MR","SCALING_FORMAT=MLN","Sort=A","Dates=H","DateFormat=P","Fill=—","Direction=H","UseDPDF=Y")</f>
        <v>-0.48499999999999999</v>
      </c>
    </row>
    <row r="27" spans="1:27" x14ac:dyDescent="0.25">
      <c r="A27" s="11" t="s">
        <v>1110</v>
      </c>
      <c r="B27" s="11" t="s">
        <v>1111</v>
      </c>
      <c r="C27" s="25">
        <f>_xll.BDH("BLUE US Equity","CF_ACQUISITION_OF_INTANG_ASSETS","FQ4 2018","FQ4 2018","Currency=USD","Period=FQ","BEST_FPERIOD_OVERRIDE=FQ","FILING_STATUS=MR","SCALING_FORMAT=MLN","Sort=A","Dates=H","DateFormat=P","Fill=—","Direction=H","UseDPDF=Y")</f>
        <v>0</v>
      </c>
      <c r="D27" s="25">
        <f>_xll.BDH("BLUE US Equity","CF_ACQUISITION_OF_INTANG_ASSETS","FQ1 2019","FQ1 2019","Currency=USD","Period=FQ","BEST_FPERIOD_OVERRIDE=FQ","FILING_STATUS=MR","SCALING_FORMAT=MLN","Sort=A","Dates=H","DateFormat=P","Fill=—","Direction=H","UseDPDF=Y")</f>
        <v>0</v>
      </c>
      <c r="E27" s="25">
        <f>_xll.BDH("BLUE US Equity","CF_ACQUISITION_OF_INTANG_ASSETS","FQ2 2019","FQ2 2019","Currency=USD","Period=FQ","BEST_FPERIOD_OVERRIDE=FQ","FILING_STATUS=MR","SCALING_FORMAT=MLN","Sort=A","Dates=H","DateFormat=P","Fill=—","Direction=H","UseDPDF=Y")</f>
        <v>0</v>
      </c>
      <c r="F27" s="25">
        <f>_xll.BDH("BLUE US Equity","CF_ACQUISITION_OF_INTANG_ASSETS","FQ3 2019","FQ3 2019","Currency=USD","Period=FQ","BEST_FPERIOD_OVERRIDE=FQ","FILING_STATUS=MR","SCALING_FORMAT=MLN","Sort=A","Dates=H","DateFormat=P","Fill=—","Direction=H","UseDPDF=Y")</f>
        <v>-4.2240000000000002</v>
      </c>
      <c r="G27" s="25">
        <f>_xll.BDH("BLUE US Equity","CF_ACQUISITION_OF_INTANG_ASSETS","FQ4 2019","FQ4 2019","Currency=USD","Period=FQ","BEST_FPERIOD_OVERRIDE=FQ","FILING_STATUS=MR","SCALING_FORMAT=MLN","Sort=A","Dates=H","DateFormat=P","Fill=—","Direction=H","UseDPDF=Y")</f>
        <v>-1</v>
      </c>
      <c r="H27" s="25">
        <f>_xll.BDH("BLUE US Equity","CF_ACQUISITION_OF_INTANG_ASSETS","FQ1 2020","FQ1 2020","Currency=USD","Period=FQ","BEST_FPERIOD_OVERRIDE=FQ","FILING_STATUS=MR","SCALING_FORMAT=MLN","Sort=A","Dates=H","DateFormat=P","Fill=—","Direction=H","UseDPDF=Y")</f>
        <v>0</v>
      </c>
      <c r="I27" s="25">
        <f>_xll.BDH("BLUE US Equity","CF_ACQUISITION_OF_INTANG_ASSETS","FQ2 2020","FQ2 2020","Currency=USD","Period=FQ","BEST_FPERIOD_OVERRIDE=FQ","FILING_STATUS=MR","SCALING_FORMAT=MLN","Sort=A","Dates=H","DateFormat=P","Fill=—","Direction=H","UseDPDF=Y")</f>
        <v>0</v>
      </c>
      <c r="J27" s="25">
        <f>_xll.BDH("BLUE US Equity","CF_ACQUISITION_OF_INTANG_ASSETS","FQ3 2020","FQ3 2020","Currency=USD","Period=FQ","BEST_FPERIOD_OVERRIDE=FQ","FILING_STATUS=MR","SCALING_FORMAT=MLN","Sort=A","Dates=H","DateFormat=P","Fill=—","Direction=H","UseDPDF=Y")</f>
        <v>0</v>
      </c>
      <c r="K27" s="25">
        <f>_xll.BDH("BLUE US Equity","CF_ACQUISITION_OF_INTANG_ASSETS","FQ4 2020","FQ4 2020","Currency=USD","Period=FQ","BEST_FPERIOD_OVERRIDE=FQ","FILING_STATUS=MR","SCALING_FORMAT=MLN","Sort=A","Dates=H","DateFormat=P","Fill=—","Direction=H","UseDPDF=Y")</f>
        <v>0</v>
      </c>
      <c r="L27" s="25">
        <f>_xll.BDH("BLUE US Equity","CF_ACQUISITION_OF_INTANG_ASSETS","FQ1 2021","FQ1 2021","Currency=USD","Period=FQ","BEST_FPERIOD_OVERRIDE=FQ","FILING_STATUS=MR","SCALING_FORMAT=MLN","Sort=A","Dates=H","DateFormat=P","Fill=—","Direction=H","UseDPDF=Y")</f>
        <v>0</v>
      </c>
      <c r="M27" s="25">
        <f>_xll.BDH("BLUE US Equity","CF_ACQUISITION_OF_INTANG_ASSETS","FQ2 2021","FQ2 2021","Currency=USD","Period=FQ","BEST_FPERIOD_OVERRIDE=FQ","FILING_STATUS=MR","SCALING_FORMAT=MLN","Sort=A","Dates=H","DateFormat=P","Fill=—","Direction=H","UseDPDF=Y")</f>
        <v>-2</v>
      </c>
      <c r="N27" s="25">
        <f>_xll.BDH("BLUE US Equity","CF_ACQUISITION_OF_INTANG_ASSETS","FQ3 2021","FQ3 2021","Currency=USD","Period=FQ","BEST_FPERIOD_OVERRIDE=FQ","FILING_STATUS=MR","SCALING_FORMAT=MLN","Sort=A","Dates=H","DateFormat=P","Fill=—","Direction=H","UseDPDF=Y")</f>
        <v>-6</v>
      </c>
      <c r="O27" s="25">
        <f>_xll.BDH("BLUE US Equity","CF_ACQUISITION_OF_INTANG_ASSETS","FQ4 2021","FQ4 2021","Currency=USD","Period=FQ","BEST_FPERIOD_OVERRIDE=FQ","FILING_STATUS=MR","SCALING_FORMAT=MLN","Sort=A","Dates=H","DateFormat=P","Fill=—","Direction=H","UseDPDF=Y")</f>
        <v>-0.5</v>
      </c>
      <c r="P27" s="25">
        <f>_xll.BDH("BLUE US Equity","CF_ACQUISITION_OF_INTANG_ASSETS","FQ1 2022","FQ1 2022","Currency=USD","Period=FQ","BEST_FPERIOD_OVERRIDE=FQ","FILING_STATUS=MR","SCALING_FORMAT=MLN","Sort=A","Dates=H","DateFormat=P","Fill=—","Direction=H","UseDPDF=Y")</f>
        <v>0</v>
      </c>
      <c r="Q27" s="25">
        <f>_xll.BDH("BLUE US Equity","CF_ACQUISITION_OF_INTANG_ASSETS","FQ2 2022","FQ2 2022","Currency=USD","Period=FQ","BEST_FPERIOD_OVERRIDE=FQ","FILING_STATUS=MR","SCALING_FORMAT=MLN","Sort=A","Dates=H","DateFormat=P","Fill=—","Direction=H","UseDPDF=Y")</f>
        <v>0</v>
      </c>
      <c r="R27" s="25">
        <f>_xll.BDH("BLUE US Equity","CF_ACQUISITION_OF_INTANG_ASSETS","FQ3 2022","FQ3 2022","Currency=USD","Period=FQ","BEST_FPERIOD_OVERRIDE=FQ","FILING_STATUS=MR","SCALING_FORMAT=MLN","Sort=A","Dates=H","DateFormat=P","Fill=—","Direction=H","UseDPDF=Y")</f>
        <v>0</v>
      </c>
      <c r="S27" s="25">
        <f>_xll.BDH("BLUE US Equity","CF_ACQUISITION_OF_INTANG_ASSETS","FQ4 2022","FQ4 2022","Currency=USD","Period=FQ","BEST_FPERIOD_OVERRIDE=FQ","FILING_STATUS=MR","SCALING_FORMAT=MLN","Sort=A","Dates=H","DateFormat=P","Fill=—","Direction=H","UseDPDF=Y")</f>
        <v>-5</v>
      </c>
      <c r="T27" s="25">
        <f>_xll.BDH("BLUE US Equity","CF_ACQUISITION_OF_INTANG_ASSETS","FQ1 2023","FQ1 2023","Currency=USD","Period=FQ","BEST_FPERIOD_OVERRIDE=FQ","FILING_STATUS=MR","SCALING_FORMAT=MLN","Sort=A","Dates=H","DateFormat=P","Fill=—","Direction=H","UseDPDF=Y")</f>
        <v>-0.86799999999999999</v>
      </c>
      <c r="U27" s="25">
        <f>_xll.BDH("BLUE US Equity","CF_ACQUISITION_OF_INTANG_ASSETS","FQ2 2023","FQ2 2023","Currency=USD","Period=FQ","BEST_FPERIOD_OVERRIDE=FQ","FILING_STATUS=MR","SCALING_FORMAT=MLN","Sort=A","Dates=H","DateFormat=P","Fill=—","Direction=H","UseDPDF=Y")</f>
        <v>0</v>
      </c>
      <c r="V27" s="25">
        <f>_xll.BDH("BLUE US Equity","CF_ACQUISITION_OF_INTANG_ASSETS","FQ3 2023","FQ3 2023","Currency=USD","Period=FQ","BEST_FPERIOD_OVERRIDE=FQ","FILING_STATUS=MR","SCALING_FORMAT=MLN","Sort=A","Dates=H","DateFormat=P","Fill=—","Direction=H","UseDPDF=Y")</f>
        <v>0</v>
      </c>
      <c r="W27" s="25">
        <f>_xll.BDH("BLUE US Equity","CF_ACQUISITION_OF_INTANG_ASSETS","FQ4 2023","FQ4 2023","Currency=USD","Period=FQ","BEST_FPERIOD_OVERRIDE=FQ","FILING_STATUS=MR","SCALING_FORMAT=MLN","Sort=A","Dates=H","DateFormat=P","Fill=—","Direction=H","UseDPDF=Y")</f>
        <v>-4</v>
      </c>
      <c r="X27" s="25">
        <f>_xll.BDH("BLUE US Equity","CF_ACQUISITION_OF_INTANG_ASSETS","FQ1 2024","FQ1 2024","Currency=USD","Period=FQ","BEST_FPERIOD_OVERRIDE=FQ","FILING_STATUS=MR","SCALING_FORMAT=MLN","Sort=A","Dates=H","DateFormat=P","Fill=—","Direction=H","UseDPDF=Y")</f>
        <v>0</v>
      </c>
      <c r="Y27" s="25">
        <f>_xll.BDH("BLUE US Equity","CF_ACQUISITION_OF_INTANG_ASSETS","FQ2 2024","FQ2 2024","Currency=USD","Period=FQ","BEST_FPERIOD_OVERRIDE=FQ","FILING_STATUS=MR","SCALING_FORMAT=MLN","Sort=A","Dates=H","DateFormat=P","Fill=—","Direction=H","UseDPDF=Y")</f>
        <v>0</v>
      </c>
      <c r="Z27" s="25">
        <f>_xll.BDH("BLUE US Equity","CF_ACQUISITION_OF_INTANG_ASSETS","FQ3 2024","FQ3 2024","Currency=USD","Period=FQ","BEST_FPERIOD_OVERRIDE=FQ","FILING_STATUS=MR","SCALING_FORMAT=MLN","Sort=A","Dates=H","DateFormat=P","Fill=—","Direction=H","UseDPDF=Y")</f>
        <v>0</v>
      </c>
      <c r="AA27" s="25">
        <f>_xll.BDH("BLUE US Equity","CF_ACQUISITION_OF_INTANG_ASSETS","FQ4 2024","FQ4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10" t="s">
        <v>1112</v>
      </c>
      <c r="B28" s="10" t="s">
        <v>1113</v>
      </c>
      <c r="C28" s="13">
        <f>_xll.BDH("BLUE US Equity","NET_CHG_IN_LT_INVEST_DETAILED","FQ4 2018","FQ4 2018","Currency=USD","Period=FQ","BEST_FPERIOD_OVERRIDE=FQ","FILING_STATUS=MR","SCALING_FORMAT=MLN","Sort=A","Dates=H","DateFormat=P","Fill=—","Direction=H","UseDPDF=Y")</f>
        <v>-428.21499999999997</v>
      </c>
      <c r="D28" s="13">
        <f>_xll.BDH("BLUE US Equity","NET_CHG_IN_LT_INVEST_DETAILED","FQ1 2019","FQ1 2019","Currency=USD","Period=FQ","BEST_FPERIOD_OVERRIDE=FQ","FILING_STATUS=MR","SCALING_FORMAT=MLN","Sort=A","Dates=H","DateFormat=P","Fill=—","Direction=H","UseDPDF=Y")</f>
        <v>-17.591999999999999</v>
      </c>
      <c r="E28" s="13">
        <f>_xll.BDH("BLUE US Equity","NET_CHG_IN_LT_INVEST_DETAILED","FQ2 2019","FQ2 2019","Currency=USD","Period=FQ","BEST_FPERIOD_OVERRIDE=FQ","FILING_STATUS=MR","SCALING_FORMAT=MLN","Sort=A","Dates=H","DateFormat=P","Fill=—","Direction=H","UseDPDF=Y")</f>
        <v>251.03</v>
      </c>
      <c r="F28" s="13">
        <f>_xll.BDH("BLUE US Equity","NET_CHG_IN_LT_INVEST_DETAILED","FQ3 2019","FQ3 2019","Currency=USD","Period=FQ","BEST_FPERIOD_OVERRIDE=FQ","FILING_STATUS=MR","SCALING_FORMAT=MLN","Sort=A","Dates=H","DateFormat=P","Fill=—","Direction=H","UseDPDF=Y")</f>
        <v>153.97800000000001</v>
      </c>
      <c r="G28" s="13">
        <f>_xll.BDH("BLUE US Equity","NET_CHG_IN_LT_INVEST_DETAILED","FQ4 2019","FQ4 2019","Currency=USD","Period=FQ","BEST_FPERIOD_OVERRIDE=FQ","FILING_STATUS=MR","SCALING_FORMAT=MLN","Sort=A","Dates=H","DateFormat=P","Fill=—","Direction=H","UseDPDF=Y")</f>
        <v>196.643</v>
      </c>
      <c r="H28" s="13">
        <f>_xll.BDH("BLUE US Equity","NET_CHG_IN_LT_INVEST_DETAILED","FQ1 2020","FQ1 2020","Currency=USD","Period=FQ","BEST_FPERIOD_OVERRIDE=FQ","FILING_STATUS=MR","SCALING_FORMAT=MLN","Sort=A","Dates=H","DateFormat=P","Fill=—","Direction=H","UseDPDF=Y")</f>
        <v>235.25399999999999</v>
      </c>
      <c r="I28" s="13">
        <f>_xll.BDH("BLUE US Equity","NET_CHG_IN_LT_INVEST_DETAILED","FQ2 2020","FQ2 2020","Currency=USD","Period=FQ","BEST_FPERIOD_OVERRIDE=FQ","FILING_STATUS=MR","SCALING_FORMAT=MLN","Sort=A","Dates=H","DateFormat=P","Fill=—","Direction=H","UseDPDF=Y")</f>
        <v>244.2</v>
      </c>
      <c r="J28" s="13">
        <f>_xll.BDH("BLUE US Equity","NET_CHG_IN_LT_INVEST_DETAILED","FQ3 2020","FQ3 2020","Currency=USD","Period=FQ","BEST_FPERIOD_OVERRIDE=FQ","FILING_STATUS=MR","SCALING_FORMAT=MLN","Sort=A","Dates=H","DateFormat=P","Fill=—","Direction=H","UseDPDF=Y")</f>
        <v>-721.39499999999998</v>
      </c>
      <c r="K28" s="13">
        <f>_xll.BDH("BLUE US Equity","NET_CHG_IN_LT_INVEST_DETAILED","FQ4 2020","FQ4 2020","Currency=USD","Period=FQ","BEST_FPERIOD_OVERRIDE=FQ","FILING_STATUS=MR","SCALING_FORMAT=MLN","Sort=A","Dates=H","DateFormat=P","Fill=—","Direction=H","UseDPDF=Y")</f>
        <v>186.58199999999999</v>
      </c>
      <c r="L28" s="13">
        <f>_xll.BDH("BLUE US Equity","NET_CHG_IN_LT_INVEST_DETAILED","FQ1 2021","FQ1 2021","Currency=USD","Period=FQ","BEST_FPERIOD_OVERRIDE=FQ","FILING_STATUS=MR","SCALING_FORMAT=MLN","Sort=A","Dates=H","DateFormat=P","Fill=—","Direction=H","UseDPDF=Y")</f>
        <v>328.97800000000001</v>
      </c>
      <c r="M28" s="13">
        <f>_xll.BDH("BLUE US Equity","NET_CHG_IN_LT_INVEST_DETAILED","FQ2 2021","FQ2 2021","Currency=USD","Period=FQ","BEST_FPERIOD_OVERRIDE=FQ","FILING_STATUS=MR","SCALING_FORMAT=MLN","Sort=A","Dates=H","DateFormat=P","Fill=—","Direction=H","UseDPDF=Y")</f>
        <v>63.945999999999998</v>
      </c>
      <c r="N28" s="13">
        <f>_xll.BDH("BLUE US Equity","NET_CHG_IN_LT_INVEST_DETAILED","FQ3 2021","FQ3 2021","Currency=USD","Period=FQ","BEST_FPERIOD_OVERRIDE=FQ","FILING_STATUS=MR","SCALING_FORMAT=MLN","Sort=A","Dates=H","DateFormat=P","Fill=—","Direction=H","UseDPDF=Y")</f>
        <v>19.344999999999999</v>
      </c>
      <c r="O28" s="13">
        <f>_xll.BDH("BLUE US Equity","NET_CHG_IN_LT_INVEST_DETAILED","FQ4 2021","FQ4 2021","Currency=USD","Period=FQ","BEST_FPERIOD_OVERRIDE=FQ","FILING_STATUS=MR","SCALING_FORMAT=MLN","Sort=A","Dates=H","DateFormat=P","Fill=—","Direction=H","UseDPDF=Y")</f>
        <v>62.991</v>
      </c>
      <c r="P28" s="13">
        <f>_xll.BDH("BLUE US Equity","NET_CHG_IN_LT_INVEST_DETAILED","FQ1 2022","FQ1 2022","Currency=USD","Period=FQ","BEST_FPERIOD_OVERRIDE=FQ","FILING_STATUS=MR","SCALING_FORMAT=MLN","Sort=A","Dates=H","DateFormat=P","Fill=—","Direction=H","UseDPDF=Y")</f>
        <v>70.783000000000001</v>
      </c>
      <c r="Q28" s="13">
        <f>_xll.BDH("BLUE US Equity","NET_CHG_IN_LT_INVEST_DETAILED","FQ2 2022","FQ2 2022","Currency=USD","Period=FQ","BEST_FPERIOD_OVERRIDE=FQ","FILING_STATUS=MR","SCALING_FORMAT=MLN","Sort=A","Dates=H","DateFormat=P","Fill=—","Direction=H","UseDPDF=Y")</f>
        <v>67.655000000000001</v>
      </c>
      <c r="R28" s="13">
        <f>_xll.BDH("BLUE US Equity","NET_CHG_IN_LT_INVEST_DETAILED","FQ3 2022","FQ3 2022","Currency=USD","Period=FQ","BEST_FPERIOD_OVERRIDE=FQ","FILING_STATUS=MR","SCALING_FORMAT=MLN","Sort=A","Dates=H","DateFormat=P","Fill=—","Direction=H","UseDPDF=Y")</f>
        <v>16.873000000000001</v>
      </c>
      <c r="S28" s="13">
        <f>_xll.BDH("BLUE US Equity","NET_CHG_IN_LT_INVEST_DETAILED","FQ4 2022","FQ4 2022","Currency=USD","Period=FQ","BEST_FPERIOD_OVERRIDE=FQ","FILING_STATUS=MR","SCALING_FORMAT=MLN","Sort=A","Dates=H","DateFormat=P","Fill=—","Direction=H","UseDPDF=Y")</f>
        <v>6.35</v>
      </c>
      <c r="T28" s="13">
        <f>_xll.BDH("BLUE US Equity","NET_CHG_IN_LT_INVEST_DETAILED","FQ1 2023","FQ1 2023","Currency=USD","Period=FQ","BEST_FPERIOD_OVERRIDE=FQ","FILING_STATUS=MR","SCALING_FORMAT=MLN","Sort=A","Dates=H","DateFormat=P","Fill=—","Direction=H","UseDPDF=Y")</f>
        <v>-9.7360000000000007</v>
      </c>
      <c r="U28" s="13">
        <f>_xll.BDH("BLUE US Equity","NET_CHG_IN_LT_INVEST_DETAILED","FQ2 2023","FQ2 2023","Currency=USD","Period=FQ","BEST_FPERIOD_OVERRIDE=FQ","FILING_STATUS=MR","SCALING_FORMAT=MLN","Sort=A","Dates=H","DateFormat=P","Fill=—","Direction=H","UseDPDF=Y")</f>
        <v>7.6920000000000002</v>
      </c>
      <c r="V28" s="13">
        <f>_xll.BDH("BLUE US Equity","NET_CHG_IN_LT_INVEST_DETAILED","FQ3 2023","FQ3 2023","Currency=USD","Period=FQ","BEST_FPERIOD_OVERRIDE=FQ","FILING_STATUS=MR","SCALING_FORMAT=MLN","Sort=A","Dates=H","DateFormat=P","Fill=—","Direction=H","UseDPDF=Y")</f>
        <v>64.120999999999995</v>
      </c>
      <c r="W28" s="13">
        <f>_xll.BDH("BLUE US Equity","NET_CHG_IN_LT_INVEST_DETAILED","FQ4 2023","FQ4 2023","Currency=USD","Period=FQ","BEST_FPERIOD_OVERRIDE=FQ","FILING_STATUS=MR","SCALING_FORMAT=MLN","Sort=A","Dates=H","DateFormat=P","Fill=—","Direction=H","UseDPDF=Y")</f>
        <v>9</v>
      </c>
      <c r="X28" s="13">
        <f>_xll.BDH("BLUE US Equity","NET_CHG_IN_LT_INVEST_DETAILED","FQ1 2024","FQ1 2024","Currency=USD","Period=FQ","BEST_FPERIOD_OVERRIDE=FQ","FILING_STATUS=MR","SCALING_FORMAT=MLN","Sort=A","Dates=H","DateFormat=P","Fill=—","Direction=H","UseDPDF=Y")</f>
        <v>0</v>
      </c>
      <c r="Y28" s="13">
        <f>_xll.BDH("BLUE US Equity","NET_CHG_IN_LT_INVEST_DETAILED","FQ2 2024","FQ2 2024","Currency=USD","Period=FQ","BEST_FPERIOD_OVERRIDE=FQ","FILING_STATUS=MR","SCALING_FORMAT=MLN","Sort=A","Dates=H","DateFormat=P","Fill=—","Direction=H","UseDPDF=Y")</f>
        <v>0</v>
      </c>
      <c r="Z28" s="13">
        <f>_xll.BDH("BLUE US Equity","NET_CHG_IN_LT_INVEST_DETAILED","FQ3 2024","FQ3 2024","Currency=USD","Period=FQ","BEST_FPERIOD_OVERRIDE=FQ","FILING_STATUS=MR","SCALING_FORMAT=MLN","Sort=A","Dates=H","DateFormat=P","Fill=—","Direction=H","UseDPDF=Y")</f>
        <v>0</v>
      </c>
      <c r="AA28" s="13">
        <f>_xll.BDH("BLUE US Equity","NET_CHG_IN_LT_INVEST_DETAILED","FQ4 2024","FQ4 2024","Currency=USD","Period=FQ","BEST_FPERIOD_OVERRIDE=FQ","FILING_STATUS=MR","SCALING_FORMAT=MLN","Sort=A","Dates=H","DateFormat=P","Fill=—","Direction=H","UseDPDF=Y")</f>
        <v>0</v>
      </c>
    </row>
    <row r="29" spans="1:27" x14ac:dyDescent="0.25">
      <c r="A29" s="10" t="s">
        <v>1114</v>
      </c>
      <c r="B29" s="10" t="s">
        <v>1115</v>
      </c>
      <c r="C29" s="13">
        <f>_xll.BDH("BLUE US Equity","CF_DECR_INVEST","FQ4 2018","FQ4 2018","Currency=USD","Period=FQ","BEST_FPERIOD_OVERRIDE=FQ","FILING_STATUS=MR","SCALING_FORMAT=MLN","Sort=A","Dates=H","DateFormat=P","Fill=—","Direction=H","UseDPDF=Y")</f>
        <v>262.60399999999998</v>
      </c>
      <c r="D29" s="13">
        <f>_xll.BDH("BLUE US Equity","CF_DECR_INVEST","FQ1 2019","FQ1 2019","Currency=USD","Period=FQ","BEST_FPERIOD_OVERRIDE=FQ","FILING_STATUS=MR","SCALING_FORMAT=MLN","Sort=A","Dates=H","DateFormat=P","Fill=—","Direction=H","UseDPDF=Y")</f>
        <v>364.14299999999997</v>
      </c>
      <c r="E29" s="13">
        <f>_xll.BDH("BLUE US Equity","CF_DECR_INVEST","FQ2 2019","FQ2 2019","Currency=USD","Period=FQ","BEST_FPERIOD_OVERRIDE=FQ","FILING_STATUS=MR","SCALING_FORMAT=MLN","Sort=A","Dates=H","DateFormat=P","Fill=—","Direction=H","UseDPDF=Y")</f>
        <v>340.66</v>
      </c>
      <c r="F29" s="13">
        <f>_xll.BDH("BLUE US Equity","CF_DECR_INVEST","FQ3 2019","FQ3 2019","Currency=USD","Period=FQ","BEST_FPERIOD_OVERRIDE=FQ","FILING_STATUS=MR","SCALING_FORMAT=MLN","Sort=A","Dates=H","DateFormat=P","Fill=—","Direction=H","UseDPDF=Y")</f>
        <v>329.55</v>
      </c>
      <c r="G29" s="13">
        <f>_xll.BDH("BLUE US Equity","CF_DECR_INVEST","FQ4 2019","FQ4 2019","Currency=USD","Period=FQ","BEST_FPERIOD_OVERRIDE=FQ","FILING_STATUS=MR","SCALING_FORMAT=MLN","Sort=A","Dates=H","DateFormat=P","Fill=—","Direction=H","UseDPDF=Y")</f>
        <v>306.27600000000001</v>
      </c>
      <c r="H29" s="13">
        <f>_xll.BDH("BLUE US Equity","CF_DECR_INVEST","FQ1 2020","FQ1 2020","Currency=USD","Period=FQ","BEST_FPERIOD_OVERRIDE=FQ","FILING_STATUS=MR","SCALING_FORMAT=MLN","Sort=A","Dates=H","DateFormat=P","Fill=—","Direction=H","UseDPDF=Y")</f>
        <v>336.67500000000001</v>
      </c>
      <c r="I29" s="13">
        <f>_xll.BDH("BLUE US Equity","CF_DECR_INVEST","FQ2 2020","FQ2 2020","Currency=USD","Period=FQ","BEST_FPERIOD_OVERRIDE=FQ","FILING_STATUS=MR","SCALING_FORMAT=MLN","Sort=A","Dates=H","DateFormat=P","Fill=—","Direction=H","UseDPDF=Y")</f>
        <v>244.2</v>
      </c>
      <c r="J29" s="13">
        <f>_xll.BDH("BLUE US Equity","CF_DECR_INVEST","FQ3 2020","FQ3 2020","Currency=USD","Period=FQ","BEST_FPERIOD_OVERRIDE=FQ","FILING_STATUS=MR","SCALING_FORMAT=MLN","Sort=A","Dates=H","DateFormat=P","Fill=—","Direction=H","UseDPDF=Y")</f>
        <v>141.61199999999999</v>
      </c>
      <c r="K29" s="13">
        <f>_xll.BDH("BLUE US Equity","CF_DECR_INVEST","FQ4 2020","FQ4 2020","Currency=USD","Period=FQ","BEST_FPERIOD_OVERRIDE=FQ","FILING_STATUS=MR","SCALING_FORMAT=MLN","Sort=A","Dates=H","DateFormat=P","Fill=—","Direction=H","UseDPDF=Y")</f>
        <v>225.679</v>
      </c>
      <c r="L29" s="13">
        <f>_xll.BDH("BLUE US Equity","CF_DECR_INVEST","FQ1 2021","FQ1 2021","Currency=USD","Period=FQ","BEST_FPERIOD_OVERRIDE=FQ","FILING_STATUS=MR","SCALING_FORMAT=MLN","Sort=A","Dates=H","DateFormat=P","Fill=—","Direction=H","UseDPDF=Y")</f>
        <v>382.178</v>
      </c>
      <c r="M29" s="13">
        <f>_xll.BDH("BLUE US Equity","CF_DECR_INVEST","FQ2 2021","FQ2 2021","Currency=USD","Period=FQ","BEST_FPERIOD_OVERRIDE=FQ","FILING_STATUS=MR","SCALING_FORMAT=MLN","Sort=A","Dates=H","DateFormat=P","Fill=—","Direction=H","UseDPDF=Y")</f>
        <v>206.89099999999999</v>
      </c>
      <c r="N29" s="13">
        <f>_xll.BDH("BLUE US Equity","CF_DECR_INVEST","FQ3 2021","FQ3 2021","Currency=USD","Period=FQ","BEST_FPERIOD_OVERRIDE=FQ","FILING_STATUS=MR","SCALING_FORMAT=MLN","Sort=A","Dates=H","DateFormat=P","Fill=—","Direction=H","UseDPDF=Y")</f>
        <v>244.61600000000001</v>
      </c>
      <c r="O29" s="13">
        <f>_xll.BDH("BLUE US Equity","CF_DECR_INVEST","FQ4 2021","FQ4 2021","Currency=USD","Period=FQ","BEST_FPERIOD_OVERRIDE=FQ","FILING_STATUS=MR","SCALING_FORMAT=MLN","Sort=A","Dates=H","DateFormat=P","Fill=—","Direction=H","UseDPDF=Y")</f>
        <v>92.965999999999994</v>
      </c>
      <c r="P29" s="13">
        <f>_xll.BDH("BLUE US Equity","CF_DECR_INVEST","FQ1 2022","FQ1 2022","Currency=USD","Period=FQ","BEST_FPERIOD_OVERRIDE=FQ","FILING_STATUS=MR","SCALING_FORMAT=MLN","Sort=A","Dates=H","DateFormat=P","Fill=—","Direction=H","UseDPDF=Y")</f>
        <v>70.783000000000001</v>
      </c>
      <c r="Q29" s="13">
        <f>_xll.BDH("BLUE US Equity","CF_DECR_INVEST","FQ2 2022","FQ2 2022","Currency=USD","Period=FQ","BEST_FPERIOD_OVERRIDE=FQ","FILING_STATUS=MR","SCALING_FORMAT=MLN","Sort=A","Dates=H","DateFormat=P","Fill=—","Direction=H","UseDPDF=Y")</f>
        <v>67.655000000000001</v>
      </c>
      <c r="R29" s="13">
        <f>_xll.BDH("BLUE US Equity","CF_DECR_INVEST","FQ3 2022","FQ3 2022","Currency=USD","Period=FQ","BEST_FPERIOD_OVERRIDE=FQ","FILING_STATUS=MR","SCALING_FORMAT=MLN","Sort=A","Dates=H","DateFormat=P","Fill=—","Direction=H","UseDPDF=Y")</f>
        <v>16.873000000000001</v>
      </c>
      <c r="S29" s="13">
        <f>_xll.BDH("BLUE US Equity","CF_DECR_INVEST","FQ4 2022","FQ4 2022","Currency=USD","Period=FQ","BEST_FPERIOD_OVERRIDE=FQ","FILING_STATUS=MR","SCALING_FORMAT=MLN","Sort=A","Dates=H","DateFormat=P","Fill=—","Direction=H","UseDPDF=Y")</f>
        <v>6.35</v>
      </c>
      <c r="T29" s="13">
        <f>_xll.BDH("BLUE US Equity","CF_DECR_INVEST","FQ1 2023","FQ1 2023","Currency=USD","Period=FQ","BEST_FPERIOD_OVERRIDE=FQ","FILING_STATUS=MR","SCALING_FORMAT=MLN","Sort=A","Dates=H","DateFormat=P","Fill=—","Direction=H","UseDPDF=Y")</f>
        <v>9.8740000000000006</v>
      </c>
      <c r="U29" s="13">
        <f>_xll.BDH("BLUE US Equity","CF_DECR_INVEST","FQ2 2023","FQ2 2023","Currency=USD","Period=FQ","BEST_FPERIOD_OVERRIDE=FQ","FILING_STATUS=MR","SCALING_FORMAT=MLN","Sort=A","Dates=H","DateFormat=P","Fill=—","Direction=H","UseDPDF=Y")</f>
        <v>22.5</v>
      </c>
      <c r="V29" s="13">
        <f>_xll.BDH("BLUE US Equity","CF_DECR_INVEST","FQ3 2023","FQ3 2023","Currency=USD","Period=FQ","BEST_FPERIOD_OVERRIDE=FQ","FILING_STATUS=MR","SCALING_FORMAT=MLN","Sort=A","Dates=H","DateFormat=P","Fill=—","Direction=H","UseDPDF=Y")</f>
        <v>73</v>
      </c>
      <c r="W29" s="13">
        <f>_xll.BDH("BLUE US Equity","CF_DECR_INVEST","FQ4 2023","FQ4 2023","Currency=USD","Period=FQ","BEST_FPERIOD_OVERRIDE=FQ","FILING_STATUS=MR","SCALING_FORMAT=MLN","Sort=A","Dates=H","DateFormat=P","Fill=—","Direction=H","UseDPDF=Y")</f>
        <v>9</v>
      </c>
      <c r="X29" s="13">
        <f>_xll.BDH("BLUE US Equity","CF_DECR_INVEST","FQ1 2024","FQ1 2024","Currency=USD","Period=FQ","BEST_FPERIOD_OVERRIDE=FQ","FILING_STATUS=MR","SCALING_FORMAT=MLN","Sort=A","Dates=H","DateFormat=P","Fill=—","Direction=H","UseDPDF=Y")</f>
        <v>0</v>
      </c>
      <c r="Y29" s="13">
        <f>_xll.BDH("BLUE US Equity","CF_DECR_INVEST","FQ2 2024","FQ2 2024","Currency=USD","Period=FQ","BEST_FPERIOD_OVERRIDE=FQ","FILING_STATUS=MR","SCALING_FORMAT=MLN","Sort=A","Dates=H","DateFormat=P","Fill=—","Direction=H","UseDPDF=Y")</f>
        <v>0</v>
      </c>
      <c r="Z29" s="13">
        <f>_xll.BDH("BLUE US Equity","CF_DECR_INVEST","FQ3 2024","FQ3 2024","Currency=USD","Period=FQ","BEST_FPERIOD_OVERRIDE=FQ","FILING_STATUS=MR","SCALING_FORMAT=MLN","Sort=A","Dates=H","DateFormat=P","Fill=—","Direction=H","UseDPDF=Y")</f>
        <v>0</v>
      </c>
      <c r="AA29" s="13">
        <f>_xll.BDH("BLUE US Equity","CF_DECR_INVEST","FQ4 2024","FQ4 2024","Currency=USD","Period=FQ","BEST_FPERIOD_OVERRIDE=FQ","FILING_STATUS=MR","SCALING_FORMAT=MLN","Sort=A","Dates=H","DateFormat=P","Fill=—","Direction=H","UseDPDF=Y")</f>
        <v>0</v>
      </c>
    </row>
    <row r="30" spans="1:27" x14ac:dyDescent="0.25">
      <c r="A30" s="10" t="s">
        <v>1116</v>
      </c>
      <c r="B30" s="10" t="s">
        <v>1117</v>
      </c>
      <c r="C30" s="13">
        <f>_xll.BDH("BLUE US Equity","CF_INCR_INVEST","FQ4 2018","FQ4 2018","Currency=USD","Period=FQ","BEST_FPERIOD_OVERRIDE=FQ","FILING_STATUS=MR","SCALING_FORMAT=MLN","Sort=A","Dates=H","DateFormat=P","Fill=—","Direction=H","UseDPDF=Y")</f>
        <v>-690.81899999999996</v>
      </c>
      <c r="D30" s="13">
        <f>_xll.BDH("BLUE US Equity","CF_INCR_INVEST","FQ1 2019","FQ1 2019","Currency=USD","Period=FQ","BEST_FPERIOD_OVERRIDE=FQ","FILING_STATUS=MR","SCALING_FORMAT=MLN","Sort=A","Dates=H","DateFormat=P","Fill=—","Direction=H","UseDPDF=Y")</f>
        <v>-381.73500000000001</v>
      </c>
      <c r="E30" s="13">
        <f>_xll.BDH("BLUE US Equity","CF_INCR_INVEST","FQ2 2019","FQ2 2019","Currency=USD","Period=FQ","BEST_FPERIOD_OVERRIDE=FQ","FILING_STATUS=MR","SCALING_FORMAT=MLN","Sort=A","Dates=H","DateFormat=P","Fill=—","Direction=H","UseDPDF=Y")</f>
        <v>-89.63</v>
      </c>
      <c r="F30" s="13">
        <f>_xll.BDH("BLUE US Equity","CF_INCR_INVEST","FQ3 2019","FQ3 2019","Currency=USD","Period=FQ","BEST_FPERIOD_OVERRIDE=FQ","FILING_STATUS=MR","SCALING_FORMAT=MLN","Sort=A","Dates=H","DateFormat=P","Fill=—","Direction=H","UseDPDF=Y")</f>
        <v>-175.572</v>
      </c>
      <c r="G30" s="13">
        <f>_xll.BDH("BLUE US Equity","CF_INCR_INVEST","FQ4 2019","FQ4 2019","Currency=USD","Period=FQ","BEST_FPERIOD_OVERRIDE=FQ","FILING_STATUS=MR","SCALING_FORMAT=MLN","Sort=A","Dates=H","DateFormat=P","Fill=—","Direction=H","UseDPDF=Y")</f>
        <v>-109.633</v>
      </c>
      <c r="H30" s="13">
        <f>_xll.BDH("BLUE US Equity","CF_INCR_INVEST","FQ1 2020","FQ1 2020","Currency=USD","Period=FQ","BEST_FPERIOD_OVERRIDE=FQ","FILING_STATUS=MR","SCALING_FORMAT=MLN","Sort=A","Dates=H","DateFormat=P","Fill=—","Direction=H","UseDPDF=Y")</f>
        <v>-101.42100000000001</v>
      </c>
      <c r="I30" s="13">
        <f>_xll.BDH("BLUE US Equity","CF_INCR_INVEST","FQ2 2020","FQ2 2020","Currency=USD","Period=FQ","BEST_FPERIOD_OVERRIDE=FQ","FILING_STATUS=MR","SCALING_FORMAT=MLN","Sort=A","Dates=H","DateFormat=P","Fill=—","Direction=H","UseDPDF=Y")</f>
        <v>0</v>
      </c>
      <c r="J30" s="13">
        <f>_xll.BDH("BLUE US Equity","CF_INCR_INVEST","FQ3 2020","FQ3 2020","Currency=USD","Period=FQ","BEST_FPERIOD_OVERRIDE=FQ","FILING_STATUS=MR","SCALING_FORMAT=MLN","Sort=A","Dates=H","DateFormat=P","Fill=—","Direction=H","UseDPDF=Y")</f>
        <v>-863.00699999999995</v>
      </c>
      <c r="K30" s="13">
        <f>_xll.BDH("BLUE US Equity","CF_INCR_INVEST","FQ4 2020","FQ4 2020","Currency=USD","Period=FQ","BEST_FPERIOD_OVERRIDE=FQ","FILING_STATUS=MR","SCALING_FORMAT=MLN","Sort=A","Dates=H","DateFormat=P","Fill=—","Direction=H","UseDPDF=Y")</f>
        <v>-39.097000000000001</v>
      </c>
      <c r="L30" s="13">
        <f>_xll.BDH("BLUE US Equity","CF_INCR_INVEST","FQ1 2021","FQ1 2021","Currency=USD","Period=FQ","BEST_FPERIOD_OVERRIDE=FQ","FILING_STATUS=MR","SCALING_FORMAT=MLN","Sort=A","Dates=H","DateFormat=P","Fill=—","Direction=H","UseDPDF=Y")</f>
        <v>-53.2</v>
      </c>
      <c r="M30" s="13">
        <f>_xll.BDH("BLUE US Equity","CF_INCR_INVEST","FQ2 2021","FQ2 2021","Currency=USD","Period=FQ","BEST_FPERIOD_OVERRIDE=FQ","FILING_STATUS=MR","SCALING_FORMAT=MLN","Sort=A","Dates=H","DateFormat=P","Fill=—","Direction=H","UseDPDF=Y")</f>
        <v>-142.94499999999999</v>
      </c>
      <c r="N30" s="13">
        <f>_xll.BDH("BLUE US Equity","CF_INCR_INVEST","FQ3 2021","FQ3 2021","Currency=USD","Period=FQ","BEST_FPERIOD_OVERRIDE=FQ","FILING_STATUS=MR","SCALING_FORMAT=MLN","Sort=A","Dates=H","DateFormat=P","Fill=—","Direction=H","UseDPDF=Y")</f>
        <v>-225.27099999999999</v>
      </c>
      <c r="O30" s="13">
        <f>_xll.BDH("BLUE US Equity","CF_INCR_INVEST","FQ4 2021","FQ4 2021","Currency=USD","Period=FQ","BEST_FPERIOD_OVERRIDE=FQ","FILING_STATUS=MR","SCALING_FORMAT=MLN","Sort=A","Dates=H","DateFormat=P","Fill=—","Direction=H","UseDPDF=Y")</f>
        <v>-29.975000000000001</v>
      </c>
      <c r="P30" s="13">
        <f>_xll.BDH("BLUE US Equity","CF_INCR_INVEST","FQ1 2022","FQ1 2022","Currency=USD","Period=FQ","BEST_FPERIOD_OVERRIDE=FQ","FILING_STATUS=MR","SCALING_FORMAT=MLN","Sort=A","Dates=H","DateFormat=P","Fill=—","Direction=H","UseDPDF=Y")</f>
        <v>0</v>
      </c>
      <c r="Q30" s="13">
        <f>_xll.BDH("BLUE US Equity","CF_INCR_INVEST","FQ2 2022","FQ2 2022","Currency=USD","Period=FQ","BEST_FPERIOD_OVERRIDE=FQ","FILING_STATUS=MR","SCALING_FORMAT=MLN","Sort=A","Dates=H","DateFormat=P","Fill=—","Direction=H","UseDPDF=Y")</f>
        <v>0</v>
      </c>
      <c r="R30" s="13">
        <f>_xll.BDH("BLUE US Equity","CF_INCR_INVEST","FQ3 2022","FQ3 2022","Currency=USD","Period=FQ","BEST_FPERIOD_OVERRIDE=FQ","FILING_STATUS=MR","SCALING_FORMAT=MLN","Sort=A","Dates=H","DateFormat=P","Fill=—","Direction=H","UseDPDF=Y")</f>
        <v>0</v>
      </c>
      <c r="S30" s="13">
        <f>_xll.BDH("BLUE US Equity","CF_INCR_INVEST","FQ4 2022","FQ4 2022","Currency=USD","Period=FQ","BEST_FPERIOD_OVERRIDE=FQ","FILING_STATUS=MR","SCALING_FORMAT=MLN","Sort=A","Dates=H","DateFormat=P","Fill=—","Direction=H","UseDPDF=Y")</f>
        <v>0</v>
      </c>
      <c r="T30" s="13">
        <f>_xll.BDH("BLUE US Equity","CF_INCR_INVEST","FQ1 2023","FQ1 2023","Currency=USD","Period=FQ","BEST_FPERIOD_OVERRIDE=FQ","FILING_STATUS=MR","SCALING_FORMAT=MLN","Sort=A","Dates=H","DateFormat=P","Fill=—","Direction=H","UseDPDF=Y")</f>
        <v>-19.61</v>
      </c>
      <c r="U30" s="13">
        <f>_xll.BDH("BLUE US Equity","CF_INCR_INVEST","FQ2 2023","FQ2 2023","Currency=USD","Period=FQ","BEST_FPERIOD_OVERRIDE=FQ","FILING_STATUS=MR","SCALING_FORMAT=MLN","Sort=A","Dates=H","DateFormat=P","Fill=—","Direction=H","UseDPDF=Y")</f>
        <v>-14.808</v>
      </c>
      <c r="V30" s="13">
        <f>_xll.BDH("BLUE US Equity","CF_INCR_INVEST","FQ3 2023","FQ3 2023","Currency=USD","Period=FQ","BEST_FPERIOD_OVERRIDE=FQ","FILING_STATUS=MR","SCALING_FORMAT=MLN","Sort=A","Dates=H","DateFormat=P","Fill=—","Direction=H","UseDPDF=Y")</f>
        <v>-8.8789999999999996</v>
      </c>
      <c r="W30" s="13">
        <f>_xll.BDH("BLUE US Equity","CF_INCR_INVEST","FQ4 2023","FQ4 2023","Currency=USD","Period=FQ","BEST_FPERIOD_OVERRIDE=FQ","FILING_STATUS=MR","SCALING_FORMAT=MLN","Sort=A","Dates=H","DateFormat=P","Fill=—","Direction=H","UseDPDF=Y")</f>
        <v>0</v>
      </c>
      <c r="X30" s="13">
        <f>_xll.BDH("BLUE US Equity","CF_INCR_INVEST","FQ1 2024","FQ1 2024","Currency=USD","Period=FQ","BEST_FPERIOD_OVERRIDE=FQ","FILING_STATUS=MR","SCALING_FORMAT=MLN","Sort=A","Dates=H","DateFormat=P","Fill=—","Direction=H","UseDPDF=Y")</f>
        <v>0</v>
      </c>
      <c r="Y30" s="13">
        <f>_xll.BDH("BLUE US Equity","CF_INCR_INVEST","FQ2 2024","FQ2 2024","Currency=USD","Period=FQ","BEST_FPERIOD_OVERRIDE=FQ","FILING_STATUS=MR","SCALING_FORMAT=MLN","Sort=A","Dates=H","DateFormat=P","Fill=—","Direction=H","UseDPDF=Y")</f>
        <v>0</v>
      </c>
      <c r="Z30" s="13">
        <f>_xll.BDH("BLUE US Equity","CF_INCR_INVEST","FQ3 2024","FQ3 2024","Currency=USD","Period=FQ","BEST_FPERIOD_OVERRIDE=FQ","FILING_STATUS=MR","SCALING_FORMAT=MLN","Sort=A","Dates=H","DateFormat=P","Fill=—","Direction=H","UseDPDF=Y")</f>
        <v>0</v>
      </c>
      <c r="AA30" s="13">
        <f>_xll.BDH("BLUE US Equity","CF_INCR_INVEST","FQ4 2024","FQ4 2024","Currency=USD","Period=FQ","BEST_FPERIOD_OVERRIDE=FQ","FILING_STATUS=MR","SCALING_FORMAT=MLN","Sort=A","Dates=H","DateFormat=P","Fill=—","Direction=H","UseDPDF=Y")</f>
        <v>0</v>
      </c>
    </row>
    <row r="31" spans="1:27" x14ac:dyDescent="0.25">
      <c r="A31" s="10" t="s">
        <v>1118</v>
      </c>
      <c r="B31" s="10" t="s">
        <v>1119</v>
      </c>
      <c r="C31" s="13">
        <f>_xll.BDH("BLUE US Equity","CF_NT_CSH_RCVD_PD_FOR_ACQUIS_DIV","FQ4 2018","FQ4 2018","Currency=USD","Period=FQ","BEST_FPERIOD_OVERRIDE=FQ","FILING_STATUS=MR","SCALING_FORMAT=MLN","Sort=A","Dates=H","DateFormat=P","Fill=—","Direction=H","UseDPDF=Y")</f>
        <v>0</v>
      </c>
      <c r="D31" s="13">
        <f>_xll.BDH("BLUE US Equity","CF_NT_CSH_RCVD_PD_FOR_ACQUIS_DIV","FQ1 2019","FQ1 2019","Currency=USD","Period=FQ","BEST_FPERIOD_OVERRIDE=FQ","FILING_STATUS=MR","SCALING_FORMAT=MLN","Sort=A","Dates=H","DateFormat=P","Fill=—","Direction=H","UseDPDF=Y")</f>
        <v>0</v>
      </c>
      <c r="E31" s="13">
        <f>_xll.BDH("BLUE US Equity","CF_NT_CSH_RCVD_PD_FOR_ACQUIS_DIV","FQ2 2019","FQ2 2019","Currency=USD","Period=FQ","BEST_FPERIOD_OVERRIDE=FQ","FILING_STATUS=MR","SCALING_FORMAT=MLN","Sort=A","Dates=H","DateFormat=P","Fill=—","Direction=H","UseDPDF=Y")</f>
        <v>0</v>
      </c>
      <c r="F31" s="13">
        <f>_xll.BDH("BLUE US Equity","CF_NT_CSH_RCVD_PD_FOR_ACQUIS_DIV","FQ3 2019","FQ3 2019","Currency=USD","Period=FQ","BEST_FPERIOD_OVERRIDE=FQ","FILING_STATUS=MR","SCALING_FORMAT=MLN","Sort=A","Dates=H","DateFormat=P","Fill=—","Direction=H","UseDPDF=Y")</f>
        <v>0</v>
      </c>
      <c r="G31" s="13">
        <f>_xll.BDH("BLUE US Equity","CF_NT_CSH_RCVD_PD_FOR_ACQUIS_DIV","FQ4 2019","FQ4 2019","Currency=USD","Period=FQ","BEST_FPERIOD_OVERRIDE=FQ","FILING_STATUS=MR","SCALING_FORMAT=MLN","Sort=A","Dates=H","DateFormat=P","Fill=—","Direction=H","UseDPDF=Y")</f>
        <v>0</v>
      </c>
      <c r="H31" s="13">
        <f>_xll.BDH("BLUE US Equity","CF_NT_CSH_RCVD_PD_FOR_ACQUIS_DIV","FQ1 2020","FQ1 2020","Currency=USD","Period=FQ","BEST_FPERIOD_OVERRIDE=FQ","FILING_STATUS=MR","SCALING_FORMAT=MLN","Sort=A","Dates=H","DateFormat=P","Fill=—","Direction=H","UseDPDF=Y")</f>
        <v>0</v>
      </c>
      <c r="I31" s="13">
        <f>_xll.BDH("BLUE US Equity","CF_NT_CSH_RCVD_PD_FOR_ACQUIS_DIV","FQ2 2020","FQ2 2020","Currency=USD","Period=FQ","BEST_FPERIOD_OVERRIDE=FQ","FILING_STATUS=MR","SCALING_FORMAT=MLN","Sort=A","Dates=H","DateFormat=P","Fill=—","Direction=H","UseDPDF=Y")</f>
        <v>0</v>
      </c>
      <c r="J31" s="13">
        <f>_xll.BDH("BLUE US Equity","CF_NT_CSH_RCVD_PD_FOR_ACQUIS_DIV","FQ3 2020","FQ3 2020","Currency=USD","Period=FQ","BEST_FPERIOD_OVERRIDE=FQ","FILING_STATUS=MR","SCALING_FORMAT=MLN","Sort=A","Dates=H","DateFormat=P","Fill=—","Direction=H","UseDPDF=Y")</f>
        <v>0</v>
      </c>
      <c r="K31" s="13">
        <f>_xll.BDH("BLUE US Equity","CF_NT_CSH_RCVD_PD_FOR_ACQUIS_DIV","FQ4 2020","FQ4 2020","Currency=USD","Period=FQ","BEST_FPERIOD_OVERRIDE=FQ","FILING_STATUS=MR","SCALING_FORMAT=MLN","Sort=A","Dates=H","DateFormat=P","Fill=—","Direction=H","UseDPDF=Y")</f>
        <v>0</v>
      </c>
      <c r="L31" s="13">
        <f>_xll.BDH("BLUE US Equity","CF_NT_CSH_RCVD_PD_FOR_ACQUIS_DIV","FQ1 2021","FQ1 2021","Currency=USD","Period=FQ","BEST_FPERIOD_OVERRIDE=FQ","FILING_STATUS=MR","SCALING_FORMAT=MLN","Sort=A","Dates=H","DateFormat=P","Fill=—","Direction=H","UseDPDF=Y")</f>
        <v>0</v>
      </c>
      <c r="M31" s="13">
        <f>_xll.BDH("BLUE US Equity","CF_NT_CSH_RCVD_PD_FOR_ACQUIS_DIV","FQ2 2021","FQ2 2021","Currency=USD","Period=FQ","BEST_FPERIOD_OVERRIDE=FQ","FILING_STATUS=MR","SCALING_FORMAT=MLN","Sort=A","Dates=H","DateFormat=P","Fill=—","Direction=H","UseDPDF=Y")</f>
        <v>0</v>
      </c>
      <c r="N31" s="13">
        <f>_xll.BDH("BLUE US Equity","CF_NT_CSH_RCVD_PD_FOR_ACQUIS_DIV","FQ3 2021","FQ3 2021","Currency=USD","Period=FQ","BEST_FPERIOD_OVERRIDE=FQ","FILING_STATUS=MR","SCALING_FORMAT=MLN","Sort=A","Dates=H","DateFormat=P","Fill=—","Direction=H","UseDPDF=Y")</f>
        <v>110.3</v>
      </c>
      <c r="O31" s="13">
        <f>_xll.BDH("BLUE US Equity","CF_NT_CSH_RCVD_PD_FOR_ACQUIS_DIV","FQ4 2021","FQ4 2021","Currency=USD","Period=FQ","BEST_FPERIOD_OVERRIDE=FQ","FILING_STATUS=MR","SCALING_FORMAT=MLN","Sort=A","Dates=H","DateFormat=P","Fill=—","Direction=H","UseDPDF=Y")</f>
        <v>0</v>
      </c>
      <c r="P31" s="13">
        <f>_xll.BDH("BLUE US Equity","CF_NT_CSH_RCVD_PD_FOR_ACQUIS_DIV","FQ1 2022","FQ1 2022","Currency=USD","Period=FQ","BEST_FPERIOD_OVERRIDE=FQ","FILING_STATUS=MR","SCALING_FORMAT=MLN","Sort=A","Dates=H","DateFormat=P","Fill=—","Direction=H","UseDPDF=Y")</f>
        <v>0</v>
      </c>
      <c r="Q31" s="13">
        <f>_xll.BDH("BLUE US Equity","CF_NT_CSH_RCVD_PD_FOR_ACQUIS_DIV","FQ2 2022","FQ2 2022","Currency=USD","Period=FQ","BEST_FPERIOD_OVERRIDE=FQ","FILING_STATUS=MR","SCALING_FORMAT=MLN","Sort=A","Dates=H","DateFormat=P","Fill=—","Direction=H","UseDPDF=Y")</f>
        <v>0</v>
      </c>
      <c r="R31" s="13">
        <f>_xll.BDH("BLUE US Equity","CF_NT_CSH_RCVD_PD_FOR_ACQUIS_DIV","FQ3 2022","FQ3 2022","Currency=USD","Period=FQ","BEST_FPERIOD_OVERRIDE=FQ","FILING_STATUS=MR","SCALING_FORMAT=MLN","Sort=A","Dates=H","DateFormat=P","Fill=—","Direction=H","UseDPDF=Y")</f>
        <v>0</v>
      </c>
      <c r="S31" s="13">
        <f>_xll.BDH("BLUE US Equity","CF_NT_CSH_RCVD_PD_FOR_ACQUIS_DIV","FQ4 2022","FQ4 2022","Currency=USD","Period=FQ","BEST_FPERIOD_OVERRIDE=FQ","FILING_STATUS=MR","SCALING_FORMAT=MLN","Sort=A","Dates=H","DateFormat=P","Fill=—","Direction=H","UseDPDF=Y")</f>
        <v>0</v>
      </c>
      <c r="T31" s="13">
        <f>_xll.BDH("BLUE US Equity","CF_NT_CSH_RCVD_PD_FOR_ACQUIS_DIV","FQ1 2023","FQ1 2023","Currency=USD","Period=FQ","BEST_FPERIOD_OVERRIDE=FQ","FILING_STATUS=MR","SCALING_FORMAT=MLN","Sort=A","Dates=H","DateFormat=P","Fill=—","Direction=H","UseDPDF=Y")</f>
        <v>0</v>
      </c>
      <c r="U31" s="13">
        <f>_xll.BDH("BLUE US Equity","CF_NT_CSH_RCVD_PD_FOR_ACQUIS_DIV","FQ2 2023","FQ2 2023","Currency=USD","Period=FQ","BEST_FPERIOD_OVERRIDE=FQ","FILING_STATUS=MR","SCALING_FORMAT=MLN","Sort=A","Dates=H","DateFormat=P","Fill=—","Direction=H","UseDPDF=Y")</f>
        <v>0</v>
      </c>
      <c r="V31" s="13">
        <f>_xll.BDH("BLUE US Equity","CF_NT_CSH_RCVD_PD_FOR_ACQUIS_DIV","FQ3 2023","FQ3 2023","Currency=USD","Period=FQ","BEST_FPERIOD_OVERRIDE=FQ","FILING_STATUS=MR","SCALING_FORMAT=MLN","Sort=A","Dates=H","DateFormat=P","Fill=—","Direction=H","UseDPDF=Y")</f>
        <v>0</v>
      </c>
      <c r="W31" s="13">
        <f>_xll.BDH("BLUE US Equity","CF_NT_CSH_RCVD_PD_FOR_ACQUIS_DIV","FQ4 2023","FQ4 2023","Currency=USD","Period=FQ","BEST_FPERIOD_OVERRIDE=FQ","FILING_STATUS=MR","SCALING_FORMAT=MLN","Sort=A","Dates=H","DateFormat=P","Fill=—","Direction=H","UseDPDF=Y")</f>
        <v>0</v>
      </c>
      <c r="X31" s="13">
        <f>_xll.BDH("BLUE US Equity","CF_NT_CSH_RCVD_PD_FOR_ACQUIS_DIV","FQ1 2024","FQ1 2024","Currency=USD","Period=FQ","BEST_FPERIOD_OVERRIDE=FQ","FILING_STATUS=MR","SCALING_FORMAT=MLN","Sort=A","Dates=H","DateFormat=P","Fill=—","Direction=H","UseDPDF=Y")</f>
        <v>0</v>
      </c>
      <c r="Y31" s="13">
        <f>_xll.BDH("BLUE US Equity","CF_NT_CSH_RCVD_PD_FOR_ACQUIS_DIV","FQ2 2024","FQ2 2024","Currency=USD","Period=FQ","BEST_FPERIOD_OVERRIDE=FQ","FILING_STATUS=MR","SCALING_FORMAT=MLN","Sort=A","Dates=H","DateFormat=P","Fill=—","Direction=H","UseDPDF=Y")</f>
        <v>0</v>
      </c>
      <c r="Z31" s="13">
        <f>_xll.BDH("BLUE US Equity","CF_NT_CSH_RCVD_PD_FOR_ACQUIS_DIV","FQ3 2024","FQ3 2024","Currency=USD","Period=FQ","BEST_FPERIOD_OVERRIDE=FQ","FILING_STATUS=MR","SCALING_FORMAT=MLN","Sort=A","Dates=H","DateFormat=P","Fill=—","Direction=H","UseDPDF=Y")</f>
        <v>0</v>
      </c>
      <c r="AA31" s="13">
        <f>_xll.BDH("BLUE US Equity","CF_NT_CSH_RCVD_PD_FOR_ACQUIS_DIV","FQ4 2024","FQ4 2024","Currency=USD","Period=FQ","BEST_FPERIOD_OVERRIDE=FQ","FILING_STATUS=MR","SCALING_FORMAT=MLN","Sort=A","Dates=H","DateFormat=P","Fill=—","Direction=H","UseDPDF=Y")</f>
        <v>0</v>
      </c>
    </row>
    <row r="32" spans="1:27" x14ac:dyDescent="0.25">
      <c r="A32" s="10" t="s">
        <v>1120</v>
      </c>
      <c r="B32" s="10" t="s">
        <v>1121</v>
      </c>
      <c r="C32" s="13">
        <f>_xll.BDH("BLUE US Equity","CF_CASH_FOR_DIVESTITURES","FQ4 2018","FQ4 2018","Currency=USD","Period=FQ","BEST_FPERIOD_OVERRIDE=FQ","FILING_STATUS=MR","SCALING_FORMAT=MLN","Sort=A","Dates=H","DateFormat=P","Fill=—","Direction=H","UseDPDF=Y")</f>
        <v>0</v>
      </c>
      <c r="D32" s="13">
        <f>_xll.BDH("BLUE US Equity","CF_CASH_FOR_DIVESTITURES","FQ1 2019","FQ1 2019","Currency=USD","Period=FQ","BEST_FPERIOD_OVERRIDE=FQ","FILING_STATUS=MR","SCALING_FORMAT=MLN","Sort=A","Dates=H","DateFormat=P","Fill=—","Direction=H","UseDPDF=Y")</f>
        <v>0</v>
      </c>
      <c r="E32" s="13">
        <f>_xll.BDH("BLUE US Equity","CF_CASH_FOR_DIVESTITURES","FQ2 2019","FQ2 2019","Currency=USD","Period=FQ","BEST_FPERIOD_OVERRIDE=FQ","FILING_STATUS=MR","SCALING_FORMAT=MLN","Sort=A","Dates=H","DateFormat=P","Fill=—","Direction=H","UseDPDF=Y")</f>
        <v>0</v>
      </c>
      <c r="F32" s="13">
        <f>_xll.BDH("BLUE US Equity","CF_CASH_FOR_DIVESTITURES","FQ3 2019","FQ3 2019","Currency=USD","Period=FQ","BEST_FPERIOD_OVERRIDE=FQ","FILING_STATUS=MR","SCALING_FORMAT=MLN","Sort=A","Dates=H","DateFormat=P","Fill=—","Direction=H","UseDPDF=Y")</f>
        <v>0</v>
      </c>
      <c r="G32" s="13">
        <f>_xll.BDH("BLUE US Equity","CF_CASH_FOR_DIVESTITURES","FQ4 2019","FQ4 2019","Currency=USD","Period=FQ","BEST_FPERIOD_OVERRIDE=FQ","FILING_STATUS=MR","SCALING_FORMAT=MLN","Sort=A","Dates=H","DateFormat=P","Fill=—","Direction=H","UseDPDF=Y")</f>
        <v>0</v>
      </c>
      <c r="H32" s="13">
        <f>_xll.BDH("BLUE US Equity","CF_CASH_FOR_DIVESTITURES","FQ1 2020","FQ1 2020","Currency=USD","Period=FQ","BEST_FPERIOD_OVERRIDE=FQ","FILING_STATUS=MR","SCALING_FORMAT=MLN","Sort=A","Dates=H","DateFormat=P","Fill=—","Direction=H","UseDPDF=Y")</f>
        <v>0</v>
      </c>
      <c r="I32" s="13">
        <f>_xll.BDH("BLUE US Equity","CF_CASH_FOR_DIVESTITURES","FQ2 2020","FQ2 2020","Currency=USD","Period=FQ","BEST_FPERIOD_OVERRIDE=FQ","FILING_STATUS=MR","SCALING_FORMAT=MLN","Sort=A","Dates=H","DateFormat=P","Fill=—","Direction=H","UseDPDF=Y")</f>
        <v>0</v>
      </c>
      <c r="J32" s="13">
        <f>_xll.BDH("BLUE US Equity","CF_CASH_FOR_DIVESTITURES","FQ3 2020","FQ3 2020","Currency=USD","Period=FQ","BEST_FPERIOD_OVERRIDE=FQ","FILING_STATUS=MR","SCALING_FORMAT=MLN","Sort=A","Dates=H","DateFormat=P","Fill=—","Direction=H","UseDPDF=Y")</f>
        <v>0</v>
      </c>
      <c r="K32" s="13">
        <f>_xll.BDH("BLUE US Equity","CF_CASH_FOR_DIVESTITURES","FQ4 2020","FQ4 2020","Currency=USD","Period=FQ","BEST_FPERIOD_OVERRIDE=FQ","FILING_STATUS=MR","SCALING_FORMAT=MLN","Sort=A","Dates=H","DateFormat=P","Fill=—","Direction=H","UseDPDF=Y")</f>
        <v>0</v>
      </c>
      <c r="L32" s="13">
        <f>_xll.BDH("BLUE US Equity","CF_CASH_FOR_DIVESTITURES","FQ1 2021","FQ1 2021","Currency=USD","Period=FQ","BEST_FPERIOD_OVERRIDE=FQ","FILING_STATUS=MR","SCALING_FORMAT=MLN","Sort=A","Dates=H","DateFormat=P","Fill=—","Direction=H","UseDPDF=Y")</f>
        <v>0</v>
      </c>
      <c r="M32" s="13">
        <f>_xll.BDH("BLUE US Equity","CF_CASH_FOR_DIVESTITURES","FQ2 2021","FQ2 2021","Currency=USD","Period=FQ","BEST_FPERIOD_OVERRIDE=FQ","FILING_STATUS=MR","SCALING_FORMAT=MLN","Sort=A","Dates=H","DateFormat=P","Fill=—","Direction=H","UseDPDF=Y")</f>
        <v>0</v>
      </c>
      <c r="N32" s="13">
        <f>_xll.BDH("BLUE US Equity","CF_CASH_FOR_DIVESTITURES","FQ3 2021","FQ3 2021","Currency=USD","Period=FQ","BEST_FPERIOD_OVERRIDE=FQ","FILING_STATUS=MR","SCALING_FORMAT=MLN","Sort=A","Dates=H","DateFormat=P","Fill=—","Direction=H","UseDPDF=Y")</f>
        <v>110.3</v>
      </c>
      <c r="O32" s="13">
        <f>_xll.BDH("BLUE US Equity","CF_CASH_FOR_DIVESTITURES","FQ4 2021","FQ4 2021","Currency=USD","Period=FQ","BEST_FPERIOD_OVERRIDE=FQ","FILING_STATUS=MR","SCALING_FORMAT=MLN","Sort=A","Dates=H","DateFormat=P","Fill=—","Direction=H","UseDPDF=Y")</f>
        <v>0</v>
      </c>
      <c r="P32" s="13">
        <f>_xll.BDH("BLUE US Equity","CF_CASH_FOR_DIVESTITURES","FQ1 2022","FQ1 2022","Currency=USD","Period=FQ","BEST_FPERIOD_OVERRIDE=FQ","FILING_STATUS=MR","SCALING_FORMAT=MLN","Sort=A","Dates=H","DateFormat=P","Fill=—","Direction=H","UseDPDF=Y")</f>
        <v>0</v>
      </c>
      <c r="Q32" s="13">
        <f>_xll.BDH("BLUE US Equity","CF_CASH_FOR_DIVESTITURES","FQ2 2022","FQ2 2022","Currency=USD","Period=FQ","BEST_FPERIOD_OVERRIDE=FQ","FILING_STATUS=MR","SCALING_FORMAT=MLN","Sort=A","Dates=H","DateFormat=P","Fill=—","Direction=H","UseDPDF=Y")</f>
        <v>0</v>
      </c>
      <c r="R32" s="13">
        <f>_xll.BDH("BLUE US Equity","CF_CASH_FOR_DIVESTITURES","FQ3 2022","FQ3 2022","Currency=USD","Period=FQ","BEST_FPERIOD_OVERRIDE=FQ","FILING_STATUS=MR","SCALING_FORMAT=MLN","Sort=A","Dates=H","DateFormat=P","Fill=—","Direction=H","UseDPDF=Y")</f>
        <v>0</v>
      </c>
      <c r="S32" s="13">
        <f>_xll.BDH("BLUE US Equity","CF_CASH_FOR_DIVESTITURES","FQ4 2022","FQ4 2022","Currency=USD","Period=FQ","BEST_FPERIOD_OVERRIDE=FQ","FILING_STATUS=MR","SCALING_FORMAT=MLN","Sort=A","Dates=H","DateFormat=P","Fill=—","Direction=H","UseDPDF=Y")</f>
        <v>0</v>
      </c>
      <c r="T32" s="13">
        <f>_xll.BDH("BLUE US Equity","CF_CASH_FOR_DIVESTITURES","FQ1 2023","FQ1 2023","Currency=USD","Period=FQ","BEST_FPERIOD_OVERRIDE=FQ","FILING_STATUS=MR","SCALING_FORMAT=MLN","Sort=A","Dates=H","DateFormat=P","Fill=—","Direction=H","UseDPDF=Y")</f>
        <v>0</v>
      </c>
      <c r="U32" s="13">
        <f>_xll.BDH("BLUE US Equity","CF_CASH_FOR_DIVESTITURES","FQ2 2023","FQ2 2023","Currency=USD","Period=FQ","BEST_FPERIOD_OVERRIDE=FQ","FILING_STATUS=MR","SCALING_FORMAT=MLN","Sort=A","Dates=H","DateFormat=P","Fill=—","Direction=H","UseDPDF=Y")</f>
        <v>0</v>
      </c>
      <c r="V32" s="13">
        <f>_xll.BDH("BLUE US Equity","CF_CASH_FOR_DIVESTITURES","FQ3 2023","FQ3 2023","Currency=USD","Period=FQ","BEST_FPERIOD_OVERRIDE=FQ","FILING_STATUS=MR","SCALING_FORMAT=MLN","Sort=A","Dates=H","DateFormat=P","Fill=—","Direction=H","UseDPDF=Y")</f>
        <v>0</v>
      </c>
      <c r="W32" s="13">
        <f>_xll.BDH("BLUE US Equity","CF_CASH_FOR_DIVESTITURES","FQ4 2023","FQ4 2023","Currency=USD","Period=FQ","BEST_FPERIOD_OVERRIDE=FQ","FILING_STATUS=MR","SCALING_FORMAT=MLN","Sort=A","Dates=H","DateFormat=P","Fill=—","Direction=H","UseDPDF=Y")</f>
        <v>0</v>
      </c>
      <c r="X32" s="13">
        <f>_xll.BDH("BLUE US Equity","CF_CASH_FOR_DIVESTITURES","FQ1 2024","FQ1 2024","Currency=USD","Period=FQ","BEST_FPERIOD_OVERRIDE=FQ","FILING_STATUS=MR","SCALING_FORMAT=MLN","Sort=A","Dates=H","DateFormat=P","Fill=—","Direction=H","UseDPDF=Y")</f>
        <v>0</v>
      </c>
      <c r="Y32" s="13">
        <f>_xll.BDH("BLUE US Equity","CF_CASH_FOR_DIVESTITURES","FQ2 2024","FQ2 2024","Currency=USD","Period=FQ","BEST_FPERIOD_OVERRIDE=FQ","FILING_STATUS=MR","SCALING_FORMAT=MLN","Sort=A","Dates=H","DateFormat=P","Fill=—","Direction=H","UseDPDF=Y")</f>
        <v>0</v>
      </c>
      <c r="Z32" s="13">
        <f>_xll.BDH("BLUE US Equity","CF_CASH_FOR_DIVESTITURES","FQ3 2024","FQ3 2024","Currency=USD","Period=FQ","BEST_FPERIOD_OVERRIDE=FQ","FILING_STATUS=MR","SCALING_FORMAT=MLN","Sort=A","Dates=H","DateFormat=P","Fill=—","Direction=H","UseDPDF=Y")</f>
        <v>0</v>
      </c>
      <c r="AA32" s="13">
        <f>_xll.BDH("BLUE US Equity","CF_CASH_FOR_DIVESTITURES","FQ4 2024","FQ4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1122</v>
      </c>
      <c r="B33" s="10" t="s">
        <v>1123</v>
      </c>
      <c r="C33" s="13">
        <f>_xll.BDH("BLUE US Equity","CF_CASH_FOR_ACQUIS_SUBSIDIARIES","FQ4 2018","FQ4 2018","Currency=USD","Period=FQ","BEST_FPERIOD_OVERRIDE=FQ","FILING_STATUS=MR","SCALING_FORMAT=MLN","Sort=A","Dates=H","DateFormat=P","Fill=—","Direction=H","UseDPDF=Y")</f>
        <v>0</v>
      </c>
      <c r="D33" s="13">
        <f>_xll.BDH("BLUE US Equity","CF_CASH_FOR_ACQUIS_SUBSIDIARIES","FQ1 2019","FQ1 2019","Currency=USD","Period=FQ","BEST_FPERIOD_OVERRIDE=FQ","FILING_STATUS=MR","SCALING_FORMAT=MLN","Sort=A","Dates=H","DateFormat=P","Fill=—","Direction=H","UseDPDF=Y")</f>
        <v>0</v>
      </c>
      <c r="E33" s="13">
        <f>_xll.BDH("BLUE US Equity","CF_CASH_FOR_ACQUIS_SUBSIDIARIES","FQ2 2019","FQ2 2019","Currency=USD","Period=FQ","BEST_FPERIOD_OVERRIDE=FQ","FILING_STATUS=MR","SCALING_FORMAT=MLN","Sort=A","Dates=H","DateFormat=P","Fill=—","Direction=H","UseDPDF=Y")</f>
        <v>0</v>
      </c>
      <c r="F33" s="13">
        <f>_xll.BDH("BLUE US Equity","CF_CASH_FOR_ACQUIS_SUBSIDIARIES","FQ3 2019","FQ3 2019","Currency=USD","Period=FQ","BEST_FPERIOD_OVERRIDE=FQ","FILING_STATUS=MR","SCALING_FORMAT=MLN","Sort=A","Dates=H","DateFormat=P","Fill=—","Direction=H","UseDPDF=Y")</f>
        <v>0</v>
      </c>
      <c r="G33" s="13">
        <f>_xll.BDH("BLUE US Equity","CF_CASH_FOR_ACQUIS_SUBSIDIARIES","FQ4 2019","FQ4 2019","Currency=USD","Period=FQ","BEST_FPERIOD_OVERRIDE=FQ","FILING_STATUS=MR","SCALING_FORMAT=MLN","Sort=A","Dates=H","DateFormat=P","Fill=—","Direction=H","UseDPDF=Y")</f>
        <v>0</v>
      </c>
      <c r="H33" s="13">
        <f>_xll.BDH("BLUE US Equity","CF_CASH_FOR_ACQUIS_SUBSIDIARIES","FQ1 2020","FQ1 2020","Currency=USD","Period=FQ","BEST_FPERIOD_OVERRIDE=FQ","FILING_STATUS=MR","SCALING_FORMAT=MLN","Sort=A","Dates=H","DateFormat=P","Fill=—","Direction=H","UseDPDF=Y")</f>
        <v>0</v>
      </c>
      <c r="I33" s="13">
        <f>_xll.BDH("BLUE US Equity","CF_CASH_FOR_ACQUIS_SUBSIDIARIES","FQ2 2020","FQ2 2020","Currency=USD","Period=FQ","BEST_FPERIOD_OVERRIDE=FQ","FILING_STATUS=MR","SCALING_FORMAT=MLN","Sort=A","Dates=H","DateFormat=P","Fill=—","Direction=H","UseDPDF=Y")</f>
        <v>0</v>
      </c>
      <c r="J33" s="13">
        <f>_xll.BDH("BLUE US Equity","CF_CASH_FOR_ACQUIS_SUBSIDIARIES","FQ3 2020","FQ3 2020","Currency=USD","Period=FQ","BEST_FPERIOD_OVERRIDE=FQ","FILING_STATUS=MR","SCALING_FORMAT=MLN","Sort=A","Dates=H","DateFormat=P","Fill=—","Direction=H","UseDPDF=Y")</f>
        <v>0</v>
      </c>
      <c r="K33" s="13">
        <f>_xll.BDH("BLUE US Equity","CF_CASH_FOR_ACQUIS_SUBSIDIARIES","FQ4 2020","FQ4 2020","Currency=USD","Period=FQ","BEST_FPERIOD_OVERRIDE=FQ","FILING_STATUS=MR","SCALING_FORMAT=MLN","Sort=A","Dates=H","DateFormat=P","Fill=—","Direction=H","UseDPDF=Y")</f>
        <v>0</v>
      </c>
      <c r="L33" s="13">
        <f>_xll.BDH("BLUE US Equity","CF_CASH_FOR_ACQUIS_SUBSIDIARIES","FQ1 2021","FQ1 2021","Currency=USD","Period=FQ","BEST_FPERIOD_OVERRIDE=FQ","FILING_STATUS=MR","SCALING_FORMAT=MLN","Sort=A","Dates=H","DateFormat=P","Fill=—","Direction=H","UseDPDF=Y")</f>
        <v>0</v>
      </c>
      <c r="M33" s="13">
        <f>_xll.BDH("BLUE US Equity","CF_CASH_FOR_ACQUIS_SUBSIDIARIES","FQ2 2021","FQ2 2021","Currency=USD","Period=FQ","BEST_FPERIOD_OVERRIDE=FQ","FILING_STATUS=MR","SCALING_FORMAT=MLN","Sort=A","Dates=H","DateFormat=P","Fill=—","Direction=H","UseDPDF=Y")</f>
        <v>0</v>
      </c>
      <c r="N33" s="13">
        <f>_xll.BDH("BLUE US Equity","CF_CASH_FOR_ACQUIS_SUBSIDIARIES","FQ3 2021","FQ3 2021","Currency=USD","Period=FQ","BEST_FPERIOD_OVERRIDE=FQ","FILING_STATUS=MR","SCALING_FORMAT=MLN","Sort=A","Dates=H","DateFormat=P","Fill=—","Direction=H","UseDPDF=Y")</f>
        <v>0</v>
      </c>
      <c r="O33" s="13">
        <f>_xll.BDH("BLUE US Equity","CF_CASH_FOR_ACQUIS_SUBSIDIARIES","FQ4 2021","FQ4 2021","Currency=USD","Period=FQ","BEST_FPERIOD_OVERRIDE=FQ","FILING_STATUS=MR","SCALING_FORMAT=MLN","Sort=A","Dates=H","DateFormat=P","Fill=—","Direction=H","UseDPDF=Y")</f>
        <v>0</v>
      </c>
      <c r="P33" s="13">
        <f>_xll.BDH("BLUE US Equity","CF_CASH_FOR_ACQUIS_SUBSIDIARIES","FQ1 2022","FQ1 2022","Currency=USD","Period=FQ","BEST_FPERIOD_OVERRIDE=FQ","FILING_STATUS=MR","SCALING_FORMAT=MLN","Sort=A","Dates=H","DateFormat=P","Fill=—","Direction=H","UseDPDF=Y")</f>
        <v>0</v>
      </c>
      <c r="Q33" s="13">
        <f>_xll.BDH("BLUE US Equity","CF_CASH_FOR_ACQUIS_SUBSIDIARIES","FQ2 2022","FQ2 2022","Currency=USD","Period=FQ","BEST_FPERIOD_OVERRIDE=FQ","FILING_STATUS=MR","SCALING_FORMAT=MLN","Sort=A","Dates=H","DateFormat=P","Fill=—","Direction=H","UseDPDF=Y")</f>
        <v>0</v>
      </c>
      <c r="R33" s="13">
        <f>_xll.BDH("BLUE US Equity","CF_CASH_FOR_ACQUIS_SUBSIDIARIES","FQ3 2022","FQ3 2022","Currency=USD","Period=FQ","BEST_FPERIOD_OVERRIDE=FQ","FILING_STATUS=MR","SCALING_FORMAT=MLN","Sort=A","Dates=H","DateFormat=P","Fill=—","Direction=H","UseDPDF=Y")</f>
        <v>0</v>
      </c>
      <c r="S33" s="13">
        <f>_xll.BDH("BLUE US Equity","CF_CASH_FOR_ACQUIS_SUBSIDIARIES","FQ4 2022","FQ4 2022","Currency=USD","Period=FQ","BEST_FPERIOD_OVERRIDE=FQ","FILING_STATUS=MR","SCALING_FORMAT=MLN","Sort=A","Dates=H","DateFormat=P","Fill=—","Direction=H","UseDPDF=Y")</f>
        <v>0</v>
      </c>
      <c r="T33" s="13">
        <f>_xll.BDH("BLUE US Equity","CF_CASH_FOR_ACQUIS_SUBSIDIARIES","FQ1 2023","FQ1 2023","Currency=USD","Period=FQ","BEST_FPERIOD_OVERRIDE=FQ","FILING_STATUS=MR","SCALING_FORMAT=MLN","Sort=A","Dates=H","DateFormat=P","Fill=—","Direction=H","UseDPDF=Y")</f>
        <v>0</v>
      </c>
      <c r="U33" s="13">
        <f>_xll.BDH("BLUE US Equity","CF_CASH_FOR_ACQUIS_SUBSIDIARIES","FQ2 2023","FQ2 2023","Currency=USD","Period=FQ","BEST_FPERIOD_OVERRIDE=FQ","FILING_STATUS=MR","SCALING_FORMAT=MLN","Sort=A","Dates=H","DateFormat=P","Fill=—","Direction=H","UseDPDF=Y")</f>
        <v>0</v>
      </c>
      <c r="V33" s="13">
        <f>_xll.BDH("BLUE US Equity","CF_CASH_FOR_ACQUIS_SUBSIDIARIES","FQ3 2023","FQ3 2023","Currency=USD","Period=FQ","BEST_FPERIOD_OVERRIDE=FQ","FILING_STATUS=MR","SCALING_FORMAT=MLN","Sort=A","Dates=H","DateFormat=P","Fill=—","Direction=H","UseDPDF=Y")</f>
        <v>0</v>
      </c>
      <c r="W33" s="13">
        <f>_xll.BDH("BLUE US Equity","CF_CASH_FOR_ACQUIS_SUBSIDIARIES","FQ4 2023","FQ4 2023","Currency=USD","Period=FQ","BEST_FPERIOD_OVERRIDE=FQ","FILING_STATUS=MR","SCALING_FORMAT=MLN","Sort=A","Dates=H","DateFormat=P","Fill=—","Direction=H","UseDPDF=Y")</f>
        <v>0</v>
      </c>
      <c r="X33" s="13">
        <f>_xll.BDH("BLUE US Equity","CF_CASH_FOR_ACQUIS_SUBSIDIARIES","FQ1 2024","FQ1 2024","Currency=USD","Period=FQ","BEST_FPERIOD_OVERRIDE=FQ","FILING_STATUS=MR","SCALING_FORMAT=MLN","Sort=A","Dates=H","DateFormat=P","Fill=—","Direction=H","UseDPDF=Y")</f>
        <v>0</v>
      </c>
      <c r="Y33" s="13">
        <f>_xll.BDH("BLUE US Equity","CF_CASH_FOR_ACQUIS_SUBSIDIARIES","FQ2 2024","FQ2 2024","Currency=USD","Period=FQ","BEST_FPERIOD_OVERRIDE=FQ","FILING_STATUS=MR","SCALING_FORMAT=MLN","Sort=A","Dates=H","DateFormat=P","Fill=—","Direction=H","UseDPDF=Y")</f>
        <v>0</v>
      </c>
      <c r="Z33" s="13">
        <f>_xll.BDH("BLUE US Equity","CF_CASH_FOR_ACQUIS_SUBSIDIARIES","FQ3 2024","FQ3 2024","Currency=USD","Period=FQ","BEST_FPERIOD_OVERRIDE=FQ","FILING_STATUS=MR","SCALING_FORMAT=MLN","Sort=A","Dates=H","DateFormat=P","Fill=—","Direction=H","UseDPDF=Y")</f>
        <v>0</v>
      </c>
      <c r="AA33" s="13">
        <f>_xll.BDH("BLUE US Equity","CF_CASH_FOR_ACQUIS_SUBSIDIARIES","FQ4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1124</v>
      </c>
      <c r="B34" s="10" t="s">
        <v>1125</v>
      </c>
      <c r="C34" s="13">
        <f>_xll.BDH("BLUE US Equity","CF_CASH_FOR_JOINT_VENTURES_ASSOC","FQ4 2018","FQ4 2018","Currency=USD","Period=FQ","BEST_FPERIOD_OVERRIDE=FQ","FILING_STATUS=MR","SCALING_FORMAT=MLN","Sort=A","Dates=H","DateFormat=P","Fill=—","Direction=H","UseDPDF=Y")</f>
        <v>0</v>
      </c>
      <c r="D34" s="13">
        <f>_xll.BDH("BLUE US Equity","CF_CASH_FOR_JOINT_VENTURES_ASSOC","FQ1 2019","FQ1 2019","Currency=USD","Period=FQ","BEST_FPERIOD_OVERRIDE=FQ","FILING_STATUS=MR","SCALING_FORMAT=MLN","Sort=A","Dates=H","DateFormat=P","Fill=—","Direction=H","UseDPDF=Y")</f>
        <v>0</v>
      </c>
      <c r="E34" s="13">
        <f>_xll.BDH("BLUE US Equity","CF_CASH_FOR_JOINT_VENTURES_ASSOC","FQ2 2019","FQ2 2019","Currency=USD","Period=FQ","BEST_FPERIOD_OVERRIDE=FQ","FILING_STATUS=MR","SCALING_FORMAT=MLN","Sort=A","Dates=H","DateFormat=P","Fill=—","Direction=H","UseDPDF=Y")</f>
        <v>0</v>
      </c>
      <c r="F34" s="13">
        <f>_xll.BDH("BLUE US Equity","CF_CASH_FOR_JOINT_VENTURES_ASSOC","FQ3 2019","FQ3 2019","Currency=USD","Period=FQ","BEST_FPERIOD_OVERRIDE=FQ","FILING_STATUS=MR","SCALING_FORMAT=MLN","Sort=A","Dates=H","DateFormat=P","Fill=—","Direction=H","UseDPDF=Y")</f>
        <v>0</v>
      </c>
      <c r="G34" s="13">
        <f>_xll.BDH("BLUE US Equity","CF_CASH_FOR_JOINT_VENTURES_ASSOC","FQ4 2019","FQ4 2019","Currency=USD","Period=FQ","BEST_FPERIOD_OVERRIDE=FQ","FILING_STATUS=MR","SCALING_FORMAT=MLN","Sort=A","Dates=H","DateFormat=P","Fill=—","Direction=H","UseDPDF=Y")</f>
        <v>0</v>
      </c>
      <c r="H34" s="13">
        <f>_xll.BDH("BLUE US Equity","CF_CASH_FOR_JOINT_VENTURES_ASSOC","FQ1 2020","FQ1 2020","Currency=USD","Period=FQ","BEST_FPERIOD_OVERRIDE=FQ","FILING_STATUS=MR","SCALING_FORMAT=MLN","Sort=A","Dates=H","DateFormat=P","Fill=—","Direction=H","UseDPDF=Y")</f>
        <v>0</v>
      </c>
      <c r="I34" s="13">
        <f>_xll.BDH("BLUE US Equity","CF_CASH_FOR_JOINT_VENTURES_ASSOC","FQ2 2020","FQ2 2020","Currency=USD","Period=FQ","BEST_FPERIOD_OVERRIDE=FQ","FILING_STATUS=MR","SCALING_FORMAT=MLN","Sort=A","Dates=H","DateFormat=P","Fill=—","Direction=H","UseDPDF=Y")</f>
        <v>0</v>
      </c>
      <c r="J34" s="13">
        <f>_xll.BDH("BLUE US Equity","CF_CASH_FOR_JOINT_VENTURES_ASSOC","FQ3 2020","FQ3 2020","Currency=USD","Period=FQ","BEST_FPERIOD_OVERRIDE=FQ","FILING_STATUS=MR","SCALING_FORMAT=MLN","Sort=A","Dates=H","DateFormat=P","Fill=—","Direction=H","UseDPDF=Y")</f>
        <v>0</v>
      </c>
      <c r="K34" s="13">
        <f>_xll.BDH("BLUE US Equity","CF_CASH_FOR_JOINT_VENTURES_ASSOC","FQ4 2020","FQ4 2020","Currency=USD","Period=FQ","BEST_FPERIOD_OVERRIDE=FQ","FILING_STATUS=MR","SCALING_FORMAT=MLN","Sort=A","Dates=H","DateFormat=P","Fill=—","Direction=H","UseDPDF=Y")</f>
        <v>0</v>
      </c>
      <c r="L34" s="13">
        <f>_xll.BDH("BLUE US Equity","CF_CASH_FOR_JOINT_VENTURES_ASSOC","FQ1 2021","FQ1 2021","Currency=USD","Period=FQ","BEST_FPERIOD_OVERRIDE=FQ","FILING_STATUS=MR","SCALING_FORMAT=MLN","Sort=A","Dates=H","DateFormat=P","Fill=—","Direction=H","UseDPDF=Y")</f>
        <v>0</v>
      </c>
      <c r="M34" s="13">
        <f>_xll.BDH("BLUE US Equity","CF_CASH_FOR_JOINT_VENTURES_ASSOC","FQ2 2021","FQ2 2021","Currency=USD","Period=FQ","BEST_FPERIOD_OVERRIDE=FQ","FILING_STATUS=MR","SCALING_FORMAT=MLN","Sort=A","Dates=H","DateFormat=P","Fill=—","Direction=H","UseDPDF=Y")</f>
        <v>0</v>
      </c>
      <c r="N34" s="13">
        <f>_xll.BDH("BLUE US Equity","CF_CASH_FOR_JOINT_VENTURES_ASSOC","FQ3 2021","FQ3 2021","Currency=USD","Period=FQ","BEST_FPERIOD_OVERRIDE=FQ","FILING_STATUS=MR","SCALING_FORMAT=MLN","Sort=A","Dates=H","DateFormat=P","Fill=—","Direction=H","UseDPDF=Y")</f>
        <v>0</v>
      </c>
      <c r="O34" s="13">
        <f>_xll.BDH("BLUE US Equity","CF_CASH_FOR_JOINT_VENTURES_ASSOC","FQ4 2021","FQ4 2021","Currency=USD","Period=FQ","BEST_FPERIOD_OVERRIDE=FQ","FILING_STATUS=MR","SCALING_FORMAT=MLN","Sort=A","Dates=H","DateFormat=P","Fill=—","Direction=H","UseDPDF=Y")</f>
        <v>0</v>
      </c>
      <c r="P34" s="13">
        <f>_xll.BDH("BLUE US Equity","CF_CASH_FOR_JOINT_VENTURES_ASSOC","FQ1 2022","FQ1 2022","Currency=USD","Period=FQ","BEST_FPERIOD_OVERRIDE=FQ","FILING_STATUS=MR","SCALING_FORMAT=MLN","Sort=A","Dates=H","DateFormat=P","Fill=—","Direction=H","UseDPDF=Y")</f>
        <v>0</v>
      </c>
      <c r="Q34" s="13">
        <f>_xll.BDH("BLUE US Equity","CF_CASH_FOR_JOINT_VENTURES_ASSOC","FQ2 2022","FQ2 2022","Currency=USD","Period=FQ","BEST_FPERIOD_OVERRIDE=FQ","FILING_STATUS=MR","SCALING_FORMAT=MLN","Sort=A","Dates=H","DateFormat=P","Fill=—","Direction=H","UseDPDF=Y")</f>
        <v>0</v>
      </c>
      <c r="R34" s="13">
        <f>_xll.BDH("BLUE US Equity","CF_CASH_FOR_JOINT_VENTURES_ASSOC","FQ3 2022","FQ3 2022","Currency=USD","Period=FQ","BEST_FPERIOD_OVERRIDE=FQ","FILING_STATUS=MR","SCALING_FORMAT=MLN","Sort=A","Dates=H","DateFormat=P","Fill=—","Direction=H","UseDPDF=Y")</f>
        <v>0</v>
      </c>
      <c r="S34" s="13">
        <f>_xll.BDH("BLUE US Equity","CF_CASH_FOR_JOINT_VENTURES_ASSOC","FQ4 2022","FQ4 2022","Currency=USD","Period=FQ","BEST_FPERIOD_OVERRIDE=FQ","FILING_STATUS=MR","SCALING_FORMAT=MLN","Sort=A","Dates=H","DateFormat=P","Fill=—","Direction=H","UseDPDF=Y")</f>
        <v>0</v>
      </c>
      <c r="T34" s="13">
        <f>_xll.BDH("BLUE US Equity","CF_CASH_FOR_JOINT_VENTURES_ASSOC","FQ1 2023","FQ1 2023","Currency=USD","Period=FQ","BEST_FPERIOD_OVERRIDE=FQ","FILING_STATUS=MR","SCALING_FORMAT=MLN","Sort=A","Dates=H","DateFormat=P","Fill=—","Direction=H","UseDPDF=Y")</f>
        <v>0</v>
      </c>
      <c r="U34" s="13">
        <f>_xll.BDH("BLUE US Equity","CF_CASH_FOR_JOINT_VENTURES_ASSOC","FQ2 2023","FQ2 2023","Currency=USD","Period=FQ","BEST_FPERIOD_OVERRIDE=FQ","FILING_STATUS=MR","SCALING_FORMAT=MLN","Sort=A","Dates=H","DateFormat=P","Fill=—","Direction=H","UseDPDF=Y")</f>
        <v>0</v>
      </c>
      <c r="V34" s="13">
        <f>_xll.BDH("BLUE US Equity","CF_CASH_FOR_JOINT_VENTURES_ASSOC","FQ3 2023","FQ3 2023","Currency=USD","Period=FQ","BEST_FPERIOD_OVERRIDE=FQ","FILING_STATUS=MR","SCALING_FORMAT=MLN","Sort=A","Dates=H","DateFormat=P","Fill=—","Direction=H","UseDPDF=Y")</f>
        <v>0</v>
      </c>
      <c r="W34" s="13">
        <f>_xll.BDH("BLUE US Equity","CF_CASH_FOR_JOINT_VENTURES_ASSOC","FQ4 2023","FQ4 2023","Currency=USD","Period=FQ","BEST_FPERIOD_OVERRIDE=FQ","FILING_STATUS=MR","SCALING_FORMAT=MLN","Sort=A","Dates=H","DateFormat=P","Fill=—","Direction=H","UseDPDF=Y")</f>
        <v>0</v>
      </c>
      <c r="X34" s="13">
        <f>_xll.BDH("BLUE US Equity","CF_CASH_FOR_JOINT_VENTURES_ASSOC","FQ1 2024","FQ1 2024","Currency=USD","Period=FQ","BEST_FPERIOD_OVERRIDE=FQ","FILING_STATUS=MR","SCALING_FORMAT=MLN","Sort=A","Dates=H","DateFormat=P","Fill=—","Direction=H","UseDPDF=Y")</f>
        <v>0</v>
      </c>
      <c r="Y34" s="13">
        <f>_xll.BDH("BLUE US Equity","CF_CASH_FOR_JOINT_VENTURES_ASSOC","FQ2 2024","FQ2 2024","Currency=USD","Period=FQ","BEST_FPERIOD_OVERRIDE=FQ","FILING_STATUS=MR","SCALING_FORMAT=MLN","Sort=A","Dates=H","DateFormat=P","Fill=—","Direction=H","UseDPDF=Y")</f>
        <v>0</v>
      </c>
      <c r="Z34" s="13">
        <f>_xll.BDH("BLUE US Equity","CF_CASH_FOR_JOINT_VENTURES_ASSOC","FQ3 2024","FQ3 2024","Currency=USD","Period=FQ","BEST_FPERIOD_OVERRIDE=FQ","FILING_STATUS=MR","SCALING_FORMAT=MLN","Sort=A","Dates=H","DateFormat=P","Fill=—","Direction=H","UseDPDF=Y")</f>
        <v>0</v>
      </c>
      <c r="AA34" s="13">
        <f>_xll.BDH("BLUE US Equity","CF_CASH_FOR_JOINT_VENTURES_ASSOC","FQ4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1126</v>
      </c>
      <c r="B35" s="10" t="s">
        <v>1127</v>
      </c>
      <c r="C35" s="13">
        <f>_xll.BDH("BLUE US Equity","OTHER_INVESTING_ACT_DETAILED","FQ4 2018","FQ4 2018","Currency=USD","Period=FQ","BEST_FPERIOD_OVERRIDE=FQ","FILING_STATUS=MR","SCALING_FORMAT=MLN","Sort=A","Dates=H","DateFormat=P","Fill=—","Direction=H","UseDPDF=Y")</f>
        <v>20.016999999999999</v>
      </c>
      <c r="D35" s="13">
        <f>_xll.BDH("BLUE US Equity","OTHER_INVESTING_ACT_DETAILED","FQ1 2019","FQ1 2019","Currency=USD","Period=FQ","BEST_FPERIOD_OVERRIDE=FQ","FILING_STATUS=MR","SCALING_FORMAT=MLN","Sort=A","Dates=H","DateFormat=P","Fill=—","Direction=H","UseDPDF=Y")</f>
        <v>0</v>
      </c>
      <c r="E35" s="13">
        <f>_xll.BDH("BLUE US Equity","OTHER_INVESTING_ACT_DETAILED","FQ2 2019","FQ2 2019","Currency=USD","Period=FQ","BEST_FPERIOD_OVERRIDE=FQ","FILING_STATUS=MR","SCALING_FORMAT=MLN","Sort=A","Dates=H","DateFormat=P","Fill=—","Direction=H","UseDPDF=Y")</f>
        <v>0</v>
      </c>
      <c r="F35" s="13">
        <f>_xll.BDH("BLUE US Equity","OTHER_INVESTING_ACT_DETAILED","FQ3 2019","FQ3 2019","Currency=USD","Period=FQ","BEST_FPERIOD_OVERRIDE=FQ","FILING_STATUS=MR","SCALING_FORMAT=MLN","Sort=A","Dates=H","DateFormat=P","Fill=—","Direction=H","UseDPDF=Y")</f>
        <v>0</v>
      </c>
      <c r="G35" s="13">
        <f>_xll.BDH("BLUE US Equity","OTHER_INVESTING_ACT_DETAILED","FQ4 2019","FQ4 2019","Currency=USD","Period=FQ","BEST_FPERIOD_OVERRIDE=FQ","FILING_STATUS=MR","SCALING_FORMAT=MLN","Sort=A","Dates=H","DateFormat=P","Fill=—","Direction=H","UseDPDF=Y")</f>
        <v>0</v>
      </c>
      <c r="H35" s="13">
        <f>_xll.BDH("BLUE US Equity","OTHER_INVESTING_ACT_DETAILED","FQ1 2020","FQ1 2020","Currency=USD","Period=FQ","BEST_FPERIOD_OVERRIDE=FQ","FILING_STATUS=MR","SCALING_FORMAT=MLN","Sort=A","Dates=H","DateFormat=P","Fill=—","Direction=H","UseDPDF=Y")</f>
        <v>0</v>
      </c>
      <c r="I35" s="13">
        <f>_xll.BDH("BLUE US Equity","OTHER_INVESTING_ACT_DETAILED","FQ2 2020","FQ2 2020","Currency=USD","Period=FQ","BEST_FPERIOD_OVERRIDE=FQ","FILING_STATUS=MR","SCALING_FORMAT=MLN","Sort=A","Dates=H","DateFormat=P","Fill=—","Direction=H","UseDPDF=Y")</f>
        <v>29.878</v>
      </c>
      <c r="J35" s="13">
        <f>_xll.BDH("BLUE US Equity","OTHER_INVESTING_ACT_DETAILED","FQ3 2020","FQ3 2020","Currency=USD","Period=FQ","BEST_FPERIOD_OVERRIDE=FQ","FILING_STATUS=MR","SCALING_FORMAT=MLN","Sort=A","Dates=H","DateFormat=P","Fill=—","Direction=H","UseDPDF=Y")</f>
        <v>0</v>
      </c>
      <c r="K35" s="13">
        <f>_xll.BDH("BLUE US Equity","OTHER_INVESTING_ACT_DETAILED","FQ4 2020","FQ4 2020","Currency=USD","Period=FQ","BEST_FPERIOD_OVERRIDE=FQ","FILING_STATUS=MR","SCALING_FORMAT=MLN","Sort=A","Dates=H","DateFormat=P","Fill=—","Direction=H","UseDPDF=Y")</f>
        <v>-29.878</v>
      </c>
      <c r="L35" s="13">
        <f>_xll.BDH("BLUE US Equity","OTHER_INVESTING_ACT_DETAILED","FQ1 2021","FQ1 2021","Currency=USD","Period=FQ","BEST_FPERIOD_OVERRIDE=FQ","FILING_STATUS=MR","SCALING_FORMAT=MLN","Sort=A","Dates=H","DateFormat=P","Fill=—","Direction=H","UseDPDF=Y")</f>
        <v>0</v>
      </c>
      <c r="M35" s="13">
        <f>_xll.BDH("BLUE US Equity","OTHER_INVESTING_ACT_DETAILED","FQ2 2021","FQ2 2021","Currency=USD","Period=FQ","BEST_FPERIOD_OVERRIDE=FQ","FILING_STATUS=MR","SCALING_FORMAT=MLN","Sort=A","Dates=H","DateFormat=P","Fill=—","Direction=H","UseDPDF=Y")</f>
        <v>0</v>
      </c>
      <c r="N35" s="13">
        <f>_xll.BDH("BLUE US Equity","OTHER_INVESTING_ACT_DETAILED","FQ3 2021","FQ3 2021","Currency=USD","Period=FQ","BEST_FPERIOD_OVERRIDE=FQ","FILING_STATUS=MR","SCALING_FORMAT=MLN","Sort=A","Dates=H","DateFormat=P","Fill=—","Direction=H","UseDPDF=Y")</f>
        <v>0</v>
      </c>
      <c r="O35" s="13">
        <f>_xll.BDH("BLUE US Equity","OTHER_INVESTING_ACT_DETAILED","FQ4 2021","FQ4 2021","Currency=USD","Period=FQ","BEST_FPERIOD_OVERRIDE=FQ","FILING_STATUS=MR","SCALING_FORMAT=MLN","Sort=A","Dates=H","DateFormat=P","Fill=—","Direction=H","UseDPDF=Y")</f>
        <v>0</v>
      </c>
      <c r="P35" s="13">
        <f>_xll.BDH("BLUE US Equity","OTHER_INVESTING_ACT_DETAILED","FQ1 2022","FQ1 2022","Currency=USD","Period=FQ","BEST_FPERIOD_OVERRIDE=FQ","FILING_STATUS=MR","SCALING_FORMAT=MLN","Sort=A","Dates=H","DateFormat=P","Fill=—","Direction=H","UseDPDF=Y")</f>
        <v>0</v>
      </c>
      <c r="Q35" s="13">
        <f>_xll.BDH("BLUE US Equity","OTHER_INVESTING_ACT_DETAILED","FQ2 2022","FQ2 2022","Currency=USD","Period=FQ","BEST_FPERIOD_OVERRIDE=FQ","FILING_STATUS=MR","SCALING_FORMAT=MLN","Sort=A","Dates=H","DateFormat=P","Fill=—","Direction=H","UseDPDF=Y")</f>
        <v>0</v>
      </c>
      <c r="R35" s="13">
        <f>_xll.BDH("BLUE US Equity","OTHER_INVESTING_ACT_DETAILED","FQ3 2022","FQ3 2022","Currency=USD","Period=FQ","BEST_FPERIOD_OVERRIDE=FQ","FILING_STATUS=MR","SCALING_FORMAT=MLN","Sort=A","Dates=H","DateFormat=P","Fill=—","Direction=H","UseDPDF=Y")</f>
        <v>0</v>
      </c>
      <c r="S35" s="13">
        <f>_xll.BDH("BLUE US Equity","OTHER_INVESTING_ACT_DETAILED","FQ4 2022","FQ4 2022","Currency=USD","Period=FQ","BEST_FPERIOD_OVERRIDE=FQ","FILING_STATUS=MR","SCALING_FORMAT=MLN","Sort=A","Dates=H","DateFormat=P","Fill=—","Direction=H","UseDPDF=Y")</f>
        <v>102</v>
      </c>
      <c r="T35" s="13">
        <f>_xll.BDH("BLUE US Equity","OTHER_INVESTING_ACT_DETAILED","FQ1 2023","FQ1 2023","Currency=USD","Period=FQ","BEST_FPERIOD_OVERRIDE=FQ","FILING_STATUS=MR","SCALING_FORMAT=MLN","Sort=A","Dates=H","DateFormat=P","Fill=—","Direction=H","UseDPDF=Y")</f>
        <v>92.971999999999994</v>
      </c>
      <c r="U35" s="13">
        <f>_xll.BDH("BLUE US Equity","OTHER_INVESTING_ACT_DETAILED","FQ2 2023","FQ2 2023","Currency=USD","Period=FQ","BEST_FPERIOD_OVERRIDE=FQ","FILING_STATUS=MR","SCALING_FORMAT=MLN","Sort=A","Dates=H","DateFormat=P","Fill=—","Direction=H","UseDPDF=Y")</f>
        <v>-4.2000000000000003E-2</v>
      </c>
      <c r="V35" s="13">
        <f>_xll.BDH("BLUE US Equity","OTHER_INVESTING_ACT_DETAILED","FQ3 2023","FQ3 2023","Currency=USD","Period=FQ","BEST_FPERIOD_OVERRIDE=FQ","FILING_STATUS=MR","SCALING_FORMAT=MLN","Sort=A","Dates=H","DateFormat=P","Fill=—","Direction=H","UseDPDF=Y")</f>
        <v>0</v>
      </c>
      <c r="W35" s="13">
        <f>_xll.BDH("BLUE US Equity","OTHER_INVESTING_ACT_DETAILED","FQ4 2023","FQ4 2023","Currency=USD","Period=FQ","BEST_FPERIOD_OVERRIDE=FQ","FILING_STATUS=MR","SCALING_FORMAT=MLN","Sort=A","Dates=H","DateFormat=P","Fill=—","Direction=H","UseDPDF=Y")</f>
        <v>0</v>
      </c>
      <c r="X35" s="13">
        <f>_xll.BDH("BLUE US Equity","OTHER_INVESTING_ACT_DETAILED","FQ1 2024","FQ1 2024","Currency=USD","Period=FQ","BEST_FPERIOD_OVERRIDE=FQ","FILING_STATUS=MR","SCALING_FORMAT=MLN","Sort=A","Dates=H","DateFormat=P","Fill=—","Direction=H","UseDPDF=Y")</f>
        <v>1.1200000000000001</v>
      </c>
      <c r="Y35" s="13">
        <f>_xll.BDH("BLUE US Equity","OTHER_INVESTING_ACT_DETAILED","FQ2 2024","FQ2 2024","Currency=USD","Period=FQ","BEST_FPERIOD_OVERRIDE=FQ","FILING_STATUS=MR","SCALING_FORMAT=MLN","Sort=A","Dates=H","DateFormat=P","Fill=—","Direction=H","UseDPDF=Y")</f>
        <v>1.68</v>
      </c>
      <c r="Z35" s="13">
        <f>_xll.BDH("BLUE US Equity","OTHER_INVESTING_ACT_DETAILED","FQ3 2024","FQ3 2024","Currency=USD","Period=FQ","BEST_FPERIOD_OVERRIDE=FQ","FILING_STATUS=MR","SCALING_FORMAT=MLN","Sort=A","Dates=H","DateFormat=P","Fill=—","Direction=H","UseDPDF=Y")</f>
        <v>0.746</v>
      </c>
      <c r="AA35" s="13">
        <f>_xll.BDH("BLUE US Equity","OTHER_INVESTING_ACT_DETAILED","FQ4 2024","FQ4 2024","Currency=USD","Period=FQ","BEST_FPERIOD_OVERRIDE=FQ","FILING_STATUS=MR","SCALING_FORMAT=MLN","Sort=A","Dates=H","DateFormat=P","Fill=—","Direction=H","UseDPDF=Y")</f>
        <v>2.95</v>
      </c>
    </row>
    <row r="36" spans="1:27" x14ac:dyDescent="0.25">
      <c r="A36" s="10" t="s">
        <v>1095</v>
      </c>
      <c r="B36" s="10" t="s">
        <v>1128</v>
      </c>
      <c r="C36" s="13">
        <f>_xll.BDH("BLUE US Equity","CF_NET_CASH_DISCONTINUED_OPS_INV","FQ4 2018","FQ4 2018","Currency=USD","Period=FQ","BEST_FPERIOD_OVERRIDE=FQ","FILING_STATUS=MR","SCALING_FORMAT=MLN","Sort=A","Dates=H","DateFormat=P","Fill=—","Direction=H","UseDPDF=Y")</f>
        <v>0</v>
      </c>
      <c r="D36" s="13">
        <f>_xll.BDH("BLUE US Equity","CF_NET_CASH_DISCONTINUED_OPS_INV","FQ1 2019","FQ1 2019","Currency=USD","Period=FQ","BEST_FPERIOD_OVERRIDE=FQ","FILING_STATUS=MR","SCALING_FORMAT=MLN","Sort=A","Dates=H","DateFormat=P","Fill=—","Direction=H","UseDPDF=Y")</f>
        <v>0</v>
      </c>
      <c r="E36" s="13">
        <f>_xll.BDH("BLUE US Equity","CF_NET_CASH_DISCONTINUED_OPS_INV","FQ2 2019","FQ2 2019","Currency=USD","Period=FQ","BEST_FPERIOD_OVERRIDE=FQ","FILING_STATUS=MR","SCALING_FORMAT=MLN","Sort=A","Dates=H","DateFormat=P","Fill=—","Direction=H","UseDPDF=Y")</f>
        <v>0</v>
      </c>
      <c r="F36" s="13">
        <f>_xll.BDH("BLUE US Equity","CF_NET_CASH_DISCONTINUED_OPS_INV","FQ3 2019","FQ3 2019","Currency=USD","Period=FQ","BEST_FPERIOD_OVERRIDE=FQ","FILING_STATUS=MR","SCALING_FORMAT=MLN","Sort=A","Dates=H","DateFormat=P","Fill=—","Direction=H","UseDPDF=Y")</f>
        <v>0</v>
      </c>
      <c r="G36" s="13">
        <f>_xll.BDH("BLUE US Equity","CF_NET_CASH_DISCONTINUED_OPS_INV","FQ4 2019","FQ4 2019","Currency=USD","Period=FQ","BEST_FPERIOD_OVERRIDE=FQ","FILING_STATUS=MR","SCALING_FORMAT=MLN","Sort=A","Dates=H","DateFormat=P","Fill=—","Direction=H","UseDPDF=Y")</f>
        <v>0</v>
      </c>
      <c r="H36" s="13">
        <f>_xll.BDH("BLUE US Equity","CF_NET_CASH_DISCONTINUED_OPS_INV","FQ1 2020","FQ1 2020","Currency=USD","Period=FQ","BEST_FPERIOD_OVERRIDE=FQ","FILING_STATUS=MR","SCALING_FORMAT=MLN","Sort=A","Dates=H","DateFormat=P","Fill=—","Direction=H","UseDPDF=Y")</f>
        <v>0</v>
      </c>
      <c r="I36" s="13">
        <f>_xll.BDH("BLUE US Equity","CF_NET_CASH_DISCONTINUED_OPS_INV","FQ2 2020","FQ2 2020","Currency=USD","Period=FQ","BEST_FPERIOD_OVERRIDE=FQ","FILING_STATUS=MR","SCALING_FORMAT=MLN","Sort=A","Dates=H","DateFormat=P","Fill=—","Direction=H","UseDPDF=Y")</f>
        <v>0</v>
      </c>
      <c r="J36" s="13">
        <f>_xll.BDH("BLUE US Equity","CF_NET_CASH_DISCONTINUED_OPS_INV","FQ3 2020","FQ3 2020","Currency=USD","Period=FQ","BEST_FPERIOD_OVERRIDE=FQ","FILING_STATUS=MR","SCALING_FORMAT=MLN","Sort=A","Dates=H","DateFormat=P","Fill=—","Direction=H","UseDPDF=Y")</f>
        <v>0</v>
      </c>
      <c r="K36" s="13">
        <f>_xll.BDH("BLUE US Equity","CF_NET_CASH_DISCONTINUED_OPS_INV","FQ4 2020","FQ4 2020","Currency=USD","Period=FQ","BEST_FPERIOD_OVERRIDE=FQ","FILING_STATUS=MR","SCALING_FORMAT=MLN","Sort=A","Dates=H","DateFormat=P","Fill=—","Direction=H","UseDPDF=Y")</f>
        <v>0</v>
      </c>
      <c r="L36" s="13">
        <f>_xll.BDH("BLUE US Equity","CF_NET_CASH_DISCONTINUED_OPS_INV","FQ1 2021","FQ1 2021","Currency=USD","Period=FQ","BEST_FPERIOD_OVERRIDE=FQ","FILING_STATUS=MR","SCALING_FORMAT=MLN","Sort=A","Dates=H","DateFormat=P","Fill=—","Direction=H","UseDPDF=Y")</f>
        <v>0</v>
      </c>
      <c r="M36" s="13">
        <f>_xll.BDH("BLUE US Equity","CF_NET_CASH_DISCONTINUED_OPS_INV","FQ2 2021","FQ2 2021","Currency=USD","Period=FQ","BEST_FPERIOD_OVERRIDE=FQ","FILING_STATUS=MR","SCALING_FORMAT=MLN","Sort=A","Dates=H","DateFormat=P","Fill=—","Direction=H","UseDPDF=Y")</f>
        <v>0</v>
      </c>
      <c r="N36" s="13" t="str">
        <f>_xll.BDH("BLUE US Equity","CF_NET_CASH_DISCONTINUED_OPS_INV","FQ3 2021","FQ3 2021","Currency=USD","Period=FQ","BEST_FPERIOD_OVERRIDE=FQ","FILING_STATUS=MR","SCALING_FORMAT=MLN","Sort=A","Dates=H","DateFormat=P","Fill=—","Direction=H","UseDPDF=Y")</f>
        <v>—</v>
      </c>
      <c r="O36" s="13">
        <f>_xll.BDH("BLUE US Equity","CF_NET_CASH_DISCONTINUED_OPS_INV","FQ4 2021","FQ4 2021","Currency=USD","Period=FQ","BEST_FPERIOD_OVERRIDE=FQ","FILING_STATUS=MR","SCALING_FORMAT=MLN","Sort=A","Dates=H","DateFormat=P","Fill=—","Direction=H","UseDPDF=Y")</f>
        <v>0</v>
      </c>
      <c r="P36" s="13">
        <f>_xll.BDH("BLUE US Equity","CF_NET_CASH_DISCONTINUED_OPS_INV","FQ1 2022","FQ1 2022","Currency=USD","Period=FQ","BEST_FPERIOD_OVERRIDE=FQ","FILING_STATUS=MR","SCALING_FORMAT=MLN","Sort=A","Dates=H","DateFormat=P","Fill=—","Direction=H","UseDPDF=Y")</f>
        <v>0</v>
      </c>
      <c r="Q36" s="13">
        <f>_xll.BDH("BLUE US Equity","CF_NET_CASH_DISCONTINUED_OPS_INV","FQ2 2022","FQ2 2022","Currency=USD","Period=FQ","BEST_FPERIOD_OVERRIDE=FQ","FILING_STATUS=MR","SCALING_FORMAT=MLN","Sort=A","Dates=H","DateFormat=P","Fill=—","Direction=H","UseDPDF=Y")</f>
        <v>0</v>
      </c>
      <c r="R36" s="13">
        <f>_xll.BDH("BLUE US Equity","CF_NET_CASH_DISCONTINUED_OPS_INV","FQ3 2022","FQ3 2022","Currency=USD","Period=FQ","BEST_FPERIOD_OVERRIDE=FQ","FILING_STATUS=MR","SCALING_FORMAT=MLN","Sort=A","Dates=H","DateFormat=P","Fill=—","Direction=H","UseDPDF=Y")</f>
        <v>0</v>
      </c>
      <c r="S36" s="13">
        <f>_xll.BDH("BLUE US Equity","CF_NET_CASH_DISCONTINUED_OPS_INV","FQ4 2022","FQ4 2022","Currency=USD","Period=FQ","BEST_FPERIOD_OVERRIDE=FQ","FILING_STATUS=MR","SCALING_FORMAT=MLN","Sort=A","Dates=H","DateFormat=P","Fill=—","Direction=H","UseDPDF=Y")</f>
        <v>0</v>
      </c>
      <c r="T36" s="13">
        <f>_xll.BDH("BLUE US Equity","CF_NET_CASH_DISCONTINUED_OPS_INV","FQ1 2023","FQ1 2023","Currency=USD","Period=FQ","BEST_FPERIOD_OVERRIDE=FQ","FILING_STATUS=MR","SCALING_FORMAT=MLN","Sort=A","Dates=H","DateFormat=P","Fill=—","Direction=H","UseDPDF=Y")</f>
        <v>0</v>
      </c>
      <c r="U36" s="13">
        <f>_xll.BDH("BLUE US Equity","CF_NET_CASH_DISCONTINUED_OPS_INV","FQ2 2023","FQ2 2023","Currency=USD","Period=FQ","BEST_FPERIOD_OVERRIDE=FQ","FILING_STATUS=MR","SCALING_FORMAT=MLN","Sort=A","Dates=H","DateFormat=P","Fill=—","Direction=H","UseDPDF=Y")</f>
        <v>0</v>
      </c>
      <c r="V36" s="13">
        <f>_xll.BDH("BLUE US Equity","CF_NET_CASH_DISCONTINUED_OPS_INV","FQ3 2023","FQ3 2023","Currency=USD","Period=FQ","BEST_FPERIOD_OVERRIDE=FQ","FILING_STATUS=MR","SCALING_FORMAT=MLN","Sort=A","Dates=H","DateFormat=P","Fill=—","Direction=H","UseDPDF=Y")</f>
        <v>0</v>
      </c>
      <c r="W36" s="13">
        <f>_xll.BDH("BLUE US Equity","CF_NET_CASH_DISCONTINUED_OPS_INV","FQ4 2023","FQ4 2023","Currency=USD","Period=FQ","BEST_FPERIOD_OVERRIDE=FQ","FILING_STATUS=MR","SCALING_FORMAT=MLN","Sort=A","Dates=H","DateFormat=P","Fill=—","Direction=H","UseDPDF=Y")</f>
        <v>0</v>
      </c>
      <c r="X36" s="13">
        <f>_xll.BDH("BLUE US Equity","CF_NET_CASH_DISCONTINUED_OPS_INV","FQ1 2024","FQ1 2024","Currency=USD","Period=FQ","BEST_FPERIOD_OVERRIDE=FQ","FILING_STATUS=MR","SCALING_FORMAT=MLN","Sort=A","Dates=H","DateFormat=P","Fill=—","Direction=H","UseDPDF=Y")</f>
        <v>0</v>
      </c>
      <c r="Y36" s="13">
        <f>_xll.BDH("BLUE US Equity","CF_NET_CASH_DISCONTINUED_OPS_INV","FQ2 2024","FQ2 2024","Currency=USD","Period=FQ","BEST_FPERIOD_OVERRIDE=FQ","FILING_STATUS=MR","SCALING_FORMAT=MLN","Sort=A","Dates=H","DateFormat=P","Fill=—","Direction=H","UseDPDF=Y")</f>
        <v>0</v>
      </c>
      <c r="Z36" s="13">
        <f>_xll.BDH("BLUE US Equity","CF_NET_CASH_DISCONTINUED_OPS_INV","FQ3 2024","FQ3 2024","Currency=USD","Period=FQ","BEST_FPERIOD_OVERRIDE=FQ","FILING_STATUS=MR","SCALING_FORMAT=MLN","Sort=A","Dates=H","DateFormat=P","Fill=—","Direction=H","UseDPDF=Y")</f>
        <v>0</v>
      </c>
      <c r="AA36" s="13">
        <f>_xll.BDH("BLUE US Equity","CF_NET_CASH_DISCONTINUED_OPS_INV","FQ4 2024","FQ4 2024","Currency=USD","Period=FQ","BEST_FPERIOD_OVERRIDE=FQ","FILING_STATUS=MR","SCALING_FORMAT=MLN","Sort=A","Dates=H","DateFormat=P","Fill=—","Direction=H","UseDPDF=Y")</f>
        <v>0</v>
      </c>
    </row>
    <row r="37" spans="1:27" x14ac:dyDescent="0.25">
      <c r="A37" s="6" t="s">
        <v>1097</v>
      </c>
      <c r="B37" s="6" t="s">
        <v>126</v>
      </c>
      <c r="C37" s="19">
        <f>_xll.BDH("BLUE US Equity","CF_CASH_FROM_INV_ACT","FQ4 2018","FQ4 2018","Currency=USD","Period=FQ","BEST_FPERIOD_OVERRIDE=FQ","FILING_STATUS=MR","SCALING_FORMAT=MLN","Sort=A","Dates=H","DateFormat=P","Fill=—","Direction=H","UseDPDF=Y")</f>
        <v>-421.09100000000001</v>
      </c>
      <c r="D37" s="19">
        <f>_xll.BDH("BLUE US Equity","CF_CASH_FROM_INV_ACT","FQ1 2019","FQ1 2019","Currency=USD","Period=FQ","BEST_FPERIOD_OVERRIDE=FQ","FILING_STATUS=MR","SCALING_FORMAT=MLN","Sort=A","Dates=H","DateFormat=P","Fill=—","Direction=H","UseDPDF=Y")</f>
        <v>-36.912999999999997</v>
      </c>
      <c r="E37" s="19">
        <f>_xll.BDH("BLUE US Equity","CF_CASH_FROM_INV_ACT","FQ2 2019","FQ2 2019","Currency=USD","Period=FQ","BEST_FPERIOD_OVERRIDE=FQ","FILING_STATUS=MR","SCALING_FORMAT=MLN","Sort=A","Dates=H","DateFormat=P","Fill=—","Direction=H","UseDPDF=Y")</f>
        <v>232.42599999999999</v>
      </c>
      <c r="F37" s="19">
        <f>_xll.BDH("BLUE US Equity","CF_CASH_FROM_INV_ACT","FQ3 2019","FQ3 2019","Currency=USD","Period=FQ","BEST_FPERIOD_OVERRIDE=FQ","FILING_STATUS=MR","SCALING_FORMAT=MLN","Sort=A","Dates=H","DateFormat=P","Fill=—","Direction=H","UseDPDF=Y")</f>
        <v>129.041</v>
      </c>
      <c r="G37" s="19">
        <f>_xll.BDH("BLUE US Equity","CF_CASH_FROM_INV_ACT","FQ4 2019","FQ4 2019","Currency=USD","Period=FQ","BEST_FPERIOD_OVERRIDE=FQ","FILING_STATUS=MR","SCALING_FORMAT=MLN","Sort=A","Dates=H","DateFormat=P","Fill=—","Direction=H","UseDPDF=Y")</f>
        <v>183.25299999999999</v>
      </c>
      <c r="H37" s="19">
        <f>_xll.BDH("BLUE US Equity","CF_CASH_FROM_INV_ACT","FQ1 2020","FQ1 2020","Currency=USD","Period=FQ","BEST_FPERIOD_OVERRIDE=FQ","FILING_STATUS=MR","SCALING_FORMAT=MLN","Sort=A","Dates=H","DateFormat=P","Fill=—","Direction=H","UseDPDF=Y")</f>
        <v>224.578</v>
      </c>
      <c r="I37" s="19">
        <f>_xll.BDH("BLUE US Equity","CF_CASH_FROM_INV_ACT","FQ2 2020","FQ2 2020","Currency=USD","Period=FQ","BEST_FPERIOD_OVERRIDE=FQ","FILING_STATUS=MR","SCALING_FORMAT=MLN","Sort=A","Dates=H","DateFormat=P","Fill=—","Direction=H","UseDPDF=Y")</f>
        <v>269.27600000000001</v>
      </c>
      <c r="J37" s="19">
        <f>_xll.BDH("BLUE US Equity","CF_CASH_FROM_INV_ACT","FQ3 2020","FQ3 2020","Currency=USD","Period=FQ","BEST_FPERIOD_OVERRIDE=FQ","FILING_STATUS=MR","SCALING_FORMAT=MLN","Sort=A","Dates=H","DateFormat=P","Fill=—","Direction=H","UseDPDF=Y")</f>
        <v>-727.01499999999999</v>
      </c>
      <c r="K37" s="19">
        <f>_xll.BDH("BLUE US Equity","CF_CASH_FROM_INV_ACT","FQ4 2020","FQ4 2020","Currency=USD","Period=FQ","BEST_FPERIOD_OVERRIDE=FQ","FILING_STATUS=MR","SCALING_FORMAT=MLN","Sort=A","Dates=H","DateFormat=P","Fill=—","Direction=H","UseDPDF=Y")</f>
        <v>148.816</v>
      </c>
      <c r="L37" s="19">
        <f>_xll.BDH("BLUE US Equity","CF_CASH_FROM_INV_ACT","FQ1 2021","FQ1 2021","Currency=USD","Period=FQ","BEST_FPERIOD_OVERRIDE=FQ","FILING_STATUS=MR","SCALING_FORMAT=MLN","Sort=A","Dates=H","DateFormat=P","Fill=—","Direction=H","UseDPDF=Y")</f>
        <v>321.35199999999998</v>
      </c>
      <c r="M37" s="19">
        <f>_xll.BDH("BLUE US Equity","CF_CASH_FROM_INV_ACT","FQ2 2021","FQ2 2021","Currency=USD","Period=FQ","BEST_FPERIOD_OVERRIDE=FQ","FILING_STATUS=MR","SCALING_FORMAT=MLN","Sort=A","Dates=H","DateFormat=P","Fill=—","Direction=H","UseDPDF=Y")</f>
        <v>60.368000000000002</v>
      </c>
      <c r="N37" s="19">
        <f>_xll.BDH("BLUE US Equity","CF_CASH_FROM_INV_ACT","FQ3 2021","FQ3 2021","Currency=USD","Period=FQ","BEST_FPERIOD_OVERRIDE=FQ","FILING_STATUS=MR","SCALING_FORMAT=MLN","Sort=A","Dates=H","DateFormat=P","Fill=—","Direction=H","UseDPDF=Y")</f>
        <v>119.905</v>
      </c>
      <c r="O37" s="19">
        <f>_xll.BDH("BLUE US Equity","CF_CASH_FROM_INV_ACT","FQ4 2021","FQ4 2021","Currency=USD","Period=FQ","BEST_FPERIOD_OVERRIDE=FQ","FILING_STATUS=MR","SCALING_FORMAT=MLN","Sort=A","Dates=H","DateFormat=P","Fill=—","Direction=H","UseDPDF=Y")</f>
        <v>60.932000000000002</v>
      </c>
      <c r="P37" s="19">
        <f>_xll.BDH("BLUE US Equity","CF_CASH_FROM_INV_ACT","FQ1 2022","FQ1 2022","Currency=USD","Period=FQ","BEST_FPERIOD_OVERRIDE=FQ","FILING_STATUS=MR","SCALING_FORMAT=MLN","Sort=A","Dates=H","DateFormat=P","Fill=—","Direction=H","UseDPDF=Y")</f>
        <v>69.926000000000002</v>
      </c>
      <c r="Q37" s="19">
        <f>_xll.BDH("BLUE US Equity","CF_CASH_FROM_INV_ACT","FQ2 2022","FQ2 2022","Currency=USD","Period=FQ","BEST_FPERIOD_OVERRIDE=FQ","FILING_STATUS=MR","SCALING_FORMAT=MLN","Sort=A","Dates=H","DateFormat=P","Fill=—","Direction=H","UseDPDF=Y")</f>
        <v>61.676000000000002</v>
      </c>
      <c r="R37" s="19">
        <f>_xll.BDH("BLUE US Equity","CF_CASH_FROM_INV_ACT","FQ3 2022","FQ3 2022","Currency=USD","Period=FQ","BEST_FPERIOD_OVERRIDE=FQ","FILING_STATUS=MR","SCALING_FORMAT=MLN","Sort=A","Dates=H","DateFormat=P","Fill=—","Direction=H","UseDPDF=Y")</f>
        <v>15.609</v>
      </c>
      <c r="S37" s="19">
        <f>_xll.BDH("BLUE US Equity","CF_CASH_FROM_INV_ACT","FQ4 2022","FQ4 2022","Currency=USD","Period=FQ","BEST_FPERIOD_OVERRIDE=FQ","FILING_STATUS=MR","SCALING_FORMAT=MLN","Sort=A","Dates=H","DateFormat=P","Fill=—","Direction=H","UseDPDF=Y")</f>
        <v>103.242</v>
      </c>
      <c r="T37" s="19">
        <f>_xll.BDH("BLUE US Equity","CF_CASH_FROM_INV_ACT","FQ1 2023","FQ1 2023","Currency=USD","Period=FQ","BEST_FPERIOD_OVERRIDE=FQ","FILING_STATUS=MR","SCALING_FORMAT=MLN","Sort=A","Dates=H","DateFormat=P","Fill=—","Direction=H","UseDPDF=Y")</f>
        <v>82.135999999999996</v>
      </c>
      <c r="U37" s="19">
        <f>_xll.BDH("BLUE US Equity","CF_CASH_FROM_INV_ACT","FQ2 2023","FQ2 2023","Currency=USD","Period=FQ","BEST_FPERIOD_OVERRIDE=FQ","FILING_STATUS=MR","SCALING_FORMAT=MLN","Sort=A","Dates=H","DateFormat=P","Fill=—","Direction=H","UseDPDF=Y")</f>
        <v>6.9450000000000003</v>
      </c>
      <c r="V37" s="19">
        <f>_xll.BDH("BLUE US Equity","CF_CASH_FROM_INV_ACT","FQ3 2023","FQ3 2023","Currency=USD","Period=FQ","BEST_FPERIOD_OVERRIDE=FQ","FILING_STATUS=MR","SCALING_FORMAT=MLN","Sort=A","Dates=H","DateFormat=P","Fill=—","Direction=H","UseDPDF=Y")</f>
        <v>62.082999999999998</v>
      </c>
      <c r="W37" s="19">
        <f>_xll.BDH("BLUE US Equity","CF_CASH_FROM_INV_ACT","FQ4 2023","FQ4 2023","Currency=USD","Period=FQ","BEST_FPERIOD_OVERRIDE=FQ","FILING_STATUS=MR","SCALING_FORMAT=MLN","Sort=A","Dates=H","DateFormat=P","Fill=—","Direction=H","UseDPDF=Y")</f>
        <v>3.786</v>
      </c>
      <c r="X37" s="19">
        <f>_xll.BDH("BLUE US Equity","CF_CASH_FROM_INV_ACT","FQ1 2024","FQ1 2024","Currency=USD","Period=FQ","BEST_FPERIOD_OVERRIDE=FQ","FILING_STATUS=MR","SCALING_FORMAT=MLN","Sort=A","Dates=H","DateFormat=P","Fill=—","Direction=H","UseDPDF=Y")</f>
        <v>-0.65500000000000003</v>
      </c>
      <c r="Y37" s="19">
        <f>_xll.BDH("BLUE US Equity","CF_CASH_FROM_INV_ACT","FQ2 2024","FQ2 2024","Currency=USD","Period=FQ","BEST_FPERIOD_OVERRIDE=FQ","FILING_STATUS=MR","SCALING_FORMAT=MLN","Sort=A","Dates=H","DateFormat=P","Fill=—","Direction=H","UseDPDF=Y")</f>
        <v>1.621</v>
      </c>
      <c r="Z37" s="19">
        <f>_xll.BDH("BLUE US Equity","CF_CASH_FROM_INV_ACT","FQ3 2024","FQ3 2024","Currency=USD","Period=FQ","BEST_FPERIOD_OVERRIDE=FQ","FILING_STATUS=MR","SCALING_FORMAT=MLN","Sort=A","Dates=H","DateFormat=P","Fill=—","Direction=H","UseDPDF=Y")</f>
        <v>0.46600000000000003</v>
      </c>
      <c r="AA37" s="19">
        <f>_xll.BDH("BLUE US Equity","CF_CASH_FROM_INV_ACT","FQ4 2024","FQ4 2024","Currency=USD","Period=FQ","BEST_FPERIOD_OVERRIDE=FQ","FILING_STATUS=MR","SCALING_FORMAT=MLN","Sort=A","Dates=H","DateFormat=P","Fill=—","Direction=H","UseDPDF=Y")</f>
        <v>2.4649999999999999</v>
      </c>
    </row>
    <row r="38" spans="1:27" x14ac:dyDescent="0.25">
      <c r="A38" s="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6" t="s">
        <v>1129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0" t="s">
        <v>1130</v>
      </c>
      <c r="B40" s="10" t="s">
        <v>1131</v>
      </c>
      <c r="C40" s="13">
        <f>_xll.BDH("BLUE US Equity","CF_DVD_PAID","FQ4 2018","FQ4 2018","Currency=USD","Period=FQ","BEST_FPERIOD_OVERRIDE=FQ","FILING_STATUS=MR","SCALING_FORMAT=MLN","Sort=A","Dates=H","DateFormat=P","Fill=—","Direction=H","UseDPDF=Y")</f>
        <v>0</v>
      </c>
      <c r="D40" s="13">
        <f>_xll.BDH("BLUE US Equity","CF_DVD_PAID","FQ1 2019","FQ1 2019","Currency=USD","Period=FQ","BEST_FPERIOD_OVERRIDE=FQ","FILING_STATUS=MR","SCALING_FORMAT=MLN","Sort=A","Dates=H","DateFormat=P","Fill=—","Direction=H","UseDPDF=Y")</f>
        <v>0</v>
      </c>
      <c r="E40" s="13">
        <f>_xll.BDH("BLUE US Equity","CF_DVD_PAID","FQ2 2019","FQ2 2019","Currency=USD","Period=FQ","BEST_FPERIOD_OVERRIDE=FQ","FILING_STATUS=MR","SCALING_FORMAT=MLN","Sort=A","Dates=H","DateFormat=P","Fill=—","Direction=H","UseDPDF=Y")</f>
        <v>0</v>
      </c>
      <c r="F40" s="13">
        <f>_xll.BDH("BLUE US Equity","CF_DVD_PAID","FQ3 2019","FQ3 2019","Currency=USD","Period=FQ","BEST_FPERIOD_OVERRIDE=FQ","FILING_STATUS=MR","SCALING_FORMAT=MLN","Sort=A","Dates=H","DateFormat=P","Fill=—","Direction=H","UseDPDF=Y")</f>
        <v>0</v>
      </c>
      <c r="G40" s="13">
        <f>_xll.BDH("BLUE US Equity","CF_DVD_PAID","FQ4 2019","FQ4 2019","Currency=USD","Period=FQ","BEST_FPERIOD_OVERRIDE=FQ","FILING_STATUS=MR","SCALING_FORMAT=MLN","Sort=A","Dates=H","DateFormat=P","Fill=—","Direction=H","UseDPDF=Y")</f>
        <v>0</v>
      </c>
      <c r="H40" s="13">
        <f>_xll.BDH("BLUE US Equity","CF_DVD_PAID","FQ1 2020","FQ1 2020","Currency=USD","Period=FQ","BEST_FPERIOD_OVERRIDE=FQ","FILING_STATUS=MR","SCALING_FORMAT=MLN","Sort=A","Dates=H","DateFormat=P","Fill=—","Direction=H","UseDPDF=Y")</f>
        <v>0</v>
      </c>
      <c r="I40" s="13">
        <f>_xll.BDH("BLUE US Equity","CF_DVD_PAID","FQ2 2020","FQ2 2020","Currency=USD","Period=FQ","BEST_FPERIOD_OVERRIDE=FQ","FILING_STATUS=MR","SCALING_FORMAT=MLN","Sort=A","Dates=H","DateFormat=P","Fill=—","Direction=H","UseDPDF=Y")</f>
        <v>0</v>
      </c>
      <c r="J40" s="13">
        <f>_xll.BDH("BLUE US Equity","CF_DVD_PAID","FQ3 2020","FQ3 2020","Currency=USD","Period=FQ","BEST_FPERIOD_OVERRIDE=FQ","FILING_STATUS=MR","SCALING_FORMAT=MLN","Sort=A","Dates=H","DateFormat=P","Fill=—","Direction=H","UseDPDF=Y")</f>
        <v>0</v>
      </c>
      <c r="K40" s="13">
        <f>_xll.BDH("BLUE US Equity","CF_DVD_PAID","FQ4 2020","FQ4 2020","Currency=USD","Period=FQ","BEST_FPERIOD_OVERRIDE=FQ","FILING_STATUS=MR","SCALING_FORMAT=MLN","Sort=A","Dates=H","DateFormat=P","Fill=—","Direction=H","UseDPDF=Y")</f>
        <v>0</v>
      </c>
      <c r="L40" s="13">
        <f>_xll.BDH("BLUE US Equity","CF_DVD_PAID","FQ1 2021","FQ1 2021","Currency=USD","Period=FQ","BEST_FPERIOD_OVERRIDE=FQ","FILING_STATUS=MR","SCALING_FORMAT=MLN","Sort=A","Dates=H","DateFormat=P","Fill=—","Direction=H","UseDPDF=Y")</f>
        <v>0</v>
      </c>
      <c r="M40" s="13">
        <f>_xll.BDH("BLUE US Equity","CF_DVD_PAID","FQ2 2021","FQ2 2021","Currency=USD","Period=FQ","BEST_FPERIOD_OVERRIDE=FQ","FILING_STATUS=MR","SCALING_FORMAT=MLN","Sort=A","Dates=H","DateFormat=P","Fill=—","Direction=H","UseDPDF=Y")</f>
        <v>0</v>
      </c>
      <c r="N40" s="13">
        <f>_xll.BDH("BLUE US Equity","CF_DVD_PAID","FQ3 2021","FQ3 2021","Currency=USD","Period=FQ","BEST_FPERIOD_OVERRIDE=FQ","FILING_STATUS=MR","SCALING_FORMAT=MLN","Sort=A","Dates=H","DateFormat=P","Fill=—","Direction=H","UseDPDF=Y")</f>
        <v>0</v>
      </c>
      <c r="O40" s="13">
        <f>_xll.BDH("BLUE US Equity","CF_DVD_PAID","FQ4 2021","FQ4 2021","Currency=USD","Period=FQ","BEST_FPERIOD_OVERRIDE=FQ","FILING_STATUS=MR","SCALING_FORMAT=MLN","Sort=A","Dates=H","DateFormat=P","Fill=—","Direction=H","UseDPDF=Y")</f>
        <v>0</v>
      </c>
      <c r="P40" s="13">
        <f>_xll.BDH("BLUE US Equity","CF_DVD_PAID","FQ1 2022","FQ1 2022","Currency=USD","Period=FQ","BEST_FPERIOD_OVERRIDE=FQ","FILING_STATUS=MR","SCALING_FORMAT=MLN","Sort=A","Dates=H","DateFormat=P","Fill=—","Direction=H","UseDPDF=Y")</f>
        <v>0</v>
      </c>
      <c r="Q40" s="13">
        <f>_xll.BDH("BLUE US Equity","CF_DVD_PAID","FQ2 2022","FQ2 2022","Currency=USD","Period=FQ","BEST_FPERIOD_OVERRIDE=FQ","FILING_STATUS=MR","SCALING_FORMAT=MLN","Sort=A","Dates=H","DateFormat=P","Fill=—","Direction=H","UseDPDF=Y")</f>
        <v>0</v>
      </c>
      <c r="R40" s="13">
        <f>_xll.BDH("BLUE US Equity","CF_DVD_PAID","FQ3 2022","FQ3 2022","Currency=USD","Period=FQ","BEST_FPERIOD_OVERRIDE=FQ","FILING_STATUS=MR","SCALING_FORMAT=MLN","Sort=A","Dates=H","DateFormat=P","Fill=—","Direction=H","UseDPDF=Y")</f>
        <v>0</v>
      </c>
      <c r="S40" s="13">
        <f>_xll.BDH("BLUE US Equity","CF_DVD_PAID","FQ4 2022","FQ4 2022","Currency=USD","Period=FQ","BEST_FPERIOD_OVERRIDE=FQ","FILING_STATUS=MR","SCALING_FORMAT=MLN","Sort=A","Dates=H","DateFormat=P","Fill=—","Direction=H","UseDPDF=Y")</f>
        <v>0</v>
      </c>
      <c r="T40" s="13">
        <f>_xll.BDH("BLUE US Equity","CF_DVD_PAID","FQ1 2023","FQ1 2023","Currency=USD","Period=FQ","BEST_FPERIOD_OVERRIDE=FQ","FILING_STATUS=MR","SCALING_FORMAT=MLN","Sort=A","Dates=H","DateFormat=P","Fill=—","Direction=H","UseDPDF=Y")</f>
        <v>0</v>
      </c>
      <c r="U40" s="13">
        <f>_xll.BDH("BLUE US Equity","CF_DVD_PAID","FQ2 2023","FQ2 2023","Currency=USD","Period=FQ","BEST_FPERIOD_OVERRIDE=FQ","FILING_STATUS=MR","SCALING_FORMAT=MLN","Sort=A","Dates=H","DateFormat=P","Fill=—","Direction=H","UseDPDF=Y")</f>
        <v>0</v>
      </c>
      <c r="V40" s="13">
        <f>_xll.BDH("BLUE US Equity","CF_DVD_PAID","FQ3 2023","FQ3 2023","Currency=USD","Period=FQ","BEST_FPERIOD_OVERRIDE=FQ","FILING_STATUS=MR","SCALING_FORMAT=MLN","Sort=A","Dates=H","DateFormat=P","Fill=—","Direction=H","UseDPDF=Y")</f>
        <v>0</v>
      </c>
      <c r="W40" s="13">
        <f>_xll.BDH("BLUE US Equity","CF_DVD_PAID","FQ4 2023","FQ4 2023","Currency=USD","Period=FQ","BEST_FPERIOD_OVERRIDE=FQ","FILING_STATUS=MR","SCALING_FORMAT=MLN","Sort=A","Dates=H","DateFormat=P","Fill=—","Direction=H","UseDPDF=Y")</f>
        <v>0</v>
      </c>
      <c r="X40" s="13">
        <f>_xll.BDH("BLUE US Equity","CF_DVD_PAID","FQ1 2024","FQ1 2024","Currency=USD","Period=FQ","BEST_FPERIOD_OVERRIDE=FQ","FILING_STATUS=MR","SCALING_FORMAT=MLN","Sort=A","Dates=H","DateFormat=P","Fill=—","Direction=H","UseDPDF=Y")</f>
        <v>0</v>
      </c>
      <c r="Y40" s="13">
        <f>_xll.BDH("BLUE US Equity","CF_DVD_PAID","FQ2 2024","FQ2 2024","Currency=USD","Period=FQ","BEST_FPERIOD_OVERRIDE=FQ","FILING_STATUS=MR","SCALING_FORMAT=MLN","Sort=A","Dates=H","DateFormat=P","Fill=—","Direction=H","UseDPDF=Y")</f>
        <v>0</v>
      </c>
      <c r="Z40" s="13">
        <f>_xll.BDH("BLUE US Equity","CF_DVD_PAID","FQ3 2024","FQ3 2024","Currency=USD","Period=FQ","BEST_FPERIOD_OVERRIDE=FQ","FILING_STATUS=MR","SCALING_FORMAT=MLN","Sort=A","Dates=H","DateFormat=P","Fill=—","Direction=H","UseDPDF=Y")</f>
        <v>0</v>
      </c>
      <c r="AA40" s="13">
        <f>_xll.BDH("BLUE US Equity","CF_DVD_PAID","FQ4 2024","FQ4 2024","Currency=USD","Period=FQ","BEST_FPERIOD_OVERRIDE=FQ","FILING_STATUS=MR","SCALING_FORMAT=MLN","Sort=A","Dates=H","DateFormat=P","Fill=—","Direction=H","UseDPDF=Y")</f>
        <v>0</v>
      </c>
    </row>
    <row r="41" spans="1:27" x14ac:dyDescent="0.25">
      <c r="A41" s="10" t="s">
        <v>1132</v>
      </c>
      <c r="B41" s="10" t="s">
        <v>1133</v>
      </c>
      <c r="C41" s="13">
        <f>_xll.BDH("BLUE US Equity","PROC_FR_REPAYMNTS_BOR_DETAILED","FQ4 2018","FQ4 2018","Currency=USD","Period=FQ","BEST_FPERIOD_OVERRIDE=FQ","FILING_STATUS=MR","SCALING_FORMAT=MLN","Sort=A","Dates=H","DateFormat=P","Fill=—","Direction=H","UseDPDF=Y")</f>
        <v>0</v>
      </c>
      <c r="D41" s="13">
        <f>_xll.BDH("BLUE US Equity","PROC_FR_REPAYMNTS_BOR_DETAILED","FQ1 2019","FQ1 2019","Currency=USD","Period=FQ","BEST_FPERIOD_OVERRIDE=FQ","FILING_STATUS=MR","SCALING_FORMAT=MLN","Sort=A","Dates=H","DateFormat=P","Fill=—","Direction=H","UseDPDF=Y")</f>
        <v>0</v>
      </c>
      <c r="E41" s="13">
        <f>_xll.BDH("BLUE US Equity","PROC_FR_REPAYMNTS_BOR_DETAILED","FQ2 2019","FQ2 2019","Currency=USD","Period=FQ","BEST_FPERIOD_OVERRIDE=FQ","FILING_STATUS=MR","SCALING_FORMAT=MLN","Sort=A","Dates=H","DateFormat=P","Fill=—","Direction=H","UseDPDF=Y")</f>
        <v>0</v>
      </c>
      <c r="F41" s="13">
        <f>_xll.BDH("BLUE US Equity","PROC_FR_REPAYMNTS_BOR_DETAILED","FQ3 2019","FQ3 2019","Currency=USD","Period=FQ","BEST_FPERIOD_OVERRIDE=FQ","FILING_STATUS=MR","SCALING_FORMAT=MLN","Sort=A","Dates=H","DateFormat=P","Fill=—","Direction=H","UseDPDF=Y")</f>
        <v>0</v>
      </c>
      <c r="G41" s="13">
        <f>_xll.BDH("BLUE US Equity","PROC_FR_REPAYMNTS_BOR_DETAILED","FQ4 2019","FQ4 2019","Currency=USD","Period=FQ","BEST_FPERIOD_OVERRIDE=FQ","FILING_STATUS=MR","SCALING_FORMAT=MLN","Sort=A","Dates=H","DateFormat=P","Fill=—","Direction=H","UseDPDF=Y")</f>
        <v>0</v>
      </c>
      <c r="H41" s="13">
        <f>_xll.BDH("BLUE US Equity","PROC_FR_REPAYMNTS_BOR_DETAILED","FQ1 2020","FQ1 2020","Currency=USD","Period=FQ","BEST_FPERIOD_OVERRIDE=FQ","FILING_STATUS=MR","SCALING_FORMAT=MLN","Sort=A","Dates=H","DateFormat=P","Fill=—","Direction=H","UseDPDF=Y")</f>
        <v>0</v>
      </c>
      <c r="I41" s="13">
        <f>_xll.BDH("BLUE US Equity","PROC_FR_REPAYMNTS_BOR_DETAILED","FQ2 2020","FQ2 2020","Currency=USD","Period=FQ","BEST_FPERIOD_OVERRIDE=FQ","FILING_STATUS=MR","SCALING_FORMAT=MLN","Sort=A","Dates=H","DateFormat=P","Fill=—","Direction=H","UseDPDF=Y")</f>
        <v>0</v>
      </c>
      <c r="J41" s="13">
        <f>_xll.BDH("BLUE US Equity","PROC_FR_REPAYMNTS_BOR_DETAILED","FQ3 2020","FQ3 2020","Currency=USD","Period=FQ","BEST_FPERIOD_OVERRIDE=FQ","FILING_STATUS=MR","SCALING_FORMAT=MLN","Sort=A","Dates=H","DateFormat=P","Fill=—","Direction=H","UseDPDF=Y")</f>
        <v>0</v>
      </c>
      <c r="K41" s="13">
        <f>_xll.BDH("BLUE US Equity","PROC_FR_REPAYMNTS_BOR_DETAILED","FQ4 2020","FQ4 2020","Currency=USD","Period=FQ","BEST_FPERIOD_OVERRIDE=FQ","FILING_STATUS=MR","SCALING_FORMAT=MLN","Sort=A","Dates=H","DateFormat=P","Fill=—","Direction=H","UseDPDF=Y")</f>
        <v>0</v>
      </c>
      <c r="L41" s="13">
        <f>_xll.BDH("BLUE US Equity","PROC_FR_REPAYMNTS_BOR_DETAILED","FQ1 2021","FQ1 2021","Currency=USD","Period=FQ","BEST_FPERIOD_OVERRIDE=FQ","FILING_STATUS=MR","SCALING_FORMAT=MLN","Sort=A","Dates=H","DateFormat=P","Fill=—","Direction=H","UseDPDF=Y")</f>
        <v>0</v>
      </c>
      <c r="M41" s="13">
        <f>_xll.BDH("BLUE US Equity","PROC_FR_REPAYMNTS_BOR_DETAILED","FQ2 2021","FQ2 2021","Currency=USD","Period=FQ","BEST_FPERIOD_OVERRIDE=FQ","FILING_STATUS=MR","SCALING_FORMAT=MLN","Sort=A","Dates=H","DateFormat=P","Fill=—","Direction=H","UseDPDF=Y")</f>
        <v>0</v>
      </c>
      <c r="N41" s="13">
        <f>_xll.BDH("BLUE US Equity","PROC_FR_REPAYMNTS_BOR_DETAILED","FQ3 2021","FQ3 2021","Currency=USD","Period=FQ","BEST_FPERIOD_OVERRIDE=FQ","FILING_STATUS=MR","SCALING_FORMAT=MLN","Sort=A","Dates=H","DateFormat=P","Fill=—","Direction=H","UseDPDF=Y")</f>
        <v>0</v>
      </c>
      <c r="O41" s="13">
        <f>_xll.BDH("BLUE US Equity","PROC_FR_REPAYMNTS_BOR_DETAILED","FQ4 2021","FQ4 2021","Currency=USD","Period=FQ","BEST_FPERIOD_OVERRIDE=FQ","FILING_STATUS=MR","SCALING_FORMAT=MLN","Sort=A","Dates=H","DateFormat=P","Fill=—","Direction=H","UseDPDF=Y")</f>
        <v>0</v>
      </c>
      <c r="P41" s="13">
        <f>_xll.BDH("BLUE US Equity","PROC_FR_REPAYMNTS_BOR_DETAILED","FQ1 2022","FQ1 2022","Currency=USD","Period=FQ","BEST_FPERIOD_OVERRIDE=FQ","FILING_STATUS=MR","SCALING_FORMAT=MLN","Sort=A","Dates=H","DateFormat=P","Fill=—","Direction=H","UseDPDF=Y")</f>
        <v>0</v>
      </c>
      <c r="Q41" s="13">
        <f>_xll.BDH("BLUE US Equity","PROC_FR_REPAYMNTS_BOR_DETAILED","FQ2 2022","FQ2 2022","Currency=USD","Period=FQ","BEST_FPERIOD_OVERRIDE=FQ","FILING_STATUS=MR","SCALING_FORMAT=MLN","Sort=A","Dates=H","DateFormat=P","Fill=—","Direction=H","UseDPDF=Y")</f>
        <v>0</v>
      </c>
      <c r="R41" s="13">
        <f>_xll.BDH("BLUE US Equity","PROC_FR_REPAYMNTS_BOR_DETAILED","FQ3 2022","FQ3 2022","Currency=USD","Period=FQ","BEST_FPERIOD_OVERRIDE=FQ","FILING_STATUS=MR","SCALING_FORMAT=MLN","Sort=A","Dates=H","DateFormat=P","Fill=—","Direction=H","UseDPDF=Y")</f>
        <v>0</v>
      </c>
      <c r="S41" s="13">
        <f>_xll.BDH("BLUE US Equity","PROC_FR_REPAYMNTS_BOR_DETAILED","FQ4 2022","FQ4 2022","Currency=USD","Period=FQ","BEST_FPERIOD_OVERRIDE=FQ","FILING_STATUS=MR","SCALING_FORMAT=MLN","Sort=A","Dates=H","DateFormat=P","Fill=—","Direction=H","UseDPDF=Y")</f>
        <v>-36.734000000000002</v>
      </c>
      <c r="T41" s="13">
        <f>_xll.BDH("BLUE US Equity","PROC_FR_REPAYMNTS_BOR_DETAILED","FQ1 2023","FQ1 2023","Currency=USD","Period=FQ","BEST_FPERIOD_OVERRIDE=FQ","FILING_STATUS=MR","SCALING_FORMAT=MLN","Sort=A","Dates=H","DateFormat=P","Fill=—","Direction=H","UseDPDF=Y")</f>
        <v>-15.28</v>
      </c>
      <c r="U41" s="13">
        <f>_xll.BDH("BLUE US Equity","PROC_FR_REPAYMNTS_BOR_DETAILED","FQ2 2023","FQ2 2023","Currency=USD","Period=FQ","BEST_FPERIOD_OVERRIDE=FQ","FILING_STATUS=MR","SCALING_FORMAT=MLN","Sort=A","Dates=H","DateFormat=P","Fill=—","Direction=H","UseDPDF=Y")</f>
        <v>-13.224</v>
      </c>
      <c r="V41" s="13">
        <f>_xll.BDH("BLUE US Equity","PROC_FR_REPAYMNTS_BOR_DETAILED","FQ3 2023","FQ3 2023","Currency=USD","Period=FQ","BEST_FPERIOD_OVERRIDE=FQ","FILING_STATUS=MR","SCALING_FORMAT=MLN","Sort=A","Dates=H","DateFormat=P","Fill=—","Direction=H","UseDPDF=Y")</f>
        <v>-11.795</v>
      </c>
      <c r="W41" s="13">
        <f>_xll.BDH("BLUE US Equity","PROC_FR_REPAYMNTS_BOR_DETAILED","FQ4 2023","FQ4 2023","Currency=USD","Period=FQ","BEST_FPERIOD_OVERRIDE=FQ","FILING_STATUS=MR","SCALING_FORMAT=MLN","Sort=A","Dates=H","DateFormat=P","Fill=—","Direction=H","UseDPDF=Y")</f>
        <v>-54.366999999999997</v>
      </c>
      <c r="X41" s="13">
        <f>_xll.BDH("BLUE US Equity","PROC_FR_REPAYMNTS_BOR_DETAILED","FQ1 2024","FQ1 2024","Currency=USD","Period=FQ","BEST_FPERIOD_OVERRIDE=FQ","FILING_STATUS=MR","SCALING_FORMAT=MLN","Sort=A","Dates=H","DateFormat=P","Fill=—","Direction=H","UseDPDF=Y")</f>
        <v>-21.791</v>
      </c>
      <c r="Y41" s="13">
        <f>_xll.BDH("BLUE US Equity","PROC_FR_REPAYMNTS_BOR_DETAILED","FQ2 2024","FQ2 2024","Currency=USD","Period=FQ","BEST_FPERIOD_OVERRIDE=FQ","FILING_STATUS=MR","SCALING_FORMAT=MLN","Sort=A","Dates=H","DateFormat=P","Fill=—","Direction=H","UseDPDF=Y")</f>
        <v>-26.760999999999999</v>
      </c>
      <c r="Z41" s="13">
        <f>_xll.BDH("BLUE US Equity","PROC_FR_REPAYMNTS_BOR_DETAILED","FQ3 2024","FQ3 2024","Currency=USD","Period=FQ","BEST_FPERIOD_OVERRIDE=FQ","FILING_STATUS=MR","SCALING_FORMAT=MLN","Sort=A","Dates=H","DateFormat=P","Fill=—","Direction=H","UseDPDF=Y")</f>
        <v>-20.931000000000001</v>
      </c>
      <c r="AA41" s="13">
        <f>_xll.BDH("BLUE US Equity","PROC_FR_REPAYMNTS_BOR_DETAILED","FQ4 2024","FQ4 2024","Currency=USD","Period=FQ","BEST_FPERIOD_OVERRIDE=FQ","FILING_STATUS=MR","SCALING_FORMAT=MLN","Sort=A","Dates=H","DateFormat=P","Fill=—","Direction=H","UseDPDF=Y")</f>
        <v>-16.466999999999999</v>
      </c>
    </row>
    <row r="42" spans="1:27" x14ac:dyDescent="0.25">
      <c r="A42" s="10" t="s">
        <v>1134</v>
      </c>
      <c r="B42" s="10" t="s">
        <v>1135</v>
      </c>
      <c r="C42" s="13">
        <f>_xll.BDH("BLUE US Equity","CF_NET_CHG_ST_DEBT_CPTL_LEAS","FQ4 2018","FQ4 2018","Currency=USD","Period=FQ","BEST_FPERIOD_OVERRIDE=FQ","FILING_STATUS=MR","SCALING_FORMAT=MLN","Sort=A","Dates=H","DateFormat=P","Fill=—","Direction=H","UseDPDF=Y")</f>
        <v>0</v>
      </c>
      <c r="D42" s="13">
        <f>_xll.BDH("BLUE US Equity","CF_NET_CHG_ST_DEBT_CPTL_LEAS","FQ1 2019","FQ1 2019","Currency=USD","Period=FQ","BEST_FPERIOD_OVERRIDE=FQ","FILING_STATUS=MR","SCALING_FORMAT=MLN","Sort=A","Dates=H","DateFormat=P","Fill=—","Direction=H","UseDPDF=Y")</f>
        <v>0</v>
      </c>
      <c r="E42" s="13" t="str">
        <f>_xll.BDH("BLUE US Equity","CF_NET_CHG_ST_DEBT_CPTL_LEAS","FQ2 2019","FQ2 2019","Currency=USD","Period=FQ","BEST_FPERIOD_OVERRIDE=FQ","FILING_STATUS=MR","SCALING_FORMAT=MLN","Sort=A","Dates=H","DateFormat=P","Fill=—","Direction=H","UseDPDF=Y")</f>
        <v>—</v>
      </c>
      <c r="F42" s="13">
        <f>_xll.BDH("BLUE US Equity","CF_NET_CHG_ST_DEBT_CPTL_LEAS","FQ3 2019","FQ3 2019","Currency=USD","Period=FQ","BEST_FPERIOD_OVERRIDE=FQ","FILING_STATUS=MR","SCALING_FORMAT=MLN","Sort=A","Dates=H","DateFormat=P","Fill=—","Direction=H","UseDPDF=Y")</f>
        <v>0</v>
      </c>
      <c r="G42" s="13" t="str">
        <f>_xll.BDH("BLUE US Equity","CF_NET_CHG_ST_DEBT_CPTL_LEAS","FQ4 2019","FQ4 2019","Currency=USD","Period=FQ","BEST_FPERIOD_OVERRIDE=FQ","FILING_STATUS=MR","SCALING_FORMAT=MLN","Sort=A","Dates=H","DateFormat=P","Fill=—","Direction=H","UseDPDF=Y")</f>
        <v>—</v>
      </c>
      <c r="H42" s="13">
        <f>_xll.BDH("BLUE US Equity","CF_NET_CHG_ST_DEBT_CPTL_LEAS","FQ1 2020","FQ1 2020","Currency=USD","Period=FQ","BEST_FPERIOD_OVERRIDE=FQ","FILING_STATUS=MR","SCALING_FORMAT=MLN","Sort=A","Dates=H","DateFormat=P","Fill=—","Direction=H","UseDPDF=Y")</f>
        <v>0</v>
      </c>
      <c r="I42" s="13">
        <f>_xll.BDH("BLUE US Equity","CF_NET_CHG_ST_DEBT_CPTL_LEAS","FQ2 2020","FQ2 2020","Currency=USD","Period=FQ","BEST_FPERIOD_OVERRIDE=FQ","FILING_STATUS=MR","SCALING_FORMAT=MLN","Sort=A","Dates=H","DateFormat=P","Fill=—","Direction=H","UseDPDF=Y")</f>
        <v>0</v>
      </c>
      <c r="J42" s="13">
        <f>_xll.BDH("BLUE US Equity","CF_NET_CHG_ST_DEBT_CPTL_LEAS","FQ3 2020","FQ3 2020","Currency=USD","Period=FQ","BEST_FPERIOD_OVERRIDE=FQ","FILING_STATUS=MR","SCALING_FORMAT=MLN","Sort=A","Dates=H","DateFormat=P","Fill=—","Direction=H","UseDPDF=Y")</f>
        <v>0</v>
      </c>
      <c r="K42" s="13">
        <f>_xll.BDH("BLUE US Equity","CF_NET_CHG_ST_DEBT_CPTL_LEAS","FQ4 2020","FQ4 2020","Currency=USD","Period=FQ","BEST_FPERIOD_OVERRIDE=FQ","FILING_STATUS=MR","SCALING_FORMAT=MLN","Sort=A","Dates=H","DateFormat=P","Fill=—","Direction=H","UseDPDF=Y")</f>
        <v>0</v>
      </c>
      <c r="L42" s="13">
        <f>_xll.BDH("BLUE US Equity","CF_NET_CHG_ST_DEBT_CPTL_LEAS","FQ1 2021","FQ1 2021","Currency=USD","Period=FQ","BEST_FPERIOD_OVERRIDE=FQ","FILING_STATUS=MR","SCALING_FORMAT=MLN","Sort=A","Dates=H","DateFormat=P","Fill=—","Direction=H","UseDPDF=Y")</f>
        <v>0</v>
      </c>
      <c r="M42" s="13">
        <f>_xll.BDH("BLUE US Equity","CF_NET_CHG_ST_DEBT_CPTL_LEAS","FQ2 2021","FQ2 2021","Currency=USD","Period=FQ","BEST_FPERIOD_OVERRIDE=FQ","FILING_STATUS=MR","SCALING_FORMAT=MLN","Sort=A","Dates=H","DateFormat=P","Fill=—","Direction=H","UseDPDF=Y")</f>
        <v>0</v>
      </c>
      <c r="N42" s="13">
        <f>_xll.BDH("BLUE US Equity","CF_NET_CHG_ST_DEBT_CPTL_LEAS","FQ3 2021","FQ3 2021","Currency=USD","Period=FQ","BEST_FPERIOD_OVERRIDE=FQ","FILING_STATUS=MR","SCALING_FORMAT=MLN","Sort=A","Dates=H","DateFormat=P","Fill=—","Direction=H","UseDPDF=Y")</f>
        <v>0</v>
      </c>
      <c r="O42" s="13">
        <f>_xll.BDH("BLUE US Equity","CF_NET_CHG_ST_DEBT_CPTL_LEAS","FQ4 2021","FQ4 2021","Currency=USD","Period=FQ","BEST_FPERIOD_OVERRIDE=FQ","FILING_STATUS=MR","SCALING_FORMAT=MLN","Sort=A","Dates=H","DateFormat=P","Fill=—","Direction=H","UseDPDF=Y")</f>
        <v>0</v>
      </c>
      <c r="P42" s="13">
        <f>_xll.BDH("BLUE US Equity","CF_NET_CHG_ST_DEBT_CPTL_LEAS","FQ1 2022","FQ1 2022","Currency=USD","Period=FQ","BEST_FPERIOD_OVERRIDE=FQ","FILING_STATUS=MR","SCALING_FORMAT=MLN","Sort=A","Dates=H","DateFormat=P","Fill=—","Direction=H","UseDPDF=Y")</f>
        <v>0</v>
      </c>
      <c r="Q42" s="13">
        <f>_xll.BDH("BLUE US Equity","CF_NET_CHG_ST_DEBT_CPTL_LEAS","FQ2 2022","FQ2 2022","Currency=USD","Period=FQ","BEST_FPERIOD_OVERRIDE=FQ","FILING_STATUS=MR","SCALING_FORMAT=MLN","Sort=A","Dates=H","DateFormat=P","Fill=—","Direction=H","UseDPDF=Y")</f>
        <v>0</v>
      </c>
      <c r="R42" s="13">
        <f>_xll.BDH("BLUE US Equity","CF_NET_CHG_ST_DEBT_CPTL_LEAS","FQ3 2022","FQ3 2022","Currency=USD","Period=FQ","BEST_FPERIOD_OVERRIDE=FQ","FILING_STATUS=MR","SCALING_FORMAT=MLN","Sort=A","Dates=H","DateFormat=P","Fill=—","Direction=H","UseDPDF=Y")</f>
        <v>0</v>
      </c>
      <c r="S42" s="13">
        <f>_xll.BDH("BLUE US Equity","CF_NET_CHG_ST_DEBT_CPTL_LEAS","FQ4 2022","FQ4 2022","Currency=USD","Period=FQ","BEST_FPERIOD_OVERRIDE=FQ","FILING_STATUS=MR","SCALING_FORMAT=MLN","Sort=A","Dates=H","DateFormat=P","Fill=—","Direction=H","UseDPDF=Y")</f>
        <v>0</v>
      </c>
      <c r="T42" s="13" t="str">
        <f>_xll.BDH("BLUE US Equity","CF_NET_CHG_ST_DEBT_CPTL_LEAS","FQ1 2023","FQ1 2023","Currency=USD","Period=FQ","BEST_FPERIOD_OVERRIDE=FQ","FILING_STATUS=MR","SCALING_FORMAT=MLN","Sort=A","Dates=H","DateFormat=P","Fill=—","Direction=H","UseDPDF=Y")</f>
        <v>—</v>
      </c>
      <c r="U42" s="13">
        <f>_xll.BDH("BLUE US Equity","CF_NET_CHG_ST_DEBT_CPTL_LEAS","FQ2 2023","FQ2 2023","Currency=USD","Period=FQ","BEST_FPERIOD_OVERRIDE=FQ","FILING_STATUS=MR","SCALING_FORMAT=MLN","Sort=A","Dates=H","DateFormat=P","Fill=—","Direction=H","UseDPDF=Y")</f>
        <v>0</v>
      </c>
      <c r="V42" s="13" t="str">
        <f>_xll.BDH("BLUE US Equity","CF_NET_CHG_ST_DEBT_CPTL_LEAS","FQ3 2023","FQ3 2023","Currency=USD","Period=FQ","BEST_FPERIOD_OVERRIDE=FQ","FILING_STATUS=MR","SCALING_FORMAT=MLN","Sort=A","Dates=H","DateFormat=P","Fill=—","Direction=H","UseDPDF=Y")</f>
        <v>—</v>
      </c>
      <c r="W42" s="13">
        <f>_xll.BDH("BLUE US Equity","CF_NET_CHG_ST_DEBT_CPTL_LEAS","FQ4 2023","FQ4 2023","Currency=USD","Period=FQ","BEST_FPERIOD_OVERRIDE=FQ","FILING_STATUS=MR","SCALING_FORMAT=MLN","Sort=A","Dates=H","DateFormat=P","Fill=—","Direction=H","UseDPDF=Y")</f>
        <v>0</v>
      </c>
      <c r="X42" s="13">
        <f>_xll.BDH("BLUE US Equity","CF_NET_CHG_ST_DEBT_CPTL_LEAS","FQ1 2024","FQ1 2024","Currency=USD","Period=FQ","BEST_FPERIOD_OVERRIDE=FQ","FILING_STATUS=MR","SCALING_FORMAT=MLN","Sort=A","Dates=H","DateFormat=P","Fill=—","Direction=H","UseDPDF=Y")</f>
        <v>0</v>
      </c>
      <c r="Y42" s="13">
        <f>_xll.BDH("BLUE US Equity","CF_NET_CHG_ST_DEBT_CPTL_LEAS","FQ2 2024","FQ2 2024","Currency=USD","Period=FQ","BEST_FPERIOD_OVERRIDE=FQ","FILING_STATUS=MR","SCALING_FORMAT=MLN","Sort=A","Dates=H","DateFormat=P","Fill=—","Direction=H","UseDPDF=Y")</f>
        <v>0</v>
      </c>
      <c r="Z42" s="13">
        <f>_xll.BDH("BLUE US Equity","CF_NET_CHG_ST_DEBT_CPTL_LEAS","FQ3 2024","FQ3 2024","Currency=USD","Period=FQ","BEST_FPERIOD_OVERRIDE=FQ","FILING_STATUS=MR","SCALING_FORMAT=MLN","Sort=A","Dates=H","DateFormat=P","Fill=—","Direction=H","UseDPDF=Y")</f>
        <v>0</v>
      </c>
      <c r="AA42" s="13">
        <f>_xll.BDH("BLUE US Equity","CF_NET_CHG_ST_DEBT_CPTL_LEAS","FQ4 2024","FQ4 2024","Currency=USD","Period=FQ","BEST_FPERIOD_OVERRIDE=FQ","FILING_STATUS=MR","SCALING_FORMAT=MLN","Sort=A","Dates=H","DateFormat=P","Fill=—","Direction=H","UseDPDF=Y")</f>
        <v>0</v>
      </c>
    </row>
    <row r="43" spans="1:27" x14ac:dyDescent="0.25">
      <c r="A43" s="10" t="s">
        <v>1136</v>
      </c>
      <c r="B43" s="10" t="s">
        <v>1137</v>
      </c>
      <c r="C43" s="13">
        <f>_xll.BDH("BLUE US Equity","CF_LT_DEBT_CAP_LEAS_PROCEEDS","FQ4 2018","FQ4 2018","Currency=USD","Period=FQ","BEST_FPERIOD_OVERRIDE=FQ","FILING_STATUS=MR","SCALING_FORMAT=MLN","Sort=A","Dates=H","DateFormat=P","Fill=—","Direction=H","UseDPDF=Y")</f>
        <v>0</v>
      </c>
      <c r="D43" s="13">
        <f>_xll.BDH("BLUE US Equity","CF_LT_DEBT_CAP_LEAS_PROCEEDS","FQ1 2019","FQ1 2019","Currency=USD","Period=FQ","BEST_FPERIOD_OVERRIDE=FQ","FILING_STATUS=MR","SCALING_FORMAT=MLN","Sort=A","Dates=H","DateFormat=P","Fill=—","Direction=H","UseDPDF=Y")</f>
        <v>0</v>
      </c>
      <c r="E43" s="13" t="str">
        <f>_xll.BDH("BLUE US Equity","CF_LT_DEBT_CAP_LEAS_PROCEEDS","FQ2 2019","FQ2 2019","Currency=USD","Period=FQ","BEST_FPERIOD_OVERRIDE=FQ","FILING_STATUS=MR","SCALING_FORMAT=MLN","Sort=A","Dates=H","DateFormat=P","Fill=—","Direction=H","UseDPDF=Y")</f>
        <v>—</v>
      </c>
      <c r="F43" s="13">
        <f>_xll.BDH("BLUE US Equity","CF_LT_DEBT_CAP_LEAS_PROCEEDS","FQ3 2019","FQ3 2019","Currency=USD","Period=FQ","BEST_FPERIOD_OVERRIDE=FQ","FILING_STATUS=MR","SCALING_FORMAT=MLN","Sort=A","Dates=H","DateFormat=P","Fill=—","Direction=H","UseDPDF=Y")</f>
        <v>0</v>
      </c>
      <c r="G43" s="13" t="str">
        <f>_xll.BDH("BLUE US Equity","CF_LT_DEBT_CAP_LEAS_PROCEEDS","FQ4 2019","FQ4 2019","Currency=USD","Period=FQ","BEST_FPERIOD_OVERRIDE=FQ","FILING_STATUS=MR","SCALING_FORMAT=MLN","Sort=A","Dates=H","DateFormat=P","Fill=—","Direction=H","UseDPDF=Y")</f>
        <v>—</v>
      </c>
      <c r="H43" s="13">
        <f>_xll.BDH("BLUE US Equity","CF_LT_DEBT_CAP_LEAS_PROCEEDS","FQ1 2020","FQ1 2020","Currency=USD","Period=FQ","BEST_FPERIOD_OVERRIDE=FQ","FILING_STATUS=MR","SCALING_FORMAT=MLN","Sort=A","Dates=H","DateFormat=P","Fill=—","Direction=H","UseDPDF=Y")</f>
        <v>0</v>
      </c>
      <c r="I43" s="13">
        <f>_xll.BDH("BLUE US Equity","CF_LT_DEBT_CAP_LEAS_PROCEEDS","FQ2 2020","FQ2 2020","Currency=USD","Period=FQ","BEST_FPERIOD_OVERRIDE=FQ","FILING_STATUS=MR","SCALING_FORMAT=MLN","Sort=A","Dates=H","DateFormat=P","Fill=—","Direction=H","UseDPDF=Y")</f>
        <v>0</v>
      </c>
      <c r="J43" s="13">
        <f>_xll.BDH("BLUE US Equity","CF_LT_DEBT_CAP_LEAS_PROCEEDS","FQ3 2020","FQ3 2020","Currency=USD","Period=FQ","BEST_FPERIOD_OVERRIDE=FQ","FILING_STATUS=MR","SCALING_FORMAT=MLN","Sort=A","Dates=H","DateFormat=P","Fill=—","Direction=H","UseDPDF=Y")</f>
        <v>0</v>
      </c>
      <c r="K43" s="13">
        <f>_xll.BDH("BLUE US Equity","CF_LT_DEBT_CAP_LEAS_PROCEEDS","FQ4 2020","FQ4 2020","Currency=USD","Period=FQ","BEST_FPERIOD_OVERRIDE=FQ","FILING_STATUS=MR","SCALING_FORMAT=MLN","Sort=A","Dates=H","DateFormat=P","Fill=—","Direction=H","UseDPDF=Y")</f>
        <v>0</v>
      </c>
      <c r="L43" s="13">
        <f>_xll.BDH("BLUE US Equity","CF_LT_DEBT_CAP_LEAS_PROCEEDS","FQ1 2021","FQ1 2021","Currency=USD","Period=FQ","BEST_FPERIOD_OVERRIDE=FQ","FILING_STATUS=MR","SCALING_FORMAT=MLN","Sort=A","Dates=H","DateFormat=P","Fill=—","Direction=H","UseDPDF=Y")</f>
        <v>0</v>
      </c>
      <c r="M43" s="13">
        <f>_xll.BDH("BLUE US Equity","CF_LT_DEBT_CAP_LEAS_PROCEEDS","FQ2 2021","FQ2 2021","Currency=USD","Period=FQ","BEST_FPERIOD_OVERRIDE=FQ","FILING_STATUS=MR","SCALING_FORMAT=MLN","Sort=A","Dates=H","DateFormat=P","Fill=—","Direction=H","UseDPDF=Y")</f>
        <v>0</v>
      </c>
      <c r="N43" s="13">
        <f>_xll.BDH("BLUE US Equity","CF_LT_DEBT_CAP_LEAS_PROCEEDS","FQ3 2021","FQ3 2021","Currency=USD","Period=FQ","BEST_FPERIOD_OVERRIDE=FQ","FILING_STATUS=MR","SCALING_FORMAT=MLN","Sort=A","Dates=H","DateFormat=P","Fill=—","Direction=H","UseDPDF=Y")</f>
        <v>0</v>
      </c>
      <c r="O43" s="13">
        <f>_xll.BDH("BLUE US Equity","CF_LT_DEBT_CAP_LEAS_PROCEEDS","FQ4 2021","FQ4 2021","Currency=USD","Period=FQ","BEST_FPERIOD_OVERRIDE=FQ","FILING_STATUS=MR","SCALING_FORMAT=MLN","Sort=A","Dates=H","DateFormat=P","Fill=—","Direction=H","UseDPDF=Y")</f>
        <v>0</v>
      </c>
      <c r="P43" s="13">
        <f>_xll.BDH("BLUE US Equity","CF_LT_DEBT_CAP_LEAS_PROCEEDS","FQ1 2022","FQ1 2022","Currency=USD","Period=FQ","BEST_FPERIOD_OVERRIDE=FQ","FILING_STATUS=MR","SCALING_FORMAT=MLN","Sort=A","Dates=H","DateFormat=P","Fill=—","Direction=H","UseDPDF=Y")</f>
        <v>0</v>
      </c>
      <c r="Q43" s="13">
        <f>_xll.BDH("BLUE US Equity","CF_LT_DEBT_CAP_LEAS_PROCEEDS","FQ2 2022","FQ2 2022","Currency=USD","Period=FQ","BEST_FPERIOD_OVERRIDE=FQ","FILING_STATUS=MR","SCALING_FORMAT=MLN","Sort=A","Dates=H","DateFormat=P","Fill=—","Direction=H","UseDPDF=Y")</f>
        <v>0</v>
      </c>
      <c r="R43" s="13">
        <f>_xll.BDH("BLUE US Equity","CF_LT_DEBT_CAP_LEAS_PROCEEDS","FQ3 2022","FQ3 2022","Currency=USD","Period=FQ","BEST_FPERIOD_OVERRIDE=FQ","FILING_STATUS=MR","SCALING_FORMAT=MLN","Sort=A","Dates=H","DateFormat=P","Fill=—","Direction=H","UseDPDF=Y")</f>
        <v>0</v>
      </c>
      <c r="S43" s="13">
        <f>_xll.BDH("BLUE US Equity","CF_LT_DEBT_CAP_LEAS_PROCEEDS","FQ4 2022","FQ4 2022","Currency=USD","Period=FQ","BEST_FPERIOD_OVERRIDE=FQ","FILING_STATUS=MR","SCALING_FORMAT=MLN","Sort=A","Dates=H","DateFormat=P","Fill=—","Direction=H","UseDPDF=Y")</f>
        <v>0</v>
      </c>
      <c r="T43" s="13">
        <f>_xll.BDH("BLUE US Equity","CF_LT_DEBT_CAP_LEAS_PROCEEDS","FQ1 2023","FQ1 2023","Currency=USD","Period=FQ","BEST_FPERIOD_OVERRIDE=FQ","FILING_STATUS=MR","SCALING_FORMAT=MLN","Sort=A","Dates=H","DateFormat=P","Fill=—","Direction=H","UseDPDF=Y")</f>
        <v>0</v>
      </c>
      <c r="U43" s="13">
        <f>_xll.BDH("BLUE US Equity","CF_LT_DEBT_CAP_LEAS_PROCEEDS","FQ2 2023","FQ2 2023","Currency=USD","Period=FQ","BEST_FPERIOD_OVERRIDE=FQ","FILING_STATUS=MR","SCALING_FORMAT=MLN","Sort=A","Dates=H","DateFormat=P","Fill=—","Direction=H","UseDPDF=Y")</f>
        <v>0</v>
      </c>
      <c r="V43" s="13">
        <f>_xll.BDH("BLUE US Equity","CF_LT_DEBT_CAP_LEAS_PROCEEDS","FQ3 2023","FQ3 2023","Currency=USD","Period=FQ","BEST_FPERIOD_OVERRIDE=FQ","FILING_STATUS=MR","SCALING_FORMAT=MLN","Sort=A","Dates=H","DateFormat=P","Fill=—","Direction=H","UseDPDF=Y")</f>
        <v>0</v>
      </c>
      <c r="W43" s="13">
        <f>_xll.BDH("BLUE US Equity","CF_LT_DEBT_CAP_LEAS_PROCEEDS","FQ4 2023","FQ4 2023","Currency=USD","Period=FQ","BEST_FPERIOD_OVERRIDE=FQ","FILING_STATUS=MR","SCALING_FORMAT=MLN","Sort=A","Dates=H","DateFormat=P","Fill=—","Direction=H","UseDPDF=Y")</f>
        <v>0</v>
      </c>
      <c r="X43" s="13">
        <f>_xll.BDH("BLUE US Equity","CF_LT_DEBT_CAP_LEAS_PROCEEDS","FQ1 2024","FQ1 2024","Currency=USD","Period=FQ","BEST_FPERIOD_OVERRIDE=FQ","FILING_STATUS=MR","SCALING_FORMAT=MLN","Sort=A","Dates=H","DateFormat=P","Fill=—","Direction=H","UseDPDF=Y")</f>
        <v>2.669</v>
      </c>
      <c r="Y43" s="13">
        <f>_xll.BDH("BLUE US Equity","CF_LT_DEBT_CAP_LEAS_PROCEEDS","FQ2 2024","FQ2 2024","Currency=USD","Period=FQ","BEST_FPERIOD_OVERRIDE=FQ","FILING_STATUS=MR","SCALING_FORMAT=MLN","Sort=A","Dates=H","DateFormat=P","Fill=—","Direction=H","UseDPDF=Y")</f>
        <v>0</v>
      </c>
      <c r="Z43" s="13">
        <f>_xll.BDH("BLUE US Equity","CF_LT_DEBT_CAP_LEAS_PROCEEDS","FQ3 2024","FQ3 2024","Currency=USD","Period=FQ","BEST_FPERIOD_OVERRIDE=FQ","FILING_STATUS=MR","SCALING_FORMAT=MLN","Sort=A","Dates=H","DateFormat=P","Fill=—","Direction=H","UseDPDF=Y")</f>
        <v>0</v>
      </c>
      <c r="AA43" s="13">
        <f>_xll.BDH("BLUE US Equity","CF_LT_DEBT_CAP_LEAS_PROCEEDS","FQ4 2024","FQ4 2024","Currency=USD","Period=FQ","BEST_FPERIOD_OVERRIDE=FQ","FILING_STATUS=MR","SCALING_FORMAT=MLN","Sort=A","Dates=H","DateFormat=P","Fill=—","Direction=H","UseDPDF=Y")</f>
        <v>0</v>
      </c>
    </row>
    <row r="44" spans="1:27" x14ac:dyDescent="0.25">
      <c r="A44" s="10" t="s">
        <v>1138</v>
      </c>
      <c r="B44" s="10" t="s">
        <v>1139</v>
      </c>
      <c r="C44" s="13">
        <f>_xll.BDH("BLUE US Equity","CF_LT_DEBT_CAP_LEAS_PAYMENT","FQ4 2018","FQ4 2018","Currency=USD","Period=FQ","BEST_FPERIOD_OVERRIDE=FQ","FILING_STATUS=MR","SCALING_FORMAT=MLN","Sort=A","Dates=H","DateFormat=P","Fill=—","Direction=H","UseDPDF=Y")</f>
        <v>0</v>
      </c>
      <c r="D44" s="13">
        <f>_xll.BDH("BLUE US Equity","CF_LT_DEBT_CAP_LEAS_PAYMENT","FQ1 2019","FQ1 2019","Currency=USD","Period=FQ","BEST_FPERIOD_OVERRIDE=FQ","FILING_STATUS=MR","SCALING_FORMAT=MLN","Sort=A","Dates=H","DateFormat=P","Fill=—","Direction=H","UseDPDF=Y")</f>
        <v>0</v>
      </c>
      <c r="E44" s="13">
        <f>_xll.BDH("BLUE US Equity","CF_LT_DEBT_CAP_LEAS_PAYMENT","FQ2 2019","FQ2 2019","Currency=USD","Period=FQ","BEST_FPERIOD_OVERRIDE=FQ","FILING_STATUS=MR","SCALING_FORMAT=MLN","Sort=A","Dates=H","DateFormat=P","Fill=—","Direction=H","UseDPDF=Y")</f>
        <v>0</v>
      </c>
      <c r="F44" s="13">
        <f>_xll.BDH("BLUE US Equity","CF_LT_DEBT_CAP_LEAS_PAYMENT","FQ3 2019","FQ3 2019","Currency=USD","Period=FQ","BEST_FPERIOD_OVERRIDE=FQ","FILING_STATUS=MR","SCALING_FORMAT=MLN","Sort=A","Dates=H","DateFormat=P","Fill=—","Direction=H","UseDPDF=Y")</f>
        <v>0</v>
      </c>
      <c r="G44" s="13">
        <f>_xll.BDH("BLUE US Equity","CF_LT_DEBT_CAP_LEAS_PAYMENT","FQ4 2019","FQ4 2019","Currency=USD","Period=FQ","BEST_FPERIOD_OVERRIDE=FQ","FILING_STATUS=MR","SCALING_FORMAT=MLN","Sort=A","Dates=H","DateFormat=P","Fill=—","Direction=H","UseDPDF=Y")</f>
        <v>0</v>
      </c>
      <c r="H44" s="13">
        <f>_xll.BDH("BLUE US Equity","CF_LT_DEBT_CAP_LEAS_PAYMENT","FQ1 2020","FQ1 2020","Currency=USD","Period=FQ","BEST_FPERIOD_OVERRIDE=FQ","FILING_STATUS=MR","SCALING_FORMAT=MLN","Sort=A","Dates=H","DateFormat=P","Fill=—","Direction=H","UseDPDF=Y")</f>
        <v>0</v>
      </c>
      <c r="I44" s="13">
        <f>_xll.BDH("BLUE US Equity","CF_LT_DEBT_CAP_LEAS_PAYMENT","FQ2 2020","FQ2 2020","Currency=USD","Period=FQ","BEST_FPERIOD_OVERRIDE=FQ","FILING_STATUS=MR","SCALING_FORMAT=MLN","Sort=A","Dates=H","DateFormat=P","Fill=—","Direction=H","UseDPDF=Y")</f>
        <v>0</v>
      </c>
      <c r="J44" s="13">
        <f>_xll.BDH("BLUE US Equity","CF_LT_DEBT_CAP_LEAS_PAYMENT","FQ3 2020","FQ3 2020","Currency=USD","Period=FQ","BEST_FPERIOD_OVERRIDE=FQ","FILING_STATUS=MR","SCALING_FORMAT=MLN","Sort=A","Dates=H","DateFormat=P","Fill=—","Direction=H","UseDPDF=Y")</f>
        <v>0</v>
      </c>
      <c r="K44" s="13">
        <f>_xll.BDH("BLUE US Equity","CF_LT_DEBT_CAP_LEAS_PAYMENT","FQ4 2020","FQ4 2020","Currency=USD","Period=FQ","BEST_FPERIOD_OVERRIDE=FQ","FILING_STATUS=MR","SCALING_FORMAT=MLN","Sort=A","Dates=H","DateFormat=P","Fill=—","Direction=H","UseDPDF=Y")</f>
        <v>0</v>
      </c>
      <c r="L44" s="13">
        <f>_xll.BDH("BLUE US Equity","CF_LT_DEBT_CAP_LEAS_PAYMENT","FQ1 2021","FQ1 2021","Currency=USD","Period=FQ","BEST_FPERIOD_OVERRIDE=FQ","FILING_STATUS=MR","SCALING_FORMAT=MLN","Sort=A","Dates=H","DateFormat=P","Fill=—","Direction=H","UseDPDF=Y")</f>
        <v>0</v>
      </c>
      <c r="M44" s="13">
        <f>_xll.BDH("BLUE US Equity","CF_LT_DEBT_CAP_LEAS_PAYMENT","FQ2 2021","FQ2 2021","Currency=USD","Period=FQ","BEST_FPERIOD_OVERRIDE=FQ","FILING_STATUS=MR","SCALING_FORMAT=MLN","Sort=A","Dates=H","DateFormat=P","Fill=—","Direction=H","UseDPDF=Y")</f>
        <v>0</v>
      </c>
      <c r="N44" s="13">
        <f>_xll.BDH("BLUE US Equity","CF_LT_DEBT_CAP_LEAS_PAYMENT","FQ3 2021","FQ3 2021","Currency=USD","Period=FQ","BEST_FPERIOD_OVERRIDE=FQ","FILING_STATUS=MR","SCALING_FORMAT=MLN","Sort=A","Dates=H","DateFormat=P","Fill=—","Direction=H","UseDPDF=Y")</f>
        <v>0</v>
      </c>
      <c r="O44" s="13">
        <f>_xll.BDH("BLUE US Equity","CF_LT_DEBT_CAP_LEAS_PAYMENT","FQ4 2021","FQ4 2021","Currency=USD","Period=FQ","BEST_FPERIOD_OVERRIDE=FQ","FILING_STATUS=MR","SCALING_FORMAT=MLN","Sort=A","Dates=H","DateFormat=P","Fill=—","Direction=H","UseDPDF=Y")</f>
        <v>0</v>
      </c>
      <c r="P44" s="13">
        <f>_xll.BDH("BLUE US Equity","CF_LT_DEBT_CAP_LEAS_PAYMENT","FQ1 2022","FQ1 2022","Currency=USD","Period=FQ","BEST_FPERIOD_OVERRIDE=FQ","FILING_STATUS=MR","SCALING_FORMAT=MLN","Sort=A","Dates=H","DateFormat=P","Fill=—","Direction=H","UseDPDF=Y")</f>
        <v>0</v>
      </c>
      <c r="Q44" s="13">
        <f>_xll.BDH("BLUE US Equity","CF_LT_DEBT_CAP_LEAS_PAYMENT","FQ2 2022","FQ2 2022","Currency=USD","Period=FQ","BEST_FPERIOD_OVERRIDE=FQ","FILING_STATUS=MR","SCALING_FORMAT=MLN","Sort=A","Dates=H","DateFormat=P","Fill=—","Direction=H","UseDPDF=Y")</f>
        <v>0</v>
      </c>
      <c r="R44" s="13">
        <f>_xll.BDH("BLUE US Equity","CF_LT_DEBT_CAP_LEAS_PAYMENT","FQ3 2022","FQ3 2022","Currency=USD","Period=FQ","BEST_FPERIOD_OVERRIDE=FQ","FILING_STATUS=MR","SCALING_FORMAT=MLN","Sort=A","Dates=H","DateFormat=P","Fill=—","Direction=H","UseDPDF=Y")</f>
        <v>0</v>
      </c>
      <c r="S44" s="13">
        <f>_xll.BDH("BLUE US Equity","CF_LT_DEBT_CAP_LEAS_PAYMENT","FQ4 2022","FQ4 2022","Currency=USD","Period=FQ","BEST_FPERIOD_OVERRIDE=FQ","FILING_STATUS=MR","SCALING_FORMAT=MLN","Sort=A","Dates=H","DateFormat=P","Fill=—","Direction=H","UseDPDF=Y")</f>
        <v>-36.734000000000002</v>
      </c>
      <c r="T44" s="13">
        <f>_xll.BDH("BLUE US Equity","CF_LT_DEBT_CAP_LEAS_PAYMENT","FQ1 2023","FQ1 2023","Currency=USD","Period=FQ","BEST_FPERIOD_OVERRIDE=FQ","FILING_STATUS=MR","SCALING_FORMAT=MLN","Sort=A","Dates=H","DateFormat=P","Fill=—","Direction=H","UseDPDF=Y")</f>
        <v>-15.28</v>
      </c>
      <c r="U44" s="13">
        <f>_xll.BDH("BLUE US Equity","CF_LT_DEBT_CAP_LEAS_PAYMENT","FQ2 2023","FQ2 2023","Currency=USD","Period=FQ","BEST_FPERIOD_OVERRIDE=FQ","FILING_STATUS=MR","SCALING_FORMAT=MLN","Sort=A","Dates=H","DateFormat=P","Fill=—","Direction=H","UseDPDF=Y")</f>
        <v>-13.224</v>
      </c>
      <c r="V44" s="13">
        <f>_xll.BDH("BLUE US Equity","CF_LT_DEBT_CAP_LEAS_PAYMENT","FQ3 2023","FQ3 2023","Currency=USD","Period=FQ","BEST_FPERIOD_OVERRIDE=FQ","FILING_STATUS=MR","SCALING_FORMAT=MLN","Sort=A","Dates=H","DateFormat=P","Fill=—","Direction=H","UseDPDF=Y")</f>
        <v>-11.795</v>
      </c>
      <c r="W44" s="13">
        <f>_xll.BDH("BLUE US Equity","CF_LT_DEBT_CAP_LEAS_PAYMENT","FQ4 2023","FQ4 2023","Currency=USD","Period=FQ","BEST_FPERIOD_OVERRIDE=FQ","FILING_STATUS=MR","SCALING_FORMAT=MLN","Sort=A","Dates=H","DateFormat=P","Fill=—","Direction=H","UseDPDF=Y")</f>
        <v>-54.366999999999997</v>
      </c>
      <c r="X44" s="13">
        <f>_xll.BDH("BLUE US Equity","CF_LT_DEBT_CAP_LEAS_PAYMENT","FQ1 2024","FQ1 2024","Currency=USD","Period=FQ","BEST_FPERIOD_OVERRIDE=FQ","FILING_STATUS=MR","SCALING_FORMAT=MLN","Sort=A","Dates=H","DateFormat=P","Fill=—","Direction=H","UseDPDF=Y")</f>
        <v>-24.46</v>
      </c>
      <c r="Y44" s="13">
        <f>_xll.BDH("BLUE US Equity","CF_LT_DEBT_CAP_LEAS_PAYMENT","FQ2 2024","FQ2 2024","Currency=USD","Period=FQ","BEST_FPERIOD_OVERRIDE=FQ","FILING_STATUS=MR","SCALING_FORMAT=MLN","Sort=A","Dates=H","DateFormat=P","Fill=—","Direction=H","UseDPDF=Y")</f>
        <v>-26.760999999999999</v>
      </c>
      <c r="Z44" s="13">
        <f>_xll.BDH("BLUE US Equity","CF_LT_DEBT_CAP_LEAS_PAYMENT","FQ3 2024","FQ3 2024","Currency=USD","Period=FQ","BEST_FPERIOD_OVERRIDE=FQ","FILING_STATUS=MR","SCALING_FORMAT=MLN","Sort=A","Dates=H","DateFormat=P","Fill=—","Direction=H","UseDPDF=Y")</f>
        <v>-20.931000000000001</v>
      </c>
      <c r="AA44" s="13">
        <f>_xll.BDH("BLUE US Equity","CF_LT_DEBT_CAP_LEAS_PAYMENT","FQ4 2024","FQ4 2024","Currency=USD","Period=FQ","BEST_FPERIOD_OVERRIDE=FQ","FILING_STATUS=MR","SCALING_FORMAT=MLN","Sort=A","Dates=H","DateFormat=P","Fill=—","Direction=H","UseDPDF=Y")</f>
        <v>-16.466999999999999</v>
      </c>
    </row>
    <row r="45" spans="1:27" x14ac:dyDescent="0.25">
      <c r="A45" s="10" t="s">
        <v>1140</v>
      </c>
      <c r="B45" s="10" t="s">
        <v>1141</v>
      </c>
      <c r="C45" s="13">
        <f>_xll.BDH("BLUE US Equity","PROC_FR_REPURCH_EQTY_DETAILED","FQ4 2018","FQ4 2018","Currency=USD","Period=FQ","BEST_FPERIOD_OVERRIDE=FQ","FILING_STATUS=MR","SCALING_FORMAT=MLN","Sort=A","Dates=H","DateFormat=P","Fill=—","Direction=H","UseDPDF=Y")</f>
        <v>2.21</v>
      </c>
      <c r="D45" s="13">
        <f>_xll.BDH("BLUE US Equity","PROC_FR_REPURCH_EQTY_DETAILED","FQ1 2019","FQ1 2019","Currency=USD","Period=FQ","BEST_FPERIOD_OVERRIDE=FQ","FILING_STATUS=MR","SCALING_FORMAT=MLN","Sort=A","Dates=H","DateFormat=P","Fill=—","Direction=H","UseDPDF=Y")</f>
        <v>10.223000000000001</v>
      </c>
      <c r="E45" s="13">
        <f>_xll.BDH("BLUE US Equity","PROC_FR_REPURCH_EQTY_DETAILED","FQ2 2019","FQ2 2019","Currency=USD","Period=FQ","BEST_FPERIOD_OVERRIDE=FQ","FILING_STATUS=MR","SCALING_FORMAT=MLN","Sort=A","Dates=H","DateFormat=P","Fill=—","Direction=H","UseDPDF=Y")</f>
        <v>4.7809999999999997</v>
      </c>
      <c r="F45" s="13">
        <f>_xll.BDH("BLUE US Equity","PROC_FR_REPURCH_EQTY_DETAILED","FQ3 2019","FQ3 2019","Currency=USD","Period=FQ","BEST_FPERIOD_OVERRIDE=FQ","FILING_STATUS=MR","SCALING_FORMAT=MLN","Sort=A","Dates=H","DateFormat=P","Fill=—","Direction=H","UseDPDF=Y")</f>
        <v>4.1779999999999999</v>
      </c>
      <c r="G45" s="13">
        <f>_xll.BDH("BLUE US Equity","PROC_FR_REPURCH_EQTY_DETAILED","FQ4 2019","FQ4 2019","Currency=USD","Period=FQ","BEST_FPERIOD_OVERRIDE=FQ","FILING_STATUS=MR","SCALING_FORMAT=MLN","Sort=A","Dates=H","DateFormat=P","Fill=—","Direction=H","UseDPDF=Y")</f>
        <v>2.0049999999999999</v>
      </c>
      <c r="H45" s="13">
        <f>_xll.BDH("BLUE US Equity","PROC_FR_REPURCH_EQTY_DETAILED","FQ1 2020","FQ1 2020","Currency=USD","Period=FQ","BEST_FPERIOD_OVERRIDE=FQ","FILING_STATUS=MR","SCALING_FORMAT=MLN","Sort=A","Dates=H","DateFormat=P","Fill=—","Direction=H","UseDPDF=Y")</f>
        <v>0.96299999999999997</v>
      </c>
      <c r="I45" s="13">
        <f>_xll.BDH("BLUE US Equity","PROC_FR_REPURCH_EQTY_DETAILED","FQ2 2020","FQ2 2020","Currency=USD","Period=FQ","BEST_FPERIOD_OVERRIDE=FQ","FILING_STATUS=MR","SCALING_FORMAT=MLN","Sort=A","Dates=H","DateFormat=P","Fill=—","Direction=H","UseDPDF=Y")</f>
        <v>541.53599999999994</v>
      </c>
      <c r="J45" s="13">
        <f>_xll.BDH("BLUE US Equity","PROC_FR_REPURCH_EQTY_DETAILED","FQ3 2020","FQ3 2020","Currency=USD","Period=FQ","BEST_FPERIOD_OVERRIDE=FQ","FILING_STATUS=MR","SCALING_FORMAT=MLN","Sort=A","Dates=H","DateFormat=P","Fill=—","Direction=H","UseDPDF=Y")</f>
        <v>0</v>
      </c>
      <c r="K45" s="13">
        <f>_xll.BDH("BLUE US Equity","PROC_FR_REPURCH_EQTY_DETAILED","FQ4 2020","FQ4 2020","Currency=USD","Period=FQ","BEST_FPERIOD_OVERRIDE=FQ","FILING_STATUS=MR","SCALING_FORMAT=MLN","Sort=A","Dates=H","DateFormat=P","Fill=—","Direction=H","UseDPDF=Y")</f>
        <v>0</v>
      </c>
      <c r="L45" s="13">
        <f>_xll.BDH("BLUE US Equity","PROC_FR_REPURCH_EQTY_DETAILED","FQ1 2021","FQ1 2021","Currency=USD","Period=FQ","BEST_FPERIOD_OVERRIDE=FQ","FILING_STATUS=MR","SCALING_FORMAT=MLN","Sort=A","Dates=H","DateFormat=P","Fill=—","Direction=H","UseDPDF=Y")</f>
        <v>3.7959999999999998</v>
      </c>
      <c r="M45" s="13">
        <f>_xll.BDH("BLUE US Equity","PROC_FR_REPURCH_EQTY_DETAILED","FQ2 2021","FQ2 2021","Currency=USD","Period=FQ","BEST_FPERIOD_OVERRIDE=FQ","FILING_STATUS=MR","SCALING_FORMAT=MLN","Sort=A","Dates=H","DateFormat=P","Fill=—","Direction=H","UseDPDF=Y")</f>
        <v>0</v>
      </c>
      <c r="N45" s="13">
        <f>_xll.BDH("BLUE US Equity","PROC_FR_REPURCH_EQTY_DETAILED","FQ3 2021","FQ3 2021","Currency=USD","Period=FQ","BEST_FPERIOD_OVERRIDE=FQ","FILING_STATUS=MR","SCALING_FORMAT=MLN","Sort=A","Dates=H","DateFormat=P","Fill=—","Direction=H","UseDPDF=Y")</f>
        <v>74.981999999999999</v>
      </c>
      <c r="O45" s="13">
        <f>_xll.BDH("BLUE US Equity","PROC_FR_REPURCH_EQTY_DETAILED","FQ4 2021","FQ4 2021","Currency=USD","Period=FQ","BEST_FPERIOD_OVERRIDE=FQ","FILING_STATUS=MR","SCALING_FORMAT=MLN","Sort=A","Dates=H","DateFormat=P","Fill=—","Direction=H","UseDPDF=Y")</f>
        <v>-7.0000000000000001E-3</v>
      </c>
      <c r="P45" s="13">
        <f>_xll.BDH("BLUE US Equity","PROC_FR_REPURCH_EQTY_DETAILED","FQ1 2022","FQ1 2022","Currency=USD","Period=FQ","BEST_FPERIOD_OVERRIDE=FQ","FILING_STATUS=MR","SCALING_FORMAT=MLN","Sort=A","Dates=H","DateFormat=P","Fill=—","Direction=H","UseDPDF=Y")</f>
        <v>8.9999999999999993E-3</v>
      </c>
      <c r="Q45" s="13">
        <f>_xll.BDH("BLUE US Equity","PROC_FR_REPURCH_EQTY_DETAILED","FQ2 2022","FQ2 2022","Currency=USD","Period=FQ","BEST_FPERIOD_OVERRIDE=FQ","FILING_STATUS=MR","SCALING_FORMAT=MLN","Sort=A","Dates=H","DateFormat=P","Fill=—","Direction=H","UseDPDF=Y")</f>
        <v>8.0340000000000007</v>
      </c>
      <c r="R45" s="13">
        <f>_xll.BDH("BLUE US Equity","PROC_FR_REPURCH_EQTY_DETAILED","FQ3 2022","FQ3 2022","Currency=USD","Period=FQ","BEST_FPERIOD_OVERRIDE=FQ","FILING_STATUS=MR","SCALING_FORMAT=MLN","Sort=A","Dates=H","DateFormat=P","Fill=—","Direction=H","UseDPDF=Y")</f>
        <v>46.325000000000003</v>
      </c>
      <c r="S45" s="13">
        <f>_xll.BDH("BLUE US Equity","PROC_FR_REPURCH_EQTY_DETAILED","FQ4 2022","FQ4 2022","Currency=USD","Period=FQ","BEST_FPERIOD_OVERRIDE=FQ","FILING_STATUS=MR","SCALING_FORMAT=MLN","Sort=A","Dates=H","DateFormat=P","Fill=—","Direction=H","UseDPDF=Y")</f>
        <v>-0.13100000000000001</v>
      </c>
      <c r="T45" s="13">
        <f>_xll.BDH("BLUE US Equity","PROC_FR_REPURCH_EQTY_DETAILED","FQ1 2023","FQ1 2023","Currency=USD","Period=FQ","BEST_FPERIOD_OVERRIDE=FQ","FILING_STATUS=MR","SCALING_FORMAT=MLN","Sort=A","Dates=H","DateFormat=P","Fill=—","Direction=H","UseDPDF=Y")</f>
        <v>130.65199999999999</v>
      </c>
      <c r="U45" s="13">
        <f>_xll.BDH("BLUE US Equity","PROC_FR_REPURCH_EQTY_DETAILED","FQ2 2023","FQ2 2023","Currency=USD","Period=FQ","BEST_FPERIOD_OVERRIDE=FQ","FILING_STATUS=MR","SCALING_FORMAT=MLN","Sort=A","Dates=H","DateFormat=P","Fill=—","Direction=H","UseDPDF=Y")</f>
        <v>-0.44500000000000001</v>
      </c>
      <c r="V45" s="13">
        <f>_xll.BDH("BLUE US Equity","PROC_FR_REPURCH_EQTY_DETAILED","FQ3 2023","FQ3 2023","Currency=USD","Period=FQ","BEST_FPERIOD_OVERRIDE=FQ","FILING_STATUS=MR","SCALING_FORMAT=MLN","Sort=A","Dates=H","DateFormat=P","Fill=—","Direction=H","UseDPDF=Y")</f>
        <v>-4.2000000000000003E-2</v>
      </c>
      <c r="W45" s="13">
        <f>_xll.BDH("BLUE US Equity","PROC_FR_REPURCH_EQTY_DETAILED","FQ4 2023","FQ4 2023","Currency=USD","Period=FQ","BEST_FPERIOD_OVERRIDE=FQ","FILING_STATUS=MR","SCALING_FORMAT=MLN","Sort=A","Dates=H","DateFormat=P","Fill=—","Direction=H","UseDPDF=Y")</f>
        <v>118.033</v>
      </c>
      <c r="X45" s="13">
        <f>_xll.BDH("BLUE US Equity","PROC_FR_REPURCH_EQTY_DETAILED","FQ1 2024","FQ1 2024","Currency=USD","Period=FQ","BEST_FPERIOD_OVERRIDE=FQ","FILING_STATUS=MR","SCALING_FORMAT=MLN","Sort=A","Dates=H","DateFormat=P","Fill=—","Direction=H","UseDPDF=Y")</f>
        <v>0</v>
      </c>
      <c r="Y45" s="13">
        <f>_xll.BDH("BLUE US Equity","PROC_FR_REPURCH_EQTY_DETAILED","FQ2 2024","FQ2 2024","Currency=USD","Period=FQ","BEST_FPERIOD_OVERRIDE=FQ","FILING_STATUS=MR","SCALING_FORMAT=MLN","Sort=A","Dates=H","DateFormat=P","Fill=—","Direction=H","UseDPDF=Y")</f>
        <v>0</v>
      </c>
      <c r="Z45" s="13">
        <f>_xll.BDH("BLUE US Equity","PROC_FR_REPURCH_EQTY_DETAILED","FQ3 2024","FQ3 2024","Currency=USD","Period=FQ","BEST_FPERIOD_OVERRIDE=FQ","FILING_STATUS=MR","SCALING_FORMAT=MLN","Sort=A","Dates=H","DateFormat=P","Fill=—","Direction=H","UseDPDF=Y")</f>
        <v>0</v>
      </c>
      <c r="AA45" s="13">
        <f>_xll.BDH("BLUE US Equity","PROC_FR_REPURCH_EQTY_DETAILED","FQ4 2024","FQ4 2024","Currency=USD","Period=FQ","BEST_FPERIOD_OVERRIDE=FQ","FILING_STATUS=MR","SCALING_FORMAT=MLN","Sort=A","Dates=H","DateFormat=P","Fill=—","Direction=H","UseDPDF=Y")</f>
        <v>0</v>
      </c>
    </row>
    <row r="46" spans="1:27" x14ac:dyDescent="0.25">
      <c r="A46" s="10" t="s">
        <v>1142</v>
      </c>
      <c r="B46" s="10" t="s">
        <v>1143</v>
      </c>
      <c r="C46" s="13">
        <f>_xll.BDH("BLUE US Equity","CF_INCR_CAP_STOCK","FQ4 2018","FQ4 2018","Currency=USD","Period=FQ","BEST_FPERIOD_OVERRIDE=FQ","FILING_STATUS=MR","SCALING_FORMAT=MLN","Sort=A","Dates=H","DateFormat=P","Fill=—","Direction=H","UseDPDF=Y")</f>
        <v>2.21</v>
      </c>
      <c r="D46" s="13">
        <f>_xll.BDH("BLUE US Equity","CF_INCR_CAP_STOCK","FQ1 2019","FQ1 2019","Currency=USD","Period=FQ","BEST_FPERIOD_OVERRIDE=FQ","FILING_STATUS=MR","SCALING_FORMAT=MLN","Sort=A","Dates=H","DateFormat=P","Fill=—","Direction=H","UseDPDF=Y")</f>
        <v>10.223000000000001</v>
      </c>
      <c r="E46" s="13">
        <f>_xll.BDH("BLUE US Equity","CF_INCR_CAP_STOCK","FQ2 2019","FQ2 2019","Currency=USD","Period=FQ","BEST_FPERIOD_OVERRIDE=FQ","FILING_STATUS=MR","SCALING_FORMAT=MLN","Sort=A","Dates=H","DateFormat=P","Fill=—","Direction=H","UseDPDF=Y")</f>
        <v>4.7809999999999997</v>
      </c>
      <c r="F46" s="13">
        <f>_xll.BDH("BLUE US Equity","CF_INCR_CAP_STOCK","FQ3 2019","FQ3 2019","Currency=USD","Period=FQ","BEST_FPERIOD_OVERRIDE=FQ","FILING_STATUS=MR","SCALING_FORMAT=MLN","Sort=A","Dates=H","DateFormat=P","Fill=—","Direction=H","UseDPDF=Y")</f>
        <v>4.1779999999999999</v>
      </c>
      <c r="G46" s="13">
        <f>_xll.BDH("BLUE US Equity","CF_INCR_CAP_STOCK","FQ4 2019","FQ4 2019","Currency=USD","Period=FQ","BEST_FPERIOD_OVERRIDE=FQ","FILING_STATUS=MR","SCALING_FORMAT=MLN","Sort=A","Dates=H","DateFormat=P","Fill=—","Direction=H","UseDPDF=Y")</f>
        <v>2.0049999999999999</v>
      </c>
      <c r="H46" s="13">
        <f>_xll.BDH("BLUE US Equity","CF_INCR_CAP_STOCK","FQ1 2020","FQ1 2020","Currency=USD","Period=FQ","BEST_FPERIOD_OVERRIDE=FQ","FILING_STATUS=MR","SCALING_FORMAT=MLN","Sort=A","Dates=H","DateFormat=P","Fill=—","Direction=H","UseDPDF=Y")</f>
        <v>0.96299999999999997</v>
      </c>
      <c r="I46" s="13">
        <f>_xll.BDH("BLUE US Equity","CF_INCR_CAP_STOCK","FQ2 2020","FQ2 2020","Currency=USD","Period=FQ","BEST_FPERIOD_OVERRIDE=FQ","FILING_STATUS=MR","SCALING_FORMAT=MLN","Sort=A","Dates=H","DateFormat=P","Fill=—","Direction=H","UseDPDF=Y")</f>
        <v>541.53599999999994</v>
      </c>
      <c r="J46" s="13">
        <f>_xll.BDH("BLUE US Equity","CF_INCR_CAP_STOCK","FQ3 2020","FQ3 2020","Currency=USD","Period=FQ","BEST_FPERIOD_OVERRIDE=FQ","FILING_STATUS=MR","SCALING_FORMAT=MLN","Sort=A","Dates=H","DateFormat=P","Fill=—","Direction=H","UseDPDF=Y")</f>
        <v>0</v>
      </c>
      <c r="K46" s="13">
        <f>_xll.BDH("BLUE US Equity","CF_INCR_CAP_STOCK","FQ4 2020","FQ4 2020","Currency=USD","Period=FQ","BEST_FPERIOD_OVERRIDE=FQ","FILING_STATUS=MR","SCALING_FORMAT=MLN","Sort=A","Dates=H","DateFormat=P","Fill=—","Direction=H","UseDPDF=Y")</f>
        <v>0</v>
      </c>
      <c r="L46" s="13">
        <f>_xll.BDH("BLUE US Equity","CF_INCR_CAP_STOCK","FQ1 2021","FQ1 2021","Currency=USD","Period=FQ","BEST_FPERIOD_OVERRIDE=FQ","FILING_STATUS=MR","SCALING_FORMAT=MLN","Sort=A","Dates=H","DateFormat=P","Fill=—","Direction=H","UseDPDF=Y")</f>
        <v>3.7959999999999998</v>
      </c>
      <c r="M46" s="13">
        <f>_xll.BDH("BLUE US Equity","CF_INCR_CAP_STOCK","FQ2 2021","FQ2 2021","Currency=USD","Period=FQ","BEST_FPERIOD_OVERRIDE=FQ","FILING_STATUS=MR","SCALING_FORMAT=MLN","Sort=A","Dates=H","DateFormat=P","Fill=—","Direction=H","UseDPDF=Y")</f>
        <v>0</v>
      </c>
      <c r="N46" s="13">
        <f>_xll.BDH("BLUE US Equity","CF_INCR_CAP_STOCK","FQ3 2021","FQ3 2021","Currency=USD","Period=FQ","BEST_FPERIOD_OVERRIDE=FQ","FILING_STATUS=MR","SCALING_FORMAT=MLN","Sort=A","Dates=H","DateFormat=P","Fill=—","Direction=H","UseDPDF=Y")</f>
        <v>74.981999999999999</v>
      </c>
      <c r="O46" s="13">
        <f>_xll.BDH("BLUE US Equity","CF_INCR_CAP_STOCK","FQ4 2021","FQ4 2021","Currency=USD","Period=FQ","BEST_FPERIOD_OVERRIDE=FQ","FILING_STATUS=MR","SCALING_FORMAT=MLN","Sort=A","Dates=H","DateFormat=P","Fill=—","Direction=H","UseDPDF=Y")</f>
        <v>0</v>
      </c>
      <c r="P46" s="13">
        <f>_xll.BDH("BLUE US Equity","CF_INCR_CAP_STOCK","FQ1 2022","FQ1 2022","Currency=USD","Period=FQ","BEST_FPERIOD_OVERRIDE=FQ","FILING_STATUS=MR","SCALING_FORMAT=MLN","Sort=A","Dates=H","DateFormat=P","Fill=—","Direction=H","UseDPDF=Y")</f>
        <v>8.9999999999999993E-3</v>
      </c>
      <c r="Q46" s="13">
        <f>_xll.BDH("BLUE US Equity","CF_INCR_CAP_STOCK","FQ2 2022","FQ2 2022","Currency=USD","Period=FQ","BEST_FPERIOD_OVERRIDE=FQ","FILING_STATUS=MR","SCALING_FORMAT=MLN","Sort=A","Dates=H","DateFormat=P","Fill=—","Direction=H","UseDPDF=Y")</f>
        <v>8.0340000000000007</v>
      </c>
      <c r="R46" s="13">
        <f>_xll.BDH("BLUE US Equity","CF_INCR_CAP_STOCK","FQ3 2022","FQ3 2022","Currency=USD","Period=FQ","BEST_FPERIOD_OVERRIDE=FQ","FILING_STATUS=MR","SCALING_FORMAT=MLN","Sort=A","Dates=H","DateFormat=P","Fill=—","Direction=H","UseDPDF=Y")</f>
        <v>46.325000000000003</v>
      </c>
      <c r="S46" s="13">
        <f>_xll.BDH("BLUE US Equity","CF_INCR_CAP_STOCK","FQ4 2022","FQ4 2022","Currency=USD","Period=FQ","BEST_FPERIOD_OVERRIDE=FQ","FILING_STATUS=MR","SCALING_FORMAT=MLN","Sort=A","Dates=H","DateFormat=P","Fill=—","Direction=H","UseDPDF=Y")</f>
        <v>0</v>
      </c>
      <c r="T46" s="13">
        <f>_xll.BDH("BLUE US Equity","CF_INCR_CAP_STOCK","FQ1 2023","FQ1 2023","Currency=USD","Period=FQ","BEST_FPERIOD_OVERRIDE=FQ","FILING_STATUS=MR","SCALING_FORMAT=MLN","Sort=A","Dates=H","DateFormat=P","Fill=—","Direction=H","UseDPDF=Y")</f>
        <v>130.65199999999999</v>
      </c>
      <c r="U46" s="13">
        <f>_xll.BDH("BLUE US Equity","CF_INCR_CAP_STOCK","FQ2 2023","FQ2 2023","Currency=USD","Period=FQ","BEST_FPERIOD_OVERRIDE=FQ","FILING_STATUS=MR","SCALING_FORMAT=MLN","Sort=A","Dates=H","DateFormat=P","Fill=—","Direction=H","UseDPDF=Y")</f>
        <v>0</v>
      </c>
      <c r="V46" s="13">
        <f>_xll.BDH("BLUE US Equity","CF_INCR_CAP_STOCK","FQ3 2023","FQ3 2023","Currency=USD","Period=FQ","BEST_FPERIOD_OVERRIDE=FQ","FILING_STATUS=MR","SCALING_FORMAT=MLN","Sort=A","Dates=H","DateFormat=P","Fill=—","Direction=H","UseDPDF=Y")</f>
        <v>0</v>
      </c>
      <c r="W46" s="13">
        <f>_xll.BDH("BLUE US Equity","CF_INCR_CAP_STOCK","FQ4 2023","FQ4 2023","Currency=USD","Period=FQ","BEST_FPERIOD_OVERRIDE=FQ","FILING_STATUS=MR","SCALING_FORMAT=MLN","Sort=A","Dates=H","DateFormat=P","Fill=—","Direction=H","UseDPDF=Y")</f>
        <v>118.033</v>
      </c>
      <c r="X46" s="13">
        <f>_xll.BDH("BLUE US Equity","CF_INCR_CAP_STOCK","FQ1 2024","FQ1 2024","Currency=USD","Period=FQ","BEST_FPERIOD_OVERRIDE=FQ","FILING_STATUS=MR","SCALING_FORMAT=MLN","Sort=A","Dates=H","DateFormat=P","Fill=—","Direction=H","UseDPDF=Y")</f>
        <v>0</v>
      </c>
      <c r="Y46" s="13">
        <f>_xll.BDH("BLUE US Equity","CF_INCR_CAP_STOCK","FQ2 2024","FQ2 2024","Currency=USD","Period=FQ","BEST_FPERIOD_OVERRIDE=FQ","FILING_STATUS=MR","SCALING_FORMAT=MLN","Sort=A","Dates=H","DateFormat=P","Fill=—","Direction=H","UseDPDF=Y")</f>
        <v>0</v>
      </c>
      <c r="Z46" s="13">
        <f>_xll.BDH("BLUE US Equity","CF_INCR_CAP_STOCK","FQ3 2024","FQ3 2024","Currency=USD","Period=FQ","BEST_FPERIOD_OVERRIDE=FQ","FILING_STATUS=MR","SCALING_FORMAT=MLN","Sort=A","Dates=H","DateFormat=P","Fill=—","Direction=H","UseDPDF=Y")</f>
        <v>0</v>
      </c>
      <c r="AA46" s="13">
        <f>_xll.BDH("BLUE US Equity","CF_INCR_CAP_STOCK","FQ4 2024","FQ4 2024","Currency=USD","Period=FQ","BEST_FPERIOD_OVERRIDE=FQ","FILING_STATUS=MR","SCALING_FORMAT=MLN","Sort=A","Dates=H","DateFormat=P","Fill=—","Direction=H","UseDPDF=Y")</f>
        <v>0</v>
      </c>
    </row>
    <row r="47" spans="1:27" x14ac:dyDescent="0.25">
      <c r="A47" s="10" t="s">
        <v>1144</v>
      </c>
      <c r="B47" s="10" t="s">
        <v>1145</v>
      </c>
      <c r="C47" s="13">
        <f>_xll.BDH("BLUE US Equity","CF_DECR_CAP_STOCK","FQ4 2018","FQ4 2018","Currency=USD","Period=FQ","BEST_FPERIOD_OVERRIDE=FQ","FILING_STATUS=MR","SCALING_FORMAT=MLN","Sort=A","Dates=H","DateFormat=P","Fill=—","Direction=H","UseDPDF=Y")</f>
        <v>0</v>
      </c>
      <c r="D47" s="13">
        <f>_xll.BDH("BLUE US Equity","CF_DECR_CAP_STOCK","FQ1 2019","FQ1 2019","Currency=USD","Period=FQ","BEST_FPERIOD_OVERRIDE=FQ","FILING_STATUS=MR","SCALING_FORMAT=MLN","Sort=A","Dates=H","DateFormat=P","Fill=—","Direction=H","UseDPDF=Y")</f>
        <v>0</v>
      </c>
      <c r="E47" s="13">
        <f>_xll.BDH("BLUE US Equity","CF_DECR_CAP_STOCK","FQ2 2019","FQ2 2019","Currency=USD","Period=FQ","BEST_FPERIOD_OVERRIDE=FQ","FILING_STATUS=MR","SCALING_FORMAT=MLN","Sort=A","Dates=H","DateFormat=P","Fill=—","Direction=H","UseDPDF=Y")</f>
        <v>0</v>
      </c>
      <c r="F47" s="13">
        <f>_xll.BDH("BLUE US Equity","CF_DECR_CAP_STOCK","FQ3 2019","FQ3 2019","Currency=USD","Period=FQ","BEST_FPERIOD_OVERRIDE=FQ","FILING_STATUS=MR","SCALING_FORMAT=MLN","Sort=A","Dates=H","DateFormat=P","Fill=—","Direction=H","UseDPDF=Y")</f>
        <v>0</v>
      </c>
      <c r="G47" s="13">
        <f>_xll.BDH("BLUE US Equity","CF_DECR_CAP_STOCK","FQ4 2019","FQ4 2019","Currency=USD","Period=FQ","BEST_FPERIOD_OVERRIDE=FQ","FILING_STATUS=MR","SCALING_FORMAT=MLN","Sort=A","Dates=H","DateFormat=P","Fill=—","Direction=H","UseDPDF=Y")</f>
        <v>0</v>
      </c>
      <c r="H47" s="13">
        <f>_xll.BDH("BLUE US Equity","CF_DECR_CAP_STOCK","FQ1 2020","FQ1 2020","Currency=USD","Period=FQ","BEST_FPERIOD_OVERRIDE=FQ","FILING_STATUS=MR","SCALING_FORMAT=MLN","Sort=A","Dates=H","DateFormat=P","Fill=—","Direction=H","UseDPDF=Y")</f>
        <v>0</v>
      </c>
      <c r="I47" s="13">
        <f>_xll.BDH("BLUE US Equity","CF_DECR_CAP_STOCK","FQ2 2020","FQ2 2020","Currency=USD","Period=FQ","BEST_FPERIOD_OVERRIDE=FQ","FILING_STATUS=MR","SCALING_FORMAT=MLN","Sort=A","Dates=H","DateFormat=P","Fill=—","Direction=H","UseDPDF=Y")</f>
        <v>0</v>
      </c>
      <c r="J47" s="13">
        <f>_xll.BDH("BLUE US Equity","CF_DECR_CAP_STOCK","FQ3 2020","FQ3 2020","Currency=USD","Period=FQ","BEST_FPERIOD_OVERRIDE=FQ","FILING_STATUS=MR","SCALING_FORMAT=MLN","Sort=A","Dates=H","DateFormat=P","Fill=—","Direction=H","UseDPDF=Y")</f>
        <v>0</v>
      </c>
      <c r="K47" s="13">
        <f>_xll.BDH("BLUE US Equity","CF_DECR_CAP_STOCK","FQ4 2020","FQ4 2020","Currency=USD","Period=FQ","BEST_FPERIOD_OVERRIDE=FQ","FILING_STATUS=MR","SCALING_FORMAT=MLN","Sort=A","Dates=H","DateFormat=P","Fill=—","Direction=H","UseDPDF=Y")</f>
        <v>0</v>
      </c>
      <c r="L47" s="13">
        <f>_xll.BDH("BLUE US Equity","CF_DECR_CAP_STOCK","FQ1 2021","FQ1 2021","Currency=USD","Period=FQ","BEST_FPERIOD_OVERRIDE=FQ","FILING_STATUS=MR","SCALING_FORMAT=MLN","Sort=A","Dates=H","DateFormat=P","Fill=—","Direction=H","UseDPDF=Y")</f>
        <v>0</v>
      </c>
      <c r="M47" s="13">
        <f>_xll.BDH("BLUE US Equity","CF_DECR_CAP_STOCK","FQ2 2021","FQ2 2021","Currency=USD","Period=FQ","BEST_FPERIOD_OVERRIDE=FQ","FILING_STATUS=MR","SCALING_FORMAT=MLN","Sort=A","Dates=H","DateFormat=P","Fill=—","Direction=H","UseDPDF=Y")</f>
        <v>0</v>
      </c>
      <c r="N47" s="13">
        <f>_xll.BDH("BLUE US Equity","CF_DECR_CAP_STOCK","FQ3 2021","FQ3 2021","Currency=USD","Period=FQ","BEST_FPERIOD_OVERRIDE=FQ","FILING_STATUS=MR","SCALING_FORMAT=MLN","Sort=A","Dates=H","DateFormat=P","Fill=—","Direction=H","UseDPDF=Y")</f>
        <v>0</v>
      </c>
      <c r="O47" s="13">
        <f>_xll.BDH("BLUE US Equity","CF_DECR_CAP_STOCK","FQ4 2021","FQ4 2021","Currency=USD","Period=FQ","BEST_FPERIOD_OVERRIDE=FQ","FILING_STATUS=MR","SCALING_FORMAT=MLN","Sort=A","Dates=H","DateFormat=P","Fill=—","Direction=H","UseDPDF=Y")</f>
        <v>-7.0000000000000001E-3</v>
      </c>
      <c r="P47" s="13">
        <f>_xll.BDH("BLUE US Equity","CF_DECR_CAP_STOCK","FQ1 2022","FQ1 2022","Currency=USD","Period=FQ","BEST_FPERIOD_OVERRIDE=FQ","FILING_STATUS=MR","SCALING_FORMAT=MLN","Sort=A","Dates=H","DateFormat=P","Fill=—","Direction=H","UseDPDF=Y")</f>
        <v>0</v>
      </c>
      <c r="Q47" s="13">
        <f>_xll.BDH("BLUE US Equity","CF_DECR_CAP_STOCK","FQ2 2022","FQ2 2022","Currency=USD","Period=FQ","BEST_FPERIOD_OVERRIDE=FQ","FILING_STATUS=MR","SCALING_FORMAT=MLN","Sort=A","Dates=H","DateFormat=P","Fill=—","Direction=H","UseDPDF=Y")</f>
        <v>0</v>
      </c>
      <c r="R47" s="13">
        <f>_xll.BDH("BLUE US Equity","CF_DECR_CAP_STOCK","FQ3 2022","FQ3 2022","Currency=USD","Period=FQ","BEST_FPERIOD_OVERRIDE=FQ","FILING_STATUS=MR","SCALING_FORMAT=MLN","Sort=A","Dates=H","DateFormat=P","Fill=—","Direction=H","UseDPDF=Y")</f>
        <v>0</v>
      </c>
      <c r="S47" s="13">
        <f>_xll.BDH("BLUE US Equity","CF_DECR_CAP_STOCK","FQ4 2022","FQ4 2022","Currency=USD","Period=FQ","BEST_FPERIOD_OVERRIDE=FQ","FILING_STATUS=MR","SCALING_FORMAT=MLN","Sort=A","Dates=H","DateFormat=P","Fill=—","Direction=H","UseDPDF=Y")</f>
        <v>-0.13100000000000001</v>
      </c>
      <c r="T47" s="13">
        <f>_xll.BDH("BLUE US Equity","CF_DECR_CAP_STOCK","FQ1 2023","FQ1 2023","Currency=USD","Period=FQ","BEST_FPERIOD_OVERRIDE=FQ","FILING_STATUS=MR","SCALING_FORMAT=MLN","Sort=A","Dates=H","DateFormat=P","Fill=—","Direction=H","UseDPDF=Y")</f>
        <v>0</v>
      </c>
      <c r="U47" s="13">
        <f>_xll.BDH("BLUE US Equity","CF_DECR_CAP_STOCK","FQ2 2023","FQ2 2023","Currency=USD","Period=FQ","BEST_FPERIOD_OVERRIDE=FQ","FILING_STATUS=MR","SCALING_FORMAT=MLN","Sort=A","Dates=H","DateFormat=P","Fill=—","Direction=H","UseDPDF=Y")</f>
        <v>-0.44500000000000001</v>
      </c>
      <c r="V47" s="13">
        <f>_xll.BDH("BLUE US Equity","CF_DECR_CAP_STOCK","FQ3 2023","FQ3 2023","Currency=USD","Period=FQ","BEST_FPERIOD_OVERRIDE=FQ","FILING_STATUS=MR","SCALING_FORMAT=MLN","Sort=A","Dates=H","DateFormat=P","Fill=—","Direction=H","UseDPDF=Y")</f>
        <v>-4.2000000000000003E-2</v>
      </c>
      <c r="W47" s="13">
        <f>_xll.BDH("BLUE US Equity","CF_DECR_CAP_STOCK","FQ4 2023","FQ4 2023","Currency=USD","Period=FQ","BEST_FPERIOD_OVERRIDE=FQ","FILING_STATUS=MR","SCALING_FORMAT=MLN","Sort=A","Dates=H","DateFormat=P","Fill=—","Direction=H","UseDPDF=Y")</f>
        <v>0</v>
      </c>
      <c r="X47" s="13">
        <f>_xll.BDH("BLUE US Equity","CF_DECR_CAP_STOCK","FQ1 2024","FQ1 2024","Currency=USD","Period=FQ","BEST_FPERIOD_OVERRIDE=FQ","FILING_STATUS=MR","SCALING_FORMAT=MLN","Sort=A","Dates=H","DateFormat=P","Fill=—","Direction=H","UseDPDF=Y")</f>
        <v>0</v>
      </c>
      <c r="Y47" s="13">
        <f>_xll.BDH("BLUE US Equity","CF_DECR_CAP_STOCK","FQ2 2024","FQ2 2024","Currency=USD","Period=FQ","BEST_FPERIOD_OVERRIDE=FQ","FILING_STATUS=MR","SCALING_FORMAT=MLN","Sort=A","Dates=H","DateFormat=P","Fill=—","Direction=H","UseDPDF=Y")</f>
        <v>0</v>
      </c>
      <c r="Z47" s="13">
        <f>_xll.BDH("BLUE US Equity","CF_DECR_CAP_STOCK","FQ3 2024","FQ3 2024","Currency=USD","Period=FQ","BEST_FPERIOD_OVERRIDE=FQ","FILING_STATUS=MR","SCALING_FORMAT=MLN","Sort=A","Dates=H","DateFormat=P","Fill=—","Direction=H","UseDPDF=Y")</f>
        <v>0</v>
      </c>
      <c r="AA47" s="13">
        <f>_xll.BDH("BLUE US Equity","CF_DECR_CAP_STOCK","FQ4 2024","FQ4 2024","Currency=USD","Period=FQ","BEST_FPERIOD_OVERRIDE=FQ","FILING_STATUS=MR","SCALING_FORMAT=MLN","Sort=A","Dates=H","DateFormat=P","Fill=—","Direction=H","UseDPDF=Y")</f>
        <v>0</v>
      </c>
    </row>
    <row r="48" spans="1:27" x14ac:dyDescent="0.25">
      <c r="A48" s="10" t="s">
        <v>1146</v>
      </c>
      <c r="B48" s="10" t="s">
        <v>1147</v>
      </c>
      <c r="C48" s="13">
        <f>_xll.BDH("BLUE US Equity","OTHER_FIN_AND_DEC_CAP","FQ4 2018","FQ4 2018","Currency=USD","Period=FQ","BEST_FPERIOD_OVERRIDE=FQ","FILING_STATUS=MR","SCALING_FORMAT=MLN","Sort=A","Dates=H","DateFormat=P","Fill=—","Direction=H","UseDPDF=Y")</f>
        <v>-0.28899999999999998</v>
      </c>
      <c r="D48" s="13">
        <f>_xll.BDH("BLUE US Equity","OTHER_FIN_AND_DEC_CAP","FQ1 2019","FQ1 2019","Currency=USD","Period=FQ","BEST_FPERIOD_OVERRIDE=FQ","FILING_STATUS=MR","SCALING_FORMAT=MLN","Sort=A","Dates=H","DateFormat=P","Fill=—","Direction=H","UseDPDF=Y")</f>
        <v>0</v>
      </c>
      <c r="E48" s="13">
        <f>_xll.BDH("BLUE US Equity","OTHER_FIN_AND_DEC_CAP","FQ2 2019","FQ2 2019","Currency=USD","Period=FQ","BEST_FPERIOD_OVERRIDE=FQ","FILING_STATUS=MR","SCALING_FORMAT=MLN","Sort=A","Dates=H","DateFormat=P","Fill=—","Direction=H","UseDPDF=Y")</f>
        <v>0</v>
      </c>
      <c r="F48" s="13">
        <f>_xll.BDH("BLUE US Equity","OTHER_FIN_AND_DEC_CAP","FQ3 2019","FQ3 2019","Currency=USD","Period=FQ","BEST_FPERIOD_OVERRIDE=FQ","FILING_STATUS=MR","SCALING_FORMAT=MLN","Sort=A","Dates=H","DateFormat=P","Fill=—","Direction=H","UseDPDF=Y")</f>
        <v>0</v>
      </c>
      <c r="G48" s="13">
        <f>_xll.BDH("BLUE US Equity","OTHER_FIN_AND_DEC_CAP","FQ4 2019","FQ4 2019","Currency=USD","Period=FQ","BEST_FPERIOD_OVERRIDE=FQ","FILING_STATUS=MR","SCALING_FORMAT=MLN","Sort=A","Dates=H","DateFormat=P","Fill=—","Direction=H","UseDPDF=Y")</f>
        <v>0</v>
      </c>
      <c r="H48" s="13">
        <f>_xll.BDH("BLUE US Equity","OTHER_FIN_AND_DEC_CAP","FQ1 2020","FQ1 2020","Currency=USD","Period=FQ","BEST_FPERIOD_OVERRIDE=FQ","FILING_STATUS=MR","SCALING_FORMAT=MLN","Sort=A","Dates=H","DateFormat=P","Fill=—","Direction=H","UseDPDF=Y")</f>
        <v>0</v>
      </c>
      <c r="I48" s="13">
        <f>_xll.BDH("BLUE US Equity","OTHER_FIN_AND_DEC_CAP","FQ2 2020","FQ2 2020","Currency=USD","Period=FQ","BEST_FPERIOD_OVERRIDE=FQ","FILING_STATUS=MR","SCALING_FORMAT=MLN","Sort=A","Dates=H","DateFormat=P","Fill=—","Direction=H","UseDPDF=Y")</f>
        <v>1.5860000000000001</v>
      </c>
      <c r="J48" s="13">
        <f>_xll.BDH("BLUE US Equity","OTHER_FIN_AND_DEC_CAP","FQ3 2020","FQ3 2020","Currency=USD","Period=FQ","BEST_FPERIOD_OVERRIDE=FQ","FILING_STATUS=MR","SCALING_FORMAT=MLN","Sort=A","Dates=H","DateFormat=P","Fill=—","Direction=H","UseDPDF=Y")</f>
        <v>1.198</v>
      </c>
      <c r="K48" s="13">
        <f>_xll.BDH("BLUE US Equity","OTHER_FIN_AND_DEC_CAP","FQ4 2020","FQ4 2020","Currency=USD","Period=FQ","BEST_FPERIOD_OVERRIDE=FQ","FILING_STATUS=MR","SCALING_FORMAT=MLN","Sort=A","Dates=H","DateFormat=P","Fill=—","Direction=H","UseDPDF=Y")</f>
        <v>1.4319999999999999</v>
      </c>
      <c r="L48" s="13">
        <f>_xll.BDH("BLUE US Equity","OTHER_FIN_AND_DEC_CAP","FQ1 2021","FQ1 2021","Currency=USD","Period=FQ","BEST_FPERIOD_OVERRIDE=FQ","FILING_STATUS=MR","SCALING_FORMAT=MLN","Sort=A","Dates=H","DateFormat=P","Fill=—","Direction=H","UseDPDF=Y")</f>
        <v>0</v>
      </c>
      <c r="M48" s="13">
        <f>_xll.BDH("BLUE US Equity","OTHER_FIN_AND_DEC_CAP","FQ2 2021","FQ2 2021","Currency=USD","Period=FQ","BEST_FPERIOD_OVERRIDE=FQ","FILING_STATUS=MR","SCALING_FORMAT=MLN","Sort=A","Dates=H","DateFormat=P","Fill=—","Direction=H","UseDPDF=Y")</f>
        <v>0.39600000000000002</v>
      </c>
      <c r="N48" s="13">
        <f>_xll.BDH("BLUE US Equity","OTHER_FIN_AND_DEC_CAP","FQ3 2021","FQ3 2021","Currency=USD","Period=FQ","BEST_FPERIOD_OVERRIDE=FQ","FILING_STATUS=MR","SCALING_FORMAT=MLN","Sort=A","Dates=H","DateFormat=P","Fill=—","Direction=H","UseDPDF=Y")</f>
        <v>0.88600000000000001</v>
      </c>
      <c r="O48" s="13">
        <f>_xll.BDH("BLUE US Equity","OTHER_FIN_AND_DEC_CAP","FQ4 2021","FQ4 2021","Currency=USD","Period=FQ","BEST_FPERIOD_OVERRIDE=FQ","FILING_STATUS=MR","SCALING_FORMAT=MLN","Sort=A","Dates=H","DateFormat=P","Fill=—","Direction=H","UseDPDF=Y")</f>
        <v>-174.00700000000001</v>
      </c>
      <c r="P48" s="13">
        <f>_xll.BDH("BLUE US Equity","OTHER_FIN_AND_DEC_CAP","FQ1 2022","FQ1 2022","Currency=USD","Period=FQ","BEST_FPERIOD_OVERRIDE=FQ","FILING_STATUS=MR","SCALING_FORMAT=MLN","Sort=A","Dates=H","DateFormat=P","Fill=—","Direction=H","UseDPDF=Y")</f>
        <v>0</v>
      </c>
      <c r="Q48" s="13">
        <f>_xll.BDH("BLUE US Equity","OTHER_FIN_AND_DEC_CAP","FQ2 2022","FQ2 2022","Currency=USD","Period=FQ","BEST_FPERIOD_OVERRIDE=FQ","FILING_STATUS=MR","SCALING_FORMAT=MLN","Sort=A","Dates=H","DateFormat=P","Fill=—","Direction=H","UseDPDF=Y")</f>
        <v>0</v>
      </c>
      <c r="R48" s="13">
        <f>_xll.BDH("BLUE US Equity","OTHER_FIN_AND_DEC_CAP","FQ3 2022","FQ3 2022","Currency=USD","Period=FQ","BEST_FPERIOD_OVERRIDE=FQ","FILING_STATUS=MR","SCALING_FORMAT=MLN","Sort=A","Dates=H","DateFormat=P","Fill=—","Direction=H","UseDPDF=Y")</f>
        <v>0</v>
      </c>
      <c r="S48" s="13">
        <f>_xll.BDH("BLUE US Equity","OTHER_FIN_AND_DEC_CAP","FQ4 2022","FQ4 2022","Currency=USD","Period=FQ","BEST_FPERIOD_OVERRIDE=FQ","FILING_STATUS=MR","SCALING_FORMAT=MLN","Sort=A","Dates=H","DateFormat=P","Fill=—","Direction=H","UseDPDF=Y")</f>
        <v>1.6E-2</v>
      </c>
      <c r="T48" s="13">
        <f>_xll.BDH("BLUE US Equity","OTHER_FIN_AND_DEC_CAP","FQ1 2023","FQ1 2023","Currency=USD","Period=FQ","BEST_FPERIOD_OVERRIDE=FQ","FILING_STATUS=MR","SCALING_FORMAT=MLN","Sort=A","Dates=H","DateFormat=P","Fill=—","Direction=H","UseDPDF=Y")</f>
        <v>-0.19600000000000001</v>
      </c>
      <c r="U48" s="13">
        <f>_xll.BDH("BLUE US Equity","OTHER_FIN_AND_DEC_CAP","FQ2 2023","FQ2 2023","Currency=USD","Period=FQ","BEST_FPERIOD_OVERRIDE=FQ","FILING_STATUS=MR","SCALING_FORMAT=MLN","Sort=A","Dates=H","DateFormat=P","Fill=—","Direction=H","UseDPDF=Y")</f>
        <v>0</v>
      </c>
      <c r="V48" s="13">
        <f>_xll.BDH("BLUE US Equity","OTHER_FIN_AND_DEC_CAP","FQ3 2023","FQ3 2023","Currency=USD","Period=FQ","BEST_FPERIOD_OVERRIDE=FQ","FILING_STATUS=MR","SCALING_FORMAT=MLN","Sort=A","Dates=H","DateFormat=P","Fill=—","Direction=H","UseDPDF=Y")</f>
        <v>0</v>
      </c>
      <c r="W48" s="13">
        <f>_xll.BDH("BLUE US Equity","OTHER_FIN_AND_DEC_CAP","FQ4 2023","FQ4 2023","Currency=USD","Period=FQ","BEST_FPERIOD_OVERRIDE=FQ","FILING_STATUS=MR","SCALING_FORMAT=MLN","Sort=A","Dates=H","DateFormat=P","Fill=—","Direction=H","UseDPDF=Y")</f>
        <v>2.613</v>
      </c>
      <c r="X48" s="13">
        <f>_xll.BDH("BLUE US Equity","OTHER_FIN_AND_DEC_CAP","FQ1 2024","FQ1 2024","Currency=USD","Period=FQ","BEST_FPERIOD_OVERRIDE=FQ","FILING_STATUS=MR","SCALING_FORMAT=MLN","Sort=A","Dates=H","DateFormat=P","Fill=—","Direction=H","UseDPDF=Y")</f>
        <v>86.436000000000007</v>
      </c>
      <c r="Y48" s="13">
        <f>_xll.BDH("BLUE US Equity","OTHER_FIN_AND_DEC_CAP","FQ2 2024","FQ2 2024","Currency=USD","Period=FQ","BEST_FPERIOD_OVERRIDE=FQ","FILING_STATUS=MR","SCALING_FORMAT=MLN","Sort=A","Dates=H","DateFormat=P","Fill=—","Direction=H","UseDPDF=Y")</f>
        <v>20.7</v>
      </c>
      <c r="Z48" s="13">
        <f>_xll.BDH("BLUE US Equity","OTHER_FIN_AND_DEC_CAP","FQ3 2024","FQ3 2024","Currency=USD","Period=FQ","BEST_FPERIOD_OVERRIDE=FQ","FILING_STATUS=MR","SCALING_FORMAT=MLN","Sort=A","Dates=H","DateFormat=P","Fill=—","Direction=H","UseDPDF=Y")</f>
        <v>14.826000000000001</v>
      </c>
      <c r="AA48" s="13">
        <f>_xll.BDH("BLUE US Equity","OTHER_FIN_AND_DEC_CAP","FQ4 2024","FQ4 2024","Currency=USD","Period=FQ","BEST_FPERIOD_OVERRIDE=FQ","FILING_STATUS=MR","SCALING_FORMAT=MLN","Sort=A","Dates=H","DateFormat=P","Fill=—","Direction=H","UseDPDF=Y")</f>
        <v>51.457000000000001</v>
      </c>
    </row>
    <row r="49" spans="1:27" x14ac:dyDescent="0.25">
      <c r="A49" s="10" t="s">
        <v>1095</v>
      </c>
      <c r="B49" s="10" t="s">
        <v>1148</v>
      </c>
      <c r="C49" s="13">
        <f>_xll.BDH("BLUE US Equity","CF_NET_CASH_DISCONTINUED_OPS_FIN","FQ4 2018","FQ4 2018","Currency=USD","Period=FQ","BEST_FPERIOD_OVERRIDE=FQ","FILING_STATUS=MR","SCALING_FORMAT=MLN","Sort=A","Dates=H","DateFormat=P","Fill=—","Direction=H","UseDPDF=Y")</f>
        <v>0</v>
      </c>
      <c r="D49" s="13">
        <f>_xll.BDH("BLUE US Equity","CF_NET_CASH_DISCONTINUED_OPS_FIN","FQ1 2019","FQ1 2019","Currency=USD","Period=FQ","BEST_FPERIOD_OVERRIDE=FQ","FILING_STATUS=MR","SCALING_FORMAT=MLN","Sort=A","Dates=H","DateFormat=P","Fill=—","Direction=H","UseDPDF=Y")</f>
        <v>0</v>
      </c>
      <c r="E49" s="13">
        <f>_xll.BDH("BLUE US Equity","CF_NET_CASH_DISCONTINUED_OPS_FIN","FQ2 2019","FQ2 2019","Currency=USD","Period=FQ","BEST_FPERIOD_OVERRIDE=FQ","FILING_STATUS=MR","SCALING_FORMAT=MLN","Sort=A","Dates=H","DateFormat=P","Fill=—","Direction=H","UseDPDF=Y")</f>
        <v>0</v>
      </c>
      <c r="F49" s="13">
        <f>_xll.BDH("BLUE US Equity","CF_NET_CASH_DISCONTINUED_OPS_FIN","FQ3 2019","FQ3 2019","Currency=USD","Period=FQ","BEST_FPERIOD_OVERRIDE=FQ","FILING_STATUS=MR","SCALING_FORMAT=MLN","Sort=A","Dates=H","DateFormat=P","Fill=—","Direction=H","UseDPDF=Y")</f>
        <v>0</v>
      </c>
      <c r="G49" s="13">
        <f>_xll.BDH("BLUE US Equity","CF_NET_CASH_DISCONTINUED_OPS_FIN","FQ4 2019","FQ4 2019","Currency=USD","Period=FQ","BEST_FPERIOD_OVERRIDE=FQ","FILING_STATUS=MR","SCALING_FORMAT=MLN","Sort=A","Dates=H","DateFormat=P","Fill=—","Direction=H","UseDPDF=Y")</f>
        <v>0</v>
      </c>
      <c r="H49" s="13">
        <f>_xll.BDH("BLUE US Equity","CF_NET_CASH_DISCONTINUED_OPS_FIN","FQ1 2020","FQ1 2020","Currency=USD","Period=FQ","BEST_FPERIOD_OVERRIDE=FQ","FILING_STATUS=MR","SCALING_FORMAT=MLN","Sort=A","Dates=H","DateFormat=P","Fill=—","Direction=H","UseDPDF=Y")</f>
        <v>0</v>
      </c>
      <c r="I49" s="13">
        <f>_xll.BDH("BLUE US Equity","CF_NET_CASH_DISCONTINUED_OPS_FIN","FQ2 2020","FQ2 2020","Currency=USD","Period=FQ","BEST_FPERIOD_OVERRIDE=FQ","FILING_STATUS=MR","SCALING_FORMAT=MLN","Sort=A","Dates=H","DateFormat=P","Fill=—","Direction=H","UseDPDF=Y")</f>
        <v>0</v>
      </c>
      <c r="J49" s="13">
        <f>_xll.BDH("BLUE US Equity","CF_NET_CASH_DISCONTINUED_OPS_FIN","FQ3 2020","FQ3 2020","Currency=USD","Period=FQ","BEST_FPERIOD_OVERRIDE=FQ","FILING_STATUS=MR","SCALING_FORMAT=MLN","Sort=A","Dates=H","DateFormat=P","Fill=—","Direction=H","UseDPDF=Y")</f>
        <v>0</v>
      </c>
      <c r="K49" s="13">
        <f>_xll.BDH("BLUE US Equity","CF_NET_CASH_DISCONTINUED_OPS_FIN","FQ4 2020","FQ4 2020","Currency=USD","Period=FQ","BEST_FPERIOD_OVERRIDE=FQ","FILING_STATUS=MR","SCALING_FORMAT=MLN","Sort=A","Dates=H","DateFormat=P","Fill=—","Direction=H","UseDPDF=Y")</f>
        <v>0</v>
      </c>
      <c r="L49" s="13">
        <f>_xll.BDH("BLUE US Equity","CF_NET_CASH_DISCONTINUED_OPS_FIN","FQ1 2021","FQ1 2021","Currency=USD","Period=FQ","BEST_FPERIOD_OVERRIDE=FQ","FILING_STATUS=MR","SCALING_FORMAT=MLN","Sort=A","Dates=H","DateFormat=P","Fill=—","Direction=H","UseDPDF=Y")</f>
        <v>0</v>
      </c>
      <c r="M49" s="13">
        <f>_xll.BDH("BLUE US Equity","CF_NET_CASH_DISCONTINUED_OPS_FIN","FQ2 2021","FQ2 2021","Currency=USD","Period=FQ","BEST_FPERIOD_OVERRIDE=FQ","FILING_STATUS=MR","SCALING_FORMAT=MLN","Sort=A","Dates=H","DateFormat=P","Fill=—","Direction=H","UseDPDF=Y")</f>
        <v>0</v>
      </c>
      <c r="N49" s="13" t="str">
        <f>_xll.BDH("BLUE US Equity","CF_NET_CASH_DISCONTINUED_OPS_FIN","FQ3 2021","FQ3 2021","Currency=USD","Period=FQ","BEST_FPERIOD_OVERRIDE=FQ","FILING_STATUS=MR","SCALING_FORMAT=MLN","Sort=A","Dates=H","DateFormat=P","Fill=—","Direction=H","UseDPDF=Y")</f>
        <v>—</v>
      </c>
      <c r="O49" s="13">
        <f>_xll.BDH("BLUE US Equity","CF_NET_CASH_DISCONTINUED_OPS_FIN","FQ4 2021","FQ4 2021","Currency=USD","Period=FQ","BEST_FPERIOD_OVERRIDE=FQ","FILING_STATUS=MR","SCALING_FORMAT=MLN","Sort=A","Dates=H","DateFormat=P","Fill=—","Direction=H","UseDPDF=Y")</f>
        <v>0</v>
      </c>
      <c r="P49" s="13">
        <f>_xll.BDH("BLUE US Equity","CF_NET_CASH_DISCONTINUED_OPS_FIN","FQ1 2022","FQ1 2022","Currency=USD","Period=FQ","BEST_FPERIOD_OVERRIDE=FQ","FILING_STATUS=MR","SCALING_FORMAT=MLN","Sort=A","Dates=H","DateFormat=P","Fill=—","Direction=H","UseDPDF=Y")</f>
        <v>0</v>
      </c>
      <c r="Q49" s="13">
        <f>_xll.BDH("BLUE US Equity","CF_NET_CASH_DISCONTINUED_OPS_FIN","FQ2 2022","FQ2 2022","Currency=USD","Period=FQ","BEST_FPERIOD_OVERRIDE=FQ","FILING_STATUS=MR","SCALING_FORMAT=MLN","Sort=A","Dates=H","DateFormat=P","Fill=—","Direction=H","UseDPDF=Y")</f>
        <v>0</v>
      </c>
      <c r="R49" s="13">
        <f>_xll.BDH("BLUE US Equity","CF_NET_CASH_DISCONTINUED_OPS_FIN","FQ3 2022","FQ3 2022","Currency=USD","Period=FQ","BEST_FPERIOD_OVERRIDE=FQ","FILING_STATUS=MR","SCALING_FORMAT=MLN","Sort=A","Dates=H","DateFormat=P","Fill=—","Direction=H","UseDPDF=Y")</f>
        <v>0</v>
      </c>
      <c r="S49" s="13">
        <f>_xll.BDH("BLUE US Equity","CF_NET_CASH_DISCONTINUED_OPS_FIN","FQ4 2022","FQ4 2022","Currency=USD","Period=FQ","BEST_FPERIOD_OVERRIDE=FQ","FILING_STATUS=MR","SCALING_FORMAT=MLN","Sort=A","Dates=H","DateFormat=P","Fill=—","Direction=H","UseDPDF=Y")</f>
        <v>0</v>
      </c>
      <c r="T49" s="13">
        <f>_xll.BDH("BLUE US Equity","CF_NET_CASH_DISCONTINUED_OPS_FIN","FQ1 2023","FQ1 2023","Currency=USD","Period=FQ","BEST_FPERIOD_OVERRIDE=FQ","FILING_STATUS=MR","SCALING_FORMAT=MLN","Sort=A","Dates=H","DateFormat=P","Fill=—","Direction=H","UseDPDF=Y")</f>
        <v>0</v>
      </c>
      <c r="U49" s="13">
        <f>_xll.BDH("BLUE US Equity","CF_NET_CASH_DISCONTINUED_OPS_FIN","FQ2 2023","FQ2 2023","Currency=USD","Period=FQ","BEST_FPERIOD_OVERRIDE=FQ","FILING_STATUS=MR","SCALING_FORMAT=MLN","Sort=A","Dates=H","DateFormat=P","Fill=—","Direction=H","UseDPDF=Y")</f>
        <v>0</v>
      </c>
      <c r="V49" s="13">
        <f>_xll.BDH("BLUE US Equity","CF_NET_CASH_DISCONTINUED_OPS_FIN","FQ3 2023","FQ3 2023","Currency=USD","Period=FQ","BEST_FPERIOD_OVERRIDE=FQ","FILING_STATUS=MR","SCALING_FORMAT=MLN","Sort=A","Dates=H","DateFormat=P","Fill=—","Direction=H","UseDPDF=Y")</f>
        <v>0</v>
      </c>
      <c r="W49" s="13">
        <f>_xll.BDH("BLUE US Equity","CF_NET_CASH_DISCONTINUED_OPS_FIN","FQ4 2023","FQ4 2023","Currency=USD","Period=FQ","BEST_FPERIOD_OVERRIDE=FQ","FILING_STATUS=MR","SCALING_FORMAT=MLN","Sort=A","Dates=H","DateFormat=P","Fill=—","Direction=H","UseDPDF=Y")</f>
        <v>0</v>
      </c>
      <c r="X49" s="13">
        <f>_xll.BDH("BLUE US Equity","CF_NET_CASH_DISCONTINUED_OPS_FIN","FQ1 2024","FQ1 2024","Currency=USD","Period=FQ","BEST_FPERIOD_OVERRIDE=FQ","FILING_STATUS=MR","SCALING_FORMAT=MLN","Sort=A","Dates=H","DateFormat=P","Fill=—","Direction=H","UseDPDF=Y")</f>
        <v>0</v>
      </c>
      <c r="Y49" s="13">
        <f>_xll.BDH("BLUE US Equity","CF_NET_CASH_DISCONTINUED_OPS_FIN","FQ2 2024","FQ2 2024","Currency=USD","Period=FQ","BEST_FPERIOD_OVERRIDE=FQ","FILING_STATUS=MR","SCALING_FORMAT=MLN","Sort=A","Dates=H","DateFormat=P","Fill=—","Direction=H","UseDPDF=Y")</f>
        <v>0</v>
      </c>
      <c r="Z49" s="13">
        <f>_xll.BDH("BLUE US Equity","CF_NET_CASH_DISCONTINUED_OPS_FIN","FQ3 2024","FQ3 2024","Currency=USD","Period=FQ","BEST_FPERIOD_OVERRIDE=FQ","FILING_STATUS=MR","SCALING_FORMAT=MLN","Sort=A","Dates=H","DateFormat=P","Fill=—","Direction=H","UseDPDF=Y")</f>
        <v>0</v>
      </c>
      <c r="AA49" s="13">
        <f>_xll.BDH("BLUE US Equity","CF_NET_CASH_DISCONTINUED_OPS_FIN","FQ4 2024","FQ4 2024","Currency=USD","Period=FQ","BEST_FPERIOD_OVERRIDE=FQ","FILING_STATUS=MR","SCALING_FORMAT=MLN","Sort=A","Dates=H","DateFormat=P","Fill=—","Direction=H","UseDPDF=Y")</f>
        <v>0</v>
      </c>
    </row>
    <row r="50" spans="1:27" x14ac:dyDescent="0.25">
      <c r="A50" s="6" t="s">
        <v>1129</v>
      </c>
      <c r="B50" s="6" t="s">
        <v>1149</v>
      </c>
      <c r="C50" s="19">
        <f>_xll.BDH("BLUE US Equity","CFF_ACTIVITIES_DETAILED","FQ4 2018","FQ4 2018","Currency=USD","Period=FQ","BEST_FPERIOD_OVERRIDE=FQ","FILING_STATUS=MR","SCALING_FORMAT=MLN","Sort=A","Dates=H","DateFormat=P","Fill=—","Direction=H","UseDPDF=Y")</f>
        <v>1.921</v>
      </c>
      <c r="D50" s="19">
        <f>_xll.BDH("BLUE US Equity","CFF_ACTIVITIES_DETAILED","FQ1 2019","FQ1 2019","Currency=USD","Period=FQ","BEST_FPERIOD_OVERRIDE=FQ","FILING_STATUS=MR","SCALING_FORMAT=MLN","Sort=A","Dates=H","DateFormat=P","Fill=—","Direction=H","UseDPDF=Y")</f>
        <v>10.223000000000001</v>
      </c>
      <c r="E50" s="19">
        <f>_xll.BDH("BLUE US Equity","CFF_ACTIVITIES_DETAILED","FQ2 2019","FQ2 2019","Currency=USD","Period=FQ","BEST_FPERIOD_OVERRIDE=FQ","FILING_STATUS=MR","SCALING_FORMAT=MLN","Sort=A","Dates=H","DateFormat=P","Fill=—","Direction=H","UseDPDF=Y")</f>
        <v>4.7809999999999997</v>
      </c>
      <c r="F50" s="19">
        <f>_xll.BDH("BLUE US Equity","CFF_ACTIVITIES_DETAILED","FQ3 2019","FQ3 2019","Currency=USD","Period=FQ","BEST_FPERIOD_OVERRIDE=FQ","FILING_STATUS=MR","SCALING_FORMAT=MLN","Sort=A","Dates=H","DateFormat=P","Fill=—","Direction=H","UseDPDF=Y")</f>
        <v>4.1779999999999999</v>
      </c>
      <c r="G50" s="19">
        <f>_xll.BDH("BLUE US Equity","CFF_ACTIVITIES_DETAILED","FQ4 2019","FQ4 2019","Currency=USD","Period=FQ","BEST_FPERIOD_OVERRIDE=FQ","FILING_STATUS=MR","SCALING_FORMAT=MLN","Sort=A","Dates=H","DateFormat=P","Fill=—","Direction=H","UseDPDF=Y")</f>
        <v>2.0049999999999999</v>
      </c>
      <c r="H50" s="19">
        <f>_xll.BDH("BLUE US Equity","CFF_ACTIVITIES_DETAILED","FQ1 2020","FQ1 2020","Currency=USD","Period=FQ","BEST_FPERIOD_OVERRIDE=FQ","FILING_STATUS=MR","SCALING_FORMAT=MLN","Sort=A","Dates=H","DateFormat=P","Fill=—","Direction=H","UseDPDF=Y")</f>
        <v>0.96299999999999997</v>
      </c>
      <c r="I50" s="19">
        <f>_xll.BDH("BLUE US Equity","CFF_ACTIVITIES_DETAILED","FQ2 2020","FQ2 2020","Currency=USD","Period=FQ","BEST_FPERIOD_OVERRIDE=FQ","FILING_STATUS=MR","SCALING_FORMAT=MLN","Sort=A","Dates=H","DateFormat=P","Fill=—","Direction=H","UseDPDF=Y")</f>
        <v>543.12199999999996</v>
      </c>
      <c r="J50" s="19">
        <f>_xll.BDH("BLUE US Equity","CFF_ACTIVITIES_DETAILED","FQ3 2020","FQ3 2020","Currency=USD","Period=FQ","BEST_FPERIOD_OVERRIDE=FQ","FILING_STATUS=MR","SCALING_FORMAT=MLN","Sort=A","Dates=H","DateFormat=P","Fill=—","Direction=H","UseDPDF=Y")</f>
        <v>1.198</v>
      </c>
      <c r="K50" s="19">
        <f>_xll.BDH("BLUE US Equity","CFF_ACTIVITIES_DETAILED","FQ4 2020","FQ4 2020","Currency=USD","Period=FQ","BEST_FPERIOD_OVERRIDE=FQ","FILING_STATUS=MR","SCALING_FORMAT=MLN","Sort=A","Dates=H","DateFormat=P","Fill=—","Direction=H","UseDPDF=Y")</f>
        <v>1.4319999999999999</v>
      </c>
      <c r="L50" s="19">
        <f>_xll.BDH("BLUE US Equity","CFF_ACTIVITIES_DETAILED","FQ1 2021","FQ1 2021","Currency=USD","Period=FQ","BEST_FPERIOD_OVERRIDE=FQ","FILING_STATUS=MR","SCALING_FORMAT=MLN","Sort=A","Dates=H","DateFormat=P","Fill=—","Direction=H","UseDPDF=Y")</f>
        <v>3.7959999999999998</v>
      </c>
      <c r="M50" s="19">
        <f>_xll.BDH("BLUE US Equity","CFF_ACTIVITIES_DETAILED","FQ2 2021","FQ2 2021","Currency=USD","Period=FQ","BEST_FPERIOD_OVERRIDE=FQ","FILING_STATUS=MR","SCALING_FORMAT=MLN","Sort=A","Dates=H","DateFormat=P","Fill=—","Direction=H","UseDPDF=Y")</f>
        <v>0.39600000000000002</v>
      </c>
      <c r="N50" s="19">
        <f>_xll.BDH("BLUE US Equity","CFF_ACTIVITIES_DETAILED","FQ3 2021","FQ3 2021","Currency=USD","Period=FQ","BEST_FPERIOD_OVERRIDE=FQ","FILING_STATUS=MR","SCALING_FORMAT=MLN","Sort=A","Dates=H","DateFormat=P","Fill=—","Direction=H","UseDPDF=Y")</f>
        <v>75.867999999999995</v>
      </c>
      <c r="O50" s="19">
        <f>_xll.BDH("BLUE US Equity","CFF_ACTIVITIES_DETAILED","FQ4 2021","FQ4 2021","Currency=USD","Period=FQ","BEST_FPERIOD_OVERRIDE=FQ","FILING_STATUS=MR","SCALING_FORMAT=MLN","Sort=A","Dates=H","DateFormat=P","Fill=—","Direction=H","UseDPDF=Y")</f>
        <v>-174.01400000000001</v>
      </c>
      <c r="P50" s="19">
        <f>_xll.BDH("BLUE US Equity","CFF_ACTIVITIES_DETAILED","FQ1 2022","FQ1 2022","Currency=USD","Period=FQ","BEST_FPERIOD_OVERRIDE=FQ","FILING_STATUS=MR","SCALING_FORMAT=MLN","Sort=A","Dates=H","DateFormat=P","Fill=—","Direction=H","UseDPDF=Y")</f>
        <v>8.9999999999999993E-3</v>
      </c>
      <c r="Q50" s="19">
        <f>_xll.BDH("BLUE US Equity","CFF_ACTIVITIES_DETAILED","FQ2 2022","FQ2 2022","Currency=USD","Period=FQ","BEST_FPERIOD_OVERRIDE=FQ","FILING_STATUS=MR","SCALING_FORMAT=MLN","Sort=A","Dates=H","DateFormat=P","Fill=—","Direction=H","UseDPDF=Y")</f>
        <v>8.0340000000000007</v>
      </c>
      <c r="R50" s="19">
        <f>_xll.BDH("BLUE US Equity","CFF_ACTIVITIES_DETAILED","FQ3 2022","FQ3 2022","Currency=USD","Period=FQ","BEST_FPERIOD_OVERRIDE=FQ","FILING_STATUS=MR","SCALING_FORMAT=MLN","Sort=A","Dates=H","DateFormat=P","Fill=—","Direction=H","UseDPDF=Y")</f>
        <v>46.325000000000003</v>
      </c>
      <c r="S50" s="19">
        <f>_xll.BDH("BLUE US Equity","CFF_ACTIVITIES_DETAILED","FQ4 2022","FQ4 2022","Currency=USD","Period=FQ","BEST_FPERIOD_OVERRIDE=FQ","FILING_STATUS=MR","SCALING_FORMAT=MLN","Sort=A","Dates=H","DateFormat=P","Fill=—","Direction=H","UseDPDF=Y")</f>
        <v>-36.848999999999997</v>
      </c>
      <c r="T50" s="19">
        <f>_xll.BDH("BLUE US Equity","CFF_ACTIVITIES_DETAILED","FQ1 2023","FQ1 2023","Currency=USD","Period=FQ","BEST_FPERIOD_OVERRIDE=FQ","FILING_STATUS=MR","SCALING_FORMAT=MLN","Sort=A","Dates=H","DateFormat=P","Fill=—","Direction=H","UseDPDF=Y")</f>
        <v>115.176</v>
      </c>
      <c r="U50" s="19">
        <f>_xll.BDH("BLUE US Equity","CFF_ACTIVITIES_DETAILED","FQ2 2023","FQ2 2023","Currency=USD","Period=FQ","BEST_FPERIOD_OVERRIDE=FQ","FILING_STATUS=MR","SCALING_FORMAT=MLN","Sort=A","Dates=H","DateFormat=P","Fill=—","Direction=H","UseDPDF=Y")</f>
        <v>-13.669</v>
      </c>
      <c r="V50" s="19">
        <f>_xll.BDH("BLUE US Equity","CFF_ACTIVITIES_DETAILED","FQ3 2023","FQ3 2023","Currency=USD","Period=FQ","BEST_FPERIOD_OVERRIDE=FQ","FILING_STATUS=MR","SCALING_FORMAT=MLN","Sort=A","Dates=H","DateFormat=P","Fill=—","Direction=H","UseDPDF=Y")</f>
        <v>-11.837</v>
      </c>
      <c r="W50" s="19">
        <f>_xll.BDH("BLUE US Equity","CFF_ACTIVITIES_DETAILED","FQ4 2023","FQ4 2023","Currency=USD","Period=FQ","BEST_FPERIOD_OVERRIDE=FQ","FILING_STATUS=MR","SCALING_FORMAT=MLN","Sort=A","Dates=H","DateFormat=P","Fill=—","Direction=H","UseDPDF=Y")</f>
        <v>66.278999999999996</v>
      </c>
      <c r="X50" s="19">
        <f>_xll.BDH("BLUE US Equity","CFF_ACTIVITIES_DETAILED","FQ1 2024","FQ1 2024","Currency=USD","Period=FQ","BEST_FPERIOD_OVERRIDE=FQ","FILING_STATUS=MR","SCALING_FORMAT=MLN","Sort=A","Dates=H","DateFormat=P","Fill=—","Direction=H","UseDPDF=Y")</f>
        <v>64.644999999999996</v>
      </c>
      <c r="Y50" s="19">
        <f>_xll.BDH("BLUE US Equity","CFF_ACTIVITIES_DETAILED","FQ2 2024","FQ2 2024","Currency=USD","Period=FQ","BEST_FPERIOD_OVERRIDE=FQ","FILING_STATUS=MR","SCALING_FORMAT=MLN","Sort=A","Dates=H","DateFormat=P","Fill=—","Direction=H","UseDPDF=Y")</f>
        <v>-6.0609999999999999</v>
      </c>
      <c r="Z50" s="19">
        <f>_xll.BDH("BLUE US Equity","CFF_ACTIVITIES_DETAILED","FQ3 2024","FQ3 2024","Currency=USD","Period=FQ","BEST_FPERIOD_OVERRIDE=FQ","FILING_STATUS=MR","SCALING_FORMAT=MLN","Sort=A","Dates=H","DateFormat=P","Fill=—","Direction=H","UseDPDF=Y")</f>
        <v>-6.1050000000000004</v>
      </c>
      <c r="AA50" s="19">
        <f>_xll.BDH("BLUE US Equity","CFF_ACTIVITIES_DETAILED","FQ4 2024","FQ4 2024","Currency=USD","Period=FQ","BEST_FPERIOD_OVERRIDE=FQ","FILING_STATUS=MR","SCALING_FORMAT=MLN","Sort=A","Dates=H","DateFormat=P","Fill=—","Direction=H","UseDPDF=Y")</f>
        <v>34.99</v>
      </c>
    </row>
    <row r="51" spans="1:27" x14ac:dyDescent="0.2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0" t="s">
        <v>1150</v>
      </c>
      <c r="B52" s="10" t="s">
        <v>1151</v>
      </c>
      <c r="C52" s="13">
        <f>_xll.BDH("BLUE US Equity","CF_EFFECT_FOREIGN_EXCHANGES","FQ4 2018","FQ4 2018","Currency=USD","Period=FQ","BEST_FPERIOD_OVERRIDE=FQ","FILING_STATUS=MR","SCALING_FORMAT=MLN","Sort=A","Dates=H","DateFormat=P","Fill=—","Direction=H","UseDPDF=Y")</f>
        <v>0</v>
      </c>
      <c r="D52" s="13">
        <f>_xll.BDH("BLUE US Equity","CF_EFFECT_FOREIGN_EXCHANGES","FQ1 2019","FQ1 2019","Currency=USD","Period=FQ","BEST_FPERIOD_OVERRIDE=FQ","FILING_STATUS=MR","SCALING_FORMAT=MLN","Sort=A","Dates=H","DateFormat=P","Fill=—","Direction=H","UseDPDF=Y")</f>
        <v>0</v>
      </c>
      <c r="E52" s="13">
        <f>_xll.BDH("BLUE US Equity","CF_EFFECT_FOREIGN_EXCHANGES","FQ2 2019","FQ2 2019","Currency=USD","Period=FQ","BEST_FPERIOD_OVERRIDE=FQ","FILING_STATUS=MR","SCALING_FORMAT=MLN","Sort=A","Dates=H","DateFormat=P","Fill=—","Direction=H","UseDPDF=Y")</f>
        <v>0</v>
      </c>
      <c r="F52" s="13">
        <f>_xll.BDH("BLUE US Equity","CF_EFFECT_FOREIGN_EXCHANGES","FQ3 2019","FQ3 2019","Currency=USD","Period=FQ","BEST_FPERIOD_OVERRIDE=FQ","FILING_STATUS=MR","SCALING_FORMAT=MLN","Sort=A","Dates=H","DateFormat=P","Fill=—","Direction=H","UseDPDF=Y")</f>
        <v>0</v>
      </c>
      <c r="G52" s="13">
        <f>_xll.BDH("BLUE US Equity","CF_EFFECT_FOREIGN_EXCHANGES","FQ4 2019","FQ4 2019","Currency=USD","Period=FQ","BEST_FPERIOD_OVERRIDE=FQ","FILING_STATUS=MR","SCALING_FORMAT=MLN","Sort=A","Dates=H","DateFormat=P","Fill=—","Direction=H","UseDPDF=Y")</f>
        <v>0</v>
      </c>
      <c r="H52" s="13">
        <f>_xll.BDH("BLUE US Equity","CF_EFFECT_FOREIGN_EXCHANGES","FQ1 2020","FQ1 2020","Currency=USD","Period=FQ","BEST_FPERIOD_OVERRIDE=FQ","FILING_STATUS=MR","SCALING_FORMAT=MLN","Sort=A","Dates=H","DateFormat=P","Fill=—","Direction=H","UseDPDF=Y")</f>
        <v>0</v>
      </c>
      <c r="I52" s="13">
        <f>_xll.BDH("BLUE US Equity","CF_EFFECT_FOREIGN_EXCHANGES","FQ2 2020","FQ2 2020","Currency=USD","Period=FQ","BEST_FPERIOD_OVERRIDE=FQ","FILING_STATUS=MR","SCALING_FORMAT=MLN","Sort=A","Dates=H","DateFormat=P","Fill=—","Direction=H","UseDPDF=Y")</f>
        <v>0</v>
      </c>
      <c r="J52" s="13">
        <f>_xll.BDH("BLUE US Equity","CF_EFFECT_FOREIGN_EXCHANGES","FQ3 2020","FQ3 2020","Currency=USD","Period=FQ","BEST_FPERIOD_OVERRIDE=FQ","FILING_STATUS=MR","SCALING_FORMAT=MLN","Sort=A","Dates=H","DateFormat=P","Fill=—","Direction=H","UseDPDF=Y")</f>
        <v>0</v>
      </c>
      <c r="K52" s="13">
        <f>_xll.BDH("BLUE US Equity","CF_EFFECT_FOREIGN_EXCHANGES","FQ4 2020","FQ4 2020","Currency=USD","Period=FQ","BEST_FPERIOD_OVERRIDE=FQ","FILING_STATUS=MR","SCALING_FORMAT=MLN","Sort=A","Dates=H","DateFormat=P","Fill=—","Direction=H","UseDPDF=Y")</f>
        <v>0</v>
      </c>
      <c r="L52" s="13">
        <f>_xll.BDH("BLUE US Equity","CF_EFFECT_FOREIGN_EXCHANGES","FQ1 2021","FQ1 2021","Currency=USD","Period=FQ","BEST_FPERIOD_OVERRIDE=FQ","FILING_STATUS=MR","SCALING_FORMAT=MLN","Sort=A","Dates=H","DateFormat=P","Fill=—","Direction=H","UseDPDF=Y")</f>
        <v>0</v>
      </c>
      <c r="M52" s="13">
        <f>_xll.BDH("BLUE US Equity","CF_EFFECT_FOREIGN_EXCHANGES","FQ2 2021","FQ2 2021","Currency=USD","Period=FQ","BEST_FPERIOD_OVERRIDE=FQ","FILING_STATUS=MR","SCALING_FORMAT=MLN","Sort=A","Dates=H","DateFormat=P","Fill=—","Direction=H","UseDPDF=Y")</f>
        <v>0</v>
      </c>
      <c r="N52" s="13">
        <f>_xll.BDH("BLUE US Equity","CF_EFFECT_FOREIGN_EXCHANGES","FQ3 2021","FQ3 2021","Currency=USD","Period=FQ","BEST_FPERIOD_OVERRIDE=FQ","FILING_STATUS=MR","SCALING_FORMAT=MLN","Sort=A","Dates=H","DateFormat=P","Fill=—","Direction=H","UseDPDF=Y")</f>
        <v>0</v>
      </c>
      <c r="O52" s="13">
        <f>_xll.BDH("BLUE US Equity","CF_EFFECT_FOREIGN_EXCHANGES","FQ4 2021","FQ4 2021","Currency=USD","Period=FQ","BEST_FPERIOD_OVERRIDE=FQ","FILING_STATUS=MR","SCALING_FORMAT=MLN","Sort=A","Dates=H","DateFormat=P","Fill=—","Direction=H","UseDPDF=Y")</f>
        <v>0</v>
      </c>
      <c r="P52" s="13">
        <f>_xll.BDH("BLUE US Equity","CF_EFFECT_FOREIGN_EXCHANGES","FQ1 2022","FQ1 2022","Currency=USD","Period=FQ","BEST_FPERIOD_OVERRIDE=FQ","FILING_STATUS=MR","SCALING_FORMAT=MLN","Sort=A","Dates=H","DateFormat=P","Fill=—","Direction=H","UseDPDF=Y")</f>
        <v>0</v>
      </c>
      <c r="Q52" s="13">
        <f>_xll.BDH("BLUE US Equity","CF_EFFECT_FOREIGN_EXCHANGES","FQ2 2022","FQ2 2022","Currency=USD","Period=FQ","BEST_FPERIOD_OVERRIDE=FQ","FILING_STATUS=MR","SCALING_FORMAT=MLN","Sort=A","Dates=H","DateFormat=P","Fill=—","Direction=H","UseDPDF=Y")</f>
        <v>0</v>
      </c>
      <c r="R52" s="13">
        <f>_xll.BDH("BLUE US Equity","CF_EFFECT_FOREIGN_EXCHANGES","FQ3 2022","FQ3 2022","Currency=USD","Period=FQ","BEST_FPERIOD_OVERRIDE=FQ","FILING_STATUS=MR","SCALING_FORMAT=MLN","Sort=A","Dates=H","DateFormat=P","Fill=—","Direction=H","UseDPDF=Y")</f>
        <v>0</v>
      </c>
      <c r="S52" s="13">
        <f>_xll.BDH("BLUE US Equity","CF_EFFECT_FOREIGN_EXCHANGES","FQ4 2022","FQ4 2022","Currency=USD","Period=FQ","BEST_FPERIOD_OVERRIDE=FQ","FILING_STATUS=MR","SCALING_FORMAT=MLN","Sort=A","Dates=H","DateFormat=P","Fill=—","Direction=H","UseDPDF=Y")</f>
        <v>0</v>
      </c>
      <c r="T52" s="13">
        <f>_xll.BDH("BLUE US Equity","CF_EFFECT_FOREIGN_EXCHANGES","FQ1 2023","FQ1 2023","Currency=USD","Period=FQ","BEST_FPERIOD_OVERRIDE=FQ","FILING_STATUS=MR","SCALING_FORMAT=MLN","Sort=A","Dates=H","DateFormat=P","Fill=—","Direction=H","UseDPDF=Y")</f>
        <v>0</v>
      </c>
      <c r="U52" s="13">
        <f>_xll.BDH("BLUE US Equity","CF_EFFECT_FOREIGN_EXCHANGES","FQ2 2023","FQ2 2023","Currency=USD","Period=FQ","BEST_FPERIOD_OVERRIDE=FQ","FILING_STATUS=MR","SCALING_FORMAT=MLN","Sort=A","Dates=H","DateFormat=P","Fill=—","Direction=H","UseDPDF=Y")</f>
        <v>0</v>
      </c>
      <c r="V52" s="13">
        <f>_xll.BDH("BLUE US Equity","CF_EFFECT_FOREIGN_EXCHANGES","FQ3 2023","FQ3 2023","Currency=USD","Period=FQ","BEST_FPERIOD_OVERRIDE=FQ","FILING_STATUS=MR","SCALING_FORMAT=MLN","Sort=A","Dates=H","DateFormat=P","Fill=—","Direction=H","UseDPDF=Y")</f>
        <v>0</v>
      </c>
      <c r="W52" s="13">
        <f>_xll.BDH("BLUE US Equity","CF_EFFECT_FOREIGN_EXCHANGES","FQ4 2023","FQ4 2023","Currency=USD","Period=FQ","BEST_FPERIOD_OVERRIDE=FQ","FILING_STATUS=MR","SCALING_FORMAT=MLN","Sort=A","Dates=H","DateFormat=P","Fill=—","Direction=H","UseDPDF=Y")</f>
        <v>0</v>
      </c>
      <c r="X52" s="13">
        <f>_xll.BDH("BLUE US Equity","CF_EFFECT_FOREIGN_EXCHANGES","FQ1 2024","FQ1 2024","Currency=USD","Period=FQ","BEST_FPERIOD_OVERRIDE=FQ","FILING_STATUS=MR","SCALING_FORMAT=MLN","Sort=A","Dates=H","DateFormat=P","Fill=—","Direction=H","UseDPDF=Y")</f>
        <v>0</v>
      </c>
      <c r="Y52" s="13">
        <f>_xll.BDH("BLUE US Equity","CF_EFFECT_FOREIGN_EXCHANGES","FQ2 2024","FQ2 2024","Currency=USD","Period=FQ","BEST_FPERIOD_OVERRIDE=FQ","FILING_STATUS=MR","SCALING_FORMAT=MLN","Sort=A","Dates=H","DateFormat=P","Fill=—","Direction=H","UseDPDF=Y")</f>
        <v>0</v>
      </c>
      <c r="Z52" s="13">
        <f>_xll.BDH("BLUE US Equity","CF_EFFECT_FOREIGN_EXCHANGES","FQ3 2024","FQ3 2024","Currency=USD","Period=FQ","BEST_FPERIOD_OVERRIDE=FQ","FILING_STATUS=MR","SCALING_FORMAT=MLN","Sort=A","Dates=H","DateFormat=P","Fill=—","Direction=H","UseDPDF=Y")</f>
        <v>0</v>
      </c>
      <c r="AA52" s="13">
        <f>_xll.BDH("BLUE US Equity","CF_EFFECT_FOREIGN_EXCHANGES","FQ4 2024","FQ4 2024","Currency=USD","Period=FQ","BEST_FPERIOD_OVERRIDE=FQ","FILING_STATUS=MR","SCALING_FORMAT=MLN","Sort=A","Dates=H","DateFormat=P","Fill=—","Direction=H","UseDPDF=Y")</f>
        <v>0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6" t="s">
        <v>1152</v>
      </c>
      <c r="B54" s="6" t="s">
        <v>1153</v>
      </c>
      <c r="C54" s="19">
        <f>_xll.BDH("BLUE US Equity","CF_NET_CHNG_CASH","FQ4 2018","FQ4 2018","Currency=USD","Period=FQ","BEST_FPERIOD_OVERRIDE=FQ","FILING_STATUS=MR","SCALING_FORMAT=MLN","Sort=A","Dates=H","DateFormat=P","Fill=—","Direction=H","UseDPDF=Y")</f>
        <v>-548.90099999999995</v>
      </c>
      <c r="D54" s="19">
        <f>_xll.BDH("BLUE US Equity","CF_NET_CHNG_CASH","FQ1 2019","FQ1 2019","Currency=USD","Period=FQ","BEST_FPERIOD_OVERRIDE=FQ","FILING_STATUS=MR","SCALING_FORMAT=MLN","Sort=A","Dates=H","DateFormat=P","Fill=—","Direction=H","UseDPDF=Y")</f>
        <v>-180.84399999999999</v>
      </c>
      <c r="E54" s="19">
        <f>_xll.BDH("BLUE US Equity","CF_NET_CHNG_CASH","FQ2 2019","FQ2 2019","Currency=USD","Period=FQ","BEST_FPERIOD_OVERRIDE=FQ","FILING_STATUS=MR","SCALING_FORMAT=MLN","Sort=A","Dates=H","DateFormat=P","Fill=—","Direction=H","UseDPDF=Y")</f>
        <v>99.334000000000003</v>
      </c>
      <c r="F54" s="19">
        <f>_xll.BDH("BLUE US Equity","CF_NET_CHNG_CASH","FQ3 2019","FQ3 2019","Currency=USD","Period=FQ","BEST_FPERIOD_OVERRIDE=FQ","FILING_STATUS=MR","SCALING_FORMAT=MLN","Sort=A","Dates=H","DateFormat=P","Fill=—","Direction=H","UseDPDF=Y")</f>
        <v>19.838000000000001</v>
      </c>
      <c r="G54" s="19">
        <f>_xll.BDH("BLUE US Equity","CF_NET_CHNG_CASH","FQ4 2019","FQ4 2019","Currency=USD","Period=FQ","BEST_FPERIOD_OVERRIDE=FQ","FILING_STATUS=MR","SCALING_FORMAT=MLN","Sort=A","Dates=H","DateFormat=P","Fill=—","Direction=H","UseDPDF=Y")</f>
        <v>26.282</v>
      </c>
      <c r="H54" s="19">
        <f>_xll.BDH("BLUE US Equity","CF_NET_CHNG_CASH","FQ1 2020","FQ1 2020","Currency=USD","Period=FQ","BEST_FPERIOD_OVERRIDE=FQ","FILING_STATUS=MR","SCALING_FORMAT=MLN","Sort=A","Dates=H","DateFormat=P","Fill=—","Direction=H","UseDPDF=Y")</f>
        <v>19.420000000000002</v>
      </c>
      <c r="I54" s="19">
        <f>_xll.BDH("BLUE US Equity","CF_NET_CHNG_CASH","FQ2 2020","FQ2 2020","Currency=USD","Period=FQ","BEST_FPERIOD_OVERRIDE=FQ","FILING_STATUS=MR","SCALING_FORMAT=MLN","Sort=A","Dates=H","DateFormat=P","Fill=—","Direction=H","UseDPDF=Y")</f>
        <v>852.14099999999996</v>
      </c>
      <c r="J54" s="19">
        <f>_xll.BDH("BLUE US Equity","CF_NET_CHNG_CASH","FQ3 2020","FQ3 2020","Currency=USD","Period=FQ","BEST_FPERIOD_OVERRIDE=FQ","FILING_STATUS=MR","SCALING_FORMAT=MLN","Sort=A","Dates=H","DateFormat=P","Fill=—","Direction=H","UseDPDF=Y")</f>
        <v>-874.59699999999998</v>
      </c>
      <c r="K54" s="19">
        <f>_xll.BDH("BLUE US Equity","CF_NET_CHNG_CASH","FQ4 2020","FQ4 2020","Currency=USD","Period=FQ","BEST_FPERIOD_OVERRIDE=FQ","FILING_STATUS=MR","SCALING_FORMAT=MLN","Sort=A","Dates=H","DateFormat=P","Fill=—","Direction=H","UseDPDF=Y")</f>
        <v>-4.9450000000000003</v>
      </c>
      <c r="L54" s="19">
        <f>_xll.BDH("BLUE US Equity","CF_NET_CHNG_CASH","FQ1 2021","FQ1 2021","Currency=USD","Period=FQ","BEST_FPERIOD_OVERRIDE=FQ","FILING_STATUS=MR","SCALING_FORMAT=MLN","Sort=A","Dates=H","DateFormat=P","Fill=—","Direction=H","UseDPDF=Y")</f>
        <v>121.821</v>
      </c>
      <c r="M54" s="19">
        <f>_xll.BDH("BLUE US Equity","CF_NET_CHNG_CASH","FQ2 2021","FQ2 2021","Currency=USD","Period=FQ","BEST_FPERIOD_OVERRIDE=FQ","FILING_STATUS=MR","SCALING_FORMAT=MLN","Sort=A","Dates=H","DateFormat=P","Fill=—","Direction=H","UseDPDF=Y")</f>
        <v>-84.884</v>
      </c>
      <c r="N54" s="19">
        <f>_xll.BDH("BLUE US Equity","CF_NET_CHNG_CASH","FQ3 2021","FQ3 2021","Currency=USD","Period=FQ","BEST_FPERIOD_OVERRIDE=FQ","FILING_STATUS=MR","SCALING_FORMAT=MLN","Sort=A","Dates=H","DateFormat=P","Fill=—","Direction=H","UseDPDF=Y")</f>
        <v>48.834000000000003</v>
      </c>
      <c r="O54" s="19">
        <f>_xll.BDH("BLUE US Equity","CF_NET_CHNG_CASH","FQ4 2021","FQ4 2021","Currency=USD","Period=FQ","BEST_FPERIOD_OVERRIDE=FQ","FILING_STATUS=MR","SCALING_FORMAT=MLN","Sort=A","Dates=H","DateFormat=P","Fill=—","Direction=H","UseDPDF=Y")</f>
        <v>-252.80699999999999</v>
      </c>
      <c r="P54" s="19">
        <f>_xll.BDH("BLUE US Equity","CF_NET_CHNG_CASH","FQ1 2022","FQ1 2022","Currency=USD","Period=FQ","BEST_FPERIOD_OVERRIDE=FQ","FILING_STATUS=MR","SCALING_FORMAT=MLN","Sort=A","Dates=H","DateFormat=P","Fill=—","Direction=H","UseDPDF=Y")</f>
        <v>-55.360999999999997</v>
      </c>
      <c r="Q54" s="19">
        <f>_xll.BDH("BLUE US Equity","CF_NET_CHNG_CASH","FQ2 2022","FQ2 2022","Currency=USD","Period=FQ","BEST_FPERIOD_OVERRIDE=FQ","FILING_STATUS=MR","SCALING_FORMAT=MLN","Sort=A","Dates=H","DateFormat=P","Fill=—","Direction=H","UseDPDF=Y")</f>
        <v>-24.648</v>
      </c>
      <c r="R54" s="19">
        <f>_xll.BDH("BLUE US Equity","CF_NET_CHNG_CASH","FQ3 2022","FQ3 2022","Currency=USD","Period=FQ","BEST_FPERIOD_OVERRIDE=FQ","FILING_STATUS=MR","SCALING_FORMAT=MLN","Sort=A","Dates=H","DateFormat=P","Fill=—","Direction=H","UseDPDF=Y")</f>
        <v>-15.092000000000001</v>
      </c>
      <c r="S54" s="19">
        <f>_xll.BDH("BLUE US Equity","CF_NET_CHNG_CASH","FQ4 2022","FQ4 2022","Currency=USD","Period=FQ","BEST_FPERIOD_OVERRIDE=FQ","FILING_STATUS=MR","SCALING_FORMAT=MLN","Sort=A","Dates=H","DateFormat=P","Fill=—","Direction=H","UseDPDF=Y")</f>
        <v>46.853999999999999</v>
      </c>
      <c r="T54" s="19">
        <f>_xll.BDH("BLUE US Equity","CF_NET_CHNG_CASH","FQ1 2023","FQ1 2023","Currency=USD","Period=FQ","BEST_FPERIOD_OVERRIDE=FQ","FILING_STATUS=MR","SCALING_FORMAT=MLN","Sort=A","Dates=H","DateFormat=P","Fill=—","Direction=H","UseDPDF=Y")</f>
        <v>125.95399999999999</v>
      </c>
      <c r="U54" s="19">
        <f>_xll.BDH("BLUE US Equity","CF_NET_CHNG_CASH","FQ2 2023","FQ2 2023","Currency=USD","Period=FQ","BEST_FPERIOD_OVERRIDE=FQ","FILING_STATUS=MR","SCALING_FORMAT=MLN","Sort=A","Dates=H","DateFormat=P","Fill=—","Direction=H","UseDPDF=Y")</f>
        <v>-66.224999999999994</v>
      </c>
      <c r="V54" s="19">
        <f>_xll.BDH("BLUE US Equity","CF_NET_CHNG_CASH","FQ3 2023","FQ3 2023","Currency=USD","Period=FQ","BEST_FPERIOD_OVERRIDE=FQ","FILING_STATUS=MR","SCALING_FORMAT=MLN","Sort=A","Dates=H","DateFormat=P","Fill=—","Direction=H","UseDPDF=Y")</f>
        <v>0.19500000000000001</v>
      </c>
      <c r="W54" s="19">
        <f>_xll.BDH("BLUE US Equity","CF_NET_CHNG_CASH","FQ4 2023","FQ4 2023","Currency=USD","Period=FQ","BEST_FPERIOD_OVERRIDE=FQ","FILING_STATUS=MR","SCALING_FORMAT=MLN","Sort=A","Dates=H","DateFormat=P","Fill=—","Direction=H","UseDPDF=Y")</f>
        <v>56.228000000000002</v>
      </c>
      <c r="X54" s="19">
        <f>_xll.BDH("BLUE US Equity","CF_NET_CHNG_CASH","FQ1 2024","FQ1 2024","Currency=USD","Period=FQ","BEST_FPERIOD_OVERRIDE=FQ","FILING_STATUS=MR","SCALING_FORMAT=MLN","Sort=A","Dates=H","DateFormat=P","Fill=—","Direction=H","UseDPDF=Y")</f>
        <v>-10.686</v>
      </c>
      <c r="Y54" s="19">
        <f>_xll.BDH("BLUE US Equity","CF_NET_CHNG_CASH","FQ2 2024","FQ2 2024","Currency=USD","Period=FQ","BEST_FPERIOD_OVERRIDE=FQ","FILING_STATUS=MR","SCALING_FORMAT=MLN","Sort=A","Dates=H","DateFormat=P","Fill=—","Direction=H","UseDPDF=Y")</f>
        <v>-70.691999999999993</v>
      </c>
      <c r="Z54" s="19">
        <f>_xll.BDH("BLUE US Equity","CF_NET_CHNG_CASH","FQ3 2024","FQ3 2024","Currency=USD","Period=FQ","BEST_FPERIOD_OVERRIDE=FQ","FILING_STATUS=MR","SCALING_FORMAT=MLN","Sort=A","Dates=H","DateFormat=P","Fill=—","Direction=H","UseDPDF=Y")</f>
        <v>-74.566999999999993</v>
      </c>
      <c r="AA54" s="19">
        <f>_xll.BDH("BLUE US Equity","CF_NET_CHNG_CASH","FQ4 2024","FQ4 2024","Currency=USD","Period=FQ","BEST_FPERIOD_OVERRIDE=FQ","FILING_STATUS=MR","SCALING_FORMAT=MLN","Sort=A","Dates=H","DateFormat=P","Fill=—","Direction=H","UseDPDF=Y")</f>
        <v>-12.709</v>
      </c>
    </row>
    <row r="55" spans="1:27" x14ac:dyDescent="0.25">
      <c r="A55" s="6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6" t="s">
        <v>4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0" t="s">
        <v>78</v>
      </c>
      <c r="B58" s="10" t="s">
        <v>78</v>
      </c>
      <c r="C58" s="13">
        <f>_xll.BDH("BLUE US Equity","EBITDA","FQ4 2018","FQ4 2018","Currency=USD","Period=FQ","BEST_FPERIOD_OVERRIDE=FQ","FILING_STATUS=MR","SCALING_FORMAT=MLN","FA_ADJUSTED=GAAP","Sort=A","Dates=H","DateFormat=P","Fill=—","Direction=H","UseDPDF=Y")</f>
        <v>-152.416</v>
      </c>
      <c r="D58" s="13">
        <f>_xll.BDH("BLUE US Equity","EBITDA","FQ1 2019","FQ1 2019","Currency=USD","Period=FQ","BEST_FPERIOD_OVERRIDE=FQ","FILING_STATUS=MR","SCALING_FORMAT=MLN","FA_ADJUSTED=GAAP","Sort=A","Dates=H","DateFormat=P","Fill=—","Direction=H","UseDPDF=Y")</f>
        <v>-158.90799999999999</v>
      </c>
      <c r="E58" s="13">
        <f>_xll.BDH("BLUE US Equity","EBITDA","FQ2 2019","FQ2 2019","Currency=USD","Period=FQ","BEST_FPERIOD_OVERRIDE=FQ","FILING_STATUS=MR","SCALING_FORMAT=MLN","FA_ADJUSTED=GAAP","Sort=A","Dates=H","DateFormat=P","Fill=—","Direction=H","UseDPDF=Y")</f>
        <v>-189.73699999999999</v>
      </c>
      <c r="F58" s="13">
        <f>_xll.BDH("BLUE US Equity","EBITDA","FQ3 2019","FQ3 2019","Currency=USD","Period=FQ","BEST_FPERIOD_OVERRIDE=FQ","FILING_STATUS=MR","SCALING_FORMAT=MLN","FA_ADJUSTED=GAAP","Sort=A","Dates=H","DateFormat=P","Fill=—","Direction=H","UseDPDF=Y")</f>
        <v>-197.02600000000001</v>
      </c>
      <c r="G58" s="13">
        <f>_xll.BDH("BLUE US Equity","EBITDA","FQ4 2019","FQ4 2019","Currency=USD","Period=FQ","BEST_FPERIOD_OVERRIDE=FQ","FILING_STATUS=MR","SCALING_FORMAT=MLN","FA_ADJUSTED=GAAP","Sort=A","Dates=H","DateFormat=P","Fill=—","Direction=H","UseDPDF=Y")</f>
        <v>-216.376</v>
      </c>
      <c r="H58" s="13">
        <f>_xll.BDH("BLUE US Equity","EBITDA","FQ1 2020","FQ1 2020","Currency=USD","Period=FQ","BEST_FPERIOD_OVERRIDE=FQ","FILING_STATUS=MR","SCALING_FORMAT=MLN","FA_ADJUSTED=GAAP","Sort=A","Dates=H","DateFormat=P","Fill=—","Direction=H","UseDPDF=Y")</f>
        <v>-198.54499999999999</v>
      </c>
      <c r="I58" s="13">
        <f>_xll.BDH("BLUE US Equity","EBITDA","FQ2 2020","FQ2 2020","Currency=USD","Period=FQ","BEST_FPERIOD_OVERRIDE=FQ","FILING_STATUS=MR","SCALING_FORMAT=MLN","FA_ADJUSTED=GAAP","Sort=A","Dates=H","DateFormat=P","Fill=—","Direction=H","UseDPDF=Y")</f>
        <v>-21.395</v>
      </c>
      <c r="J58" s="13">
        <f>_xll.BDH("BLUE US Equity","EBITDA","FQ3 2020","FQ3 2020","Currency=USD","Period=FQ","BEST_FPERIOD_OVERRIDE=FQ","FILING_STATUS=MR","SCALING_FORMAT=MLN","FA_ADJUSTED=GAAP","Sort=A","Dates=H","DateFormat=P","Fill=—","Direction=H","UseDPDF=Y")</f>
        <v>-184.74600000000001</v>
      </c>
      <c r="K58" s="13">
        <f>_xll.BDH("BLUE US Equity","EBITDA","FQ4 2020","FQ4 2020","Currency=USD","Period=FQ","BEST_FPERIOD_OVERRIDE=FQ","FILING_STATUS=MR","SCALING_FORMAT=MLN","FA_ADJUSTED=GAAP","Sort=A","Dates=H","DateFormat=P","Fill=—","Direction=H","UseDPDF=Y")</f>
        <v>-134.40899999999999</v>
      </c>
      <c r="L58" s="13">
        <f>_xll.BDH("BLUE US Equity","EBITDA","FQ1 2021","FQ1 2021","Currency=USD","Period=FQ","BEST_FPERIOD_OVERRIDE=FQ","FILING_STATUS=MR","SCALING_FORMAT=MLN","FA_ADJUSTED=GAAP","Sort=A","Dates=H","DateFormat=P","Fill=—","Direction=H","UseDPDF=Y")</f>
        <v>-140.73400000000001</v>
      </c>
      <c r="M58" s="13">
        <f>_xll.BDH("BLUE US Equity","EBITDA","FQ2 2021","FQ2 2021","Currency=USD","Period=FQ","BEST_FPERIOD_OVERRIDE=FQ","FILING_STATUS=MR","SCALING_FORMAT=MLN","FA_ADJUSTED=GAAP","Sort=A","Dates=H","DateFormat=P","Fill=—","Direction=H","UseDPDF=Y")</f>
        <v>-234.845</v>
      </c>
      <c r="N58" s="13">
        <f>_xll.BDH("BLUE US Equity","EBITDA","FQ3 2021","FQ3 2021","Currency=USD","Period=FQ","BEST_FPERIOD_OVERRIDE=FQ","FILING_STATUS=MR","SCALING_FORMAT=MLN","FA_ADJUSTED=GAAP","Sort=A","Dates=H","DateFormat=P","Fill=—","Direction=H","UseDPDF=Y")</f>
        <v>-148.46700000000001</v>
      </c>
      <c r="O58" s="13">
        <f>_xll.BDH("BLUE US Equity","EBITDA","FQ4 2021","FQ4 2021","Currency=USD","Period=FQ","BEST_FPERIOD_OVERRIDE=FQ","FILING_STATUS=MR","SCALING_FORMAT=MLN","FA_ADJUSTED=GAAP","Sort=A","Dates=H","DateFormat=P","Fill=—","Direction=H","UseDPDF=Y")</f>
        <v>-133.35300000000001</v>
      </c>
      <c r="P58" s="13">
        <f>_xll.BDH("BLUE US Equity","EBITDA","FQ1 2022","FQ1 2022","Currency=USD","Period=FQ","BEST_FPERIOD_OVERRIDE=FQ","FILING_STATUS=MR","SCALING_FORMAT=MLN","FA_ADJUSTED=GAAP","Sort=A","Dates=H","DateFormat=P","Fill=—","Direction=H","UseDPDF=Y")</f>
        <v>-119.33199999999999</v>
      </c>
      <c r="Q58" s="13">
        <f>_xll.BDH("BLUE US Equity","EBITDA","FQ2 2022","FQ2 2022","Currency=USD","Period=FQ","BEST_FPERIOD_OVERRIDE=FQ","FILING_STATUS=MR","SCALING_FORMAT=MLN","FA_ADJUSTED=GAAP","Sort=A","Dates=H","DateFormat=P","Fill=—","Direction=H","UseDPDF=Y")</f>
        <v>-106.056</v>
      </c>
      <c r="R58" s="13">
        <f>_xll.BDH("BLUE US Equity","EBITDA","FQ3 2022","FQ3 2022","Currency=USD","Period=FQ","BEST_FPERIOD_OVERRIDE=FQ","FILING_STATUS=MR","SCALING_FORMAT=MLN","FA_ADJUSTED=GAAP","Sort=A","Dates=H","DateFormat=P","Fill=—","Direction=H","UseDPDF=Y")</f>
        <v>-83.394000000000005</v>
      </c>
      <c r="S58" s="13">
        <f>_xll.BDH("BLUE US Equity","EBITDA","FQ4 2022","FQ4 2022","Currency=USD","Period=FQ","BEST_FPERIOD_OVERRIDE=FQ","FILING_STATUS=MR","SCALING_FORMAT=MLN","FA_ADJUSTED=GAAP","Sort=A","Dates=H","DateFormat=P","Fill=—","Direction=H","UseDPDF=Y")</f>
        <v>66.941000000000003</v>
      </c>
      <c r="T58" s="13">
        <f>_xll.BDH("BLUE US Equity","EBITDA","FQ1 2023","FQ1 2023","Currency=USD","Period=FQ","BEST_FPERIOD_OVERRIDE=FQ","FILING_STATUS=MR","SCALING_FORMAT=MLN","FA_ADJUSTED=GAAP","Sort=A","Dates=H","DateFormat=P","Fill=—","Direction=H","UseDPDF=Y")</f>
        <v>18.279</v>
      </c>
      <c r="U58" s="13">
        <f>_xll.BDH("BLUE US Equity","EBITDA","FQ2 2023","FQ2 2023","Currency=USD","Period=FQ","BEST_FPERIOD_OVERRIDE=FQ","FILING_STATUS=MR","SCALING_FORMAT=MLN","FA_ADJUSTED=GAAP","Sort=A","Dates=H","DateFormat=P","Fill=—","Direction=H","UseDPDF=Y")</f>
        <v>-64.542000000000002</v>
      </c>
      <c r="V58" s="13">
        <f>_xll.BDH("BLUE US Equity","EBITDA","FQ3 2023","FQ3 2023","Currency=USD","Period=FQ","BEST_FPERIOD_OVERRIDE=FQ","FILING_STATUS=MR","SCALING_FORMAT=MLN","FA_ADJUSTED=GAAP","Sort=A","Dates=H","DateFormat=P","Fill=—","Direction=H","UseDPDF=Y")</f>
        <v>-86.867999999999995</v>
      </c>
      <c r="W58" s="13">
        <f>_xll.BDH("BLUE US Equity","EBITDA","FQ4 2023","FQ4 2023","Currency=USD","Period=FQ","BEST_FPERIOD_OVERRIDE=FQ","FILING_STATUS=MR","SCALING_FORMAT=MLN","FA_ADJUSTED=GAAP","Sort=A","Dates=H","DateFormat=P","Fill=—","Direction=H","UseDPDF=Y")</f>
        <v>-57.271999999999998</v>
      </c>
      <c r="X58" s="13">
        <f>_xll.BDH("BLUE US Equity","EBITDA","FQ1 2024","FQ1 2024","Currency=USD","Period=FQ","BEST_FPERIOD_OVERRIDE=FQ","FILING_STATUS=MR","SCALING_FORMAT=MLN","FA_ADJUSTED=GAAP","Sort=A","Dates=H","DateFormat=P","Fill=—","Direction=H","UseDPDF=Y")</f>
        <v>-64.082999999999998</v>
      </c>
      <c r="Y58" s="13">
        <f>_xll.BDH("BLUE US Equity","EBITDA","FQ2 2024","FQ2 2024","Currency=USD","Period=FQ","BEST_FPERIOD_OVERRIDE=FQ","FILING_STATUS=MR","SCALING_FORMAT=MLN","FA_ADJUSTED=GAAP","Sort=A","Dates=H","DateFormat=P","Fill=—","Direction=H","UseDPDF=Y")</f>
        <v>-72.64</v>
      </c>
      <c r="Z58" s="13">
        <f>_xll.BDH("BLUE US Equity","EBITDA","FQ3 2024","FQ3 2024","Currency=USD","Period=FQ","BEST_FPERIOD_OVERRIDE=FQ","FILING_STATUS=MR","SCALING_FORMAT=MLN","FA_ADJUSTED=GAAP","Sort=A","Dates=H","DateFormat=P","Fill=—","Direction=H","UseDPDF=Y")</f>
        <v>-51.575000000000003</v>
      </c>
      <c r="AA58" s="13">
        <f>_xll.BDH("BLUE US Equity","EBITDA","FQ4 2024","FQ4 2024","Currency=USD","Period=FQ","BEST_FPERIOD_OVERRIDE=FQ","FILING_STATUS=MR","SCALING_FORMAT=MLN","FA_ADJUSTED=GAAP","Sort=A","Dates=H","DateFormat=P","Fill=—","Direction=H","UseDPDF=Y")</f>
        <v>-29.396999999999998</v>
      </c>
    </row>
    <row r="59" spans="1:27" x14ac:dyDescent="0.25">
      <c r="A59" s="10" t="s">
        <v>1154</v>
      </c>
      <c r="B59" s="10" t="s">
        <v>356</v>
      </c>
      <c r="C59" s="14">
        <f>_xll.BDH("BLUE US Equity","EBITDA_MARGIN","FQ4 2018","FQ4 2018","Currency=USD","Period=FQ","BEST_FPERIOD_OVERRIDE=FQ","FILING_STATUS=MR","FA_ADJUSTED=GAAP","Sort=A","Dates=H","DateFormat=P","Fill=—","Direction=H","UseDPDF=Y")</f>
        <v>-1016.6273</v>
      </c>
      <c r="D59" s="14">
        <f>_xll.BDH("BLUE US Equity","EBITDA_MARGIN","FQ1 2019","FQ1 2019","Currency=USD","Period=FQ","BEST_FPERIOD_OVERRIDE=FQ","FILING_STATUS=MR","FA_ADJUSTED=GAAP","Sort=A","Dates=H","DateFormat=P","Fill=—","Direction=H","UseDPDF=Y")</f>
        <v>-1176.6074000000001</v>
      </c>
      <c r="E59" s="14">
        <f>_xll.BDH("BLUE US Equity","EBITDA_MARGIN","FQ2 2019","FQ2 2019","Currency=USD","Period=FQ","BEST_FPERIOD_OVERRIDE=FQ","FILING_STATUS=MR","FA_ADJUSTED=GAAP","Sort=A","Dates=H","DateFormat=P","Fill=—","Direction=H","UseDPDF=Y")</f>
        <v>-1143.4186</v>
      </c>
      <c r="F59" s="14">
        <f>_xll.BDH("BLUE US Equity","EBITDA_MARGIN","FQ3 2019","FQ3 2019","Currency=USD","Period=FQ","BEST_FPERIOD_OVERRIDE=FQ","FILING_STATUS=MR","FA_ADJUSTED=GAAP","Sort=A","Dates=H","DateFormat=P","Fill=—","Direction=H","UseDPDF=Y")</f>
        <v>-1294.6717000000001</v>
      </c>
      <c r="G59" s="14">
        <f>_xll.BDH("BLUE US Equity","EBITDA_MARGIN","FQ4 2019","FQ4 2019","Currency=USD","Period=FQ","BEST_FPERIOD_OVERRIDE=FQ","FILING_STATUS=MR","FA_ADJUSTED=GAAP","Sort=A","Dates=H","DateFormat=P","Fill=—","Direction=H","UseDPDF=Y")</f>
        <v>-1705.7953</v>
      </c>
      <c r="H59" s="14">
        <f>_xll.BDH("BLUE US Equity","EBITDA_MARGIN","FQ1 2020","FQ1 2020","Currency=USD","Period=FQ","BEST_FPERIOD_OVERRIDE=FQ","FILING_STATUS=MR","FA_ADJUSTED=GAAP","Sort=A","Dates=H","DateFormat=P","Fill=—","Direction=H","UseDPDF=Y")</f>
        <v>-1482.7877000000001</v>
      </c>
      <c r="I59" s="14">
        <f>_xll.BDH("BLUE US Equity","EBITDA_MARGIN","FQ2 2020","FQ2 2020","Currency=USD","Period=FQ","BEST_FPERIOD_OVERRIDE=FQ","FILING_STATUS=MR","FA_ADJUSTED=GAAP","Sort=A","Dates=H","DateFormat=P","Fill=—","Direction=H","UseDPDF=Y")</f>
        <v>-264.26690000000002</v>
      </c>
      <c r="J59" s="14">
        <f>_xll.BDH("BLUE US Equity","EBITDA_MARGIN","FQ3 2020","FQ3 2020","Currency=USD","Period=FQ","BEST_FPERIOD_OVERRIDE=FQ","FILING_STATUS=MR","FA_ADJUSTED=GAAP","Sort=A","Dates=H","DateFormat=P","Fill=—","Direction=H","UseDPDF=Y")</f>
        <v>-248.40190000000001</v>
      </c>
      <c r="K59" s="14">
        <f>_xll.BDH("BLUE US Equity","EBITDA_MARGIN","FQ4 2020","FQ4 2020","Currency=USD","Period=FQ","BEST_FPERIOD_OVERRIDE=FQ","FILING_STATUS=MR","FA_ADJUSTED=GAAP","Sort=A","Dates=H","DateFormat=P","Fill=—","Direction=H","UseDPDF=Y")</f>
        <v>-224.5986</v>
      </c>
      <c r="L59" s="14">
        <f>_xll.BDH("BLUE US Equity","EBITDA_MARGIN","FQ1 2021","FQ1 2021","Currency=USD","Period=FQ","BEST_FPERIOD_OVERRIDE=FQ","FILING_STATUS=MR","FA_ADJUSTED=GAAP","Sort=A","Dates=H","DateFormat=P","Fill=—","Direction=H","UseDPDF=Y")</f>
        <v>-219.7072</v>
      </c>
      <c r="M59" s="14">
        <f>_xll.BDH("BLUE US Equity","EBITDA_MARGIN","FQ2 2021","FQ2 2021","Currency=USD","Period=FQ","BEST_FPERIOD_OVERRIDE=FQ","FILING_STATUS=MR","FA_ADJUSTED=GAAP","Sort=A","Dates=H","DateFormat=P","Fill=—","Direction=H","UseDPDF=Y")</f>
        <v>-2513.6003000000001</v>
      </c>
      <c r="N59" s="14">
        <f>_xll.BDH("BLUE US Equity","EBITDA_MARGIN","FQ3 2021","FQ3 2021","Currency=USD","Period=FQ","BEST_FPERIOD_OVERRIDE=FQ","FILING_STATUS=MR","FA_ADJUSTED=GAAP","Sort=A","Dates=H","DateFormat=P","Fill=—","Direction=H","UseDPDF=Y")</f>
        <v>-7016.0361999999996</v>
      </c>
      <c r="O59" s="14">
        <f>_xll.BDH("BLUE US Equity","EBITDA_MARGIN","FQ4 2021","FQ4 2021","Currency=USD","Period=FQ","BEST_FPERIOD_OVERRIDE=FQ","FILING_STATUS=MR","FA_ADJUSTED=GAAP","Sort=A","Dates=H","DateFormat=P","Fill=—","Direction=H","UseDPDF=Y")</f>
        <v>-5981.2483000000002</v>
      </c>
      <c r="P59" s="14">
        <f>_xll.BDH("BLUE US Equity","EBITDA_MARGIN","FQ1 2022","FQ1 2022","Currency=USD","Period=FQ","BEST_FPERIOD_OVERRIDE=FQ","FILING_STATUS=MR","FA_ADJUSTED=GAAP","Sort=A","Dates=H","DateFormat=P","Fill=—","Direction=H","UseDPDF=Y")</f>
        <v>-5281.4898000000003</v>
      </c>
      <c r="Q59" s="14">
        <f>_xll.BDH("BLUE US Equity","EBITDA_MARGIN","FQ2 2022","FQ2 2022","Currency=USD","Period=FQ","BEST_FPERIOD_OVERRIDE=FQ","FILING_STATUS=MR","FA_ADJUSTED=GAAP","Sort=A","Dates=H","DateFormat=P","Fill=—","Direction=H","UseDPDF=Y")</f>
        <v>-8329.9063999999998</v>
      </c>
      <c r="R59" s="14">
        <f>_xll.BDH("BLUE US Equity","EBITDA_MARGIN","FQ3 2022","FQ3 2022","Currency=USD","Period=FQ","BEST_FPERIOD_OVERRIDE=FQ","FILING_STATUS=MR","FA_ADJUSTED=GAAP","Sort=A","Dates=H","DateFormat=P","Fill=—","Direction=H","UseDPDF=Y")</f>
        <v>-8600.1751000000004</v>
      </c>
      <c r="S59" s="14">
        <f>_xll.BDH("BLUE US Equity","EBITDA_MARGIN","FQ4 2022","FQ4 2022","Currency=USD","Period=FQ","BEST_FPERIOD_OVERRIDE=FQ","FILING_STATUS=MR","FA_ADJUSTED=GAAP","Sort=A","Dates=H","DateFormat=P","Fill=—","Direction=H","UseDPDF=Y")</f>
        <v>-6723.4084000000003</v>
      </c>
      <c r="T59" s="14">
        <f>_xll.BDH("BLUE US Equity","EBITDA_MARGIN","FQ1 2023","FQ1 2023","Currency=USD","Period=FQ","BEST_FPERIOD_OVERRIDE=FQ","FILING_STATUS=MR","FA_ADJUSTED=GAAP","Sort=A","Dates=H","DateFormat=P","Fill=—","Direction=H","UseDPDF=Y")</f>
        <v>-2584.4285</v>
      </c>
      <c r="U59" s="14">
        <f>_xll.BDH("BLUE US Equity","EBITDA_MARGIN","FQ2 2023","FQ2 2023","Currency=USD","Period=FQ","BEST_FPERIOD_OVERRIDE=FQ","FILING_STATUS=MR","FA_ADJUSTED=GAAP","Sort=A","Dates=H","DateFormat=P","Fill=—","Direction=H","UseDPDF=Y")</f>
        <v>-666.90769999999998</v>
      </c>
      <c r="V59" s="14">
        <f>_xll.BDH("BLUE US Equity","EBITDA_MARGIN","FQ3 2023","FQ3 2023","Currency=USD","Period=FQ","BEST_FPERIOD_OVERRIDE=FQ","FILING_STATUS=MR","FA_ADJUSTED=GAAP","Sort=A","Dates=H","DateFormat=P","Fill=—","Direction=H","UseDPDF=Y")</f>
        <v>-304.67200000000003</v>
      </c>
      <c r="W59" s="14">
        <f>_xll.BDH("BLUE US Equity","EBITDA_MARGIN","FQ4 2023","FQ4 2023","Currency=USD","Period=FQ","BEST_FPERIOD_OVERRIDE=FQ","FILING_STATUS=MR","FA_ADJUSTED=GAAP","Sort=A","Dates=H","DateFormat=P","Fill=—","Direction=H","UseDPDF=Y")</f>
        <v>-645.49950000000001</v>
      </c>
      <c r="X59" s="14">
        <f>_xll.BDH("BLUE US Equity","EBITDA_MARGIN","FQ1 2024","FQ1 2024","Currency=USD","Period=FQ","BEST_FPERIOD_OVERRIDE=FQ","FILING_STATUS=MR","FA_ADJUSTED=GAAP","Sort=A","Dates=H","DateFormat=P","Fill=—","Direction=H","UseDPDF=Y")</f>
        <v>-597.00369999999998</v>
      </c>
      <c r="Y59" s="14">
        <f>_xll.BDH("BLUE US Equity","EBITDA_MARGIN","FQ2 2024","FQ2 2024","Currency=USD","Period=FQ","BEST_FPERIOD_OVERRIDE=FQ","FILING_STATUS=MR","FA_ADJUSTED=GAAP","Sort=A","Dates=H","DateFormat=P","Fill=—","Direction=H","UseDPDF=Y")</f>
        <v>-511.59019999999998</v>
      </c>
      <c r="Z59" s="14">
        <f>_xll.BDH("BLUE US Equity","EBITDA_MARGIN","FQ3 2024","FQ3 2024","Currency=USD","Period=FQ","BEST_FPERIOD_OVERRIDE=FQ","FILING_STATUS=MR","FA_ADJUSTED=GAAP","Sort=A","Dates=H","DateFormat=P","Fill=—","Direction=H","UseDPDF=Y")</f>
        <v>-462.29289999999997</v>
      </c>
      <c r="AA59" s="14">
        <f>_xll.BDH("BLUE US Equity","EBITDA_MARGIN","FQ4 2024","FQ4 2024","Currency=USD","Period=FQ","BEST_FPERIOD_OVERRIDE=FQ","FILING_STATUS=MR","FA_ADJUSTED=GAAP","Sort=A","Dates=H","DateFormat=P","Fill=—","Direction=H","UseDPDF=Y")</f>
        <v>-259.75749999999999</v>
      </c>
    </row>
    <row r="60" spans="1:27" x14ac:dyDescent="0.25">
      <c r="A60" s="10" t="s">
        <v>1155</v>
      </c>
      <c r="B60" s="10" t="s">
        <v>1156</v>
      </c>
      <c r="C60" s="13">
        <f>_xll.BDH("BLUE US Equity","CF_NET_CASH_PAID_FOR_AQUIS","FQ4 2018","FQ4 2018","Currency=USD","Period=FQ","BEST_FPERIOD_OVERRIDE=FQ","FILING_STATUS=MR","SCALING_FORMAT=MLN","Sort=A","Dates=H","DateFormat=P","Fill=—","Direction=H","UseDPDF=Y")</f>
        <v>0</v>
      </c>
      <c r="D60" s="13" t="str">
        <f>_xll.BDH("BLUE US Equity","CF_NET_CASH_PAID_FOR_AQUIS","FQ1 2019","FQ1 2019","Currency=USD","Period=FQ","BEST_FPERIOD_OVERRIDE=FQ","FILING_STATUS=MR","SCALING_FORMAT=MLN","Sort=A","Dates=H","DateFormat=P","Fill=—","Direction=H","UseDPDF=Y")</f>
        <v>—</v>
      </c>
      <c r="E60" s="13" t="str">
        <f>_xll.BDH("BLUE US Equity","CF_NET_CASH_PAID_FOR_AQUIS","FQ2 2019","FQ2 2019","Currency=USD","Period=FQ","BEST_FPERIOD_OVERRIDE=FQ","FILING_STATUS=MR","SCALING_FORMAT=MLN","Sort=A","Dates=H","DateFormat=P","Fill=—","Direction=H","UseDPDF=Y")</f>
        <v>—</v>
      </c>
      <c r="F60" s="13" t="str">
        <f>_xll.BDH("BLUE US Equity","CF_NET_CASH_PAID_FOR_AQUIS","FQ3 2019","FQ3 2019","Currency=USD","Period=FQ","BEST_FPERIOD_OVERRIDE=FQ","FILING_STATUS=MR","SCALING_FORMAT=MLN","Sort=A","Dates=H","DateFormat=P","Fill=—","Direction=H","UseDPDF=Y")</f>
        <v>—</v>
      </c>
      <c r="G60" s="13" t="str">
        <f>_xll.BDH("BLUE US Equity","CF_NET_CASH_PAID_FOR_AQUIS","FQ4 2019","FQ4 2019","Currency=USD","Period=FQ","BEST_FPERIOD_OVERRIDE=FQ","FILING_STATUS=MR","SCALING_FORMAT=MLN","Sort=A","Dates=H","DateFormat=P","Fill=—","Direction=H","UseDPDF=Y")</f>
        <v>—</v>
      </c>
      <c r="H60" s="13" t="str">
        <f>_xll.BDH("BLUE US Equity","CF_NET_CASH_PAID_FOR_AQUIS","FQ1 2020","FQ1 2020","Currency=USD","Period=FQ","BEST_FPERIOD_OVERRIDE=FQ","FILING_STATUS=MR","SCALING_FORMAT=MLN","Sort=A","Dates=H","DateFormat=P","Fill=—","Direction=H","UseDPDF=Y")</f>
        <v>—</v>
      </c>
      <c r="I60" s="13" t="str">
        <f>_xll.BDH("BLUE US Equity","CF_NET_CASH_PAID_FOR_AQUIS","FQ2 2020","FQ2 2020","Currency=USD","Period=FQ","BEST_FPERIOD_OVERRIDE=FQ","FILING_STATUS=MR","SCALING_FORMAT=MLN","Sort=A","Dates=H","DateFormat=P","Fill=—","Direction=H","UseDPDF=Y")</f>
        <v>—</v>
      </c>
      <c r="J60" s="13" t="str">
        <f>_xll.BDH("BLUE US Equity","CF_NET_CASH_PAID_FOR_AQUIS","FQ3 2020","FQ3 2020","Currency=USD","Period=FQ","BEST_FPERIOD_OVERRIDE=FQ","FILING_STATUS=MR","SCALING_FORMAT=MLN","Sort=A","Dates=H","DateFormat=P","Fill=—","Direction=H","UseDPDF=Y")</f>
        <v>—</v>
      </c>
      <c r="K60" s="13">
        <f>_xll.BDH("BLUE US Equity","CF_NET_CASH_PAID_FOR_AQUIS","FQ4 2020","FQ4 2020","Currency=USD","Period=FQ","BEST_FPERIOD_OVERRIDE=FQ","FILING_STATUS=MR","SCALING_FORMAT=MLN","Sort=A","Dates=H","DateFormat=P","Fill=—","Direction=H","UseDPDF=Y")</f>
        <v>0</v>
      </c>
      <c r="L60" s="13" t="str">
        <f>_xll.BDH("BLUE US Equity","CF_NET_CASH_PAID_FOR_AQUIS","FQ1 2021","FQ1 2021","Currency=USD","Period=FQ","BEST_FPERIOD_OVERRIDE=FQ","FILING_STATUS=MR","SCALING_FORMAT=MLN","Sort=A","Dates=H","DateFormat=P","Fill=—","Direction=H","UseDPDF=Y")</f>
        <v>—</v>
      </c>
      <c r="M60" s="13" t="str">
        <f>_xll.BDH("BLUE US Equity","CF_NET_CASH_PAID_FOR_AQUIS","FQ2 2021","FQ2 2021","Currency=USD","Period=FQ","BEST_FPERIOD_OVERRIDE=FQ","FILING_STATUS=MR","SCALING_FORMAT=MLN","Sort=A","Dates=H","DateFormat=P","Fill=—","Direction=H","UseDPDF=Y")</f>
        <v>—</v>
      </c>
      <c r="N60" s="13" t="str">
        <f>_xll.BDH("BLUE US Equity","CF_NET_CASH_PAID_FOR_AQUIS","FQ3 2021","FQ3 2021","Currency=USD","Period=FQ","BEST_FPERIOD_OVERRIDE=FQ","FILING_STATUS=MR","SCALING_FORMAT=MLN","Sort=A","Dates=H","DateFormat=P","Fill=—","Direction=H","UseDPDF=Y")</f>
        <v>—</v>
      </c>
      <c r="O60" s="13" t="str">
        <f>_xll.BDH("BLUE US Equity","CF_NET_CASH_PAID_FOR_AQUIS","FQ4 2021","FQ4 2021","Currency=USD","Period=FQ","BEST_FPERIOD_OVERRIDE=FQ","FILING_STATUS=MR","SCALING_FORMAT=MLN","Sort=A","Dates=H","DateFormat=P","Fill=—","Direction=H","UseDPDF=Y")</f>
        <v>—</v>
      </c>
      <c r="P60" s="13" t="str">
        <f>_xll.BDH("BLUE US Equity","CF_NET_CASH_PAID_FOR_AQUIS","FQ1 2022","FQ1 2022","Currency=USD","Period=FQ","BEST_FPERIOD_OVERRIDE=FQ","FILING_STATUS=MR","SCALING_FORMAT=MLN","Sort=A","Dates=H","DateFormat=P","Fill=—","Direction=H","UseDPDF=Y")</f>
        <v>—</v>
      </c>
      <c r="Q60" s="13" t="str">
        <f>_xll.BDH("BLUE US Equity","CF_NET_CASH_PAID_FOR_AQUIS","FQ2 2022","FQ2 2022","Currency=USD","Period=FQ","BEST_FPERIOD_OVERRIDE=FQ","FILING_STATUS=MR","SCALING_FORMAT=MLN","Sort=A","Dates=H","DateFormat=P","Fill=—","Direction=H","UseDPDF=Y")</f>
        <v>—</v>
      </c>
      <c r="R60" s="13" t="str">
        <f>_xll.BDH("BLUE US Equity","CF_NET_CASH_PAID_FOR_AQUIS","FQ3 2022","FQ3 2022","Currency=USD","Period=FQ","BEST_FPERIOD_OVERRIDE=FQ","FILING_STATUS=MR","SCALING_FORMAT=MLN","Sort=A","Dates=H","DateFormat=P","Fill=—","Direction=H","UseDPDF=Y")</f>
        <v>—</v>
      </c>
      <c r="S60" s="13" t="str">
        <f>_xll.BDH("BLUE US Equity","CF_NET_CASH_PAID_FOR_AQUIS","FQ4 2022","FQ4 2022","Currency=USD","Period=FQ","BEST_FPERIOD_OVERRIDE=FQ","FILING_STATUS=MR","SCALING_FORMAT=MLN","Sort=A","Dates=H","DateFormat=P","Fill=—","Direction=H","UseDPDF=Y")</f>
        <v>—</v>
      </c>
      <c r="T60" s="13" t="str">
        <f>_xll.BDH("BLUE US Equity","CF_NET_CASH_PAID_FOR_AQUIS","FQ1 2023","FQ1 2023","Currency=USD","Period=FQ","BEST_FPERIOD_OVERRIDE=FQ","FILING_STATUS=MR","SCALING_FORMAT=MLN","Sort=A","Dates=H","DateFormat=P","Fill=—","Direction=H","UseDPDF=Y")</f>
        <v>—</v>
      </c>
      <c r="U60" s="13" t="str">
        <f>_xll.BDH("BLUE US Equity","CF_NET_CASH_PAID_FOR_AQUIS","FQ2 2023","FQ2 2023","Currency=USD","Period=FQ","BEST_FPERIOD_OVERRIDE=FQ","FILING_STATUS=MR","SCALING_FORMAT=MLN","Sort=A","Dates=H","DateFormat=P","Fill=—","Direction=H","UseDPDF=Y")</f>
        <v>—</v>
      </c>
      <c r="V60" s="13" t="str">
        <f>_xll.BDH("BLUE US Equity","CF_NET_CASH_PAID_FOR_AQUIS","FQ3 2023","FQ3 2023","Currency=USD","Period=FQ","BEST_FPERIOD_OVERRIDE=FQ","FILING_STATUS=MR","SCALING_FORMAT=MLN","Sort=A","Dates=H","DateFormat=P","Fill=—","Direction=H","UseDPDF=Y")</f>
        <v>—</v>
      </c>
      <c r="W60" s="13" t="str">
        <f>_xll.BDH("BLUE US Equity","CF_NET_CASH_PAID_FOR_AQUIS","FQ4 2023","FQ4 2023","Currency=USD","Period=FQ","BEST_FPERIOD_OVERRIDE=FQ","FILING_STATUS=MR","SCALING_FORMAT=MLN","Sort=A","Dates=H","DateFormat=P","Fill=—","Direction=H","UseDPDF=Y")</f>
        <v>—</v>
      </c>
      <c r="X60" s="13" t="str">
        <f>_xll.BDH("BLUE US Equity","CF_NET_CASH_PAID_FOR_AQUIS","FQ1 2024","FQ1 2024","Currency=USD","Period=FQ","BEST_FPERIOD_OVERRIDE=FQ","FILING_STATUS=MR","SCALING_FORMAT=MLN","Sort=A","Dates=H","DateFormat=P","Fill=—","Direction=H","UseDPDF=Y")</f>
        <v>—</v>
      </c>
      <c r="Y60" s="13" t="str">
        <f>_xll.BDH("BLUE US Equity","CF_NET_CASH_PAID_FOR_AQUIS","FQ2 2024","FQ2 2024","Currency=USD","Period=FQ","BEST_FPERIOD_OVERRIDE=FQ","FILING_STATUS=MR","SCALING_FORMAT=MLN","Sort=A","Dates=H","DateFormat=P","Fill=—","Direction=H","UseDPDF=Y")</f>
        <v>—</v>
      </c>
      <c r="Z60" s="13" t="str">
        <f>_xll.BDH("BLUE US Equity","CF_NET_CASH_PAID_FOR_AQUIS","FQ3 2024","FQ3 2024","Currency=USD","Period=FQ","BEST_FPERIOD_OVERRIDE=FQ","FILING_STATUS=MR","SCALING_FORMAT=MLN","Sort=A","Dates=H","DateFormat=P","Fill=—","Direction=H","UseDPDF=Y")</f>
        <v>—</v>
      </c>
      <c r="AA60" s="13" t="str">
        <f>_xll.BDH("BLUE US Equity","CF_NET_CASH_PAID_FOR_AQUIS","FQ4 2024","FQ4 2024","Currency=USD","Period=FQ","BEST_FPERIOD_OVERRIDE=FQ","FILING_STATUS=MR","SCALING_FORMAT=MLN","Sort=A","Dates=H","DateFormat=P","Fill=—","Direction=H","UseDPDF=Y")</f>
        <v>—</v>
      </c>
    </row>
    <row r="61" spans="1:27" x14ac:dyDescent="0.25">
      <c r="A61" s="10" t="s">
        <v>1157</v>
      </c>
      <c r="B61" s="10" t="s">
        <v>1158</v>
      </c>
      <c r="C61" s="13" t="str">
        <f>_xll.BDH("BLUE US Equity","CF_TAX_BENEFIT_FRM_STOCK_OPTIONS","FQ4 2018","FQ4 2018","Currency=USD","Period=FQ","BEST_FPERIOD_OVERRIDE=FQ","FILING_STATUS=MR","SCALING_FORMAT=MLN","Sort=A","Dates=H","DateFormat=P","Fill=—","Direction=H","UseDPDF=Y")</f>
        <v>—</v>
      </c>
      <c r="D61" s="13" t="str">
        <f>_xll.BDH("BLUE US Equity","CF_TAX_BENEFIT_FRM_STOCK_OPTIONS","FQ1 2019","FQ1 2019","Currency=USD","Period=FQ","BEST_FPERIOD_OVERRIDE=FQ","FILING_STATUS=MR","SCALING_FORMAT=MLN","Sort=A","Dates=H","DateFormat=P","Fill=—","Direction=H","UseDPDF=Y")</f>
        <v>—</v>
      </c>
      <c r="E61" s="13" t="str">
        <f>_xll.BDH("BLUE US Equity","CF_TAX_BENEFIT_FRM_STOCK_OPTIONS","FQ2 2019","FQ2 2019","Currency=USD","Period=FQ","BEST_FPERIOD_OVERRIDE=FQ","FILING_STATUS=MR","SCALING_FORMAT=MLN","Sort=A","Dates=H","DateFormat=P","Fill=—","Direction=H","UseDPDF=Y")</f>
        <v>—</v>
      </c>
      <c r="F61" s="13" t="str">
        <f>_xll.BDH("BLUE US Equity","CF_TAX_BENEFIT_FRM_STOCK_OPTIONS","FQ3 2019","FQ3 2019","Currency=USD","Period=FQ","BEST_FPERIOD_OVERRIDE=FQ","FILING_STATUS=MR","SCALING_FORMAT=MLN","Sort=A","Dates=H","DateFormat=P","Fill=—","Direction=H","UseDPDF=Y")</f>
        <v>—</v>
      </c>
      <c r="G61" s="13" t="str">
        <f>_xll.BDH("BLUE US Equity","CF_TAX_BENEFIT_FRM_STOCK_OPTIONS","FQ4 2019","FQ4 2019","Currency=USD","Period=FQ","BEST_FPERIOD_OVERRIDE=FQ","FILING_STATUS=MR","SCALING_FORMAT=MLN","Sort=A","Dates=H","DateFormat=P","Fill=—","Direction=H","UseDPDF=Y")</f>
        <v>—</v>
      </c>
      <c r="H61" s="13" t="str">
        <f>_xll.BDH("BLUE US Equity","CF_TAX_BENEFIT_FRM_STOCK_OPTIONS","FQ1 2020","FQ1 2020","Currency=USD","Period=FQ","BEST_FPERIOD_OVERRIDE=FQ","FILING_STATUS=MR","SCALING_FORMAT=MLN","Sort=A","Dates=H","DateFormat=P","Fill=—","Direction=H","UseDPDF=Y")</f>
        <v>—</v>
      </c>
      <c r="I61" s="13" t="str">
        <f>_xll.BDH("BLUE US Equity","CF_TAX_BENEFIT_FRM_STOCK_OPTIONS","FQ2 2020","FQ2 2020","Currency=USD","Period=FQ","BEST_FPERIOD_OVERRIDE=FQ","FILING_STATUS=MR","SCALING_FORMAT=MLN","Sort=A","Dates=H","DateFormat=P","Fill=—","Direction=H","UseDPDF=Y")</f>
        <v>—</v>
      </c>
      <c r="J61" s="13" t="str">
        <f>_xll.BDH("BLUE US Equity","CF_TAX_BENEFIT_FRM_STOCK_OPTIONS","FQ3 2020","FQ3 2020","Currency=USD","Period=FQ","BEST_FPERIOD_OVERRIDE=FQ","FILING_STATUS=MR","SCALING_FORMAT=MLN","Sort=A","Dates=H","DateFormat=P","Fill=—","Direction=H","UseDPDF=Y")</f>
        <v>—</v>
      </c>
      <c r="K61" s="13">
        <f>_xll.BDH("BLUE US Equity","CF_TAX_BENEFIT_FRM_STOCK_OPTIONS","FQ4 2020","FQ4 2020","Currency=USD","Period=FQ","BEST_FPERIOD_OVERRIDE=FQ","FILING_STATUS=MR","SCALING_FORMAT=MLN","Sort=A","Dates=H","DateFormat=P","Fill=—","Direction=H","UseDPDF=Y")</f>
        <v>0</v>
      </c>
      <c r="L61" s="13" t="str">
        <f>_xll.BDH("BLUE US Equity","CF_TAX_BENEFIT_FRM_STOCK_OPTIONS","FQ1 2021","FQ1 2021","Currency=USD","Period=FQ","BEST_FPERIOD_OVERRIDE=FQ","FILING_STATUS=MR","SCALING_FORMAT=MLN","Sort=A","Dates=H","DateFormat=P","Fill=—","Direction=H","UseDPDF=Y")</f>
        <v>—</v>
      </c>
      <c r="M61" s="13" t="str">
        <f>_xll.BDH("BLUE US Equity","CF_TAX_BENEFIT_FRM_STOCK_OPTIONS","FQ2 2021","FQ2 2021","Currency=USD","Period=FQ","BEST_FPERIOD_OVERRIDE=FQ","FILING_STATUS=MR","SCALING_FORMAT=MLN","Sort=A","Dates=H","DateFormat=P","Fill=—","Direction=H","UseDPDF=Y")</f>
        <v>—</v>
      </c>
      <c r="N61" s="13" t="str">
        <f>_xll.BDH("BLUE US Equity","CF_TAX_BENEFIT_FRM_STOCK_OPTIONS","FQ3 2021","FQ3 2021","Currency=USD","Period=FQ","BEST_FPERIOD_OVERRIDE=FQ","FILING_STATUS=MR","SCALING_FORMAT=MLN","Sort=A","Dates=H","DateFormat=P","Fill=—","Direction=H","UseDPDF=Y")</f>
        <v>—</v>
      </c>
      <c r="O61" s="13" t="str">
        <f>_xll.BDH("BLUE US Equity","CF_TAX_BENEFIT_FRM_STOCK_OPTIONS","FQ4 2021","FQ4 2021","Currency=USD","Period=FQ","BEST_FPERIOD_OVERRIDE=FQ","FILING_STATUS=MR","SCALING_FORMAT=MLN","Sort=A","Dates=H","DateFormat=P","Fill=—","Direction=H","UseDPDF=Y")</f>
        <v>—</v>
      </c>
      <c r="P61" s="13" t="str">
        <f>_xll.BDH("BLUE US Equity","CF_TAX_BENEFIT_FRM_STOCK_OPTIONS","FQ1 2022","FQ1 2022","Currency=USD","Period=FQ","BEST_FPERIOD_OVERRIDE=FQ","FILING_STATUS=MR","SCALING_FORMAT=MLN","Sort=A","Dates=H","DateFormat=P","Fill=—","Direction=H","UseDPDF=Y")</f>
        <v>—</v>
      </c>
      <c r="Q61" s="13" t="str">
        <f>_xll.BDH("BLUE US Equity","CF_TAX_BENEFIT_FRM_STOCK_OPTIONS","FQ2 2022","FQ2 2022","Currency=USD","Period=FQ","BEST_FPERIOD_OVERRIDE=FQ","FILING_STATUS=MR","SCALING_FORMAT=MLN","Sort=A","Dates=H","DateFormat=P","Fill=—","Direction=H","UseDPDF=Y")</f>
        <v>—</v>
      </c>
      <c r="R61" s="13" t="str">
        <f>_xll.BDH("BLUE US Equity","CF_TAX_BENEFIT_FRM_STOCK_OPTIONS","FQ3 2022","FQ3 2022","Currency=USD","Period=FQ","BEST_FPERIOD_OVERRIDE=FQ","FILING_STATUS=MR","SCALING_FORMAT=MLN","Sort=A","Dates=H","DateFormat=P","Fill=—","Direction=H","UseDPDF=Y")</f>
        <v>—</v>
      </c>
      <c r="S61" s="13" t="str">
        <f>_xll.BDH("BLUE US Equity","CF_TAX_BENEFIT_FRM_STOCK_OPTIONS","FQ4 2022","FQ4 2022","Currency=USD","Period=FQ","BEST_FPERIOD_OVERRIDE=FQ","FILING_STATUS=MR","SCALING_FORMAT=MLN","Sort=A","Dates=H","DateFormat=P","Fill=—","Direction=H","UseDPDF=Y")</f>
        <v>—</v>
      </c>
      <c r="T61" s="13" t="str">
        <f>_xll.BDH("BLUE US Equity","CF_TAX_BENEFIT_FRM_STOCK_OPTIONS","FQ1 2023","FQ1 2023","Currency=USD","Period=FQ","BEST_FPERIOD_OVERRIDE=FQ","FILING_STATUS=MR","SCALING_FORMAT=MLN","Sort=A","Dates=H","DateFormat=P","Fill=—","Direction=H","UseDPDF=Y")</f>
        <v>—</v>
      </c>
      <c r="U61" s="13" t="str">
        <f>_xll.BDH("BLUE US Equity","CF_TAX_BENEFIT_FRM_STOCK_OPTIONS","FQ2 2023","FQ2 2023","Currency=USD","Period=FQ","BEST_FPERIOD_OVERRIDE=FQ","FILING_STATUS=MR","SCALING_FORMAT=MLN","Sort=A","Dates=H","DateFormat=P","Fill=—","Direction=H","UseDPDF=Y")</f>
        <v>—</v>
      </c>
      <c r="V61" s="13" t="str">
        <f>_xll.BDH("BLUE US Equity","CF_TAX_BENEFIT_FRM_STOCK_OPTIONS","FQ3 2023","FQ3 2023","Currency=USD","Period=FQ","BEST_FPERIOD_OVERRIDE=FQ","FILING_STATUS=MR","SCALING_FORMAT=MLN","Sort=A","Dates=H","DateFormat=P","Fill=—","Direction=H","UseDPDF=Y")</f>
        <v>—</v>
      </c>
      <c r="W61" s="13" t="str">
        <f>_xll.BDH("BLUE US Equity","CF_TAX_BENEFIT_FRM_STOCK_OPTIONS","FQ4 2023","FQ4 2023","Currency=USD","Period=FQ","BEST_FPERIOD_OVERRIDE=FQ","FILING_STATUS=MR","SCALING_FORMAT=MLN","Sort=A","Dates=H","DateFormat=P","Fill=—","Direction=H","UseDPDF=Y")</f>
        <v>—</v>
      </c>
      <c r="X61" s="13" t="str">
        <f>_xll.BDH("BLUE US Equity","CF_TAX_BENEFIT_FRM_STOCK_OPTIONS","FQ1 2024","FQ1 2024","Currency=USD","Period=FQ","BEST_FPERIOD_OVERRIDE=FQ","FILING_STATUS=MR","SCALING_FORMAT=MLN","Sort=A","Dates=H","DateFormat=P","Fill=—","Direction=H","UseDPDF=Y")</f>
        <v>—</v>
      </c>
      <c r="Y61" s="13" t="str">
        <f>_xll.BDH("BLUE US Equity","CF_TAX_BENEFIT_FRM_STOCK_OPTIONS","FQ2 2024","FQ2 2024","Currency=USD","Period=FQ","BEST_FPERIOD_OVERRIDE=FQ","FILING_STATUS=MR","SCALING_FORMAT=MLN","Sort=A","Dates=H","DateFormat=P","Fill=—","Direction=H","UseDPDF=Y")</f>
        <v>—</v>
      </c>
      <c r="Z61" s="13" t="str">
        <f>_xll.BDH("BLUE US Equity","CF_TAX_BENEFIT_FRM_STOCK_OPTIONS","FQ3 2024","FQ3 2024","Currency=USD","Period=FQ","BEST_FPERIOD_OVERRIDE=FQ","FILING_STATUS=MR","SCALING_FORMAT=MLN","Sort=A","Dates=H","DateFormat=P","Fill=—","Direction=H","UseDPDF=Y")</f>
        <v>—</v>
      </c>
      <c r="AA61" s="13" t="str">
        <f>_xll.BDH("BLUE US Equity","CF_TAX_BENEFIT_FRM_STOCK_OPTIONS","FQ4 2024","FQ4 2024","Currency=USD","Period=FQ","BEST_FPERIOD_OVERRIDE=FQ","FILING_STATUS=MR","SCALING_FORMAT=MLN","Sort=A","Dates=H","DateFormat=P","Fill=—","Direction=H","UseDPDF=Y")</f>
        <v>—</v>
      </c>
    </row>
    <row r="62" spans="1:27" x14ac:dyDescent="0.25">
      <c r="A62" s="10" t="s">
        <v>88</v>
      </c>
      <c r="B62" s="10" t="s">
        <v>89</v>
      </c>
      <c r="C62" s="13">
        <f>_xll.BDH("BLUE US Equity","CF_FREE_CASH_FLOW","FQ4 2018","FQ4 2018","Currency=USD","Period=FQ","BEST_FPERIOD_OVERRIDE=FQ","FILING_STATUS=MR","SCALING_FORMAT=MLN","Sort=A","Dates=H","DateFormat=P","Fill=—","Direction=H","UseDPDF=Y")</f>
        <v>-142.624</v>
      </c>
      <c r="D62" s="13">
        <f>_xll.BDH("BLUE US Equity","CF_FREE_CASH_FLOW","FQ1 2019","FQ1 2019","Currency=USD","Period=FQ","BEST_FPERIOD_OVERRIDE=FQ","FILING_STATUS=MR","SCALING_FORMAT=MLN","Sort=A","Dates=H","DateFormat=P","Fill=—","Direction=H","UseDPDF=Y")</f>
        <v>-173.47499999999999</v>
      </c>
      <c r="E62" s="13">
        <f>_xll.BDH("BLUE US Equity","CF_FREE_CASH_FLOW","FQ2 2019","FQ2 2019","Currency=USD","Period=FQ","BEST_FPERIOD_OVERRIDE=FQ","FILING_STATUS=MR","SCALING_FORMAT=MLN","Sort=A","Dates=H","DateFormat=P","Fill=—","Direction=H","UseDPDF=Y")</f>
        <v>-156.477</v>
      </c>
      <c r="F62" s="13">
        <f>_xll.BDH("BLUE US Equity","CF_FREE_CASH_FLOW","FQ3 2019","FQ3 2019","Currency=USD","Period=FQ","BEST_FPERIOD_OVERRIDE=FQ","FILING_STATUS=MR","SCALING_FORMAT=MLN","Sort=A","Dates=H","DateFormat=P","Fill=—","Direction=H","UseDPDF=Y")</f>
        <v>-134.09399999999999</v>
      </c>
      <c r="G62" s="13">
        <f>_xll.BDH("BLUE US Equity","CF_FREE_CASH_FLOW","FQ4 2019","FQ4 2019","Currency=USD","Period=FQ","BEST_FPERIOD_OVERRIDE=FQ","FILING_STATUS=MR","SCALING_FORMAT=MLN","Sort=A","Dates=H","DateFormat=P","Fill=—","Direction=H","UseDPDF=Y")</f>
        <v>-171.36600000000001</v>
      </c>
      <c r="H62" s="13">
        <f>_xll.BDH("BLUE US Equity","CF_FREE_CASH_FLOW","FQ1 2020","FQ1 2020","Currency=USD","Period=FQ","BEST_FPERIOD_OVERRIDE=FQ","FILING_STATUS=MR","SCALING_FORMAT=MLN","Sort=A","Dates=H","DateFormat=P","Fill=—","Direction=H","UseDPDF=Y")</f>
        <v>-216.797</v>
      </c>
      <c r="I62" s="13">
        <f>_xll.BDH("BLUE US Equity","CF_FREE_CASH_FLOW","FQ2 2020","FQ2 2020","Currency=USD","Period=FQ","BEST_FPERIOD_OVERRIDE=FQ","FILING_STATUS=MR","SCALING_FORMAT=MLN","Sort=A","Dates=H","DateFormat=P","Fill=—","Direction=H","UseDPDF=Y")</f>
        <v>34.941000000000003</v>
      </c>
      <c r="J62" s="13">
        <f>_xll.BDH("BLUE US Equity","CF_FREE_CASH_FLOW","FQ3 2020","FQ3 2020","Currency=USD","Period=FQ","BEST_FPERIOD_OVERRIDE=FQ","FILING_STATUS=MR","SCALING_FORMAT=MLN","Sort=A","Dates=H","DateFormat=P","Fill=—","Direction=H","UseDPDF=Y")</f>
        <v>-154.4</v>
      </c>
      <c r="K62" s="13">
        <f>_xll.BDH("BLUE US Equity","CF_FREE_CASH_FLOW","FQ4 2020","FQ4 2020","Currency=USD","Period=FQ","BEST_FPERIOD_OVERRIDE=FQ","FILING_STATUS=MR","SCALING_FORMAT=MLN","Sort=A","Dates=H","DateFormat=P","Fill=—","Direction=H","UseDPDF=Y")</f>
        <v>-163.08099999999999</v>
      </c>
      <c r="L62" s="13">
        <f>_xll.BDH("BLUE US Equity","CF_FREE_CASH_FLOW","FQ1 2021","FQ1 2021","Currency=USD","Period=FQ","BEST_FPERIOD_OVERRIDE=FQ","FILING_STATUS=MR","SCALING_FORMAT=MLN","Sort=A","Dates=H","DateFormat=P","Fill=—","Direction=H","UseDPDF=Y")</f>
        <v>-210.953</v>
      </c>
      <c r="M62" s="13">
        <f>_xll.BDH("BLUE US Equity","CF_FREE_CASH_FLOW","FQ2 2021","FQ2 2021","Currency=USD","Period=FQ","BEST_FPERIOD_OVERRIDE=FQ","FILING_STATUS=MR","SCALING_FORMAT=MLN","Sort=A","Dates=H","DateFormat=P","Fill=—","Direction=H","UseDPDF=Y")</f>
        <v>-147.226</v>
      </c>
      <c r="N62" s="13">
        <f>_xll.BDH("BLUE US Equity","CF_FREE_CASH_FLOW","FQ3 2021","FQ3 2021","Currency=USD","Period=FQ","BEST_FPERIOD_OVERRIDE=FQ","FILING_STATUS=MR","SCALING_FORMAT=MLN","Sort=A","Dates=H","DateFormat=P","Fill=—","Direction=H","UseDPDF=Y")</f>
        <v>-150.679</v>
      </c>
      <c r="O62" s="13">
        <f>_xll.BDH("BLUE US Equity","CF_FREE_CASH_FLOW","FQ4 2021","FQ4 2021","Currency=USD","Period=FQ","BEST_FPERIOD_OVERRIDE=FQ","FILING_STATUS=MR","SCALING_FORMAT=MLN","Sort=A","Dates=H","DateFormat=P","Fill=—","Direction=H","UseDPDF=Y")</f>
        <v>-141.28399999999999</v>
      </c>
      <c r="P62" s="13">
        <f>_xll.BDH("BLUE US Equity","CF_FREE_CASH_FLOW","FQ1 2022","FQ1 2022","Currency=USD","Period=FQ","BEST_FPERIOD_OVERRIDE=FQ","FILING_STATUS=MR","SCALING_FORMAT=MLN","Sort=A","Dates=H","DateFormat=P","Fill=—","Direction=H","UseDPDF=Y")</f>
        <v>-126.15300000000001</v>
      </c>
      <c r="Q62" s="13">
        <f>_xll.BDH("BLUE US Equity","CF_FREE_CASH_FLOW","FQ2 2022","FQ2 2022","Currency=USD","Period=FQ","BEST_FPERIOD_OVERRIDE=FQ","FILING_STATUS=MR","SCALING_FORMAT=MLN","Sort=A","Dates=H","DateFormat=P","Fill=—","Direction=H","UseDPDF=Y")</f>
        <v>-100.337</v>
      </c>
      <c r="R62" s="13">
        <f>_xll.BDH("BLUE US Equity","CF_FREE_CASH_FLOW","FQ3 2022","FQ3 2022","Currency=USD","Period=FQ","BEST_FPERIOD_OVERRIDE=FQ","FILING_STATUS=MR","SCALING_FORMAT=MLN","Sort=A","Dates=H","DateFormat=P","Fill=—","Direction=H","UseDPDF=Y")</f>
        <v>-78.290000000000006</v>
      </c>
      <c r="S62" s="13">
        <f>_xll.BDH("BLUE US Equity","CF_FREE_CASH_FLOW","FQ4 2022","FQ4 2022","Currency=USD","Period=FQ","BEST_FPERIOD_OVERRIDE=FQ","FILING_STATUS=MR","SCALING_FORMAT=MLN","Sort=A","Dates=H","DateFormat=P","Fill=—","Direction=H","UseDPDF=Y")</f>
        <v>-19.646999999999998</v>
      </c>
      <c r="T62" s="13">
        <f>_xll.BDH("BLUE US Equity","CF_FREE_CASH_FLOW","FQ1 2023","FQ1 2023","Currency=USD","Period=FQ","BEST_FPERIOD_OVERRIDE=FQ","FILING_STATUS=MR","SCALING_FORMAT=MLN","Sort=A","Dates=H","DateFormat=P","Fill=—","Direction=H","UseDPDF=Y")</f>
        <v>-71.59</v>
      </c>
      <c r="U62" s="13">
        <f>_xll.BDH("BLUE US Equity","CF_FREE_CASH_FLOW","FQ2 2023","FQ2 2023","Currency=USD","Period=FQ","BEST_FPERIOD_OVERRIDE=FQ","FILING_STATUS=MR","SCALING_FORMAT=MLN","Sort=A","Dates=H","DateFormat=P","Fill=—","Direction=H","UseDPDF=Y")</f>
        <v>-60.206000000000003</v>
      </c>
      <c r="V62" s="13">
        <f>_xll.BDH("BLUE US Equity","CF_FREE_CASH_FLOW","FQ3 2023","FQ3 2023","Currency=USD","Period=FQ","BEST_FPERIOD_OVERRIDE=FQ","FILING_STATUS=MR","SCALING_FORMAT=MLN","Sort=A","Dates=H","DateFormat=P","Fill=—","Direction=H","UseDPDF=Y")</f>
        <v>-52.088999999999999</v>
      </c>
      <c r="W62" s="13">
        <f>_xll.BDH("BLUE US Equity","CF_FREE_CASH_FLOW","FQ4 2023","FQ4 2023","Currency=USD","Period=FQ","BEST_FPERIOD_OVERRIDE=FQ","FILING_STATUS=MR","SCALING_FORMAT=MLN","Sort=A","Dates=H","DateFormat=P","Fill=—","Direction=H","UseDPDF=Y")</f>
        <v>-15.051</v>
      </c>
      <c r="X62" s="13">
        <f>_xll.BDH("BLUE US Equity","CF_FREE_CASH_FLOW","FQ1 2024","FQ1 2024","Currency=USD","Period=FQ","BEST_FPERIOD_OVERRIDE=FQ","FILING_STATUS=MR","SCALING_FORMAT=MLN","Sort=A","Dates=H","DateFormat=P","Fill=—","Direction=H","UseDPDF=Y")</f>
        <v>-76.450999999999993</v>
      </c>
      <c r="Y62" s="13">
        <f>_xll.BDH("BLUE US Equity","CF_FREE_CASH_FLOW","FQ2 2024","FQ2 2024","Currency=USD","Period=FQ","BEST_FPERIOD_OVERRIDE=FQ","FILING_STATUS=MR","SCALING_FORMAT=MLN","Sort=A","Dates=H","DateFormat=P","Fill=—","Direction=H","UseDPDF=Y")</f>
        <v>-66.311000000000007</v>
      </c>
      <c r="Z62" s="13">
        <f>_xll.BDH("BLUE US Equity","CF_FREE_CASH_FLOW","FQ3 2024","FQ3 2024","Currency=USD","Period=FQ","BEST_FPERIOD_OVERRIDE=FQ","FILING_STATUS=MR","SCALING_FORMAT=MLN","Sort=A","Dates=H","DateFormat=P","Fill=—","Direction=H","UseDPDF=Y")</f>
        <v>-69.207999999999998</v>
      </c>
      <c r="AA62" s="13">
        <f>_xll.BDH("BLUE US Equity","CF_FREE_CASH_FLOW","FQ4 2024","FQ4 2024","Currency=USD","Period=FQ","BEST_FPERIOD_OVERRIDE=FQ","FILING_STATUS=MR","SCALING_FORMAT=MLN","Sort=A","Dates=H","DateFormat=P","Fill=—","Direction=H","UseDPDF=Y")</f>
        <v>-50.649000000000001</v>
      </c>
    </row>
    <row r="63" spans="1:27" x14ac:dyDescent="0.25">
      <c r="A63" s="10" t="s">
        <v>1159</v>
      </c>
      <c r="B63" s="10" t="s">
        <v>1160</v>
      </c>
      <c r="C63" s="13" t="str">
        <f>_xll.BDH("BLUE US Equity","CF_FREE_CASH_FLOW_FIRM","FQ4 2018","FQ4 2018","Currency=USD","Period=FQ","BEST_FPERIOD_OVERRIDE=FQ","FILING_STATUS=MR","SCALING_FORMAT=MLN","FA_ADJUSTED=GAAP","Sort=A","Dates=H","DateFormat=P","Fill=—","Direction=H","UseDPDF=Y")</f>
        <v>—</v>
      </c>
      <c r="D63" s="13" t="str">
        <f>_xll.BDH("BLUE US Equity","CF_FREE_CASH_FLOW_FIRM","FQ1 2019","FQ1 2019","Currency=USD","Period=FQ","BEST_FPERIOD_OVERRIDE=FQ","FILING_STATUS=MR","SCALING_FORMAT=MLN","FA_ADJUSTED=GAAP","Sort=A","Dates=H","DateFormat=P","Fill=—","Direction=H","UseDPDF=Y")</f>
        <v>—</v>
      </c>
      <c r="E63" s="13" t="str">
        <f>_xll.BDH("BLUE US Equity","CF_FREE_CASH_FLOW_FIRM","FQ2 2019","FQ2 2019","Currency=USD","Period=FQ","BEST_FPERIOD_OVERRIDE=FQ","FILING_STATUS=MR","SCALING_FORMAT=MLN","FA_ADJUSTED=GAAP","Sort=A","Dates=H","DateFormat=P","Fill=—","Direction=H","UseDPDF=Y")</f>
        <v>—</v>
      </c>
      <c r="F63" s="13" t="str">
        <f>_xll.BDH("BLUE US Equity","CF_FREE_CASH_FLOW_FIRM","FQ3 2019","FQ3 2019","Currency=USD","Period=FQ","BEST_FPERIOD_OVERRIDE=FQ","FILING_STATUS=MR","SCALING_FORMAT=MLN","FA_ADJUSTED=GAAP","Sort=A","Dates=H","DateFormat=P","Fill=—","Direction=H","UseDPDF=Y")</f>
        <v>—</v>
      </c>
      <c r="G63" s="13" t="str">
        <f>_xll.BDH("BLUE US Equity","CF_FREE_CASH_FLOW_FIRM","FQ4 2019","FQ4 2019","Currency=USD","Period=FQ","BEST_FPERIOD_OVERRIDE=FQ","FILING_STATUS=MR","SCALING_FORMAT=MLN","FA_ADJUSTED=GAAP","Sort=A","Dates=H","DateFormat=P","Fill=—","Direction=H","UseDPDF=Y")</f>
        <v>—</v>
      </c>
      <c r="H63" s="13" t="str">
        <f>_xll.BDH("BLUE US Equity","CF_FREE_CASH_FLOW_FIRM","FQ1 2020","FQ1 2020","Currency=USD","Period=FQ","BEST_FPERIOD_OVERRIDE=FQ","FILING_STATUS=MR","SCALING_FORMAT=MLN","FA_ADJUSTED=GAAP","Sort=A","Dates=H","DateFormat=P","Fill=—","Direction=H","UseDPDF=Y")</f>
        <v>—</v>
      </c>
      <c r="I63" s="13" t="str">
        <f>_xll.BDH("BLUE US Equity","CF_FREE_CASH_FLOW_FIRM","FQ2 2020","FQ2 2020","Currency=USD","Period=FQ","BEST_FPERIOD_OVERRIDE=FQ","FILING_STATUS=MR","SCALING_FORMAT=MLN","FA_ADJUSTED=GAAP","Sort=A","Dates=H","DateFormat=P","Fill=—","Direction=H","UseDPDF=Y")</f>
        <v>—</v>
      </c>
      <c r="J63" s="13" t="str">
        <f>_xll.BDH("BLUE US Equity","CF_FREE_CASH_FLOW_FIRM","FQ3 2020","FQ3 2020","Currency=USD","Period=FQ","BEST_FPERIOD_OVERRIDE=FQ","FILING_STATUS=MR","SCALING_FORMAT=MLN","FA_ADJUSTED=GAAP","Sort=A","Dates=H","DateFormat=P","Fill=—","Direction=H","UseDPDF=Y")</f>
        <v>—</v>
      </c>
      <c r="K63" s="13" t="str">
        <f>_xll.BDH("BLUE US Equity","CF_FREE_CASH_FLOW_FIRM","FQ4 2020","FQ4 2020","Currency=USD","Period=FQ","BEST_FPERIOD_OVERRIDE=FQ","FILING_STATUS=MR","SCALING_FORMAT=MLN","FA_ADJUSTED=GAAP","Sort=A","Dates=H","DateFormat=P","Fill=—","Direction=H","UseDPDF=Y")</f>
        <v>—</v>
      </c>
      <c r="L63" s="13" t="str">
        <f>_xll.BDH("BLUE US Equity","CF_FREE_CASH_FLOW_FIRM","FQ1 2021","FQ1 2021","Currency=USD","Period=FQ","BEST_FPERIOD_OVERRIDE=FQ","FILING_STATUS=MR","SCALING_FORMAT=MLN","FA_ADJUSTED=GAAP","Sort=A","Dates=H","DateFormat=P","Fill=—","Direction=H","UseDPDF=Y")</f>
        <v>—</v>
      </c>
      <c r="M63" s="13" t="str">
        <f>_xll.BDH("BLUE US Equity","CF_FREE_CASH_FLOW_FIRM","FQ2 2021","FQ2 2021","Currency=USD","Period=FQ","BEST_FPERIOD_OVERRIDE=FQ","FILING_STATUS=MR","SCALING_FORMAT=MLN","FA_ADJUSTED=GAAP","Sort=A","Dates=H","DateFormat=P","Fill=—","Direction=H","UseDPDF=Y")</f>
        <v>—</v>
      </c>
      <c r="N63" s="13" t="str">
        <f>_xll.BDH("BLUE US Equity","CF_FREE_CASH_FLOW_FIRM","FQ3 2021","FQ3 2021","Currency=USD","Period=FQ","BEST_FPERIOD_OVERRIDE=FQ","FILING_STATUS=MR","SCALING_FORMAT=MLN","FA_ADJUSTED=GAAP","Sort=A","Dates=H","DateFormat=P","Fill=—","Direction=H","UseDPDF=Y")</f>
        <v>—</v>
      </c>
      <c r="O63" s="13" t="str">
        <f>_xll.BDH("BLUE US Equity","CF_FREE_CASH_FLOW_FIRM","FQ4 2021","FQ4 2021","Currency=USD","Period=FQ","BEST_FPERIOD_OVERRIDE=FQ","FILING_STATUS=MR","SCALING_FORMAT=MLN","FA_ADJUSTED=GAAP","Sort=A","Dates=H","DateFormat=P","Fill=—","Direction=H","UseDPDF=Y")</f>
        <v>—</v>
      </c>
      <c r="P63" s="13" t="str">
        <f>_xll.BDH("BLUE US Equity","CF_FREE_CASH_FLOW_FIRM","FQ1 2022","FQ1 2022","Currency=USD","Period=FQ","BEST_FPERIOD_OVERRIDE=FQ","FILING_STATUS=MR","SCALING_FORMAT=MLN","FA_ADJUSTED=GAAP","Sort=A","Dates=H","DateFormat=P","Fill=—","Direction=H","UseDPDF=Y")</f>
        <v>—</v>
      </c>
      <c r="Q63" s="13" t="str">
        <f>_xll.BDH("BLUE US Equity","CF_FREE_CASH_FLOW_FIRM","FQ2 2022","FQ2 2022","Currency=USD","Period=FQ","BEST_FPERIOD_OVERRIDE=FQ","FILING_STATUS=MR","SCALING_FORMAT=MLN","FA_ADJUSTED=GAAP","Sort=A","Dates=H","DateFormat=P","Fill=—","Direction=H","UseDPDF=Y")</f>
        <v>—</v>
      </c>
      <c r="R63" s="13" t="str">
        <f>_xll.BDH("BLUE US Equity","CF_FREE_CASH_FLOW_FIRM","FQ3 2022","FQ3 2022","Currency=USD","Period=FQ","BEST_FPERIOD_OVERRIDE=FQ","FILING_STATUS=MR","SCALING_FORMAT=MLN","FA_ADJUSTED=GAAP","Sort=A","Dates=H","DateFormat=P","Fill=—","Direction=H","UseDPDF=Y")</f>
        <v>—</v>
      </c>
      <c r="S63" s="13">
        <f>_xll.BDH("BLUE US Equity","CF_FREE_CASH_FLOW_FIRM","FQ4 2022","FQ4 2022","Currency=USD","Period=FQ","BEST_FPERIOD_OVERRIDE=FQ","FILING_STATUS=MR","SCALING_FORMAT=MLN","FA_ADJUSTED=GAAP","Sort=A","Dates=H","DateFormat=P","Fill=—","Direction=H","UseDPDF=Y")</f>
        <v>-13.335100000000001</v>
      </c>
      <c r="T63" s="13">
        <f>_xll.BDH("BLUE US Equity","CF_FREE_CASH_FLOW_FIRM","FQ1 2023","FQ1 2023","Currency=USD","Period=FQ","BEST_FPERIOD_OVERRIDE=FQ","FILING_STATUS=MR","SCALING_FORMAT=MLN","FA_ADJUSTED=GAAP","Sort=A","Dates=H","DateFormat=P","Fill=—","Direction=H","UseDPDF=Y")</f>
        <v>-67.319999999999993</v>
      </c>
      <c r="U63" s="13" t="str">
        <f>_xll.BDH("BLUE US Equity","CF_FREE_CASH_FLOW_FIRM","FQ2 2023","FQ2 2023","Currency=USD","Period=FQ","BEST_FPERIOD_OVERRIDE=FQ","FILING_STATUS=MR","SCALING_FORMAT=MLN","FA_ADJUSTED=GAAP","Sort=A","Dates=H","DateFormat=P","Fill=—","Direction=H","UseDPDF=Y")</f>
        <v>—</v>
      </c>
      <c r="V63" s="13" t="str">
        <f>_xll.BDH("BLUE US Equity","CF_FREE_CASH_FLOW_FIRM","FQ3 2023","FQ3 2023","Currency=USD","Period=FQ","BEST_FPERIOD_OVERRIDE=FQ","FILING_STATUS=MR","SCALING_FORMAT=MLN","FA_ADJUSTED=GAAP","Sort=A","Dates=H","DateFormat=P","Fill=—","Direction=H","UseDPDF=Y")</f>
        <v>—</v>
      </c>
      <c r="W63" s="13" t="str">
        <f>_xll.BDH("BLUE US Equity","CF_FREE_CASH_FLOW_FIRM","FQ4 2023","FQ4 2023","Currency=USD","Period=FQ","BEST_FPERIOD_OVERRIDE=FQ","FILING_STATUS=MR","SCALING_FORMAT=MLN","FA_ADJUSTED=GAAP","Sort=A","Dates=H","DateFormat=P","Fill=—","Direction=H","UseDPDF=Y")</f>
        <v>—</v>
      </c>
      <c r="X63" s="13" t="str">
        <f>_xll.BDH("BLUE US Equity","CF_FREE_CASH_FLOW_FIRM","FQ1 2024","FQ1 2024","Currency=USD","Period=FQ","BEST_FPERIOD_OVERRIDE=FQ","FILING_STATUS=MR","SCALING_FORMAT=MLN","FA_ADJUSTED=GAAP","Sort=A","Dates=H","DateFormat=P","Fill=—","Direction=H","UseDPDF=Y")</f>
        <v>—</v>
      </c>
      <c r="Y63" s="13" t="str">
        <f>_xll.BDH("BLUE US Equity","CF_FREE_CASH_FLOW_FIRM","FQ2 2024","FQ2 2024","Currency=USD","Period=FQ","BEST_FPERIOD_OVERRIDE=FQ","FILING_STATUS=MR","SCALING_FORMAT=MLN","FA_ADJUSTED=GAAP","Sort=A","Dates=H","DateFormat=P","Fill=—","Direction=H","UseDPDF=Y")</f>
        <v>—</v>
      </c>
      <c r="Z63" s="13" t="str">
        <f>_xll.BDH("BLUE US Equity","CF_FREE_CASH_FLOW_FIRM","FQ3 2024","FQ3 2024","Currency=USD","Period=FQ","BEST_FPERIOD_OVERRIDE=FQ","FILING_STATUS=MR","SCALING_FORMAT=MLN","FA_ADJUSTED=GAAP","Sort=A","Dates=H","DateFormat=P","Fill=—","Direction=H","UseDPDF=Y")</f>
        <v>—</v>
      </c>
      <c r="AA63" s="13" t="str">
        <f>_xll.BDH("BLUE US Equity","CF_FREE_CASH_FLOW_FIRM","FQ4 2024","FQ4 2024","Currency=USD","Period=FQ","BEST_FPERIOD_OVERRIDE=FQ","FILING_STATUS=MR","SCALING_FORMAT=MLN","FA_ADJUSTED=GAAP","Sort=A","Dates=H","DateFormat=P","Fill=—","Direction=H","UseDPDF=Y")</f>
        <v>—</v>
      </c>
    </row>
    <row r="64" spans="1:27" x14ac:dyDescent="0.25">
      <c r="A64" s="10" t="s">
        <v>1161</v>
      </c>
      <c r="B64" s="10" t="s">
        <v>1162</v>
      </c>
      <c r="C64" s="13">
        <f>_xll.BDH("BLUE US Equity","FREE_CASH_FLOW_EQUITY","FQ4 2018","FQ4 2018","Currency=USD","Period=FQ","BEST_FPERIOD_OVERRIDE=FQ","FILING_STATUS=MR","SCALING_FORMAT=MLN","Sort=A","Dates=H","DateFormat=P","Fill=—","Direction=H","UseDPDF=Y")</f>
        <v>-142.624</v>
      </c>
      <c r="D64" s="13">
        <f>_xll.BDH("BLUE US Equity","FREE_CASH_FLOW_EQUITY","FQ1 2019","FQ1 2019","Currency=USD","Period=FQ","BEST_FPERIOD_OVERRIDE=FQ","FILING_STATUS=MR","SCALING_FORMAT=MLN","Sort=A","Dates=H","DateFormat=P","Fill=—","Direction=H","UseDPDF=Y")</f>
        <v>-173.47499999999999</v>
      </c>
      <c r="E64" s="13">
        <f>_xll.BDH("BLUE US Equity","FREE_CASH_FLOW_EQUITY","FQ2 2019","FQ2 2019","Currency=USD","Period=FQ","BEST_FPERIOD_OVERRIDE=FQ","FILING_STATUS=MR","SCALING_FORMAT=MLN","Sort=A","Dates=H","DateFormat=P","Fill=—","Direction=H","UseDPDF=Y")</f>
        <v>-156.477</v>
      </c>
      <c r="F64" s="13">
        <f>_xll.BDH("BLUE US Equity","FREE_CASH_FLOW_EQUITY","FQ3 2019","FQ3 2019","Currency=USD","Period=FQ","BEST_FPERIOD_OVERRIDE=FQ","FILING_STATUS=MR","SCALING_FORMAT=MLN","Sort=A","Dates=H","DateFormat=P","Fill=—","Direction=H","UseDPDF=Y")</f>
        <v>-134.09399999999999</v>
      </c>
      <c r="G64" s="13">
        <f>_xll.BDH("BLUE US Equity","FREE_CASH_FLOW_EQUITY","FQ4 2019","FQ4 2019","Currency=USD","Period=FQ","BEST_FPERIOD_OVERRIDE=FQ","FILING_STATUS=MR","SCALING_FORMAT=MLN","Sort=A","Dates=H","DateFormat=P","Fill=—","Direction=H","UseDPDF=Y")</f>
        <v>-171.36600000000001</v>
      </c>
      <c r="H64" s="13">
        <f>_xll.BDH("BLUE US Equity","FREE_CASH_FLOW_EQUITY","FQ1 2020","FQ1 2020","Currency=USD","Period=FQ","BEST_FPERIOD_OVERRIDE=FQ","FILING_STATUS=MR","SCALING_FORMAT=MLN","Sort=A","Dates=H","DateFormat=P","Fill=—","Direction=H","UseDPDF=Y")</f>
        <v>-216.797</v>
      </c>
      <c r="I64" s="13">
        <f>_xll.BDH("BLUE US Equity","FREE_CASH_FLOW_EQUITY","FQ2 2020","FQ2 2020","Currency=USD","Period=FQ","BEST_FPERIOD_OVERRIDE=FQ","FILING_STATUS=MR","SCALING_FORMAT=MLN","Sort=A","Dates=H","DateFormat=P","Fill=—","Direction=H","UseDPDF=Y")</f>
        <v>34.941000000000003</v>
      </c>
      <c r="J64" s="13">
        <f>_xll.BDH("BLUE US Equity","FREE_CASH_FLOW_EQUITY","FQ3 2020","FQ3 2020","Currency=USD","Period=FQ","BEST_FPERIOD_OVERRIDE=FQ","FILING_STATUS=MR","SCALING_FORMAT=MLN","Sort=A","Dates=H","DateFormat=P","Fill=—","Direction=H","UseDPDF=Y")</f>
        <v>-154.4</v>
      </c>
      <c r="K64" s="13">
        <f>_xll.BDH("BLUE US Equity","FREE_CASH_FLOW_EQUITY","FQ4 2020","FQ4 2020","Currency=USD","Period=FQ","BEST_FPERIOD_OVERRIDE=FQ","FILING_STATUS=MR","SCALING_FORMAT=MLN","Sort=A","Dates=H","DateFormat=P","Fill=—","Direction=H","UseDPDF=Y")</f>
        <v>-163.08099999999999</v>
      </c>
      <c r="L64" s="13">
        <f>_xll.BDH("BLUE US Equity","FREE_CASH_FLOW_EQUITY","FQ1 2021","FQ1 2021","Currency=USD","Period=FQ","BEST_FPERIOD_OVERRIDE=FQ","FILING_STATUS=MR","SCALING_FORMAT=MLN","Sort=A","Dates=H","DateFormat=P","Fill=—","Direction=H","UseDPDF=Y")</f>
        <v>-210.953</v>
      </c>
      <c r="M64" s="13">
        <f>_xll.BDH("BLUE US Equity","FREE_CASH_FLOW_EQUITY","FQ2 2021","FQ2 2021","Currency=USD","Period=FQ","BEST_FPERIOD_OVERRIDE=FQ","FILING_STATUS=MR","SCALING_FORMAT=MLN","Sort=A","Dates=H","DateFormat=P","Fill=—","Direction=H","UseDPDF=Y")</f>
        <v>-147.226</v>
      </c>
      <c r="N64" s="13">
        <f>_xll.BDH("BLUE US Equity","FREE_CASH_FLOW_EQUITY","FQ3 2021","FQ3 2021","Currency=USD","Period=FQ","BEST_FPERIOD_OVERRIDE=FQ","FILING_STATUS=MR","SCALING_FORMAT=MLN","Sort=A","Dates=H","DateFormat=P","Fill=—","Direction=H","UseDPDF=Y")</f>
        <v>-150.679</v>
      </c>
      <c r="O64" s="13">
        <f>_xll.BDH("BLUE US Equity","FREE_CASH_FLOW_EQUITY","FQ4 2021","FQ4 2021","Currency=USD","Period=FQ","BEST_FPERIOD_OVERRIDE=FQ","FILING_STATUS=MR","SCALING_FORMAT=MLN","Sort=A","Dates=H","DateFormat=P","Fill=—","Direction=H","UseDPDF=Y")</f>
        <v>-141.28399999999999</v>
      </c>
      <c r="P64" s="13">
        <f>_xll.BDH("BLUE US Equity","FREE_CASH_FLOW_EQUITY","FQ1 2022","FQ1 2022","Currency=USD","Period=FQ","BEST_FPERIOD_OVERRIDE=FQ","FILING_STATUS=MR","SCALING_FORMAT=MLN","Sort=A","Dates=H","DateFormat=P","Fill=—","Direction=H","UseDPDF=Y")</f>
        <v>-126.15300000000001</v>
      </c>
      <c r="Q64" s="13">
        <f>_xll.BDH("BLUE US Equity","FREE_CASH_FLOW_EQUITY","FQ2 2022","FQ2 2022","Currency=USD","Period=FQ","BEST_FPERIOD_OVERRIDE=FQ","FILING_STATUS=MR","SCALING_FORMAT=MLN","Sort=A","Dates=H","DateFormat=P","Fill=—","Direction=H","UseDPDF=Y")</f>
        <v>-100.337</v>
      </c>
      <c r="R64" s="13">
        <f>_xll.BDH("BLUE US Equity","FREE_CASH_FLOW_EQUITY","FQ3 2022","FQ3 2022","Currency=USD","Period=FQ","BEST_FPERIOD_OVERRIDE=FQ","FILING_STATUS=MR","SCALING_FORMAT=MLN","Sort=A","Dates=H","DateFormat=P","Fill=—","Direction=H","UseDPDF=Y")</f>
        <v>-78.290000000000006</v>
      </c>
      <c r="S64" s="13">
        <f>_xll.BDH("BLUE US Equity","FREE_CASH_FLOW_EQUITY","FQ4 2022","FQ4 2022","Currency=USD","Period=FQ","BEST_FPERIOD_OVERRIDE=FQ","FILING_STATUS=MR","SCALING_FORMAT=MLN","Sort=A","Dates=H","DateFormat=P","Fill=—","Direction=H","UseDPDF=Y")</f>
        <v>-56.381</v>
      </c>
      <c r="T64" s="13">
        <f>_xll.BDH("BLUE US Equity","FREE_CASH_FLOW_EQUITY","FQ1 2023","FQ1 2023","Currency=USD","Period=FQ","BEST_FPERIOD_OVERRIDE=FQ","FILING_STATUS=MR","SCALING_FORMAT=MLN","Sort=A","Dates=H","DateFormat=P","Fill=—","Direction=H","UseDPDF=Y")</f>
        <v>-86.87</v>
      </c>
      <c r="U64" s="13">
        <f>_xll.BDH("BLUE US Equity","FREE_CASH_FLOW_EQUITY","FQ2 2023","FQ2 2023","Currency=USD","Period=FQ","BEST_FPERIOD_OVERRIDE=FQ","FILING_STATUS=MR","SCALING_FORMAT=MLN","Sort=A","Dates=H","DateFormat=P","Fill=—","Direction=H","UseDPDF=Y")</f>
        <v>-73.430000000000007</v>
      </c>
      <c r="V64" s="13">
        <f>_xll.BDH("BLUE US Equity","FREE_CASH_FLOW_EQUITY","FQ3 2023","FQ3 2023","Currency=USD","Period=FQ","BEST_FPERIOD_OVERRIDE=FQ","FILING_STATUS=MR","SCALING_FORMAT=MLN","Sort=A","Dates=H","DateFormat=P","Fill=—","Direction=H","UseDPDF=Y")</f>
        <v>-63.884</v>
      </c>
      <c r="W64" s="13">
        <f>_xll.BDH("BLUE US Equity","FREE_CASH_FLOW_EQUITY","FQ4 2023","FQ4 2023","Currency=USD","Period=FQ","BEST_FPERIOD_OVERRIDE=FQ","FILING_STATUS=MR","SCALING_FORMAT=MLN","Sort=A","Dates=H","DateFormat=P","Fill=—","Direction=H","UseDPDF=Y")</f>
        <v>-69.418000000000006</v>
      </c>
      <c r="X64" s="13">
        <f>_xll.BDH("BLUE US Equity","FREE_CASH_FLOW_EQUITY","FQ1 2024","FQ1 2024","Currency=USD","Period=FQ","BEST_FPERIOD_OVERRIDE=FQ","FILING_STATUS=MR","SCALING_FORMAT=MLN","Sort=A","Dates=H","DateFormat=P","Fill=—","Direction=H","UseDPDF=Y")</f>
        <v>-98.242000000000004</v>
      </c>
      <c r="Y64" s="13">
        <f>_xll.BDH("BLUE US Equity","FREE_CASH_FLOW_EQUITY","FQ2 2024","FQ2 2024","Currency=USD","Period=FQ","BEST_FPERIOD_OVERRIDE=FQ","FILING_STATUS=MR","SCALING_FORMAT=MLN","Sort=A","Dates=H","DateFormat=P","Fill=—","Direction=H","UseDPDF=Y")</f>
        <v>-93.072000000000003</v>
      </c>
      <c r="Z64" s="13">
        <f>_xll.BDH("BLUE US Equity","FREE_CASH_FLOW_EQUITY","FQ3 2024","FQ3 2024","Currency=USD","Period=FQ","BEST_FPERIOD_OVERRIDE=FQ","FILING_STATUS=MR","SCALING_FORMAT=MLN","Sort=A","Dates=H","DateFormat=P","Fill=—","Direction=H","UseDPDF=Y")</f>
        <v>-90.138999999999996</v>
      </c>
      <c r="AA64" s="13">
        <f>_xll.BDH("BLUE US Equity","FREE_CASH_FLOW_EQUITY","FQ4 2024","FQ4 2024","Currency=USD","Period=FQ","BEST_FPERIOD_OVERRIDE=FQ","FILING_STATUS=MR","SCALING_FORMAT=MLN","Sort=A","Dates=H","DateFormat=P","Fill=—","Direction=H","UseDPDF=Y")</f>
        <v>-67.116</v>
      </c>
    </row>
    <row r="65" spans="1:27" x14ac:dyDescent="0.25">
      <c r="A65" s="10" t="s">
        <v>1163</v>
      </c>
      <c r="B65" s="10" t="s">
        <v>245</v>
      </c>
      <c r="C65" s="14">
        <f>_xll.BDH("BLUE US Equity","FREE_CASH_FLOW_PER_SH","FQ4 2018","FQ4 2018","Currency=USD","Period=FQ","BEST_FPERIOD_OVERRIDE=FQ","FILING_STATUS=MR","Sort=A","Dates=H","DateFormat=P","Fill=—","Direction=H","UseDPDF=Y")</f>
        <v>-52.1372</v>
      </c>
      <c r="D65" s="14">
        <f>_xll.BDH("BLUE US Equity","FREE_CASH_FLOW_PER_SH","FQ1 2019","FQ1 2019","Currency=USD","Period=FQ","BEST_FPERIOD_OVERRIDE=FQ","FILING_STATUS=MR","Sort=A","Dates=H","DateFormat=P","Fill=—","Direction=H","UseDPDF=Y")</f>
        <v>-63.1312</v>
      </c>
      <c r="E65" s="14">
        <f>_xll.BDH("BLUE US Equity","FREE_CASH_FLOW_PER_SH","FQ2 2019","FQ2 2019","Currency=USD","Period=FQ","BEST_FPERIOD_OVERRIDE=FQ","FILING_STATUS=MR","Sort=A","Dates=H","DateFormat=P","Fill=—","Direction=H","UseDPDF=Y")</f>
        <v>-56.730499999999999</v>
      </c>
      <c r="F65" s="14">
        <f>_xll.BDH("BLUE US Equity","FREE_CASH_FLOW_PER_SH","FQ3 2019","FQ3 2019","Currency=USD","Period=FQ","BEST_FPERIOD_OVERRIDE=FQ","FILING_STATUS=MR","Sort=A","Dates=H","DateFormat=P","Fill=—","Direction=H","UseDPDF=Y")</f>
        <v>-48.503900000000002</v>
      </c>
      <c r="G65" s="14">
        <f>_xll.BDH("BLUE US Equity","FREE_CASH_FLOW_PER_SH","FQ4 2019","FQ4 2019","Currency=USD","Period=FQ","BEST_FPERIOD_OVERRIDE=FQ","FILING_STATUS=MR","Sort=A","Dates=H","DateFormat=P","Fill=—","Direction=H","UseDPDF=Y")</f>
        <v>-61.927599999999998</v>
      </c>
      <c r="H65" s="14">
        <f>_xll.BDH("BLUE US Equity","FREE_CASH_FLOW_PER_SH","FQ1 2020","FQ1 2020","Currency=USD","Period=FQ","BEST_FPERIOD_OVERRIDE=FQ","FILING_STATUS=MR","Sort=A","Dates=H","DateFormat=P","Fill=—","Direction=H","UseDPDF=Y")</f>
        <v>-77.998599999999996</v>
      </c>
      <c r="I65" s="14">
        <f>_xll.BDH("BLUE US Equity","FREE_CASH_FLOW_PER_SH","FQ2 2020","FQ2 2020","Currency=USD","Period=FQ","BEST_FPERIOD_OVERRIDE=FQ","FILING_STATUS=MR","Sort=A","Dates=H","DateFormat=P","Fill=—","Direction=H","UseDPDF=Y")</f>
        <v>11.572900000000001</v>
      </c>
      <c r="J65" s="14">
        <f>_xll.BDH("BLUE US Equity","FREE_CASH_FLOW_PER_SH","FQ3 2020","FQ3 2020","Currency=USD","Period=FQ","BEST_FPERIOD_OVERRIDE=FQ","FILING_STATUS=MR","Sort=A","Dates=H","DateFormat=P","Fill=—","Direction=H","UseDPDF=Y")</f>
        <v>-46.610599999999998</v>
      </c>
      <c r="K65" s="14">
        <f>_xll.BDH("BLUE US Equity","FREE_CASH_FLOW_PER_SH","FQ4 2020","FQ4 2020","Currency=USD","Period=FQ","BEST_FPERIOD_OVERRIDE=FQ","FILING_STATUS=MR","Sort=A","Dates=H","DateFormat=P","Fill=—","Direction=H","UseDPDF=Y")</f>
        <v>-49.124499999999998</v>
      </c>
      <c r="L65" s="14">
        <f>_xll.BDH("BLUE US Equity","FREE_CASH_FLOW_PER_SH","FQ1 2021","FQ1 2021","Currency=USD","Period=FQ","BEST_FPERIOD_OVERRIDE=FQ","FILING_STATUS=MR","Sort=A","Dates=H","DateFormat=P","Fill=—","Direction=H","UseDPDF=Y")</f>
        <v>-62.993600000000001</v>
      </c>
      <c r="M65" s="14">
        <f>_xll.BDH("BLUE US Equity","FREE_CASH_FLOW_PER_SH","FQ2 2021","FQ2 2021","Currency=USD","Period=FQ","BEST_FPERIOD_OVERRIDE=FQ","FILING_STATUS=MR","Sort=A","Dates=H","DateFormat=P","Fill=—","Direction=H","UseDPDF=Y")</f>
        <v>-43.630899999999997</v>
      </c>
      <c r="N65" s="14">
        <f>_xll.BDH("BLUE US Equity","FREE_CASH_FLOW_PER_SH","FQ3 2021","FQ3 2021","Currency=USD","Period=FQ","BEST_FPERIOD_OVERRIDE=FQ","FILING_STATUS=MR","Sort=A","Dates=H","DateFormat=P","Fill=—","Direction=H","UseDPDF=Y")</f>
        <v>-43.9163</v>
      </c>
      <c r="O65" s="14">
        <f>_xll.BDH("BLUE US Equity","FREE_CASH_FLOW_PER_SH","FQ4 2021","FQ4 2021","Currency=USD","Period=FQ","BEST_FPERIOD_OVERRIDE=FQ","FILING_STATUS=MR","Sort=A","Dates=H","DateFormat=P","Fill=—","Direction=H","UseDPDF=Y")</f>
        <v>-38.975999999999999</v>
      </c>
      <c r="P65" s="14">
        <f>_xll.BDH("BLUE US Equity","FREE_CASH_FLOW_PER_SH","FQ1 2022","FQ1 2022","Currency=USD","Period=FQ","BEST_FPERIOD_OVERRIDE=FQ","FILING_STATUS=MR","Sort=A","Dates=H","DateFormat=P","Fill=—","Direction=H","UseDPDF=Y")</f>
        <v>-34.239800000000002</v>
      </c>
      <c r="Q65" s="14">
        <f>_xll.BDH("BLUE US Equity","FREE_CASH_FLOW_PER_SH","FQ2 2022","FQ2 2022","Currency=USD","Period=FQ","BEST_FPERIOD_OVERRIDE=FQ","FILING_STATUS=MR","Sort=A","Dates=H","DateFormat=P","Fill=—","Direction=H","UseDPDF=Y")</f>
        <v>-27.203800000000001</v>
      </c>
      <c r="R65" s="14">
        <f>_xll.BDH("BLUE US Equity","FREE_CASH_FLOW_PER_SH","FQ3 2022","FQ3 2022","Currency=USD","Period=FQ","BEST_FPERIOD_OVERRIDE=FQ","FILING_STATUS=MR","Sort=A","Dates=H","DateFormat=P","Fill=—","Direction=H","UseDPDF=Y")</f>
        <v>-19.202100000000002</v>
      </c>
      <c r="S65" s="14">
        <f>_xll.BDH("BLUE US Equity","FREE_CASH_FLOW_PER_SH","FQ4 2022","FQ4 2022","Currency=USD","Period=FQ","BEST_FPERIOD_OVERRIDE=FQ","FILING_STATUS=MR","Sort=A","Dates=H","DateFormat=P","Fill=—","Direction=H","UseDPDF=Y")</f>
        <v>-4.6043000000000003</v>
      </c>
      <c r="T65" s="14">
        <f>_xll.BDH("BLUE US Equity","FREE_CASH_FLOW_PER_SH","FQ1 2023","FQ1 2023","Currency=USD","Period=FQ","BEST_FPERIOD_OVERRIDE=FQ","FILING_STATUS=MR","Sort=A","Dates=H","DateFormat=P","Fill=—","Direction=H","UseDPDF=Y")</f>
        <v>-13.911799999999999</v>
      </c>
      <c r="U65" s="14">
        <f>_xll.BDH("BLUE US Equity","FREE_CASH_FLOW_PER_SH","FQ2 2023","FQ2 2023","Currency=USD","Period=FQ","BEST_FPERIOD_OVERRIDE=FQ","FILING_STATUS=MR","Sort=A","Dates=H","DateFormat=P","Fill=—","Direction=H","UseDPDF=Y")</f>
        <v>-11.079000000000001</v>
      </c>
      <c r="V65" s="14">
        <f>_xll.BDH("BLUE US Equity","FREE_CASH_FLOW_PER_SH","FQ3 2023","FQ3 2023","Currency=USD","Period=FQ","BEST_FPERIOD_OVERRIDE=FQ","FILING_STATUS=MR","Sort=A","Dates=H","DateFormat=P","Fill=—","Direction=H","UseDPDF=Y")</f>
        <v>-9.5489999999999995</v>
      </c>
      <c r="W65" s="14">
        <f>_xll.BDH("BLUE US Equity","FREE_CASH_FLOW_PER_SH","FQ4 2023","FQ4 2023","Currency=USD","Period=FQ","BEST_FPERIOD_OVERRIDE=FQ","FILING_STATUS=MR","Sort=A","Dates=H","DateFormat=P","Fill=—","Direction=H","UseDPDF=Y")</f>
        <v>-2.5381999999999998</v>
      </c>
      <c r="X65" s="14">
        <f>_xll.BDH("BLUE US Equity","FREE_CASH_FLOW_PER_SH","FQ1 2024","FQ1 2024","Currency=USD","Period=FQ","BEST_FPERIOD_OVERRIDE=FQ","FILING_STATUS=MR","Sort=A","Dates=H","DateFormat=P","Fill=—","Direction=H","UseDPDF=Y")</f>
        <v>-7.9161999999999999</v>
      </c>
      <c r="Y65" s="14">
        <f>_xll.BDH("BLUE US Equity","FREE_CASH_FLOW_PER_SH","FQ2 2024","FQ2 2024","Currency=USD","Period=FQ","BEST_FPERIOD_OVERRIDE=FQ","FILING_STATUS=MR","Sort=A","Dates=H","DateFormat=P","Fill=—","Direction=H","UseDPDF=Y")</f>
        <v>-6.8461999999999996</v>
      </c>
      <c r="Z65" s="14">
        <f>_xll.BDH("BLUE US Equity","FREE_CASH_FLOW_PER_SH","FQ3 2024","FQ3 2024","Currency=USD","Period=FQ","BEST_FPERIOD_OVERRIDE=FQ","FILING_STATUS=MR","Sort=A","Dates=H","DateFormat=P","Fill=—","Direction=H","UseDPDF=Y")</f>
        <v>-7.1387999999999998</v>
      </c>
      <c r="AA65" s="14">
        <f>_xll.BDH("BLUE US Equity","FREE_CASH_FLOW_PER_SH","FQ4 2024","FQ4 2024","Currency=USD","Period=FQ","BEST_FPERIOD_OVERRIDE=FQ","FILING_STATUS=MR","Sort=A","Dates=H","DateFormat=P","Fill=—","Direction=H","UseDPDF=Y")</f>
        <v>-5.2167000000000003</v>
      </c>
    </row>
    <row r="66" spans="1:27" x14ac:dyDescent="0.25">
      <c r="A66" s="10" t="s">
        <v>1164</v>
      </c>
      <c r="B66" s="10" t="s">
        <v>1165</v>
      </c>
      <c r="C66" s="14" t="str">
        <f>_xll.BDH("BLUE US Equity","CASH_FLOW_TO_NET_INC","FQ4 2018","FQ4 2018","Currency=USD","Period=FQ","BEST_FPERIOD_OVERRIDE=FQ","FILING_STATUS=MR","FA_ADJUSTED=GAAP","Sort=A","Dates=H","DateFormat=P","Fill=—","Direction=H","UseDPDF=Y")</f>
        <v>—</v>
      </c>
      <c r="D66" s="14" t="str">
        <f>_xll.BDH("BLUE US Equity","CASH_FLOW_TO_NET_INC","FQ1 2019","FQ1 2019","Currency=USD","Period=FQ","BEST_FPERIOD_OVERRIDE=FQ","FILING_STATUS=MR","FA_ADJUSTED=GAAP","Sort=A","Dates=H","DateFormat=P","Fill=—","Direction=H","UseDPDF=Y")</f>
        <v>—</v>
      </c>
      <c r="E66" s="14" t="str">
        <f>_xll.BDH("BLUE US Equity","CASH_FLOW_TO_NET_INC","FQ2 2019","FQ2 2019","Currency=USD","Period=FQ","BEST_FPERIOD_OVERRIDE=FQ","FILING_STATUS=MR","FA_ADJUSTED=GAAP","Sort=A","Dates=H","DateFormat=P","Fill=—","Direction=H","UseDPDF=Y")</f>
        <v>—</v>
      </c>
      <c r="F66" s="14" t="str">
        <f>_xll.BDH("BLUE US Equity","CASH_FLOW_TO_NET_INC","FQ3 2019","FQ3 2019","Currency=USD","Period=FQ","BEST_FPERIOD_OVERRIDE=FQ","FILING_STATUS=MR","FA_ADJUSTED=GAAP","Sort=A","Dates=H","DateFormat=P","Fill=—","Direction=H","UseDPDF=Y")</f>
        <v>—</v>
      </c>
      <c r="G66" s="14" t="str">
        <f>_xll.BDH("BLUE US Equity","CASH_FLOW_TO_NET_INC","FQ4 2019","FQ4 2019","Currency=USD","Period=FQ","BEST_FPERIOD_OVERRIDE=FQ","FILING_STATUS=MR","FA_ADJUSTED=GAAP","Sort=A","Dates=H","DateFormat=P","Fill=—","Direction=H","UseDPDF=Y")</f>
        <v>—</v>
      </c>
      <c r="H66" s="14" t="str">
        <f>_xll.BDH("BLUE US Equity","CASH_FLOW_TO_NET_INC","FQ1 2020","FQ1 2020","Currency=USD","Period=FQ","BEST_FPERIOD_OVERRIDE=FQ","FILING_STATUS=MR","FA_ADJUSTED=GAAP","Sort=A","Dates=H","DateFormat=P","Fill=—","Direction=H","UseDPDF=Y")</f>
        <v>—</v>
      </c>
      <c r="I66" s="14" t="str">
        <f>_xll.BDH("BLUE US Equity","CASH_FLOW_TO_NET_INC","FQ2 2020","FQ2 2020","Currency=USD","Period=FQ","BEST_FPERIOD_OVERRIDE=FQ","FILING_STATUS=MR","FA_ADJUSTED=GAAP","Sort=A","Dates=H","DateFormat=P","Fill=—","Direction=H","UseDPDF=Y")</f>
        <v>—</v>
      </c>
      <c r="J66" s="14" t="str">
        <f>_xll.BDH("BLUE US Equity","CASH_FLOW_TO_NET_INC","FQ3 2020","FQ3 2020","Currency=USD","Period=FQ","BEST_FPERIOD_OVERRIDE=FQ","FILING_STATUS=MR","FA_ADJUSTED=GAAP","Sort=A","Dates=H","DateFormat=P","Fill=—","Direction=H","UseDPDF=Y")</f>
        <v>—</v>
      </c>
      <c r="K66" s="14" t="str">
        <f>_xll.BDH("BLUE US Equity","CASH_FLOW_TO_NET_INC","FQ4 2020","FQ4 2020","Currency=USD","Period=FQ","BEST_FPERIOD_OVERRIDE=FQ","FILING_STATUS=MR","FA_ADJUSTED=GAAP","Sort=A","Dates=H","DateFormat=P","Fill=—","Direction=H","UseDPDF=Y")</f>
        <v>—</v>
      </c>
      <c r="L66" s="14" t="str">
        <f>_xll.BDH("BLUE US Equity","CASH_FLOW_TO_NET_INC","FQ1 2021","FQ1 2021","Currency=USD","Period=FQ","BEST_FPERIOD_OVERRIDE=FQ","FILING_STATUS=MR","FA_ADJUSTED=GAAP","Sort=A","Dates=H","DateFormat=P","Fill=—","Direction=H","UseDPDF=Y")</f>
        <v>—</v>
      </c>
      <c r="M66" s="14" t="str">
        <f>_xll.BDH("BLUE US Equity","CASH_FLOW_TO_NET_INC","FQ2 2021","FQ2 2021","Currency=USD","Period=FQ","BEST_FPERIOD_OVERRIDE=FQ","FILING_STATUS=MR","FA_ADJUSTED=GAAP","Sort=A","Dates=H","DateFormat=P","Fill=—","Direction=H","UseDPDF=Y")</f>
        <v>—</v>
      </c>
      <c r="N66" s="14" t="str">
        <f>_xll.BDH("BLUE US Equity","CASH_FLOW_TO_NET_INC","FQ3 2021","FQ3 2021","Currency=USD","Period=FQ","BEST_FPERIOD_OVERRIDE=FQ","FILING_STATUS=MR","FA_ADJUSTED=GAAP","Sort=A","Dates=H","DateFormat=P","Fill=—","Direction=H","UseDPDF=Y")</f>
        <v>—</v>
      </c>
      <c r="O66" s="14" t="str">
        <f>_xll.BDH("BLUE US Equity","CASH_FLOW_TO_NET_INC","FQ4 2021","FQ4 2021","Currency=USD","Period=FQ","BEST_FPERIOD_OVERRIDE=FQ","FILING_STATUS=MR","FA_ADJUSTED=GAAP","Sort=A","Dates=H","DateFormat=P","Fill=—","Direction=H","UseDPDF=Y")</f>
        <v>—</v>
      </c>
      <c r="P66" s="14" t="str">
        <f>_xll.BDH("BLUE US Equity","CASH_FLOW_TO_NET_INC","FQ1 2022","FQ1 2022","Currency=USD","Period=FQ","BEST_FPERIOD_OVERRIDE=FQ","FILING_STATUS=MR","FA_ADJUSTED=GAAP","Sort=A","Dates=H","DateFormat=P","Fill=—","Direction=H","UseDPDF=Y")</f>
        <v>—</v>
      </c>
      <c r="Q66" s="14" t="str">
        <f>_xll.BDH("BLUE US Equity","CASH_FLOW_TO_NET_INC","FQ2 2022","FQ2 2022","Currency=USD","Period=FQ","BEST_FPERIOD_OVERRIDE=FQ","FILING_STATUS=MR","FA_ADJUSTED=GAAP","Sort=A","Dates=H","DateFormat=P","Fill=—","Direction=H","UseDPDF=Y")</f>
        <v>—</v>
      </c>
      <c r="R66" s="14" t="str">
        <f>_xll.BDH("BLUE US Equity","CASH_FLOW_TO_NET_INC","FQ3 2022","FQ3 2022","Currency=USD","Period=FQ","BEST_FPERIOD_OVERRIDE=FQ","FILING_STATUS=MR","FA_ADJUSTED=GAAP","Sort=A","Dates=H","DateFormat=P","Fill=—","Direction=H","UseDPDF=Y")</f>
        <v>—</v>
      </c>
      <c r="S66" s="14">
        <f>_xll.BDH("BLUE US Equity","CASH_FLOW_TO_NET_INC","FQ4 2022","FQ4 2022","Currency=USD","Period=FQ","BEST_FPERIOD_OVERRIDE=FQ","FILING_STATUS=MR","FA_ADJUSTED=GAAP","Sort=A","Dates=H","DateFormat=P","Fill=—","Direction=H","UseDPDF=Y")</f>
        <v>-0.28539999999999999</v>
      </c>
      <c r="T66" s="14">
        <f>_xll.BDH("BLUE US Equity","CASH_FLOW_TO_NET_INC","FQ1 2023","FQ1 2023","Currency=USD","Period=FQ","BEST_FPERIOD_OVERRIDE=FQ","FILING_STATUS=MR","FA_ADJUSTED=GAAP","Sort=A","Dates=H","DateFormat=P","Fill=—","Direction=H","UseDPDF=Y")</f>
        <v>-3.7696000000000001</v>
      </c>
      <c r="U66" s="14" t="str">
        <f>_xll.BDH("BLUE US Equity","CASH_FLOW_TO_NET_INC","FQ2 2023","FQ2 2023","Currency=USD","Period=FQ","BEST_FPERIOD_OVERRIDE=FQ","FILING_STATUS=MR","FA_ADJUSTED=GAAP","Sort=A","Dates=H","DateFormat=P","Fill=—","Direction=H","UseDPDF=Y")</f>
        <v>—</v>
      </c>
      <c r="V66" s="14" t="str">
        <f>_xll.BDH("BLUE US Equity","CASH_FLOW_TO_NET_INC","FQ3 2023","FQ3 2023","Currency=USD","Period=FQ","BEST_FPERIOD_OVERRIDE=FQ","FILING_STATUS=MR","FA_ADJUSTED=GAAP","Sort=A","Dates=H","DateFormat=P","Fill=—","Direction=H","UseDPDF=Y")</f>
        <v>—</v>
      </c>
      <c r="W66" s="14" t="str">
        <f>_xll.BDH("BLUE US Equity","CASH_FLOW_TO_NET_INC","FQ4 2023","FQ4 2023","Currency=USD","Period=FQ","BEST_FPERIOD_OVERRIDE=FQ","FILING_STATUS=MR","FA_ADJUSTED=GAAP","Sort=A","Dates=H","DateFormat=P","Fill=—","Direction=H","UseDPDF=Y")</f>
        <v>—</v>
      </c>
      <c r="X66" s="14" t="str">
        <f>_xll.BDH("BLUE US Equity","CASH_FLOW_TO_NET_INC","FQ1 2024","FQ1 2024","Currency=USD","Period=FQ","BEST_FPERIOD_OVERRIDE=FQ","FILING_STATUS=MR","FA_ADJUSTED=GAAP","Sort=A","Dates=H","DateFormat=P","Fill=—","Direction=H","UseDPDF=Y")</f>
        <v>—</v>
      </c>
      <c r="Y66" s="14" t="str">
        <f>_xll.BDH("BLUE US Equity","CASH_FLOW_TO_NET_INC","FQ2 2024","FQ2 2024","Currency=USD","Period=FQ","BEST_FPERIOD_OVERRIDE=FQ","FILING_STATUS=MR","FA_ADJUSTED=GAAP","Sort=A","Dates=H","DateFormat=P","Fill=—","Direction=H","UseDPDF=Y")</f>
        <v>—</v>
      </c>
      <c r="Z66" s="14" t="str">
        <f>_xll.BDH("BLUE US Equity","CASH_FLOW_TO_NET_INC","FQ3 2024","FQ3 2024","Currency=USD","Period=FQ","BEST_FPERIOD_OVERRIDE=FQ","FILING_STATUS=MR","FA_ADJUSTED=GAAP","Sort=A","Dates=H","DateFormat=P","Fill=—","Direction=H","UseDPDF=Y")</f>
        <v>—</v>
      </c>
      <c r="AA66" s="14" t="str">
        <f>_xll.BDH("BLUE US Equity","CASH_FLOW_TO_NET_INC","FQ4 2024","FQ4 2024","Currency=USD","Period=FQ","BEST_FPERIOD_OVERRIDE=FQ","FILING_STATUS=MR","FA_ADJUSTED=GAAP","Sort=A","Dates=H","DateFormat=P","Fill=—","Direction=H","UseDPDF=Y")</f>
        <v>—</v>
      </c>
    </row>
    <row r="67" spans="1:27" x14ac:dyDescent="0.25">
      <c r="A67" s="7" t="s">
        <v>90</v>
      </c>
      <c r="B67" s="7"/>
      <c r="C67" s="7" t="s">
        <v>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4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380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381</v>
      </c>
      <c r="D4" s="4" t="s">
        <v>382</v>
      </c>
      <c r="E4" s="4" t="s">
        <v>93</v>
      </c>
      <c r="F4" s="4" t="s">
        <v>94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27</v>
      </c>
      <c r="Z4" s="4" t="s">
        <v>28</v>
      </c>
      <c r="AA4" s="4" t="s">
        <v>29</v>
      </c>
    </row>
    <row r="5" spans="1:27" x14ac:dyDescent="0.25">
      <c r="A5" s="9" t="s">
        <v>33</v>
      </c>
      <c r="B5" s="9"/>
      <c r="C5" s="5" t="s">
        <v>383</v>
      </c>
      <c r="D5" s="5" t="s">
        <v>384</v>
      </c>
      <c r="E5" s="5" t="s">
        <v>95</v>
      </c>
      <c r="F5" s="5" t="s">
        <v>96</v>
      </c>
      <c r="G5" s="5" t="s">
        <v>34</v>
      </c>
      <c r="H5" s="5" t="s">
        <v>35</v>
      </c>
      <c r="I5" s="5" t="s">
        <v>36</v>
      </c>
      <c r="J5" s="5" t="s">
        <v>37</v>
      </c>
      <c r="K5" s="5" t="s">
        <v>38</v>
      </c>
      <c r="L5" s="5" t="s">
        <v>39</v>
      </c>
      <c r="M5" s="5" t="s">
        <v>40</v>
      </c>
      <c r="N5" s="5" t="s">
        <v>41</v>
      </c>
      <c r="O5" s="5" t="s">
        <v>42</v>
      </c>
      <c r="P5" s="5" t="s">
        <v>43</v>
      </c>
      <c r="Q5" s="5" t="s">
        <v>44</v>
      </c>
      <c r="R5" s="5" t="s">
        <v>45</v>
      </c>
      <c r="S5" s="5" t="s">
        <v>46</v>
      </c>
      <c r="T5" s="5" t="s">
        <v>47</v>
      </c>
      <c r="U5" s="5" t="s">
        <v>48</v>
      </c>
      <c r="V5" s="5" t="s">
        <v>49</v>
      </c>
      <c r="W5" s="5" t="s">
        <v>50</v>
      </c>
      <c r="X5" s="5" t="s">
        <v>51</v>
      </c>
      <c r="Y5" s="5" t="s">
        <v>53</v>
      </c>
      <c r="Z5" s="5" t="s">
        <v>54</v>
      </c>
      <c r="AA5" s="5" t="s">
        <v>55</v>
      </c>
    </row>
    <row r="6" spans="1:27" x14ac:dyDescent="0.25">
      <c r="A6" s="6" t="s">
        <v>243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1166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1167</v>
      </c>
      <c r="B8" s="10" t="s">
        <v>1168</v>
      </c>
      <c r="C8" s="13">
        <f>_xll.BDH("BLUE US Equity","ARD_NET_INCOME_CF","FQ2 2018","FQ2 2018","Currency=USD","Period=FQ","BEST_FPERIOD_OVERRIDE=FQ","FILING_STATUS=MR","SCALING_FORMAT=MLN","Sort=A","Dates=H","DateFormat=P","Fill=—","Direction=H","UseDPDF=Y")</f>
        <v>-261.12</v>
      </c>
      <c r="D8" s="13">
        <f>_xll.BDH("BLUE US Equity","ARD_NET_INCOME_CF","FQ3 2018","FQ3 2018","Currency=USD","Period=FQ","BEST_FPERIOD_OVERRIDE=FQ","FILING_STATUS=MR","SCALING_FORMAT=MLN","Sort=A","Dates=H","DateFormat=P","Fill=—","Direction=H","UseDPDF=Y")</f>
        <v>-406.60199999999998</v>
      </c>
      <c r="E8" s="13">
        <f>_xll.BDH("BLUE US Equity","ARD_NET_INCOME_CF","FQ4 2018","FQ4 2018","Currency=USD","Period=FQ","BEST_FPERIOD_OVERRIDE=FQ","FILING_STATUS=MR","SCALING_FORMAT=MLN","Sort=A","Dates=H","DateFormat=P","Fill=—","Direction=H","UseDPDF=Y")</f>
        <v>-555.625</v>
      </c>
      <c r="F8" s="13">
        <f>_xll.BDH("BLUE US Equity","ARD_NET_INCOME_CF","FQ1 2019","FQ1 2019","Currency=USD","Period=FQ","BEST_FPERIOD_OVERRIDE=FQ","FILING_STATUS=MR","SCALING_FORMAT=MLN","Sort=A","Dates=H","DateFormat=P","Fill=—","Direction=H","UseDPDF=Y")</f>
        <v>-164.446</v>
      </c>
      <c r="G8" s="13">
        <f>_xll.BDH("BLUE US Equity","ARD_NET_INCOME_CF","FQ2 2019","FQ2 2019","Currency=USD","Period=FQ","BEST_FPERIOD_OVERRIDE=FQ","FILING_STATUS=MR","SCALING_FORMAT=MLN","Sort=A","Dates=H","DateFormat=P","Fill=—","Direction=H","UseDPDF=Y")</f>
        <v>-360.22800000000001</v>
      </c>
      <c r="H8" s="13">
        <f>_xll.BDH("BLUE US Equity","ARD_NET_INCOME_CF","FQ3 2019","FQ3 2019","Currency=USD","Period=FQ","BEST_FPERIOD_OVERRIDE=FQ","FILING_STATUS=MR","SCALING_FORMAT=MLN","Sort=A","Dates=H","DateFormat=P","Fill=—","Direction=H","UseDPDF=Y")</f>
        <v>-566.26099999999997</v>
      </c>
      <c r="I8" s="13">
        <f>_xll.BDH("BLUE US Equity","ARD_NET_INCOME_CF","FQ4 2019","FQ4 2019","Currency=USD","Period=FQ","BEST_FPERIOD_OVERRIDE=FQ","FILING_STATUS=MR","SCALING_FORMAT=MLN","Sort=A","Dates=H","DateFormat=P","Fill=—","Direction=H","UseDPDF=Y")</f>
        <v>-789.60799999999995</v>
      </c>
      <c r="J8" s="13">
        <f>_xll.BDH("BLUE US Equity","ARD_NET_INCOME_CF","FQ1 2020","FQ1 2020","Currency=USD","Period=FQ","BEST_FPERIOD_OVERRIDE=FQ","FILING_STATUS=MR","SCALING_FORMAT=MLN","Sort=A","Dates=H","DateFormat=P","Fill=—","Direction=H","UseDPDF=Y")</f>
        <v>-202.61099999999999</v>
      </c>
      <c r="K8" s="13">
        <f>_xll.BDH("BLUE US Equity","ARD_NET_INCOME_CF","FQ2 2020","FQ2 2020","Currency=USD","Period=FQ","BEST_FPERIOD_OVERRIDE=FQ","FILING_STATUS=MR","SCALING_FORMAT=MLN","Sort=A","Dates=H","DateFormat=P","Fill=—","Direction=H","UseDPDF=Y")</f>
        <v>-224.07599999999999</v>
      </c>
      <c r="L8" s="13">
        <f>_xll.BDH("BLUE US Equity","ARD_NET_INCOME_CF","FQ3 2020","FQ3 2020","Currency=USD","Period=FQ","BEST_FPERIOD_OVERRIDE=FQ","FILING_STATUS=MR","SCALING_FORMAT=MLN","Sort=A","Dates=H","DateFormat=P","Fill=—","Direction=H","UseDPDF=Y")</f>
        <v>-418.82100000000003</v>
      </c>
      <c r="M8" s="13">
        <f>_xll.BDH("BLUE US Equity","ARD_NET_INCOME_CF","FQ4 2020","FQ4 2020","Currency=USD","Period=FQ","BEST_FPERIOD_OVERRIDE=FQ","FILING_STATUS=MR","SCALING_FORMAT=MLN","Sort=A","Dates=H","DateFormat=P","Fill=—","Direction=H","UseDPDF=Y")</f>
        <v>-618.69500000000005</v>
      </c>
      <c r="N8" s="13">
        <f>_xll.BDH("BLUE US Equity","ARD_NET_INCOME_CF","FQ1 2021","FQ1 2021","Currency=USD","Period=FQ","BEST_FPERIOD_OVERRIDE=FQ","FILING_STATUS=MR","SCALING_FORMAT=MLN","Sort=A","Dates=H","DateFormat=P","Fill=—","Direction=H","UseDPDF=Y")</f>
        <v>-205.80799999999999</v>
      </c>
      <c r="O8" s="13">
        <f>_xll.BDH("BLUE US Equity","ARD_NET_INCOME_CF","FQ2 2021","FQ2 2021","Currency=USD","Period=FQ","BEST_FPERIOD_OVERRIDE=FQ","FILING_STATUS=MR","SCALING_FORMAT=MLN","Sort=A","Dates=H","DateFormat=P","Fill=—","Direction=H","UseDPDF=Y")</f>
        <v>-447.51</v>
      </c>
      <c r="P8" s="13">
        <f>_xll.BDH("BLUE US Equity","ARD_NET_INCOME_CF","FQ3 2021","FQ3 2021","Currency=USD","Period=FQ","BEST_FPERIOD_OVERRIDE=FQ","FILING_STATUS=MR","SCALING_FORMAT=MLN","Sort=A","Dates=H","DateFormat=P","Fill=—","Direction=H","UseDPDF=Y")</f>
        <v>-664.32600000000002</v>
      </c>
      <c r="Q8" s="13">
        <f>_xll.BDH("BLUE US Equity","ARD_NET_INCOME_CF","FQ4 2021","FQ4 2021","Currency=USD","Period=FQ","BEST_FPERIOD_OVERRIDE=FQ","FILING_STATUS=MR","SCALING_FORMAT=MLN","Sort=A","Dates=H","DateFormat=P","Fill=—","Direction=H","UseDPDF=Y")</f>
        <v>-819.37800000000004</v>
      </c>
      <c r="R8" s="13">
        <f>_xll.BDH("BLUE US Equity","ARD_NET_INCOME_CF","FQ1 2022","FQ1 2022","Currency=USD","Period=FQ","BEST_FPERIOD_OVERRIDE=FQ","FILING_STATUS=MR","SCALING_FORMAT=MLN","Sort=A","Dates=H","DateFormat=P","Fill=—","Direction=H","UseDPDF=Y")</f>
        <v>-122.152</v>
      </c>
      <c r="S8" s="13">
        <f>_xll.BDH("BLUE US Equity","ARD_NET_INCOME_CF","FQ2 2022","FQ2 2022","Currency=USD","Period=FQ","BEST_FPERIOD_OVERRIDE=FQ","FILING_STATUS=MR","SCALING_FORMAT=MLN","Sort=A","Dates=H","DateFormat=P","Fill=—","Direction=H","UseDPDF=Y")</f>
        <v>-222.29</v>
      </c>
      <c r="T8" s="13">
        <f>_xll.BDH("BLUE US Equity","ARD_NET_INCOME_CF","FQ3 2022","FQ3 2022","Currency=USD","Period=FQ","BEST_FPERIOD_OVERRIDE=FQ","FILING_STATUS=MR","SCALING_FORMAT=MLN","Sort=A","Dates=H","DateFormat=P","Fill=—","Direction=H","UseDPDF=Y")</f>
        <v>-298.81</v>
      </c>
      <c r="U8" s="13">
        <f>_xll.BDH("BLUE US Equity","ARD_NET_INCOME_CF","FQ4 2022","FQ4 2022","Currency=USD","Period=FQ","BEST_FPERIOD_OVERRIDE=FQ","FILING_STATUS=MR","SCALING_FORMAT=MLN","Sort=A","Dates=H","DateFormat=P","Fill=—","Direction=H","UseDPDF=Y")</f>
        <v>-266.57799999999997</v>
      </c>
      <c r="V8" s="13">
        <f>_xll.BDH("BLUE US Equity","ARD_NET_INCOME_CF","FQ1 2023","FQ1 2023","Currency=USD","Period=FQ","BEST_FPERIOD_OVERRIDE=FQ","FILING_STATUS=MR","SCALING_FORMAT=MLN","Sort=A","Dates=H","DateFormat=P","Fill=—","Direction=H","UseDPDF=Y")</f>
        <v>18.93</v>
      </c>
      <c r="W8" s="13">
        <f>_xll.BDH("BLUE US Equity","ARD_NET_INCOME_CF","FQ2 2023","FQ2 2023","Currency=USD","Period=FQ","BEST_FPERIOD_OVERRIDE=FQ","FILING_STATUS=MR","SCALING_FORMAT=MLN","Sort=A","Dates=H","DateFormat=P","Fill=—","Direction=H","UseDPDF=Y")</f>
        <v>-43.859000000000002</v>
      </c>
      <c r="X8" s="13">
        <f>_xll.BDH("BLUE US Equity","ARD_NET_INCOME_CF","FQ3 2023","FQ3 2023","Currency=USD","Period=FQ","BEST_FPERIOD_OVERRIDE=FQ","FILING_STATUS=MR","SCALING_FORMAT=MLN","Sort=A","Dates=H","DateFormat=P","Fill=—","Direction=H","UseDPDF=Y")</f>
        <v>-131.09100000000001</v>
      </c>
      <c r="Y8" s="13">
        <f>_xll.BDH("BLUE US Equity","ARD_NET_INCOME_CF","FQ1 2024","FQ1 2024","Currency=USD","Period=FQ","BEST_FPERIOD_OVERRIDE=FQ","FILING_STATUS=MR","SCALING_FORMAT=MLN","Sort=A","Dates=H","DateFormat=P","Fill=—","Direction=H","UseDPDF=Y")</f>
        <v>-69.804000000000002</v>
      </c>
      <c r="Z8" s="13">
        <f>_xll.BDH("BLUE US Equity","ARD_NET_INCOME_CF","FQ2 2024","FQ2 2024","Currency=USD","Period=FQ","BEST_FPERIOD_OVERRIDE=FQ","FILING_STATUS=MR","SCALING_FORMAT=MLN","Sort=A","Dates=H","DateFormat=P","Fill=—","Direction=H","UseDPDF=Y")</f>
        <v>-151.197</v>
      </c>
      <c r="AA8" s="13">
        <f>_xll.BDH("BLUE US Equity","ARD_NET_INCOME_CF","FQ3 2024","FQ3 2024","Currency=USD","Period=FQ","BEST_FPERIOD_OVERRIDE=FQ","FILING_STATUS=MR","SCALING_FORMAT=MLN","Sort=A","Dates=H","DateFormat=P","Fill=—","Direction=H","UseDPDF=Y")</f>
        <v>-212.00299999999999</v>
      </c>
    </row>
    <row r="9" spans="1:27" x14ac:dyDescent="0.25">
      <c r="A9" s="10" t="s">
        <v>1169</v>
      </c>
      <c r="B9" s="10" t="s">
        <v>1170</v>
      </c>
      <c r="C9" s="13">
        <f>_xll.BDH("BLUE US Equity","ARD_DEPRECIATION_AND_AMORT_CF","FQ2 2018","FQ2 2018","Currency=USD","Period=FQ","BEST_FPERIOD_OVERRIDE=FQ","FILING_STATUS=MR","SCALING_FORMAT=MLN","Sort=A","Dates=H","DateFormat=P","Fill=—","Direction=H","UseDPDF=Y")</f>
        <v>8.1989999999999998</v>
      </c>
      <c r="D9" s="13">
        <f>_xll.BDH("BLUE US Equity","ARD_DEPRECIATION_AND_AMORT_CF","FQ3 2018","FQ3 2018","Currency=USD","Period=FQ","BEST_FPERIOD_OVERRIDE=FQ","FILING_STATUS=MR","SCALING_FORMAT=MLN","Sort=A","Dates=H","DateFormat=P","Fill=—","Direction=H","UseDPDF=Y")</f>
        <v>12.613</v>
      </c>
      <c r="E9" s="13">
        <f>_xll.BDH("BLUE US Equity","ARD_DEPRECIATION_AND_AMORT_CF","FQ4 2018","FQ4 2018","Currency=USD","Period=FQ","BEST_FPERIOD_OVERRIDE=FQ","FILING_STATUS=MR","SCALING_FORMAT=MLN","Sort=A","Dates=H","DateFormat=P","Fill=—","Direction=H","UseDPDF=Y")</f>
        <v>17.158000000000001</v>
      </c>
      <c r="F9" s="13">
        <f>_xll.BDH("BLUE US Equity","ARD_DEPRECIATION_AND_AMORT_CF","FQ1 2019","FQ1 2019","Currency=USD","Period=FQ","BEST_FPERIOD_OVERRIDE=FQ","FILING_STATUS=MR","SCALING_FORMAT=MLN","Sort=A","Dates=H","DateFormat=P","Fill=—","Direction=H","UseDPDF=Y")</f>
        <v>3.7829999999999999</v>
      </c>
      <c r="G9" s="13">
        <f>_xll.BDH("BLUE US Equity","ARD_DEPRECIATION_AND_AMORT_CF","FQ2 2019","FQ2 2019","Currency=USD","Period=FQ","BEST_FPERIOD_OVERRIDE=FQ","FILING_STATUS=MR","SCALING_FORMAT=MLN","Sort=A","Dates=H","DateFormat=P","Fill=—","Direction=H","UseDPDF=Y")</f>
        <v>7.8310000000000004</v>
      </c>
      <c r="H9" s="13">
        <f>_xll.BDH("BLUE US Equity","ARD_DEPRECIATION_AND_AMORT_CF","FQ3 2019","FQ3 2019","Currency=USD","Period=FQ","BEST_FPERIOD_OVERRIDE=FQ","FILING_STATUS=MR","SCALING_FORMAT=MLN","Sort=A","Dates=H","DateFormat=P","Fill=—","Direction=H","UseDPDF=Y")</f>
        <v>12.378</v>
      </c>
      <c r="I9" s="13">
        <f>_xll.BDH("BLUE US Equity","ARD_DEPRECIATION_AND_AMORT_CF","FQ4 2019","FQ4 2019","Currency=USD","Period=FQ","BEST_FPERIOD_OVERRIDE=FQ","FILING_STATUS=MR","SCALING_FORMAT=MLN","Sort=A","Dates=H","DateFormat=P","Fill=—","Direction=H","UseDPDF=Y")</f>
        <v>17.434000000000001</v>
      </c>
      <c r="J9" s="13">
        <f>_xll.BDH("BLUE US Equity","ARD_DEPRECIATION_AND_AMORT_CF","FQ1 2020","FQ1 2020","Currency=USD","Period=FQ","BEST_FPERIOD_OVERRIDE=FQ","FILING_STATUS=MR","SCALING_FORMAT=MLN","Sort=A","Dates=H","DateFormat=P","Fill=—","Direction=H","UseDPDF=Y")</f>
        <v>4.88</v>
      </c>
      <c r="K9" s="13">
        <f>_xll.BDH("BLUE US Equity","ARD_DEPRECIATION_AND_AMORT_CF","FQ2 2020","FQ2 2020","Currency=USD","Period=FQ","BEST_FPERIOD_OVERRIDE=FQ","FILING_STATUS=MR","SCALING_FORMAT=MLN","Sort=A","Dates=H","DateFormat=P","Fill=—","Direction=H","UseDPDF=Y")</f>
        <v>9.43</v>
      </c>
      <c r="L9" s="13">
        <f>_xll.BDH("BLUE US Equity","ARD_DEPRECIATION_AND_AMORT_CF","FQ3 2020","FQ3 2020","Currency=USD","Period=FQ","BEST_FPERIOD_OVERRIDE=FQ","FILING_STATUS=MR","SCALING_FORMAT=MLN","Sort=A","Dates=H","DateFormat=P","Fill=—","Direction=H","UseDPDF=Y")</f>
        <v>14.378</v>
      </c>
      <c r="M9" s="13">
        <f>_xll.BDH("BLUE US Equity","ARD_DEPRECIATION_AND_AMORT_CF","FQ4 2020","FQ4 2020","Currency=USD","Period=FQ","BEST_FPERIOD_OVERRIDE=FQ","FILING_STATUS=MR","SCALING_FORMAT=MLN","Sort=A","Dates=H","DateFormat=P","Fill=—","Direction=H","UseDPDF=Y")</f>
        <v>19.356000000000002</v>
      </c>
      <c r="N9" s="13">
        <f>_xll.BDH("BLUE US Equity","ARD_DEPRECIATION_AND_AMORT_CF","FQ1 2021","FQ1 2021","Currency=USD","Period=FQ","BEST_FPERIOD_OVERRIDE=FQ","FILING_STATUS=MR","SCALING_FORMAT=MLN","Sort=A","Dates=H","DateFormat=P","Fill=—","Direction=H","UseDPDF=Y")</f>
        <v>5.36</v>
      </c>
      <c r="O9" s="13">
        <f>_xll.BDH("BLUE US Equity","ARD_DEPRECIATION_AND_AMORT_CF","FQ2 2021","FQ2 2021","Currency=USD","Period=FQ","BEST_FPERIOD_OVERRIDE=FQ","FILING_STATUS=MR","SCALING_FORMAT=MLN","Sort=A","Dates=H","DateFormat=P","Fill=—","Direction=H","UseDPDF=Y")</f>
        <v>11.353</v>
      </c>
      <c r="P9" s="13">
        <f>_xll.BDH("BLUE US Equity","ARD_DEPRECIATION_AND_AMORT_CF","FQ3 2021","FQ3 2021","Currency=USD","Period=FQ","BEST_FPERIOD_OVERRIDE=FQ","FILING_STATUS=MR","SCALING_FORMAT=MLN","Sort=A","Dates=H","DateFormat=P","Fill=—","Direction=H","UseDPDF=Y")</f>
        <v>17.335000000000001</v>
      </c>
      <c r="Q9" s="13">
        <f>_xll.BDH("BLUE US Equity","ARD_DEPRECIATION_AND_AMORT_CF","FQ4 2021","FQ4 2021","Currency=USD","Period=FQ","BEST_FPERIOD_OVERRIDE=FQ","FILING_STATUS=MR","SCALING_FORMAT=MLN","Sort=A","Dates=H","DateFormat=P","Fill=—","Direction=H","UseDPDF=Y")</f>
        <v>19.649000000000001</v>
      </c>
      <c r="R9" s="13">
        <f>_xll.BDH("BLUE US Equity","ARD_DEPRECIATION_AND_AMORT_CF","FQ1 2022","FQ1 2022","Currency=USD","Period=FQ","BEST_FPERIOD_OVERRIDE=FQ","FILING_STATUS=MR","SCALING_FORMAT=MLN","Sort=A","Dates=H","DateFormat=P","Fill=—","Direction=H","UseDPDF=Y")</f>
        <v>1.014</v>
      </c>
      <c r="S9" s="13">
        <f>_xll.BDH("BLUE US Equity","ARD_DEPRECIATION_AND_AMORT_CF","FQ2 2022","FQ2 2022","Currency=USD","Period=FQ","BEST_FPERIOD_OVERRIDE=FQ","FILING_STATUS=MR","SCALING_FORMAT=MLN","Sort=A","Dates=H","DateFormat=P","Fill=—","Direction=H","UseDPDF=Y")</f>
        <v>2.3580000000000001</v>
      </c>
      <c r="T9" s="13">
        <f>_xll.BDH("BLUE US Equity","ARD_DEPRECIATION_AND_AMORT_CF","FQ3 2022","FQ3 2022","Currency=USD","Period=FQ","BEST_FPERIOD_OVERRIDE=FQ","FILING_STATUS=MR","SCALING_FORMAT=MLN","Sort=A","Dates=H","DateFormat=P","Fill=—","Direction=H","UseDPDF=Y")</f>
        <v>3.7450000000000001</v>
      </c>
      <c r="U9" s="13">
        <f>_xll.BDH("BLUE US Equity","ARD_DEPRECIATION_AND_AMORT_CF","FQ4 2022","FQ4 2022","Currency=USD","Period=FQ","BEST_FPERIOD_OVERRIDE=FQ","FILING_STATUS=MR","SCALING_FORMAT=MLN","Sort=A","Dates=H","DateFormat=P","Fill=—","Direction=H","UseDPDF=Y")</f>
        <v>5.0010000000000003</v>
      </c>
      <c r="V9" s="13">
        <f>_xll.BDH("BLUE US Equity","ARD_DEPRECIATION_AND_AMORT_CF","FQ1 2023","FQ1 2023","Currency=USD","Period=FQ","BEST_FPERIOD_OVERRIDE=FQ","FILING_STATUS=MR","SCALING_FORMAT=MLN","Sort=A","Dates=H","DateFormat=P","Fill=—","Direction=H","UseDPDF=Y")</f>
        <v>6.1719999999999997</v>
      </c>
      <c r="W9" s="13">
        <f>_xll.BDH("BLUE US Equity","ARD_DEPRECIATION_AND_AMORT_CF","FQ2 2023","FQ2 2023","Currency=USD","Period=FQ","BEST_FPERIOD_OVERRIDE=FQ","FILING_STATUS=MR","SCALING_FORMAT=MLN","Sort=A","Dates=H","DateFormat=P","Fill=—","Direction=H","UseDPDF=Y")</f>
        <v>12.25</v>
      </c>
      <c r="X9" s="13">
        <f>_xll.BDH("BLUE US Equity","ARD_DEPRECIATION_AND_AMORT_CF","FQ3 2023","FQ3 2023","Currency=USD","Period=FQ","BEST_FPERIOD_OVERRIDE=FQ","FILING_STATUS=MR","SCALING_FORMAT=MLN","Sort=A","Dates=H","DateFormat=P","Fill=—","Direction=H","UseDPDF=Y")</f>
        <v>19.66</v>
      </c>
      <c r="Y9" s="13">
        <f>_xll.BDH("BLUE US Equity","ARD_DEPRECIATION_AND_AMORT_CF","FQ1 2024","FQ1 2024","Currency=USD","Period=FQ","BEST_FPERIOD_OVERRIDE=FQ","FILING_STATUS=MR","SCALING_FORMAT=MLN","Sort=A","Dates=H","DateFormat=P","Fill=—","Direction=H","UseDPDF=Y")</f>
        <v>15.468999999999999</v>
      </c>
      <c r="Z9" s="13">
        <f>_xll.BDH("BLUE US Equity","ARD_DEPRECIATION_AND_AMORT_CF","FQ2 2024","FQ2 2024","Currency=USD","Period=FQ","BEST_FPERIOD_OVERRIDE=FQ","FILING_STATUS=MR","SCALING_FORMAT=MLN","Sort=A","Dates=H","DateFormat=P","Fill=—","Direction=H","UseDPDF=Y")</f>
        <v>31.995000000000001</v>
      </c>
      <c r="AA9" s="13">
        <f>_xll.BDH("BLUE US Equity","ARD_DEPRECIATION_AND_AMORT_CF","FQ3 2024","FQ3 2024","Currency=USD","Period=FQ","BEST_FPERIOD_OVERRIDE=FQ","FILING_STATUS=MR","SCALING_FORMAT=MLN","Sort=A","Dates=H","DateFormat=P","Fill=—","Direction=H","UseDPDF=Y")</f>
        <v>47.338999999999999</v>
      </c>
    </row>
    <row r="10" spans="1:27" x14ac:dyDescent="0.25">
      <c r="A10" s="10" t="s">
        <v>571</v>
      </c>
      <c r="B10" s="10" t="s">
        <v>1171</v>
      </c>
      <c r="C10" s="13">
        <f>_xll.BDH("BLUE US Equity","ARD_STOCK_BASED_COMPENSATION","FQ2 2018","FQ2 2018","Currency=USD","Period=FQ","BEST_FPERIOD_OVERRIDE=FQ","FILING_STATUS=MR","SCALING_FORMAT=MLN","Sort=A","Dates=H","DateFormat=P","Fill=—","Direction=H","UseDPDF=Y")</f>
        <v>51.051000000000002</v>
      </c>
      <c r="D10" s="13">
        <f>_xll.BDH("BLUE US Equity","ARD_STOCK_BASED_COMPENSATION","FQ3 2018","FQ3 2018","Currency=USD","Period=FQ","BEST_FPERIOD_OVERRIDE=FQ","FILING_STATUS=MR","SCALING_FORMAT=MLN","Sort=A","Dates=H","DateFormat=P","Fill=—","Direction=H","UseDPDF=Y")</f>
        <v>80.849000000000004</v>
      </c>
      <c r="E10" s="13">
        <f>_xll.BDH("BLUE US Equity","ARD_STOCK_BASED_COMPENSATION","FQ4 2018","FQ4 2018","Currency=USD","Period=FQ","BEST_FPERIOD_OVERRIDE=FQ","FILING_STATUS=MR","SCALING_FORMAT=MLN","Sort=A","Dates=H","DateFormat=P","Fill=—","Direction=H","UseDPDF=Y")</f>
        <v>110.836</v>
      </c>
      <c r="F10" s="13">
        <f>_xll.BDH("BLUE US Equity","ARD_STOCK_BASED_COMPENSATION","FQ1 2019","FQ1 2019","Currency=USD","Period=FQ","BEST_FPERIOD_OVERRIDE=FQ","FILING_STATUS=MR","SCALING_FORMAT=MLN","Sort=A","Dates=H","DateFormat=P","Fill=—","Direction=H","UseDPDF=Y")</f>
        <v>32.341000000000001</v>
      </c>
      <c r="G10" s="13">
        <f>_xll.BDH("BLUE US Equity","ARD_STOCK_BASED_COMPENSATION","FQ2 2019","FQ2 2019","Currency=USD","Period=FQ","BEST_FPERIOD_OVERRIDE=FQ","FILING_STATUS=MR","SCALING_FORMAT=MLN","Sort=A","Dates=H","DateFormat=P","Fill=—","Direction=H","UseDPDF=Y")</f>
        <v>87.451999999999998</v>
      </c>
      <c r="H10" s="13">
        <f>_xll.BDH("BLUE US Equity","ARD_STOCK_BASED_COMPENSATION","FQ3 2019","FQ3 2019","Currency=USD","Period=FQ","BEST_FPERIOD_OVERRIDE=FQ","FILING_STATUS=MR","SCALING_FORMAT=MLN","Sort=A","Dates=H","DateFormat=P","Fill=—","Direction=H","UseDPDF=Y")</f>
        <v>125.998</v>
      </c>
      <c r="I10" s="13">
        <f>_xll.BDH("BLUE US Equity","ARD_STOCK_BASED_COMPENSATION","FQ4 2019","FQ4 2019","Currency=USD","Period=FQ","BEST_FPERIOD_OVERRIDE=FQ","FILING_STATUS=MR","SCALING_FORMAT=MLN","Sort=A","Dates=H","DateFormat=P","Fill=—","Direction=H","UseDPDF=Y")</f>
        <v>160.62899999999999</v>
      </c>
      <c r="J10" s="13">
        <f>_xll.BDH("BLUE US Equity","ARD_STOCK_BASED_COMPENSATION","FQ1 2020","FQ1 2020","Currency=USD","Period=FQ","BEST_FPERIOD_OVERRIDE=FQ","FILING_STATUS=MR","SCALING_FORMAT=MLN","Sort=A","Dates=H","DateFormat=P","Fill=—","Direction=H","UseDPDF=Y")</f>
        <v>36.292999999999999</v>
      </c>
      <c r="K10" s="13">
        <f>_xll.BDH("BLUE US Equity","ARD_STOCK_BASED_COMPENSATION","FQ2 2020","FQ2 2020","Currency=USD","Period=FQ","BEST_FPERIOD_OVERRIDE=FQ","FILING_STATUS=MR","SCALING_FORMAT=MLN","Sort=A","Dates=H","DateFormat=P","Fill=—","Direction=H","UseDPDF=Y")</f>
        <v>84.822000000000003</v>
      </c>
      <c r="L10" s="13">
        <f>_xll.BDH("BLUE US Equity","ARD_STOCK_BASED_COMPENSATION","FQ3 2020","FQ3 2020","Currency=USD","Period=FQ","BEST_FPERIOD_OVERRIDE=FQ","FILING_STATUS=MR","SCALING_FORMAT=MLN","Sort=A","Dates=H","DateFormat=P","Fill=—","Direction=H","UseDPDF=Y")</f>
        <v>123.64</v>
      </c>
      <c r="M10" s="13">
        <f>_xll.BDH("BLUE US Equity","ARD_STOCK_BASED_COMPENSATION","FQ4 2020","FQ4 2020","Currency=USD","Period=FQ","BEST_FPERIOD_OVERRIDE=FQ","FILING_STATUS=MR","SCALING_FORMAT=MLN","Sort=A","Dates=H","DateFormat=P","Fill=—","Direction=H","UseDPDF=Y")</f>
        <v>156.631</v>
      </c>
      <c r="N10" s="13">
        <f>_xll.BDH("BLUE US Equity","ARD_STOCK_BASED_COMPENSATION","FQ1 2021","FQ1 2021","Currency=USD","Period=FQ","BEST_FPERIOD_OVERRIDE=FQ","FILING_STATUS=MR","SCALING_FORMAT=MLN","Sort=A","Dates=H","DateFormat=P","Fill=—","Direction=H","UseDPDF=Y")</f>
        <v>42.527000000000001</v>
      </c>
      <c r="O10" s="13">
        <f>_xll.BDH("BLUE US Equity","ARD_STOCK_BASED_COMPENSATION","FQ2 2021","FQ2 2021","Currency=USD","Period=FQ","BEST_FPERIOD_OVERRIDE=FQ","FILING_STATUS=MR","SCALING_FORMAT=MLN","Sort=A","Dates=H","DateFormat=P","Fill=—","Direction=H","UseDPDF=Y")</f>
        <v>73.686999999999998</v>
      </c>
      <c r="P10" s="13">
        <f>_xll.BDH("BLUE US Equity","ARD_STOCK_BASED_COMPENSATION","FQ3 2021","FQ3 2021","Currency=USD","Period=FQ","BEST_FPERIOD_OVERRIDE=FQ","FILING_STATUS=MR","SCALING_FORMAT=MLN","Sort=A","Dates=H","DateFormat=P","Fill=—","Direction=H","UseDPDF=Y")</f>
        <v>101.82899999999999</v>
      </c>
      <c r="Q10" s="13">
        <f>_xll.BDH("BLUE US Equity","ARD_STOCK_BASED_COMPENSATION","FQ4 2021","FQ4 2021","Currency=USD","Period=FQ","BEST_FPERIOD_OVERRIDE=FQ","FILING_STATUS=MR","SCALING_FORMAT=MLN","Sort=A","Dates=H","DateFormat=P","Fill=—","Direction=H","UseDPDF=Y")</f>
        <v>127.91500000000001</v>
      </c>
      <c r="R10" s="13">
        <f>_xll.BDH("BLUE US Equity","ARD_STOCK_BASED_COMPENSATION","FQ1 2022","FQ1 2022","Currency=USD","Period=FQ","BEST_FPERIOD_OVERRIDE=FQ","FILING_STATUS=MR","SCALING_FORMAT=MLN","Sort=A","Dates=H","DateFormat=P","Fill=—","Direction=H","UseDPDF=Y")</f>
        <v>12.39</v>
      </c>
      <c r="S10" s="13">
        <f>_xll.BDH("BLUE US Equity","ARD_STOCK_BASED_COMPENSATION","FQ2 2022","FQ2 2022","Currency=USD","Period=FQ","BEST_FPERIOD_OVERRIDE=FQ","FILING_STATUS=MR","SCALING_FORMAT=MLN","Sort=A","Dates=H","DateFormat=P","Fill=—","Direction=H","UseDPDF=Y")</f>
        <v>21.297999999999998</v>
      </c>
      <c r="T10" s="13">
        <f>_xll.BDH("BLUE US Equity","ARD_STOCK_BASED_COMPENSATION","FQ3 2022","FQ3 2022","Currency=USD","Period=FQ","BEST_FPERIOD_OVERRIDE=FQ","FILING_STATUS=MR","SCALING_FORMAT=MLN","Sort=A","Dates=H","DateFormat=P","Fill=—","Direction=H","UseDPDF=Y")</f>
        <v>30.509</v>
      </c>
      <c r="U10" s="13">
        <f>_xll.BDH("BLUE US Equity","ARD_STOCK_BASED_COMPENSATION","FQ4 2022","FQ4 2022","Currency=USD","Period=FQ","BEST_FPERIOD_OVERRIDE=FQ","FILING_STATUS=MR","SCALING_FORMAT=MLN","Sort=A","Dates=H","DateFormat=P","Fill=—","Direction=H","UseDPDF=Y")</f>
        <v>35.188000000000002</v>
      </c>
      <c r="V10" s="13">
        <f>_xll.BDH("BLUE US Equity","ARD_STOCK_BASED_COMPENSATION","FQ1 2023","FQ1 2023","Currency=USD","Period=FQ","BEST_FPERIOD_OVERRIDE=FQ","FILING_STATUS=MR","SCALING_FORMAT=MLN","Sort=A","Dates=H","DateFormat=P","Fill=—","Direction=H","UseDPDF=Y")</f>
        <v>5.391</v>
      </c>
      <c r="W10" s="13">
        <f>_xll.BDH("BLUE US Equity","ARD_STOCK_BASED_COMPENSATION","FQ2 2023","FQ2 2023","Currency=USD","Period=FQ","BEST_FPERIOD_OVERRIDE=FQ","FILING_STATUS=MR","SCALING_FORMAT=MLN","Sort=A","Dates=H","DateFormat=P","Fill=—","Direction=H","UseDPDF=Y")</f>
        <v>11.145</v>
      </c>
      <c r="X10" s="13">
        <f>_xll.BDH("BLUE US Equity","ARD_STOCK_BASED_COMPENSATION","FQ3 2023","FQ3 2023","Currency=USD","Period=FQ","BEST_FPERIOD_OVERRIDE=FQ","FILING_STATUS=MR","SCALING_FORMAT=MLN","Sort=A","Dates=H","DateFormat=P","Fill=—","Direction=H","UseDPDF=Y")</f>
        <v>16.013000000000002</v>
      </c>
      <c r="Y10" s="13">
        <f>_xll.BDH("BLUE US Equity","ARD_STOCK_BASED_COMPENSATION","FQ1 2024","FQ1 2024","Currency=USD","Period=FQ","BEST_FPERIOD_OVERRIDE=FQ","FILING_STATUS=MR","SCALING_FORMAT=MLN","Sort=A","Dates=H","DateFormat=P","Fill=—","Direction=H","UseDPDF=Y")</f>
        <v>3.7610000000000001</v>
      </c>
      <c r="Z10" s="13">
        <f>_xll.BDH("BLUE US Equity","ARD_STOCK_BASED_COMPENSATION","FQ2 2024","FQ2 2024","Currency=USD","Period=FQ","BEST_FPERIOD_OVERRIDE=FQ","FILING_STATUS=MR","SCALING_FORMAT=MLN","Sort=A","Dates=H","DateFormat=P","Fill=—","Direction=H","UseDPDF=Y")</f>
        <v>6.968</v>
      </c>
      <c r="AA10" s="13">
        <f>_xll.BDH("BLUE US Equity","ARD_STOCK_BASED_COMPENSATION","FQ3 2024","FQ3 2024","Currency=USD","Period=FQ","BEST_FPERIOD_OVERRIDE=FQ","FILING_STATUS=MR","SCALING_FORMAT=MLN","Sort=A","Dates=H","DateFormat=P","Fill=—","Direction=H","UseDPDF=Y")</f>
        <v>9.6690000000000005</v>
      </c>
    </row>
    <row r="11" spans="1:27" x14ac:dyDescent="0.25">
      <c r="A11" s="10" t="s">
        <v>1172</v>
      </c>
      <c r="B11" s="10" t="s">
        <v>1173</v>
      </c>
      <c r="C11" s="13">
        <f>_xll.BDH("BLUE US Equity","ARD_OTHER_NON_CASH_ITEMS","FQ2 2018","FQ2 2018","Currency=USD","Period=FQ","BEST_FPERIOD_OVERRIDE=FQ","FILING_STATUS=MR","SCALING_FORMAT=MLN","Sort=A","Dates=H","DateFormat=P","Fill=—","Direction=H","UseDPDF=Y")</f>
        <v>2.8340000000000001</v>
      </c>
      <c r="D11" s="13">
        <f>_xll.BDH("BLUE US Equity","ARD_OTHER_NON_CASH_ITEMS","FQ3 2018","FQ3 2018","Currency=USD","Period=FQ","BEST_FPERIOD_OVERRIDE=FQ","FILING_STATUS=MR","SCALING_FORMAT=MLN","Sort=A","Dates=H","DateFormat=P","Fill=—","Direction=H","UseDPDF=Y")</f>
        <v>3.1059999999999999</v>
      </c>
      <c r="E11" s="13">
        <f>_xll.BDH("BLUE US Equity","ARD_OTHER_NON_CASH_ITEMS","FQ4 2018","FQ4 2018","Currency=USD","Period=FQ","BEST_FPERIOD_OVERRIDE=FQ","FILING_STATUS=MR","SCALING_FORMAT=MLN","Sort=A","Dates=H","DateFormat=P","Fill=—","Direction=H","UseDPDF=Y")</f>
        <v>-5.88</v>
      </c>
      <c r="F11" s="13">
        <f>_xll.BDH("BLUE US Equity","ARD_OTHER_NON_CASH_ITEMS","FQ1 2019","FQ1 2019","Currency=USD","Period=FQ","BEST_FPERIOD_OVERRIDE=FQ","FILING_STATUS=MR","SCALING_FORMAT=MLN","Sort=A","Dates=H","DateFormat=P","Fill=—","Direction=H","UseDPDF=Y")</f>
        <v>-3.456</v>
      </c>
      <c r="G11" s="13">
        <f>_xll.BDH("BLUE US Equity","ARD_OTHER_NON_CASH_ITEMS","FQ2 2019","FQ2 2019","Currency=USD","Period=FQ","BEST_FPERIOD_OVERRIDE=FQ","FILING_STATUS=MR","SCALING_FORMAT=MLN","Sort=A","Dates=H","DateFormat=P","Fill=—","Direction=H","UseDPDF=Y")</f>
        <v>-7.0640000000000001</v>
      </c>
      <c r="H11" s="13">
        <f>_xll.BDH("BLUE US Equity","ARD_OTHER_NON_CASH_ITEMS","FQ3 2019","FQ3 2019","Currency=USD","Period=FQ","BEST_FPERIOD_OVERRIDE=FQ","FILING_STATUS=MR","SCALING_FORMAT=MLN","Sort=A","Dates=H","DateFormat=P","Fill=—","Direction=H","UseDPDF=Y")</f>
        <v>-9.3620000000000001</v>
      </c>
      <c r="I11" s="13">
        <f>_xll.BDH("BLUE US Equity","ARD_OTHER_NON_CASH_ITEMS","FQ4 2019","FQ4 2019","Currency=USD","Period=FQ","BEST_FPERIOD_OVERRIDE=FQ","FILING_STATUS=MR","SCALING_FORMAT=MLN","Sort=A","Dates=H","DateFormat=P","Fill=—","Direction=H","UseDPDF=Y")</f>
        <v>-11</v>
      </c>
      <c r="J11" s="13">
        <f>_xll.BDH("BLUE US Equity","ARD_OTHER_NON_CASH_ITEMS","FQ1 2020","FQ1 2020","Currency=USD","Period=FQ","BEST_FPERIOD_OVERRIDE=FQ","FILING_STATUS=MR","SCALING_FORMAT=MLN","Sort=A","Dates=H","DateFormat=P","Fill=—","Direction=H","UseDPDF=Y")</f>
        <v>-1.387</v>
      </c>
      <c r="K11" s="13">
        <f>_xll.BDH("BLUE US Equity","ARD_OTHER_NON_CASH_ITEMS","FQ2 2020","FQ2 2020","Currency=USD","Period=FQ","BEST_FPERIOD_OVERRIDE=FQ","FILING_STATUS=MR","SCALING_FORMAT=MLN","Sort=A","Dates=H","DateFormat=P","Fill=—","Direction=H","UseDPDF=Y")</f>
        <v>-1.841</v>
      </c>
      <c r="L11" s="13">
        <f>_xll.BDH("BLUE US Equity","ARD_OTHER_NON_CASH_ITEMS","FQ3 2020","FQ3 2020","Currency=USD","Period=FQ","BEST_FPERIOD_OVERRIDE=FQ","FILING_STATUS=MR","SCALING_FORMAT=MLN","Sort=A","Dates=H","DateFormat=P","Fill=—","Direction=H","UseDPDF=Y")</f>
        <v>-1.538</v>
      </c>
      <c r="M11" s="13">
        <f>_xll.BDH("BLUE US Equity","ARD_OTHER_NON_CASH_ITEMS","FQ4 2020","FQ4 2020","Currency=USD","Period=FQ","BEST_FPERIOD_OVERRIDE=FQ","FILING_STATUS=MR","SCALING_FORMAT=MLN","Sort=A","Dates=H","DateFormat=P","Fill=—","Direction=H","UseDPDF=Y")</f>
        <v>-6.01</v>
      </c>
      <c r="N11" s="13">
        <f>_xll.BDH("BLUE US Equity","ARD_OTHER_NON_CASH_ITEMS","FQ1 2021","FQ1 2021","Currency=USD","Period=FQ","BEST_FPERIOD_OVERRIDE=FQ","FILING_STATUS=MR","SCALING_FORMAT=MLN","Sort=A","Dates=H","DateFormat=P","Fill=—","Direction=H","UseDPDF=Y")</f>
        <v>2.8820000000000001</v>
      </c>
      <c r="O11" s="13">
        <f>_xll.BDH("BLUE US Equity","ARD_OTHER_NON_CASH_ITEMS","FQ2 2021","FQ2 2021","Currency=USD","Period=FQ","BEST_FPERIOD_OVERRIDE=FQ","FILING_STATUS=MR","SCALING_FORMAT=MLN","Sort=A","Dates=H","DateFormat=P","Fill=—","Direction=H","UseDPDF=Y")</f>
        <v>21.312000000000001</v>
      </c>
      <c r="P11" s="13">
        <f>_xll.BDH("BLUE US Equity","ARD_OTHER_NON_CASH_ITEMS","FQ3 2021","FQ3 2021","Currency=USD","Period=FQ","BEST_FPERIOD_OVERRIDE=FQ","FILING_STATUS=MR","SCALING_FORMAT=MLN","Sort=A","Dates=H","DateFormat=P","Fill=—","Direction=H","UseDPDF=Y")</f>
        <v>43.07</v>
      </c>
      <c r="Q11" s="13">
        <f>_xll.BDH("BLUE US Equity","ARD_OTHER_NON_CASH_ITEMS","FQ4 2021","FQ4 2021","Currency=USD","Period=FQ","BEST_FPERIOD_OVERRIDE=FQ","FILING_STATUS=MR","SCALING_FORMAT=MLN","Sort=A","Dates=H","DateFormat=P","Fill=—","Direction=H","UseDPDF=Y")</f>
        <v>47.158999999999999</v>
      </c>
      <c r="R11" s="13">
        <f>_xll.BDH("BLUE US Equity","ARD_OTHER_NON_CASH_ITEMS","FQ1 2022","FQ1 2022","Currency=USD","Period=FQ","BEST_FPERIOD_OVERRIDE=FQ","FILING_STATUS=MR","SCALING_FORMAT=MLN","Sort=A","Dates=H","DateFormat=P","Fill=—","Direction=H","UseDPDF=Y")</f>
        <v>7.7080000000000002</v>
      </c>
      <c r="S11" s="13">
        <f>_xll.BDH("BLUE US Equity","ARD_OTHER_NON_CASH_ITEMS","FQ2 2022","FQ2 2022","Currency=USD","Period=FQ","BEST_FPERIOD_OVERRIDE=FQ","FILING_STATUS=MR","SCALING_FORMAT=MLN","Sort=A","Dates=H","DateFormat=P","Fill=—","Direction=H","UseDPDF=Y")</f>
        <v>8.18</v>
      </c>
      <c r="T11" s="13">
        <f>_xll.BDH("BLUE US Equity","ARD_OTHER_NON_CASH_ITEMS","FQ3 2022","FQ3 2022","Currency=USD","Period=FQ","BEST_FPERIOD_OVERRIDE=FQ","FILING_STATUS=MR","SCALING_FORMAT=MLN","Sort=A","Dates=H","DateFormat=P","Fill=—","Direction=H","UseDPDF=Y")</f>
        <v>10.409000000000001</v>
      </c>
      <c r="U11" s="13">
        <f>_xll.BDH("BLUE US Equity","ARD_OTHER_NON_CASH_ITEMS","FQ4 2022","FQ4 2022","Currency=USD","Period=FQ","BEST_FPERIOD_OVERRIDE=FQ","FILING_STATUS=MR","SCALING_FORMAT=MLN","Sort=A","Dates=H","DateFormat=P","Fill=—","Direction=H","UseDPDF=Y")</f>
        <v>-90.576999999999998</v>
      </c>
      <c r="V11" s="13">
        <f>_xll.BDH("BLUE US Equity","ARD_OTHER_NON_CASH_ITEMS","FQ1 2023","FQ1 2023","Currency=USD","Period=FQ","BEST_FPERIOD_OVERRIDE=FQ","FILING_STATUS=MR","SCALING_FORMAT=MLN","Sort=A","Dates=H","DateFormat=P","Fill=—","Direction=H","UseDPDF=Y")</f>
        <v>-81.245999999999995</v>
      </c>
      <c r="W11" s="13">
        <f>_xll.BDH("BLUE US Equity","ARD_OTHER_NON_CASH_ITEMS","FQ2 2023","FQ2 2023","Currency=USD","Period=FQ","BEST_FPERIOD_OVERRIDE=FQ","FILING_STATUS=MR","SCALING_FORMAT=MLN","Sort=A","Dates=H","DateFormat=P","Fill=—","Direction=H","UseDPDF=Y")</f>
        <v>22.021000000000001</v>
      </c>
      <c r="X11" s="13">
        <f>_xll.BDH("BLUE US Equity","ARD_OTHER_NON_CASH_ITEMS","FQ3 2023","FQ3 2023","Currency=USD","Period=FQ","BEST_FPERIOD_OVERRIDE=FQ","FILING_STATUS=MR","SCALING_FORMAT=MLN","Sort=A","Dates=H","DateFormat=P","Fill=—","Direction=H","UseDPDF=Y")</f>
        <v>-37.44</v>
      </c>
      <c r="Y11" s="13">
        <f>_xll.BDH("BLUE US Equity","ARD_OTHER_NON_CASH_ITEMS","FQ1 2024","FQ1 2024","Currency=USD","Period=FQ","BEST_FPERIOD_OVERRIDE=FQ","FILING_STATUS=MR","SCALING_FORMAT=MLN","Sort=A","Dates=H","DateFormat=P","Fill=—","Direction=H","UseDPDF=Y")</f>
        <v>6.141</v>
      </c>
      <c r="Z11" s="13">
        <f>_xll.BDH("BLUE US Equity","ARD_OTHER_NON_CASH_ITEMS","FQ2 2024","FQ2 2024","Currency=USD","Period=FQ","BEST_FPERIOD_OVERRIDE=FQ","FILING_STATUS=MR","SCALING_FORMAT=MLN","Sort=A","Dates=H","DateFormat=P","Fill=—","Direction=H","UseDPDF=Y")</f>
        <v>18.556999999999999</v>
      </c>
      <c r="AA11" s="13">
        <f>_xll.BDH("BLUE US Equity","ARD_OTHER_NON_CASH_ITEMS","FQ3 2024","FQ3 2024","Currency=USD","Period=FQ","BEST_FPERIOD_OVERRIDE=FQ","FILING_STATUS=MR","SCALING_FORMAT=MLN","Sort=A","Dates=H","DateFormat=P","Fill=—","Direction=H","UseDPDF=Y")</f>
        <v>27.952000000000002</v>
      </c>
    </row>
    <row r="12" spans="1:27" x14ac:dyDescent="0.25">
      <c r="A12" s="10" t="s">
        <v>1174</v>
      </c>
      <c r="B12" s="10" t="s">
        <v>1175</v>
      </c>
      <c r="C12" s="13" t="str">
        <f>_xll.BDH("BLUE US Equity","ARD_CHANGE_IN_INVENTORIES","FQ2 2018","FQ2 2018","Currency=USD","Period=FQ","BEST_FPERIOD_OVERRIDE=FQ","FILING_STATUS=MR","SCALING_FORMAT=MLN","Sort=A","Dates=H","DateFormat=P","Fill=—","Direction=H","UseDPDF=Y")</f>
        <v>—</v>
      </c>
      <c r="D12" s="13" t="str">
        <f>_xll.BDH("BLUE US Equity","ARD_CHANGE_IN_INVENTORIES","FQ3 2018","FQ3 2018","Currency=USD","Period=FQ","BEST_FPERIOD_OVERRIDE=FQ","FILING_STATUS=MR","SCALING_FORMAT=MLN","Sort=A","Dates=H","DateFormat=P","Fill=—","Direction=H","UseDPDF=Y")</f>
        <v>—</v>
      </c>
      <c r="E12" s="13" t="str">
        <f>_xll.BDH("BLUE US Equity","ARD_CHANGE_IN_INVENTORIES","FQ4 2018","FQ4 2018","Currency=USD","Period=FQ","BEST_FPERIOD_OVERRIDE=FQ","FILING_STATUS=MR","SCALING_FORMAT=MLN","Sort=A","Dates=H","DateFormat=P","Fill=—","Direction=H","UseDPDF=Y")</f>
        <v>—</v>
      </c>
      <c r="F12" s="13" t="str">
        <f>_xll.BDH("BLUE US Equity","ARD_CHANGE_IN_INVENTORIES","FQ1 2019","FQ1 2019","Currency=USD","Period=FQ","BEST_FPERIOD_OVERRIDE=FQ","FILING_STATUS=MR","SCALING_FORMAT=MLN","Sort=A","Dates=H","DateFormat=P","Fill=—","Direction=H","UseDPDF=Y")</f>
        <v>—</v>
      </c>
      <c r="G12" s="13" t="str">
        <f>_xll.BDH("BLUE US Equity","ARD_CHANGE_IN_INVENTORIES","FQ2 2019","FQ2 2019","Currency=USD","Period=FQ","BEST_FPERIOD_OVERRIDE=FQ","FILING_STATUS=MR","SCALING_FORMAT=MLN","Sort=A","Dates=H","DateFormat=P","Fill=—","Direction=H","UseDPDF=Y")</f>
        <v>—</v>
      </c>
      <c r="H12" s="13" t="str">
        <f>_xll.BDH("BLUE US Equity","ARD_CHANGE_IN_INVENTORIES","FQ3 2019","FQ3 2019","Currency=USD","Period=FQ","BEST_FPERIOD_OVERRIDE=FQ","FILING_STATUS=MR","SCALING_FORMAT=MLN","Sort=A","Dates=H","DateFormat=P","Fill=—","Direction=H","UseDPDF=Y")</f>
        <v>—</v>
      </c>
      <c r="I12" s="13" t="str">
        <f>_xll.BDH("BLUE US Equity","ARD_CHANGE_IN_INVENTORIES","FQ4 2019","FQ4 2019","Currency=USD","Period=FQ","BEST_FPERIOD_OVERRIDE=FQ","FILING_STATUS=MR","SCALING_FORMAT=MLN","Sort=A","Dates=H","DateFormat=P","Fill=—","Direction=H","UseDPDF=Y")</f>
        <v>—</v>
      </c>
      <c r="J12" s="13" t="str">
        <f>_xll.BDH("BLUE US Equity","ARD_CHANGE_IN_INVENTORIES","FQ1 2020","FQ1 2020","Currency=USD","Period=FQ","BEST_FPERIOD_OVERRIDE=FQ","FILING_STATUS=MR","SCALING_FORMAT=MLN","Sort=A","Dates=H","DateFormat=P","Fill=—","Direction=H","UseDPDF=Y")</f>
        <v>—</v>
      </c>
      <c r="K12" s="13" t="str">
        <f>_xll.BDH("BLUE US Equity","ARD_CHANGE_IN_INVENTORIES","FQ2 2020","FQ2 2020","Currency=USD","Period=FQ","BEST_FPERIOD_OVERRIDE=FQ","FILING_STATUS=MR","SCALING_FORMAT=MLN","Sort=A","Dates=H","DateFormat=P","Fill=—","Direction=H","UseDPDF=Y")</f>
        <v>—</v>
      </c>
      <c r="L12" s="13" t="str">
        <f>_xll.BDH("BLUE US Equity","ARD_CHANGE_IN_INVENTORIES","FQ3 2020","FQ3 2020","Currency=USD","Period=FQ","BEST_FPERIOD_OVERRIDE=FQ","FILING_STATUS=MR","SCALING_FORMAT=MLN","Sort=A","Dates=H","DateFormat=P","Fill=—","Direction=H","UseDPDF=Y")</f>
        <v>—</v>
      </c>
      <c r="M12" s="13" t="str">
        <f>_xll.BDH("BLUE US Equity","ARD_CHANGE_IN_INVENTORIES","FQ4 2020","FQ4 2020","Currency=USD","Period=FQ","BEST_FPERIOD_OVERRIDE=FQ","FILING_STATUS=MR","SCALING_FORMAT=MLN","Sort=A","Dates=H","DateFormat=P","Fill=—","Direction=H","UseDPDF=Y")</f>
        <v>—</v>
      </c>
      <c r="N12" s="13" t="str">
        <f>_xll.BDH("BLUE US Equity","ARD_CHANGE_IN_INVENTORIES","FQ1 2021","FQ1 2021","Currency=USD","Period=FQ","BEST_FPERIOD_OVERRIDE=FQ","FILING_STATUS=MR","SCALING_FORMAT=MLN","Sort=A","Dates=H","DateFormat=P","Fill=—","Direction=H","UseDPDF=Y")</f>
        <v>—</v>
      </c>
      <c r="O12" s="13">
        <f>_xll.BDH("BLUE US Equity","ARD_CHANGE_IN_INVENTORIES","FQ2 2021","FQ2 2021","Currency=USD","Period=FQ","BEST_FPERIOD_OVERRIDE=FQ","FILING_STATUS=MR","SCALING_FORMAT=MLN","Sort=A","Dates=H","DateFormat=P","Fill=—","Direction=H","UseDPDF=Y")</f>
        <v>-17.404</v>
      </c>
      <c r="P12" s="13" t="str">
        <f>_xll.BDH("BLUE US Equity","ARD_CHANGE_IN_INVENTORIES","FQ3 2021","FQ3 2021","Currency=USD","Period=FQ","BEST_FPERIOD_OVERRIDE=FQ","FILING_STATUS=MR","SCALING_FORMAT=MLN","Sort=A","Dates=H","DateFormat=P","Fill=—","Direction=H","UseDPDF=Y")</f>
        <v>—</v>
      </c>
      <c r="Q12" s="13">
        <f>_xll.BDH("BLUE US Equity","ARD_CHANGE_IN_INVENTORIES","FQ4 2021","FQ4 2021","Currency=USD","Period=FQ","BEST_FPERIOD_OVERRIDE=FQ","FILING_STATUS=MR","SCALING_FORMAT=MLN","Sort=A","Dates=H","DateFormat=P","Fill=—","Direction=H","UseDPDF=Y")</f>
        <v>-18.446999999999999</v>
      </c>
      <c r="R12" s="13" t="str">
        <f>_xll.BDH("BLUE US Equity","ARD_CHANGE_IN_INVENTORIES","FQ1 2022","FQ1 2022","Currency=USD","Period=FQ","BEST_FPERIOD_OVERRIDE=FQ","FILING_STATUS=MR","SCALING_FORMAT=MLN","Sort=A","Dates=H","DateFormat=P","Fill=—","Direction=H","UseDPDF=Y")</f>
        <v>—</v>
      </c>
      <c r="S12" s="13" t="str">
        <f>_xll.BDH("BLUE US Equity","ARD_CHANGE_IN_INVENTORIES","FQ2 2022","FQ2 2022","Currency=USD","Period=FQ","BEST_FPERIOD_OVERRIDE=FQ","FILING_STATUS=MR","SCALING_FORMAT=MLN","Sort=A","Dates=H","DateFormat=P","Fill=—","Direction=H","UseDPDF=Y")</f>
        <v>—</v>
      </c>
      <c r="T12" s="13" t="str">
        <f>_xll.BDH("BLUE US Equity","ARD_CHANGE_IN_INVENTORIES","FQ3 2022","FQ3 2022","Currency=USD","Period=FQ","BEST_FPERIOD_OVERRIDE=FQ","FILING_STATUS=MR","SCALING_FORMAT=MLN","Sort=A","Dates=H","DateFormat=P","Fill=—","Direction=H","UseDPDF=Y")</f>
        <v>—</v>
      </c>
      <c r="U12" s="13">
        <f>_xll.BDH("BLUE US Equity","ARD_CHANGE_IN_INVENTORIES","FQ4 2022","FQ4 2022","Currency=USD","Period=FQ","BEST_FPERIOD_OVERRIDE=FQ","FILING_STATUS=MR","SCALING_FORMAT=MLN","Sort=A","Dates=H","DateFormat=P","Fill=—","Direction=H","UseDPDF=Y")</f>
        <v>-7.2270000000000003</v>
      </c>
      <c r="V12" s="13">
        <f>_xll.BDH("BLUE US Equity","ARD_CHANGE_IN_INVENTORIES","FQ1 2023","FQ1 2023","Currency=USD","Period=FQ","BEST_FPERIOD_OVERRIDE=FQ","FILING_STATUS=MR","SCALING_FORMAT=MLN","Sort=A","Dates=H","DateFormat=P","Fill=—","Direction=H","UseDPDF=Y")</f>
        <v>-5.3310000000000004</v>
      </c>
      <c r="W12" s="13">
        <f>_xll.BDH("BLUE US Equity","ARD_CHANGE_IN_INVENTORIES","FQ2 2023","FQ2 2023","Currency=USD","Period=FQ","BEST_FPERIOD_OVERRIDE=FQ","FILING_STATUS=MR","SCALING_FORMAT=MLN","Sort=A","Dates=H","DateFormat=P","Fill=—","Direction=H","UseDPDF=Y")</f>
        <v>-17.599</v>
      </c>
      <c r="X12" s="13">
        <f>_xll.BDH("BLUE US Equity","ARD_CHANGE_IN_INVENTORIES","FQ3 2023","FQ3 2023","Currency=USD","Period=FQ","BEST_FPERIOD_OVERRIDE=FQ","FILING_STATUS=MR","SCALING_FORMAT=MLN","Sort=A","Dates=H","DateFormat=P","Fill=—","Direction=H","UseDPDF=Y")</f>
        <v>-26.196999999999999</v>
      </c>
      <c r="Y12" s="13">
        <f>_xll.BDH("BLUE US Equity","ARD_CHANGE_IN_INVENTORIES","FQ1 2024","FQ1 2024","Currency=USD","Period=FQ","BEST_FPERIOD_OVERRIDE=FQ","FILING_STATUS=MR","SCALING_FORMAT=MLN","Sort=A","Dates=H","DateFormat=P","Fill=—","Direction=H","UseDPDF=Y")</f>
        <v>-7.1849999999999996</v>
      </c>
      <c r="Z12" s="13">
        <f>_xll.BDH("BLUE US Equity","ARD_CHANGE_IN_INVENTORIES","FQ2 2024","FQ2 2024","Currency=USD","Period=FQ","BEST_FPERIOD_OVERRIDE=FQ","FILING_STATUS=MR","SCALING_FORMAT=MLN","Sort=A","Dates=H","DateFormat=P","Fill=—","Direction=H","UseDPDF=Y")</f>
        <v>-15.728999999999999</v>
      </c>
      <c r="AA12" s="13">
        <f>_xll.BDH("BLUE US Equity","ARD_CHANGE_IN_INVENTORIES","FQ3 2024","FQ3 2024","Currency=USD","Period=FQ","BEST_FPERIOD_OVERRIDE=FQ","FILING_STATUS=MR","SCALING_FORMAT=MLN","Sort=A","Dates=H","DateFormat=P","Fill=—","Direction=H","UseDPDF=Y")</f>
        <v>-38.037999999999997</v>
      </c>
    </row>
    <row r="13" spans="1:27" x14ac:dyDescent="0.25">
      <c r="A13" s="10" t="s">
        <v>1176</v>
      </c>
      <c r="B13" s="10" t="s">
        <v>1177</v>
      </c>
      <c r="C13" s="13">
        <f>_xll.BDH("BLUE US Equity","ARD_CHANGE_IN_ACCOUNTS_PAYABLE","FQ2 2018","FQ2 2018","Currency=USD","Period=FQ","BEST_FPERIOD_OVERRIDE=FQ","FILING_STATUS=MR","SCALING_FORMAT=MLN","Sort=A","Dates=H","DateFormat=P","Fill=—","Direction=H","UseDPDF=Y")</f>
        <v>4.0970000000000004</v>
      </c>
      <c r="D13" s="13">
        <f>_xll.BDH("BLUE US Equity","ARD_CHANGE_IN_ACCOUNTS_PAYABLE","FQ3 2018","FQ3 2018","Currency=USD","Period=FQ","BEST_FPERIOD_OVERRIDE=FQ","FILING_STATUS=MR","SCALING_FORMAT=MLN","Sort=A","Dates=H","DateFormat=P","Fill=—","Direction=H","UseDPDF=Y")</f>
        <v>-0.49299999999999999</v>
      </c>
      <c r="E13" s="13">
        <f>_xll.BDH("BLUE US Equity","ARD_CHANGE_IN_ACCOUNTS_PAYABLE","FQ4 2018","FQ4 2018","Currency=USD","Period=FQ","BEST_FPERIOD_OVERRIDE=FQ","FILING_STATUS=MR","SCALING_FORMAT=MLN","Sort=A","Dates=H","DateFormat=P","Fill=—","Direction=H","UseDPDF=Y")</f>
        <v>3.6139999999999999</v>
      </c>
      <c r="F13" s="13">
        <f>_xll.BDH("BLUE US Equity","ARD_CHANGE_IN_ACCOUNTS_PAYABLE","FQ1 2019","FQ1 2019","Currency=USD","Period=FQ","BEST_FPERIOD_OVERRIDE=FQ","FILING_STATUS=MR","SCALING_FORMAT=MLN","Sort=A","Dates=H","DateFormat=P","Fill=—","Direction=H","UseDPDF=Y")</f>
        <v>10.59</v>
      </c>
      <c r="G13" s="13">
        <f>_xll.BDH("BLUE US Equity","ARD_CHANGE_IN_ACCOUNTS_PAYABLE","FQ2 2019","FQ2 2019","Currency=USD","Period=FQ","BEST_FPERIOD_OVERRIDE=FQ","FILING_STATUS=MR","SCALING_FORMAT=MLN","Sort=A","Dates=H","DateFormat=P","Fill=—","Direction=H","UseDPDF=Y")</f>
        <v>6.6520000000000001</v>
      </c>
      <c r="H13" s="13">
        <f>_xll.BDH("BLUE US Equity","ARD_CHANGE_IN_ACCOUNTS_PAYABLE","FQ3 2019","FQ3 2019","Currency=USD","Period=FQ","BEST_FPERIOD_OVERRIDE=FQ","FILING_STATUS=MR","SCALING_FORMAT=MLN","Sort=A","Dates=H","DateFormat=P","Fill=—","Direction=H","UseDPDF=Y")</f>
        <v>23.28</v>
      </c>
      <c r="I13" s="13">
        <f>_xll.BDH("BLUE US Equity","ARD_CHANGE_IN_ACCOUNTS_PAYABLE","FQ4 2019","FQ4 2019","Currency=USD","Period=FQ","BEST_FPERIOD_OVERRIDE=FQ","FILING_STATUS=MR","SCALING_FORMAT=MLN","Sort=A","Dates=H","DateFormat=P","Fill=—","Direction=H","UseDPDF=Y")</f>
        <v>23.6</v>
      </c>
      <c r="J13" s="13">
        <f>_xll.BDH("BLUE US Equity","ARD_CHANGE_IN_ACCOUNTS_PAYABLE","FQ1 2020","FQ1 2020","Currency=USD","Period=FQ","BEST_FPERIOD_OVERRIDE=FQ","FILING_STATUS=MR","SCALING_FORMAT=MLN","Sort=A","Dates=H","DateFormat=P","Fill=—","Direction=H","UseDPDF=Y")</f>
        <v>-9.5190000000000001</v>
      </c>
      <c r="K13" s="13">
        <f>_xll.BDH("BLUE US Equity","ARD_CHANGE_IN_ACCOUNTS_PAYABLE","FQ2 2020","FQ2 2020","Currency=USD","Period=FQ","BEST_FPERIOD_OVERRIDE=FQ","FILING_STATUS=MR","SCALING_FORMAT=MLN","Sort=A","Dates=H","DateFormat=P","Fill=—","Direction=H","UseDPDF=Y")</f>
        <v>-14.042</v>
      </c>
      <c r="L13" s="13">
        <f>_xll.BDH("BLUE US Equity","ARD_CHANGE_IN_ACCOUNTS_PAYABLE","FQ3 2020","FQ3 2020","Currency=USD","Period=FQ","BEST_FPERIOD_OVERRIDE=FQ","FILING_STATUS=MR","SCALING_FORMAT=MLN","Sort=A","Dates=H","DateFormat=P","Fill=—","Direction=H","UseDPDF=Y")</f>
        <v>-15.42</v>
      </c>
      <c r="M13" s="13">
        <f>_xll.BDH("BLUE US Equity","ARD_CHANGE_IN_ACCOUNTS_PAYABLE","FQ4 2020","FQ4 2020","Currency=USD","Period=FQ","BEST_FPERIOD_OVERRIDE=FQ","FILING_STATUS=MR","SCALING_FORMAT=MLN","Sort=A","Dates=H","DateFormat=P","Fill=—","Direction=H","UseDPDF=Y")</f>
        <v>-20.100000000000001</v>
      </c>
      <c r="N13" s="13">
        <f>_xll.BDH("BLUE US Equity","ARD_CHANGE_IN_ACCOUNTS_PAYABLE","FQ1 2021","FQ1 2021","Currency=USD","Period=FQ","BEST_FPERIOD_OVERRIDE=FQ","FILING_STATUS=MR","SCALING_FORMAT=MLN","Sort=A","Dates=H","DateFormat=P","Fill=—","Direction=H","UseDPDF=Y")</f>
        <v>6.7000000000000004E-2</v>
      </c>
      <c r="O13" s="13">
        <f>_xll.BDH("BLUE US Equity","ARD_CHANGE_IN_ACCOUNTS_PAYABLE","FQ2 2021","FQ2 2021","Currency=USD","Period=FQ","BEST_FPERIOD_OVERRIDE=FQ","FILING_STATUS=MR","SCALING_FORMAT=MLN","Sort=A","Dates=H","DateFormat=P","Fill=—","Direction=H","UseDPDF=Y")</f>
        <v>7.4749999999999996</v>
      </c>
      <c r="P13" s="13">
        <f>_xll.BDH("BLUE US Equity","ARD_CHANGE_IN_ACCOUNTS_PAYABLE","FQ3 2021","FQ3 2021","Currency=USD","Period=FQ","BEST_FPERIOD_OVERRIDE=FQ","FILING_STATUS=MR","SCALING_FORMAT=MLN","Sort=A","Dates=H","DateFormat=P","Fill=—","Direction=H","UseDPDF=Y")</f>
        <v>2.004</v>
      </c>
      <c r="Q13" s="13">
        <f>_xll.BDH("BLUE US Equity","ARD_CHANGE_IN_ACCOUNTS_PAYABLE","FQ4 2021","FQ4 2021","Currency=USD","Period=FQ","BEST_FPERIOD_OVERRIDE=FQ","FILING_STATUS=MR","SCALING_FORMAT=MLN","Sort=A","Dates=H","DateFormat=P","Fill=—","Direction=H","UseDPDF=Y")</f>
        <v>9.2859999999999996</v>
      </c>
      <c r="R13" s="13">
        <f>_xll.BDH("BLUE US Equity","ARD_CHANGE_IN_ACCOUNTS_PAYABLE","FQ1 2022","FQ1 2022","Currency=USD","Period=FQ","BEST_FPERIOD_OVERRIDE=FQ","FILING_STATUS=MR","SCALING_FORMAT=MLN","Sort=A","Dates=H","DateFormat=P","Fill=—","Direction=H","UseDPDF=Y")</f>
        <v>2.4670000000000001</v>
      </c>
      <c r="S13" s="13">
        <f>_xll.BDH("BLUE US Equity","ARD_CHANGE_IN_ACCOUNTS_PAYABLE","FQ2 2022","FQ2 2022","Currency=USD","Period=FQ","BEST_FPERIOD_OVERRIDE=FQ","FILING_STATUS=MR","SCALING_FORMAT=MLN","Sort=A","Dates=H","DateFormat=P","Fill=—","Direction=H","UseDPDF=Y")</f>
        <v>-1.175</v>
      </c>
      <c r="T13" s="13">
        <f>_xll.BDH("BLUE US Equity","ARD_CHANGE_IN_ACCOUNTS_PAYABLE","FQ3 2022","FQ3 2022","Currency=USD","Period=FQ","BEST_FPERIOD_OVERRIDE=FQ","FILING_STATUS=MR","SCALING_FORMAT=MLN","Sort=A","Dates=H","DateFormat=P","Fill=—","Direction=H","UseDPDF=Y")</f>
        <v>-7.5519999999999996</v>
      </c>
      <c r="U13" s="13">
        <f>_xll.BDH("BLUE US Equity","ARD_CHANGE_IN_ACCOUNTS_PAYABLE","FQ4 2022","FQ4 2022","Currency=USD","Period=FQ","BEST_FPERIOD_OVERRIDE=FQ","FILING_STATUS=MR","SCALING_FORMAT=MLN","Sort=A","Dates=H","DateFormat=P","Fill=—","Direction=H","UseDPDF=Y")</f>
        <v>-0.92</v>
      </c>
      <c r="V13" s="13">
        <f>_xll.BDH("BLUE US Equity","ARD_CHANGE_IN_ACCOUNTS_PAYABLE","FQ1 2023","FQ1 2023","Currency=USD","Period=FQ","BEST_FPERIOD_OVERRIDE=FQ","FILING_STATUS=MR","SCALING_FORMAT=MLN","Sort=A","Dates=H","DateFormat=P","Fill=—","Direction=H","UseDPDF=Y")</f>
        <v>1.26</v>
      </c>
      <c r="W13" s="13">
        <f>_xll.BDH("BLUE US Equity","ARD_CHANGE_IN_ACCOUNTS_PAYABLE","FQ2 2023","FQ2 2023","Currency=USD","Period=FQ","BEST_FPERIOD_OVERRIDE=FQ","FILING_STATUS=MR","SCALING_FORMAT=MLN","Sort=A","Dates=H","DateFormat=P","Fill=—","Direction=H","UseDPDF=Y")</f>
        <v>-5.6230000000000002</v>
      </c>
      <c r="X13" s="13">
        <f>_xll.BDH("BLUE US Equity","ARD_CHANGE_IN_ACCOUNTS_PAYABLE","FQ3 2023","FQ3 2023","Currency=USD","Period=FQ","BEST_FPERIOD_OVERRIDE=FQ","FILING_STATUS=MR","SCALING_FORMAT=MLN","Sort=A","Dates=H","DateFormat=P","Fill=—","Direction=H","UseDPDF=Y")</f>
        <v>1.712</v>
      </c>
      <c r="Y13" s="13">
        <f>_xll.BDH("BLUE US Equity","ARD_CHANGE_IN_ACCOUNTS_PAYABLE","FQ1 2024","FQ1 2024","Currency=USD","Period=FQ","BEST_FPERIOD_OVERRIDE=FQ","FILING_STATUS=MR","SCALING_FORMAT=MLN","Sort=A","Dates=H","DateFormat=P","Fill=—","Direction=H","UseDPDF=Y")</f>
        <v>1.454</v>
      </c>
      <c r="Z13" s="13">
        <f>_xll.BDH("BLUE US Equity","ARD_CHANGE_IN_ACCOUNTS_PAYABLE","FQ2 2024","FQ2 2024","Currency=USD","Period=FQ","BEST_FPERIOD_OVERRIDE=FQ","FILING_STATUS=MR","SCALING_FORMAT=MLN","Sort=A","Dates=H","DateFormat=P","Fill=—","Direction=H","UseDPDF=Y")</f>
        <v>12.516999999999999</v>
      </c>
      <c r="AA13" s="13">
        <f>_xll.BDH("BLUE US Equity","ARD_CHANGE_IN_ACCOUNTS_PAYABLE","FQ3 2024","FQ3 2024","Currency=USD","Period=FQ","BEST_FPERIOD_OVERRIDE=FQ","FILING_STATUS=MR","SCALING_FORMAT=MLN","Sort=A","Dates=H","DateFormat=P","Fill=—","Direction=H","UseDPDF=Y")</f>
        <v>6.66</v>
      </c>
    </row>
    <row r="14" spans="1:27" x14ac:dyDescent="0.25">
      <c r="A14" s="10" t="s">
        <v>1178</v>
      </c>
      <c r="B14" s="10" t="s">
        <v>1179</v>
      </c>
      <c r="C14" s="13" t="str">
        <f>_xll.BDH("BLUE US Equity","ARD_CHG_IN_ACCOUNTS_RECEIVABLE","FQ2 2018","FQ2 2018","Currency=USD","Period=FQ","BEST_FPERIOD_OVERRIDE=FQ","FILING_STATUS=MR","SCALING_FORMAT=MLN","Sort=A","Dates=H","DateFormat=P","Fill=—","Direction=H","UseDPDF=Y")</f>
        <v>—</v>
      </c>
      <c r="D14" s="13" t="str">
        <f>_xll.BDH("BLUE US Equity","ARD_CHG_IN_ACCOUNTS_RECEIVABLE","FQ3 2018","FQ3 2018","Currency=USD","Period=FQ","BEST_FPERIOD_OVERRIDE=FQ","FILING_STATUS=MR","SCALING_FORMAT=MLN","Sort=A","Dates=H","DateFormat=P","Fill=—","Direction=H","UseDPDF=Y")</f>
        <v>—</v>
      </c>
      <c r="E14" s="13" t="str">
        <f>_xll.BDH("BLUE US Equity","ARD_CHG_IN_ACCOUNTS_RECEIVABLE","FQ4 2018","FQ4 2018","Currency=USD","Period=FQ","BEST_FPERIOD_OVERRIDE=FQ","FILING_STATUS=MR","SCALING_FORMAT=MLN","Sort=A","Dates=H","DateFormat=P","Fill=—","Direction=H","UseDPDF=Y")</f>
        <v>—</v>
      </c>
      <c r="F14" s="13" t="str">
        <f>_xll.BDH("BLUE US Equity","ARD_CHG_IN_ACCOUNTS_RECEIVABLE","FQ1 2019","FQ1 2019","Currency=USD","Period=FQ","BEST_FPERIOD_OVERRIDE=FQ","FILING_STATUS=MR","SCALING_FORMAT=MLN","Sort=A","Dates=H","DateFormat=P","Fill=—","Direction=H","UseDPDF=Y")</f>
        <v>—</v>
      </c>
      <c r="G14" s="13" t="str">
        <f>_xll.BDH("BLUE US Equity","ARD_CHG_IN_ACCOUNTS_RECEIVABLE","FQ2 2019","FQ2 2019","Currency=USD","Period=FQ","BEST_FPERIOD_OVERRIDE=FQ","FILING_STATUS=MR","SCALING_FORMAT=MLN","Sort=A","Dates=H","DateFormat=P","Fill=—","Direction=H","UseDPDF=Y")</f>
        <v>—</v>
      </c>
      <c r="H14" s="13" t="str">
        <f>_xll.BDH("BLUE US Equity","ARD_CHG_IN_ACCOUNTS_RECEIVABLE","FQ3 2019","FQ3 2019","Currency=USD","Period=FQ","BEST_FPERIOD_OVERRIDE=FQ","FILING_STATUS=MR","SCALING_FORMAT=MLN","Sort=A","Dates=H","DateFormat=P","Fill=—","Direction=H","UseDPDF=Y")</f>
        <v>—</v>
      </c>
      <c r="I14" s="13" t="str">
        <f>_xll.BDH("BLUE US Equity","ARD_CHG_IN_ACCOUNTS_RECEIVABLE","FQ4 2019","FQ4 2019","Currency=USD","Period=FQ","BEST_FPERIOD_OVERRIDE=FQ","FILING_STATUS=MR","SCALING_FORMAT=MLN","Sort=A","Dates=H","DateFormat=P","Fill=—","Direction=H","UseDPDF=Y")</f>
        <v>—</v>
      </c>
      <c r="J14" s="13" t="str">
        <f>_xll.BDH("BLUE US Equity","ARD_CHG_IN_ACCOUNTS_RECEIVABLE","FQ1 2020","FQ1 2020","Currency=USD","Period=FQ","BEST_FPERIOD_OVERRIDE=FQ","FILING_STATUS=MR","SCALING_FORMAT=MLN","Sort=A","Dates=H","DateFormat=P","Fill=—","Direction=H","UseDPDF=Y")</f>
        <v>—</v>
      </c>
      <c r="K14" s="13" t="str">
        <f>_xll.BDH("BLUE US Equity","ARD_CHG_IN_ACCOUNTS_RECEIVABLE","FQ2 2020","FQ2 2020","Currency=USD","Period=FQ","BEST_FPERIOD_OVERRIDE=FQ","FILING_STATUS=MR","SCALING_FORMAT=MLN","Sort=A","Dates=H","DateFormat=P","Fill=—","Direction=H","UseDPDF=Y")</f>
        <v>—</v>
      </c>
      <c r="L14" s="13" t="str">
        <f>_xll.BDH("BLUE US Equity","ARD_CHG_IN_ACCOUNTS_RECEIVABLE","FQ3 2020","FQ3 2020","Currency=USD","Period=FQ","BEST_FPERIOD_OVERRIDE=FQ","FILING_STATUS=MR","SCALING_FORMAT=MLN","Sort=A","Dates=H","DateFormat=P","Fill=—","Direction=H","UseDPDF=Y")</f>
        <v>—</v>
      </c>
      <c r="M14" s="13" t="str">
        <f>_xll.BDH("BLUE US Equity","ARD_CHG_IN_ACCOUNTS_RECEIVABLE","FQ4 2020","FQ4 2020","Currency=USD","Period=FQ","BEST_FPERIOD_OVERRIDE=FQ","FILING_STATUS=MR","SCALING_FORMAT=MLN","Sort=A","Dates=H","DateFormat=P","Fill=—","Direction=H","UseDPDF=Y")</f>
        <v>—</v>
      </c>
      <c r="N14" s="13" t="str">
        <f>_xll.BDH("BLUE US Equity","ARD_CHG_IN_ACCOUNTS_RECEIVABLE","FQ1 2021","FQ1 2021","Currency=USD","Period=FQ","BEST_FPERIOD_OVERRIDE=FQ","FILING_STATUS=MR","SCALING_FORMAT=MLN","Sort=A","Dates=H","DateFormat=P","Fill=—","Direction=H","UseDPDF=Y")</f>
        <v>—</v>
      </c>
      <c r="O14" s="13" t="str">
        <f>_xll.BDH("BLUE US Equity","ARD_CHG_IN_ACCOUNTS_RECEIVABLE","FQ2 2021","FQ2 2021","Currency=USD","Period=FQ","BEST_FPERIOD_OVERRIDE=FQ","FILING_STATUS=MR","SCALING_FORMAT=MLN","Sort=A","Dates=H","DateFormat=P","Fill=—","Direction=H","UseDPDF=Y")</f>
        <v>—</v>
      </c>
      <c r="P14" s="13" t="str">
        <f>_xll.BDH("BLUE US Equity","ARD_CHG_IN_ACCOUNTS_RECEIVABLE","FQ3 2021","FQ3 2021","Currency=USD","Period=FQ","BEST_FPERIOD_OVERRIDE=FQ","FILING_STATUS=MR","SCALING_FORMAT=MLN","Sort=A","Dates=H","DateFormat=P","Fill=—","Direction=H","UseDPDF=Y")</f>
        <v>—</v>
      </c>
      <c r="Q14" s="13" t="str">
        <f>_xll.BDH("BLUE US Equity","ARD_CHG_IN_ACCOUNTS_RECEIVABLE","FQ4 2021","FQ4 2021","Currency=USD","Period=FQ","BEST_FPERIOD_OVERRIDE=FQ","FILING_STATUS=MR","SCALING_FORMAT=MLN","Sort=A","Dates=H","DateFormat=P","Fill=—","Direction=H","UseDPDF=Y")</f>
        <v>—</v>
      </c>
      <c r="R14" s="13" t="str">
        <f>_xll.BDH("BLUE US Equity","ARD_CHG_IN_ACCOUNTS_RECEIVABLE","FQ1 2022","FQ1 2022","Currency=USD","Period=FQ","BEST_FPERIOD_OVERRIDE=FQ","FILING_STATUS=MR","SCALING_FORMAT=MLN","Sort=A","Dates=H","DateFormat=P","Fill=—","Direction=H","UseDPDF=Y")</f>
        <v>—</v>
      </c>
      <c r="S14" s="13" t="str">
        <f>_xll.BDH("BLUE US Equity","ARD_CHG_IN_ACCOUNTS_RECEIVABLE","FQ2 2022","FQ2 2022","Currency=USD","Period=FQ","BEST_FPERIOD_OVERRIDE=FQ","FILING_STATUS=MR","SCALING_FORMAT=MLN","Sort=A","Dates=H","DateFormat=P","Fill=—","Direction=H","UseDPDF=Y")</f>
        <v>—</v>
      </c>
      <c r="T14" s="13" t="str">
        <f>_xll.BDH("BLUE US Equity","ARD_CHG_IN_ACCOUNTS_RECEIVABLE","FQ3 2022","FQ3 2022","Currency=USD","Period=FQ","BEST_FPERIOD_OVERRIDE=FQ","FILING_STATUS=MR","SCALING_FORMAT=MLN","Sort=A","Dates=H","DateFormat=P","Fill=—","Direction=H","UseDPDF=Y")</f>
        <v>—</v>
      </c>
      <c r="U14" s="13" t="str">
        <f>_xll.BDH("BLUE US Equity","ARD_CHG_IN_ACCOUNTS_RECEIVABLE","FQ4 2022","FQ4 2022","Currency=USD","Period=FQ","BEST_FPERIOD_OVERRIDE=FQ","FILING_STATUS=MR","SCALING_FORMAT=MLN","Sort=A","Dates=H","DateFormat=P","Fill=—","Direction=H","UseDPDF=Y")</f>
        <v>—</v>
      </c>
      <c r="V14" s="13" t="str">
        <f>_xll.BDH("BLUE US Equity","ARD_CHG_IN_ACCOUNTS_RECEIVABLE","FQ1 2023","FQ1 2023","Currency=USD","Period=FQ","BEST_FPERIOD_OVERRIDE=FQ","FILING_STATUS=MR","SCALING_FORMAT=MLN","Sort=A","Dates=H","DateFormat=P","Fill=—","Direction=H","UseDPDF=Y")</f>
        <v>—</v>
      </c>
      <c r="W14" s="13" t="str">
        <f>_xll.BDH("BLUE US Equity","ARD_CHG_IN_ACCOUNTS_RECEIVABLE","FQ2 2023","FQ2 2023","Currency=USD","Period=FQ","BEST_FPERIOD_OVERRIDE=FQ","FILING_STATUS=MR","SCALING_FORMAT=MLN","Sort=A","Dates=H","DateFormat=P","Fill=—","Direction=H","UseDPDF=Y")</f>
        <v>—</v>
      </c>
      <c r="X14" s="13">
        <f>_xll.BDH("BLUE US Equity","ARD_CHG_IN_ACCOUNTS_RECEIVABLE","FQ3 2023","FQ3 2023","Currency=USD","Period=FQ","BEST_FPERIOD_OVERRIDE=FQ","FILING_STATUS=MR","SCALING_FORMAT=MLN","Sort=A","Dates=H","DateFormat=P","Fill=—","Direction=H","UseDPDF=Y")</f>
        <v>-14.6</v>
      </c>
      <c r="Y14" s="13" t="str">
        <f>_xll.BDH("BLUE US Equity","ARD_CHG_IN_ACCOUNTS_RECEIVABLE","FQ1 2024","FQ1 2024","Currency=USD","Period=FQ","BEST_FPERIOD_OVERRIDE=FQ","FILING_STATUS=MR","SCALING_FORMAT=MLN","Sort=A","Dates=H","DateFormat=P","Fill=—","Direction=H","UseDPDF=Y")</f>
        <v>—</v>
      </c>
      <c r="Z14" s="13" t="str">
        <f>_xll.BDH("BLUE US Equity","ARD_CHG_IN_ACCOUNTS_RECEIVABLE","FQ2 2024","FQ2 2024","Currency=USD","Period=FQ","BEST_FPERIOD_OVERRIDE=FQ","FILING_STATUS=MR","SCALING_FORMAT=MLN","Sort=A","Dates=H","DateFormat=P","Fill=—","Direction=H","UseDPDF=Y")</f>
        <v>—</v>
      </c>
      <c r="AA14" s="13">
        <f>_xll.BDH("BLUE US Equity","ARD_CHG_IN_ACCOUNTS_RECEIVABLE","FQ3 2024","FQ3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1180</v>
      </c>
      <c r="B15" s="10" t="s">
        <v>1181</v>
      </c>
      <c r="C15" s="13">
        <f>_xll.BDH("BLUE US Equity","ARD_CHANGE_IN_PREPAID_EXP","FQ2 2018","FQ2 2018","Currency=USD","Period=FQ","BEST_FPERIOD_OVERRIDE=FQ","FILING_STATUS=MR","SCALING_FORMAT=MLN","Sort=A","Dates=H","DateFormat=P","Fill=—","Direction=H","UseDPDF=Y")</f>
        <v>-3.2789999999999999</v>
      </c>
      <c r="D15" s="13">
        <f>_xll.BDH("BLUE US Equity","ARD_CHANGE_IN_PREPAID_EXP","FQ3 2018","FQ3 2018","Currency=USD","Period=FQ","BEST_FPERIOD_OVERRIDE=FQ","FILING_STATUS=MR","SCALING_FORMAT=MLN","Sort=A","Dates=H","DateFormat=P","Fill=—","Direction=H","UseDPDF=Y")</f>
        <v>-19.013999999999999</v>
      </c>
      <c r="E15" s="13">
        <f>_xll.BDH("BLUE US Equity","ARD_CHANGE_IN_PREPAID_EXP","FQ4 2018","FQ4 2018","Currency=USD","Period=FQ","BEST_FPERIOD_OVERRIDE=FQ","FILING_STATUS=MR","SCALING_FORMAT=MLN","Sort=A","Dates=H","DateFormat=P","Fill=—","Direction=H","UseDPDF=Y")</f>
        <v>-24.288</v>
      </c>
      <c r="F15" s="13">
        <f>_xll.BDH("BLUE US Equity","ARD_CHANGE_IN_PREPAID_EXP","FQ1 2019","FQ1 2019","Currency=USD","Period=FQ","BEST_FPERIOD_OVERRIDE=FQ","FILING_STATUS=MR","SCALING_FORMAT=MLN","Sort=A","Dates=H","DateFormat=P","Fill=—","Direction=H","UseDPDF=Y")</f>
        <v>-12.792999999999999</v>
      </c>
      <c r="G15" s="13">
        <f>_xll.BDH("BLUE US Equity","ARD_CHANGE_IN_PREPAID_EXP","FQ2 2019","FQ2 2019","Currency=USD","Period=FQ","BEST_FPERIOD_OVERRIDE=FQ","FILING_STATUS=MR","SCALING_FORMAT=MLN","Sort=A","Dates=H","DateFormat=P","Fill=—","Direction=H","UseDPDF=Y")</f>
        <v>-20.693999999999999</v>
      </c>
      <c r="H15" s="13">
        <f>_xll.BDH("BLUE US Equity","ARD_CHANGE_IN_PREPAID_EXP","FQ3 2019","FQ3 2019","Currency=USD","Period=FQ","BEST_FPERIOD_OVERRIDE=FQ","FILING_STATUS=MR","SCALING_FORMAT=MLN","Sort=A","Dates=H","DateFormat=P","Fill=—","Direction=H","UseDPDF=Y")</f>
        <v>-10.672000000000001</v>
      </c>
      <c r="I15" s="13">
        <f>_xll.BDH("BLUE US Equity","ARD_CHANGE_IN_PREPAID_EXP","FQ4 2019","FQ4 2019","Currency=USD","Period=FQ","BEST_FPERIOD_OVERRIDE=FQ","FILING_STATUS=MR","SCALING_FORMAT=MLN","Sort=A","Dates=H","DateFormat=P","Fill=—","Direction=H","UseDPDF=Y")</f>
        <v>-13.913</v>
      </c>
      <c r="J15" s="13">
        <f>_xll.BDH("BLUE US Equity","ARD_CHANGE_IN_PREPAID_EXP","FQ1 2020","FQ1 2020","Currency=USD","Period=FQ","BEST_FPERIOD_OVERRIDE=FQ","FILING_STATUS=MR","SCALING_FORMAT=MLN","Sort=A","Dates=H","DateFormat=P","Fill=—","Direction=H","UseDPDF=Y")</f>
        <v>-10.984</v>
      </c>
      <c r="K15" s="13">
        <f>_xll.BDH("BLUE US Equity","ARD_CHANGE_IN_PREPAID_EXP","FQ2 2020","FQ2 2020","Currency=USD","Period=FQ","BEST_FPERIOD_OVERRIDE=FQ","FILING_STATUS=MR","SCALING_FORMAT=MLN","Sort=A","Dates=H","DateFormat=P","Fill=—","Direction=H","UseDPDF=Y")</f>
        <v>-13.813000000000001</v>
      </c>
      <c r="L15" s="13">
        <f>_xll.BDH("BLUE US Equity","ARD_CHANGE_IN_PREPAID_EXP","FQ3 2020","FQ3 2020","Currency=USD","Period=FQ","BEST_FPERIOD_OVERRIDE=FQ","FILING_STATUS=MR","SCALING_FORMAT=MLN","Sort=A","Dates=H","DateFormat=P","Fill=—","Direction=H","UseDPDF=Y")</f>
        <v>-11.916</v>
      </c>
      <c r="M15" s="13">
        <f>_xll.BDH("BLUE US Equity","ARD_CHANGE_IN_PREPAID_EXP","FQ4 2020","FQ4 2020","Currency=USD","Period=FQ","BEST_FPERIOD_OVERRIDE=FQ","FILING_STATUS=MR","SCALING_FORMAT=MLN","Sort=A","Dates=H","DateFormat=P","Fill=—","Direction=H","UseDPDF=Y")</f>
        <v>-10.089</v>
      </c>
      <c r="N15" s="13">
        <f>_xll.BDH("BLUE US Equity","ARD_CHANGE_IN_PREPAID_EXP","FQ1 2021","FQ1 2021","Currency=USD","Period=FQ","BEST_FPERIOD_OVERRIDE=FQ","FILING_STATUS=MR","SCALING_FORMAT=MLN","Sort=A","Dates=H","DateFormat=P","Fill=—","Direction=H","UseDPDF=Y")</f>
        <v>-16.082000000000001</v>
      </c>
      <c r="O15" s="13">
        <f>_xll.BDH("BLUE US Equity","ARD_CHANGE_IN_PREPAID_EXP","FQ2 2021","FQ2 2021","Currency=USD","Period=FQ","BEST_FPERIOD_OVERRIDE=FQ","FILING_STATUS=MR","SCALING_FORMAT=MLN","Sort=A","Dates=H","DateFormat=P","Fill=—","Direction=H","UseDPDF=Y")</f>
        <v>13.923</v>
      </c>
      <c r="P15" s="13">
        <f>_xll.BDH("BLUE US Equity","ARD_CHANGE_IN_PREPAID_EXP","FQ3 2021","FQ3 2021","Currency=USD","Period=FQ","BEST_FPERIOD_OVERRIDE=FQ","FILING_STATUS=MR","SCALING_FORMAT=MLN","Sort=A","Dates=H","DateFormat=P","Fill=—","Direction=H","UseDPDF=Y")</f>
        <v>-15.72</v>
      </c>
      <c r="Q15" s="13">
        <f>_xll.BDH("BLUE US Equity","ARD_CHANGE_IN_PREPAID_EXP","FQ4 2021","FQ4 2021","Currency=USD","Period=FQ","BEST_FPERIOD_OVERRIDE=FQ","FILING_STATUS=MR","SCALING_FORMAT=MLN","Sort=A","Dates=H","DateFormat=P","Fill=—","Direction=H","UseDPDF=Y")</f>
        <v>-5.2889999999999997</v>
      </c>
      <c r="R15" s="13">
        <f>_xll.BDH("BLUE US Equity","ARD_CHANGE_IN_PREPAID_EXP","FQ1 2022","FQ1 2022","Currency=USD","Period=FQ","BEST_FPERIOD_OVERRIDE=FQ","FILING_STATUS=MR","SCALING_FORMAT=MLN","Sort=A","Dates=H","DateFormat=P","Fill=—","Direction=H","UseDPDF=Y")</f>
        <v>-13.058999999999999</v>
      </c>
      <c r="S15" s="13">
        <f>_xll.BDH("BLUE US Equity","ARD_CHANGE_IN_PREPAID_EXP","FQ2 2022","FQ2 2022","Currency=USD","Period=FQ","BEST_FPERIOD_OVERRIDE=FQ","FILING_STATUS=MR","SCALING_FORMAT=MLN","Sort=A","Dates=H","DateFormat=P","Fill=—","Direction=H","UseDPDF=Y")</f>
        <v>-9.6289999999999996</v>
      </c>
      <c r="T15" s="13">
        <f>_xll.BDH("BLUE US Equity","ARD_CHANGE_IN_PREPAID_EXP","FQ3 2022","FQ3 2022","Currency=USD","Period=FQ","BEST_FPERIOD_OVERRIDE=FQ","FILING_STATUS=MR","SCALING_FORMAT=MLN","Sort=A","Dates=H","DateFormat=P","Fill=—","Direction=H","UseDPDF=Y")</f>
        <v>-6.1970000000000001</v>
      </c>
      <c r="U15" s="13">
        <f>_xll.BDH("BLUE US Equity","ARD_CHANGE_IN_PREPAID_EXP","FQ4 2022","FQ4 2022","Currency=USD","Period=FQ","BEST_FPERIOD_OVERRIDE=FQ","FILING_STATUS=MR","SCALING_FORMAT=MLN","Sort=A","Dates=H","DateFormat=P","Fill=—","Direction=H","UseDPDF=Y")</f>
        <v>3.26</v>
      </c>
      <c r="V15" s="13">
        <f>_xll.BDH("BLUE US Equity","ARD_CHANGE_IN_PREPAID_EXP","FQ1 2023","FQ1 2023","Currency=USD","Period=FQ","BEST_FPERIOD_OVERRIDE=FQ","FILING_STATUS=MR","SCALING_FORMAT=MLN","Sort=A","Dates=H","DateFormat=P","Fill=—","Direction=H","UseDPDF=Y")</f>
        <v>-3.6890000000000001</v>
      </c>
      <c r="W15" s="13">
        <f>_xll.BDH("BLUE US Equity","ARD_CHANGE_IN_PREPAID_EXP","FQ2 2023","FQ2 2023","Currency=USD","Period=FQ","BEST_FPERIOD_OVERRIDE=FQ","FILING_STATUS=MR","SCALING_FORMAT=MLN","Sort=A","Dates=H","DateFormat=P","Fill=—","Direction=H","UseDPDF=Y")</f>
        <v>-6.44</v>
      </c>
      <c r="X15" s="13">
        <f>_xll.BDH("BLUE US Equity","ARD_CHANGE_IN_PREPAID_EXP","FQ3 2023","FQ3 2023","Currency=USD","Period=FQ","BEST_FPERIOD_OVERRIDE=FQ","FILING_STATUS=MR","SCALING_FORMAT=MLN","Sort=A","Dates=H","DateFormat=P","Fill=—","Direction=H","UseDPDF=Y")</f>
        <v>2.117</v>
      </c>
      <c r="Y15" s="13">
        <f>_xll.BDH("BLUE US Equity","ARD_CHANGE_IN_PREPAID_EXP","FQ1 2024","FQ1 2024","Currency=USD","Period=FQ","BEST_FPERIOD_OVERRIDE=FQ","FILING_STATUS=MR","SCALING_FORMAT=MLN","Sort=A","Dates=H","DateFormat=P","Fill=—","Direction=H","UseDPDF=Y")</f>
        <v>-13.528</v>
      </c>
      <c r="Z15" s="13">
        <f>_xll.BDH("BLUE US Equity","ARD_CHANGE_IN_PREPAID_EXP","FQ2 2024","FQ2 2024","Currency=USD","Period=FQ","BEST_FPERIOD_OVERRIDE=FQ","FILING_STATUS=MR","SCALING_FORMAT=MLN","Sort=A","Dates=H","DateFormat=P","Fill=—","Direction=H","UseDPDF=Y")</f>
        <v>-35.131</v>
      </c>
      <c r="AA15" s="13">
        <f>_xll.BDH("BLUE US Equity","ARD_CHANGE_IN_PREPAID_EXP","FQ3 2024","FQ3 2024","Currency=USD","Period=FQ","BEST_FPERIOD_OVERRIDE=FQ","FILING_STATUS=MR","SCALING_FORMAT=MLN","Sort=A","Dates=H","DateFormat=P","Fill=—","Direction=H","UseDPDF=Y")</f>
        <v>-47.021999999999998</v>
      </c>
    </row>
    <row r="16" spans="1:27" x14ac:dyDescent="0.25">
      <c r="A16" s="10" t="s">
        <v>1182</v>
      </c>
      <c r="B16" s="10" t="s">
        <v>1183</v>
      </c>
      <c r="C16" s="13">
        <f>_xll.BDH("BLUE US Equity","ARD_CHANGE_IN_ACCRUED_EXP","FQ2 2018","FQ2 2018","Currency=USD","Period=FQ","BEST_FPERIOD_OVERRIDE=FQ","FILING_STATUS=MR","SCALING_FORMAT=MLN","Sort=A","Dates=H","DateFormat=P","Fill=—","Direction=H","UseDPDF=Y")</f>
        <v>9.8620000000000001</v>
      </c>
      <c r="D16" s="13">
        <f>_xll.BDH("BLUE US Equity","ARD_CHANGE_IN_ACCRUED_EXP","FQ3 2018","FQ3 2018","Currency=USD","Period=FQ","BEST_FPERIOD_OVERRIDE=FQ","FILING_STATUS=MR","SCALING_FORMAT=MLN","Sort=A","Dates=H","DateFormat=P","Fill=—","Direction=H","UseDPDF=Y")</f>
        <v>31.466000000000001</v>
      </c>
      <c r="E16" s="13">
        <f>_xll.BDH("BLUE US Equity","ARD_CHANGE_IN_ACCRUED_EXP","FQ4 2018","FQ4 2018","Currency=USD","Period=FQ","BEST_FPERIOD_OVERRIDE=FQ","FILING_STATUS=MR","SCALING_FORMAT=MLN","Sort=A","Dates=H","DateFormat=P","Fill=—","Direction=H","UseDPDF=Y")</f>
        <v>37.832000000000001</v>
      </c>
      <c r="F16" s="13">
        <f>_xll.BDH("BLUE US Equity","ARD_CHANGE_IN_ACCRUED_EXP","FQ1 2019","FQ1 2019","Currency=USD","Period=FQ","BEST_FPERIOD_OVERRIDE=FQ","FILING_STATUS=MR","SCALING_FORMAT=MLN","Sort=A","Dates=H","DateFormat=P","Fill=—","Direction=H","UseDPDF=Y")</f>
        <v>-21.513999999999999</v>
      </c>
      <c r="G16" s="13">
        <f>_xll.BDH("BLUE US Equity","ARD_CHANGE_IN_ACCRUED_EXP","FQ2 2019","FQ2 2019","Currency=USD","Period=FQ","BEST_FPERIOD_OVERRIDE=FQ","FILING_STATUS=MR","SCALING_FORMAT=MLN","Sort=A","Dates=H","DateFormat=P","Fill=—","Direction=H","UseDPDF=Y")</f>
        <v>-9.3010000000000002</v>
      </c>
      <c r="H16" s="13">
        <f>_xll.BDH("BLUE US Equity","ARD_CHANGE_IN_ACCRUED_EXP","FQ3 2019","FQ3 2019","Currency=USD","Period=FQ","BEST_FPERIOD_OVERRIDE=FQ","FILING_STATUS=MR","SCALING_FORMAT=MLN","Sort=A","Dates=H","DateFormat=P","Fill=—","Direction=H","UseDPDF=Y")</f>
        <v>15.26</v>
      </c>
      <c r="I16" s="13">
        <f>_xll.BDH("BLUE US Equity","ARD_CHANGE_IN_ACCRUED_EXP","FQ4 2019","FQ4 2019","Currency=USD","Period=FQ","BEST_FPERIOD_OVERRIDE=FQ","FILING_STATUS=MR","SCALING_FORMAT=MLN","Sort=A","Dates=H","DateFormat=P","Fill=—","Direction=H","UseDPDF=Y")</f>
        <v>46.290999999999997</v>
      </c>
      <c r="J16" s="13">
        <f>_xll.BDH("BLUE US Equity","ARD_CHANGE_IN_ACCRUED_EXP","FQ1 2020","FQ1 2020","Currency=USD","Period=FQ","BEST_FPERIOD_OVERRIDE=FQ","FILING_STATUS=MR","SCALING_FORMAT=MLN","Sort=A","Dates=H","DateFormat=P","Fill=—","Direction=H","UseDPDF=Y")</f>
        <v>-20.556999999999999</v>
      </c>
      <c r="K16" s="13">
        <f>_xll.BDH("BLUE US Equity","ARD_CHANGE_IN_ACCRUED_EXP","FQ2 2020","FQ2 2020","Currency=USD","Period=FQ","BEST_FPERIOD_OVERRIDE=FQ","FILING_STATUS=MR","SCALING_FORMAT=MLN","Sort=A","Dates=H","DateFormat=P","Fill=—","Direction=H","UseDPDF=Y")</f>
        <v>-14.025</v>
      </c>
      <c r="L16" s="13">
        <f>_xll.BDH("BLUE US Equity","ARD_CHANGE_IN_ACCRUED_EXP","FQ3 2020","FQ3 2020","Currency=USD","Period=FQ","BEST_FPERIOD_OVERRIDE=FQ","FILING_STATUS=MR","SCALING_FORMAT=MLN","Sort=A","Dates=H","DateFormat=P","Fill=—","Direction=H","UseDPDF=Y")</f>
        <v>-13.055999999999999</v>
      </c>
      <c r="M16" s="13">
        <f>_xll.BDH("BLUE US Equity","ARD_CHANGE_IN_ACCRUED_EXP","FQ4 2020","FQ4 2020","Currency=USD","Period=FQ","BEST_FPERIOD_OVERRIDE=FQ","FILING_STATUS=MR","SCALING_FORMAT=MLN","Sort=A","Dates=H","DateFormat=P","Fill=—","Direction=H","UseDPDF=Y")</f>
        <v>-4.9820000000000002</v>
      </c>
      <c r="N16" s="13">
        <f>_xll.BDH("BLUE US Equity","ARD_CHANGE_IN_ACCRUED_EXP","FQ1 2021","FQ1 2021","Currency=USD","Period=FQ","BEST_FPERIOD_OVERRIDE=FQ","FILING_STATUS=MR","SCALING_FORMAT=MLN","Sort=A","Dates=H","DateFormat=P","Fill=—","Direction=H","UseDPDF=Y")</f>
        <v>-2.6930000000000001</v>
      </c>
      <c r="O16" s="13">
        <f>_xll.BDH("BLUE US Equity","ARD_CHANGE_IN_ACCRUED_EXP","FQ2 2021","FQ2 2021","Currency=USD","Period=FQ","BEST_FPERIOD_OVERRIDE=FQ","FILING_STATUS=MR","SCALING_FORMAT=MLN","Sort=A","Dates=H","DateFormat=P","Fill=—","Direction=H","UseDPDF=Y")</f>
        <v>20.276</v>
      </c>
      <c r="P16" s="13">
        <f>_xll.BDH("BLUE US Equity","ARD_CHANGE_IN_ACCRUED_EXP","FQ3 2021","FQ3 2021","Currency=USD","Period=FQ","BEST_FPERIOD_OVERRIDE=FQ","FILING_STATUS=MR","SCALING_FORMAT=MLN","Sort=A","Dates=H","DateFormat=P","Fill=—","Direction=H","UseDPDF=Y")</f>
        <v>54.774000000000001</v>
      </c>
      <c r="Q16" s="13">
        <f>_xll.BDH("BLUE US Equity","ARD_CHANGE_IN_ACCRUED_EXP","FQ4 2021","FQ4 2021","Currency=USD","Period=FQ","BEST_FPERIOD_OVERRIDE=FQ","FILING_STATUS=MR","SCALING_FORMAT=MLN","Sort=A","Dates=H","DateFormat=P","Fill=—","Direction=H","UseDPDF=Y")</f>
        <v>40.024999999999999</v>
      </c>
      <c r="R16" s="13">
        <f>_xll.BDH("BLUE US Equity","ARD_CHANGE_IN_ACCRUED_EXP","FQ1 2022","FQ1 2022","Currency=USD","Period=FQ","BEST_FPERIOD_OVERRIDE=FQ","FILING_STATUS=MR","SCALING_FORMAT=MLN","Sort=A","Dates=H","DateFormat=P","Fill=—","Direction=H","UseDPDF=Y")</f>
        <v>-16.561</v>
      </c>
      <c r="S16" s="13">
        <f>_xll.BDH("BLUE US Equity","ARD_CHANGE_IN_ACCRUED_EXP","FQ2 2022","FQ2 2022","Currency=USD","Period=FQ","BEST_FPERIOD_OVERRIDE=FQ","FILING_STATUS=MR","SCALING_FORMAT=MLN","Sort=A","Dates=H","DateFormat=P","Fill=—","Direction=H","UseDPDF=Y")</f>
        <v>-28.565000000000001</v>
      </c>
      <c r="T16" s="13">
        <f>_xll.BDH("BLUE US Equity","ARD_CHANGE_IN_ACCRUED_EXP","FQ3 2022","FQ3 2022","Currency=USD","Period=FQ","BEST_FPERIOD_OVERRIDE=FQ","FILING_STATUS=MR","SCALING_FORMAT=MLN","Sort=A","Dates=H","DateFormat=P","Fill=—","Direction=H","UseDPDF=Y")</f>
        <v>-39.045999999999999</v>
      </c>
      <c r="U16" s="13">
        <f>_xll.BDH("BLUE US Equity","ARD_CHANGE_IN_ACCRUED_EXP","FQ4 2022","FQ4 2022","Currency=USD","Period=FQ","BEST_FPERIOD_OVERRIDE=FQ","FILING_STATUS=MR","SCALING_FORMAT=MLN","Sort=A","Dates=H","DateFormat=P","Fill=—","Direction=H","UseDPDF=Y")</f>
        <v>-51.228000000000002</v>
      </c>
      <c r="V16" s="13">
        <f>_xll.BDH("BLUE US Equity","ARD_CHANGE_IN_ACCRUED_EXP","FQ1 2023","FQ1 2023","Currency=USD","Period=FQ","BEST_FPERIOD_OVERRIDE=FQ","FILING_STATUS=MR","SCALING_FORMAT=MLN","Sort=A","Dates=H","DateFormat=P","Fill=—","Direction=H","UseDPDF=Y")</f>
        <v>-6.2910000000000004</v>
      </c>
      <c r="W16" s="13">
        <f>_xll.BDH("BLUE US Equity","ARD_CHANGE_IN_ACCRUED_EXP","FQ2 2023","FQ2 2023","Currency=USD","Period=FQ","BEST_FPERIOD_OVERRIDE=FQ","FILING_STATUS=MR","SCALING_FORMAT=MLN","Sort=A","Dates=H","DateFormat=P","Fill=—","Direction=H","UseDPDF=Y")</f>
        <v>3.871</v>
      </c>
      <c r="X16" s="13">
        <f>_xll.BDH("BLUE US Equity","ARD_CHANGE_IN_ACCRUED_EXP","FQ3 2023","FQ3 2023","Currency=USD","Period=FQ","BEST_FPERIOD_OVERRIDE=FQ","FILING_STATUS=MR","SCALING_FORMAT=MLN","Sort=A","Dates=H","DateFormat=P","Fill=—","Direction=H","UseDPDF=Y")</f>
        <v>8.9120000000000008</v>
      </c>
      <c r="Y16" s="13">
        <f>_xll.BDH("BLUE US Equity","ARD_CHANGE_IN_ACCRUED_EXP","FQ1 2024","FQ1 2024","Currency=USD","Period=FQ","BEST_FPERIOD_OVERRIDE=FQ","FILING_STATUS=MR","SCALING_FORMAT=MLN","Sort=A","Dates=H","DateFormat=P","Fill=—","Direction=H","UseDPDF=Y")</f>
        <v>-7.3630000000000004</v>
      </c>
      <c r="Z16" s="13">
        <f>_xll.BDH("BLUE US Equity","ARD_CHANGE_IN_ACCRUED_EXP","FQ2 2024","FQ2 2024","Currency=USD","Period=FQ","BEST_FPERIOD_OVERRIDE=FQ","FILING_STATUS=MR","SCALING_FORMAT=MLN","Sort=A","Dates=H","DateFormat=P","Fill=—","Direction=H","UseDPDF=Y")</f>
        <v>-2.4E-2</v>
      </c>
      <c r="AA16" s="13">
        <f>_xll.BDH("BLUE US Equity","ARD_CHANGE_IN_ACCRUED_EXP","FQ3 2024","FQ3 2024","Currency=USD","Period=FQ","BEST_FPERIOD_OVERRIDE=FQ","FILING_STATUS=MR","SCALING_FORMAT=MLN","Sort=A","Dates=H","DateFormat=P","Fill=—","Direction=H","UseDPDF=Y")</f>
        <v>10.996</v>
      </c>
    </row>
    <row r="17" spans="1:27" x14ac:dyDescent="0.25">
      <c r="A17" s="10" t="s">
        <v>1184</v>
      </c>
      <c r="B17" s="10" t="s">
        <v>1185</v>
      </c>
      <c r="C17" s="13">
        <f>_xll.BDH("BLUE US Equity","ARD_TOT_CASH_FLOWS_FROM_OPS","FQ2 2018","FQ2 2018","Currency=USD","Period=FQ","BEST_FPERIOD_OVERRIDE=FQ","FILING_STATUS=MR","SCALING_FORMAT=MLN","Sort=A","Dates=H","DateFormat=P","Fill=—","Direction=H","UseDPDF=Y")</f>
        <v>-209.22200000000001</v>
      </c>
      <c r="D17" s="13">
        <f>_xll.BDH("BLUE US Equity","ARD_TOT_CASH_FLOWS_FROM_OPS","FQ3 2018","FQ3 2018","Currency=USD","Period=FQ","BEST_FPERIOD_OVERRIDE=FQ","FILING_STATUS=MR","SCALING_FORMAT=MLN","Sort=A","Dates=H","DateFormat=P","Fill=—","Direction=H","UseDPDF=Y")</f>
        <v>-283.69499999999999</v>
      </c>
      <c r="E17" s="13">
        <f>_xll.BDH("BLUE US Equity","ARD_TOT_CASH_FLOWS_FROM_OPS","FQ4 2018","FQ4 2018","Currency=USD","Period=FQ","BEST_FPERIOD_OVERRIDE=FQ","FILING_STATUS=MR","SCALING_FORMAT=MLN","Sort=A","Dates=H","DateFormat=P","Fill=—","Direction=H","UseDPDF=Y")</f>
        <v>-413.42599999999999</v>
      </c>
      <c r="F17" s="13">
        <f>_xll.BDH("BLUE US Equity","ARD_TOT_CASH_FLOWS_FROM_OPS","FQ1 2019","FQ1 2019","Currency=USD","Period=FQ","BEST_FPERIOD_OVERRIDE=FQ","FILING_STATUS=MR","SCALING_FORMAT=MLN","Sort=A","Dates=H","DateFormat=P","Fill=—","Direction=H","UseDPDF=Y")</f>
        <v>-154.154</v>
      </c>
      <c r="G17" s="13">
        <f>_xll.BDH("BLUE US Equity","ARD_TOT_CASH_FLOWS_FROM_OPS","FQ2 2019","FQ2 2019","Currency=USD","Period=FQ","BEST_FPERIOD_OVERRIDE=FQ","FILING_STATUS=MR","SCALING_FORMAT=MLN","Sort=A","Dates=H","DateFormat=P","Fill=—","Direction=H","UseDPDF=Y")</f>
        <v>-292.02699999999999</v>
      </c>
      <c r="H17" s="13">
        <f>_xll.BDH("BLUE US Equity","ARD_TOT_CASH_FLOWS_FROM_OPS","FQ3 2019","FQ3 2019","Currency=USD","Period=FQ","BEST_FPERIOD_OVERRIDE=FQ","FILING_STATUS=MR","SCALING_FORMAT=MLN","Sort=A","Dates=H","DateFormat=P","Fill=—","Direction=H","UseDPDF=Y")</f>
        <v>-405.40800000000002</v>
      </c>
      <c r="I17" s="13">
        <f>_xll.BDH("BLUE US Equity","ARD_TOT_CASH_FLOWS_FROM_OPS","FQ4 2019","FQ4 2019","Currency=USD","Period=FQ","BEST_FPERIOD_OVERRIDE=FQ","FILING_STATUS=MR","SCALING_FORMAT=MLN","Sort=A","Dates=H","DateFormat=P","Fill=—","Direction=H","UseDPDF=Y")</f>
        <v>-564.38400000000001</v>
      </c>
      <c r="J17" s="13">
        <f>_xll.BDH("BLUE US Equity","ARD_TOT_CASH_FLOWS_FROM_OPS","FQ1 2020","FQ1 2020","Currency=USD","Period=FQ","BEST_FPERIOD_OVERRIDE=FQ","FILING_STATUS=MR","SCALING_FORMAT=MLN","Sort=A","Dates=H","DateFormat=P","Fill=—","Direction=H","UseDPDF=Y")</f>
        <v>-206.12100000000001</v>
      </c>
      <c r="K17" s="13">
        <f>_xll.BDH("BLUE US Equity","ARD_TOT_CASH_FLOWS_FROM_OPS","FQ2 2020","FQ2 2020","Currency=USD","Period=FQ","BEST_FPERIOD_OVERRIDE=FQ","FILING_STATUS=MR","SCALING_FORMAT=MLN","Sort=A","Dates=H","DateFormat=P","Fill=—","Direction=H","UseDPDF=Y")</f>
        <v>-166.37799999999999</v>
      </c>
      <c r="L17" s="13">
        <f>_xll.BDH("BLUE US Equity","ARD_TOT_CASH_FLOWS_FROM_OPS","FQ3 2020","FQ3 2020","Currency=USD","Period=FQ","BEST_FPERIOD_OVERRIDE=FQ","FILING_STATUS=MR","SCALING_FORMAT=MLN","Sort=A","Dates=H","DateFormat=P","Fill=—","Direction=H","UseDPDF=Y")</f>
        <v>-315.15800000000002</v>
      </c>
      <c r="M17" s="13">
        <f>_xll.BDH("BLUE US Equity","ARD_TOT_CASH_FLOWS_FROM_OPS","FQ4 2020","FQ4 2020","Currency=USD","Period=FQ","BEST_FPERIOD_OVERRIDE=FQ","FILING_STATUS=MR","SCALING_FORMAT=MLN","Sort=A","Dates=H","DateFormat=P","Fill=—","Direction=H","UseDPDF=Y")</f>
        <v>-470.351</v>
      </c>
      <c r="N17" s="13">
        <f>_xll.BDH("BLUE US Equity","ARD_TOT_CASH_FLOWS_FROM_OPS","FQ1 2021","FQ1 2021","Currency=USD","Period=FQ","BEST_FPERIOD_OVERRIDE=FQ","FILING_STATUS=MR","SCALING_FORMAT=MLN","Sort=A","Dates=H","DateFormat=P","Fill=—","Direction=H","UseDPDF=Y")</f>
        <v>-203.327</v>
      </c>
      <c r="O17" s="13">
        <f>_xll.BDH("BLUE US Equity","ARD_TOT_CASH_FLOWS_FROM_OPS","FQ2 2021","FQ2 2021","Currency=USD","Period=FQ","BEST_FPERIOD_OVERRIDE=FQ","FILING_STATUS=MR","SCALING_FORMAT=MLN","Sort=A","Dates=H","DateFormat=P","Fill=—","Direction=H","UseDPDF=Y")</f>
        <v>-348.97500000000002</v>
      </c>
      <c r="P17" s="13">
        <f>_xll.BDH("BLUE US Equity","ARD_TOT_CASH_FLOWS_FROM_OPS","FQ3 2021","FQ3 2021","Currency=USD","Period=FQ","BEST_FPERIOD_OVERRIDE=FQ","FILING_STATUS=MR","SCALING_FORMAT=MLN","Sort=A","Dates=H","DateFormat=P","Fill=—","Direction=H","UseDPDF=Y")</f>
        <v>-495.91399999999999</v>
      </c>
      <c r="Q17" s="13">
        <f>_xll.BDH("BLUE US Equity","ARD_TOT_CASH_FLOWS_FROM_OPS","FQ4 2021","FQ4 2021","Currency=USD","Period=FQ","BEST_FPERIOD_OVERRIDE=FQ","FILING_STATUS=MR","SCALING_FORMAT=MLN","Sort=A","Dates=H","DateFormat=P","Fill=—","Direction=H","UseDPDF=Y")</f>
        <v>-635.63900000000001</v>
      </c>
      <c r="R17" s="13">
        <f>_xll.BDH("BLUE US Equity","ARD_TOT_CASH_FLOWS_FROM_OPS","FQ1 2022","FQ1 2022","Currency=USD","Period=FQ","BEST_FPERIOD_OVERRIDE=FQ","FILING_STATUS=MR","SCALING_FORMAT=MLN","Sort=A","Dates=H","DateFormat=P","Fill=—","Direction=H","UseDPDF=Y")</f>
        <v>-125.29600000000001</v>
      </c>
      <c r="S17" s="13">
        <f>_xll.BDH("BLUE US Equity","ARD_TOT_CASH_FLOWS_FROM_OPS","FQ2 2022","FQ2 2022","Currency=USD","Period=FQ","BEST_FPERIOD_OVERRIDE=FQ","FILING_STATUS=MR","SCALING_FORMAT=MLN","Sort=A","Dates=H","DateFormat=P","Fill=—","Direction=H","UseDPDF=Y")</f>
        <v>-219.654</v>
      </c>
      <c r="T17" s="13">
        <f>_xll.BDH("BLUE US Equity","ARD_TOT_CASH_FLOWS_FROM_OPS","FQ3 2022","FQ3 2022","Currency=USD","Period=FQ","BEST_FPERIOD_OVERRIDE=FQ","FILING_STATUS=MR","SCALING_FORMAT=MLN","Sort=A","Dates=H","DateFormat=P","Fill=—","Direction=H","UseDPDF=Y")</f>
        <v>-296.68</v>
      </c>
      <c r="U17" s="13">
        <f>_xll.BDH("BLUE US Equity","ARD_TOT_CASH_FLOWS_FROM_OPS","FQ4 2022","FQ4 2022","Currency=USD","Period=FQ","BEST_FPERIOD_OVERRIDE=FQ","FILING_STATUS=MR","SCALING_FORMAT=MLN","Sort=A","Dates=H","DateFormat=P","Fill=—","Direction=H","UseDPDF=Y")</f>
        <v>-352.95299999999997</v>
      </c>
      <c r="V17" s="13">
        <f>_xll.BDH("BLUE US Equity","ARD_TOT_CASH_FLOWS_FROM_OPS","FQ1 2023","FQ1 2023","Currency=USD","Period=FQ","BEST_FPERIOD_OVERRIDE=FQ","FILING_STATUS=MR","SCALING_FORMAT=MLN","Sort=A","Dates=H","DateFormat=P","Fill=—","Direction=H","UseDPDF=Y")</f>
        <v>-71.358000000000004</v>
      </c>
      <c r="W17" s="13">
        <f>_xll.BDH("BLUE US Equity","ARD_TOT_CASH_FLOWS_FROM_OPS","FQ2 2023","FQ2 2023","Currency=USD","Period=FQ","BEST_FPERIOD_OVERRIDE=FQ","FILING_STATUS=MR","SCALING_FORMAT=MLN","Sort=A","Dates=H","DateFormat=P","Fill=—","Direction=H","UseDPDF=Y")</f>
        <v>-130.85900000000001</v>
      </c>
      <c r="X17" s="13">
        <f>_xll.BDH("BLUE US Equity","ARD_TOT_CASH_FLOWS_FROM_OPS","FQ3 2023","FQ3 2023","Currency=USD","Period=FQ","BEST_FPERIOD_OVERRIDE=FQ","FILING_STATUS=MR","SCALING_FORMAT=MLN","Sort=A","Dates=H","DateFormat=P","Fill=—","Direction=H","UseDPDF=Y")</f>
        <v>-180.91</v>
      </c>
      <c r="Y17" s="13">
        <f>_xll.BDH("BLUE US Equity","ARD_TOT_CASH_FLOWS_FROM_OPS","FQ1 2024","FQ1 2024","Currency=USD","Period=FQ","BEST_FPERIOD_OVERRIDE=FQ","FILING_STATUS=MR","SCALING_FORMAT=MLN","Sort=A","Dates=H","DateFormat=P","Fill=—","Direction=H","UseDPDF=Y")</f>
        <v>-74.676000000000002</v>
      </c>
      <c r="Z17" s="13">
        <f>_xll.BDH("BLUE US Equity","ARD_TOT_CASH_FLOWS_FROM_OPS","FQ2 2024","FQ2 2024","Currency=USD","Period=FQ","BEST_FPERIOD_OVERRIDE=FQ","FILING_STATUS=MR","SCALING_FORMAT=MLN","Sort=A","Dates=H","DateFormat=P","Fill=—","Direction=H","UseDPDF=Y")</f>
        <v>-140.928</v>
      </c>
      <c r="AA17" s="13">
        <f>_xll.BDH("BLUE US Equity","ARD_TOT_CASH_FLOWS_FROM_OPS","FQ3 2024","FQ3 2024","Currency=USD","Period=FQ","BEST_FPERIOD_OVERRIDE=FQ","FILING_STATUS=MR","SCALING_FORMAT=MLN","Sort=A","Dates=H","DateFormat=P","Fill=—","Direction=H","UseDPDF=Y")</f>
        <v>-209.85599999999999</v>
      </c>
    </row>
    <row r="18" spans="1:27" x14ac:dyDescent="0.25">
      <c r="A18" s="10" t="s">
        <v>1186</v>
      </c>
      <c r="B18" s="10" t="s">
        <v>1187</v>
      </c>
      <c r="C18" s="13" t="str">
        <f>_xll.BDH("BLUE US Equity","ARD_GL_ON_SALE_OF_INV_MKT_SEC","FQ2 2018","FQ2 2018","Currency=USD","Period=FQ","BEST_FPERIOD_OVERRIDE=FQ","FILING_STATUS=MR","SCALING_FORMAT=MLN","Sort=A","Dates=H","DateFormat=P","Fill=—","Direction=H","UseDPDF=Y")</f>
        <v>—</v>
      </c>
      <c r="D18" s="13" t="str">
        <f>_xll.BDH("BLUE US Equity","ARD_GL_ON_SALE_OF_INV_MKT_SEC","FQ3 2018","FQ3 2018","Currency=USD","Period=FQ","BEST_FPERIOD_OVERRIDE=FQ","FILING_STATUS=MR","SCALING_FORMAT=MLN","Sort=A","Dates=H","DateFormat=P","Fill=—","Direction=H","UseDPDF=Y")</f>
        <v>—</v>
      </c>
      <c r="E18" s="13">
        <f>_xll.BDH("BLUE US Equity","ARD_GL_ON_SALE_OF_INV_MKT_SEC","FQ4 2018","FQ4 2018","Currency=USD","Period=FQ","BEST_FPERIOD_OVERRIDE=FQ","FILING_STATUS=MR","SCALING_FORMAT=MLN","Sort=A","Dates=H","DateFormat=P","Fill=—","Direction=H","UseDPDF=Y")</f>
        <v>-2.1539999999999999</v>
      </c>
      <c r="F18" s="13">
        <f>_xll.BDH("BLUE US Equity","ARD_GL_ON_SALE_OF_INV_MKT_SEC","FQ1 2019","FQ1 2019","Currency=USD","Period=FQ","BEST_FPERIOD_OVERRIDE=FQ","FILING_STATUS=MR","SCALING_FORMAT=MLN","Sort=A","Dates=H","DateFormat=P","Fill=—","Direction=H","UseDPDF=Y")</f>
        <v>3.085</v>
      </c>
      <c r="G18" s="13">
        <f>_xll.BDH("BLUE US Equity","ARD_GL_ON_SALE_OF_INV_MKT_SEC","FQ2 2019","FQ2 2019","Currency=USD","Period=FQ","BEST_FPERIOD_OVERRIDE=FQ","FILING_STATUS=MR","SCALING_FORMAT=MLN","Sort=A","Dates=H","DateFormat=P","Fill=—","Direction=H","UseDPDF=Y")</f>
        <v>6.1840000000000002</v>
      </c>
      <c r="H18" s="13">
        <f>_xll.BDH("BLUE US Equity","ARD_GL_ON_SALE_OF_INV_MKT_SEC","FQ3 2019","FQ3 2019","Currency=USD","Period=FQ","BEST_FPERIOD_OVERRIDE=FQ","FILING_STATUS=MR","SCALING_FORMAT=MLN","Sort=A","Dates=H","DateFormat=P","Fill=—","Direction=H","UseDPDF=Y")</f>
        <v>9.7780000000000005</v>
      </c>
      <c r="I18" s="13">
        <f>_xll.BDH("BLUE US Equity","ARD_GL_ON_SALE_OF_INV_MKT_SEC","FQ4 2019","FQ4 2019","Currency=USD","Period=FQ","BEST_FPERIOD_OVERRIDE=FQ","FILING_STATUS=MR","SCALING_FORMAT=MLN","Sort=A","Dates=H","DateFormat=P","Fill=—","Direction=H","UseDPDF=Y")</f>
        <v>9.2970000000000006</v>
      </c>
      <c r="J18" s="13">
        <f>_xll.BDH("BLUE US Equity","ARD_GL_ON_SALE_OF_INV_MKT_SEC","FQ1 2020","FQ1 2020","Currency=USD","Period=FQ","BEST_FPERIOD_OVERRIDE=FQ","FILING_STATUS=MR","SCALING_FORMAT=MLN","Sort=A","Dates=H","DateFormat=P","Fill=—","Direction=H","UseDPDF=Y")</f>
        <v>4.5199999999999996</v>
      </c>
      <c r="K18" s="13">
        <f>_xll.BDH("BLUE US Equity","ARD_GL_ON_SALE_OF_INV_MKT_SEC","FQ2 2020","FQ2 2020","Currency=USD","Period=FQ","BEST_FPERIOD_OVERRIDE=FQ","FILING_STATUS=MR","SCALING_FORMAT=MLN","Sort=A","Dates=H","DateFormat=P","Fill=—","Direction=H","UseDPDF=Y")</f>
        <v>3.343</v>
      </c>
      <c r="L18" s="13">
        <f>_xll.BDH("BLUE US Equity","ARD_GL_ON_SALE_OF_INV_MKT_SEC","FQ3 2020","FQ3 2020","Currency=USD","Period=FQ","BEST_FPERIOD_OVERRIDE=FQ","FILING_STATUS=MR","SCALING_FORMAT=MLN","Sort=A","Dates=H","DateFormat=P","Fill=—","Direction=H","UseDPDF=Y")</f>
        <v>9.0679999999999996</v>
      </c>
      <c r="M18" s="13">
        <f>_xll.BDH("BLUE US Equity","ARD_GL_ON_SALE_OF_INV_MKT_SEC","FQ4 2020","FQ4 2020","Currency=USD","Period=FQ","BEST_FPERIOD_OVERRIDE=FQ","FILING_STATUS=MR","SCALING_FORMAT=MLN","Sort=A","Dates=H","DateFormat=P","Fill=—","Direction=H","UseDPDF=Y")</f>
        <v>7.2169999999999996</v>
      </c>
      <c r="N18" s="13">
        <f>_xll.BDH("BLUE US Equity","ARD_GL_ON_SALE_OF_INV_MKT_SEC","FQ1 2021","FQ1 2021","Currency=USD","Period=FQ","BEST_FPERIOD_OVERRIDE=FQ","FILING_STATUS=MR","SCALING_FORMAT=MLN","Sort=A","Dates=H","DateFormat=P","Fill=—","Direction=H","UseDPDF=Y")</f>
        <v>-28.372</v>
      </c>
      <c r="O18" s="13">
        <f>_xll.BDH("BLUE US Equity","ARD_GL_ON_SALE_OF_INV_MKT_SEC","FQ2 2021","FQ2 2021","Currency=USD","Period=FQ","BEST_FPERIOD_OVERRIDE=FQ","FILING_STATUS=MR","SCALING_FORMAT=MLN","Sort=A","Dates=H","DateFormat=P","Fill=—","Direction=H","UseDPDF=Y")</f>
        <v>-28.286000000000001</v>
      </c>
      <c r="P18" s="13">
        <f>_xll.BDH("BLUE US Equity","ARD_GL_ON_SALE_OF_INV_MKT_SEC","FQ3 2021","FQ3 2021","Currency=USD","Period=FQ","BEST_FPERIOD_OVERRIDE=FQ","FILING_STATUS=MR","SCALING_FORMAT=MLN","Sort=A","Dates=H","DateFormat=P","Fill=—","Direction=H","UseDPDF=Y")</f>
        <v>-28.765000000000001</v>
      </c>
      <c r="Q18" s="13">
        <f>_xll.BDH("BLUE US Equity","ARD_GL_ON_SALE_OF_INV_MKT_SEC","FQ4 2021","FQ4 2021","Currency=USD","Period=FQ","BEST_FPERIOD_OVERRIDE=FQ","FILING_STATUS=MR","SCALING_FORMAT=MLN","Sort=A","Dates=H","DateFormat=P","Fill=—","Direction=H","UseDPDF=Y")</f>
        <v>-29.356000000000002</v>
      </c>
      <c r="R18" s="13">
        <f>_xll.BDH("BLUE US Equity","ARD_GL_ON_SALE_OF_INV_MKT_SEC","FQ1 2022","FQ1 2022","Currency=USD","Period=FQ","BEST_FPERIOD_OVERRIDE=FQ","FILING_STATUS=MR","SCALING_FORMAT=MLN","Sort=A","Dates=H","DateFormat=P","Fill=—","Direction=H","UseDPDF=Y")</f>
        <v>2.508</v>
      </c>
      <c r="S18" s="13">
        <f>_xll.BDH("BLUE US Equity","ARD_GL_ON_SALE_OF_INV_MKT_SEC","FQ2 2022","FQ2 2022","Currency=USD","Period=FQ","BEST_FPERIOD_OVERRIDE=FQ","FILING_STATUS=MR","SCALING_FORMAT=MLN","Sort=A","Dates=H","DateFormat=P","Fill=—","Direction=H","UseDPDF=Y")</f>
        <v>3.1349999999999998</v>
      </c>
      <c r="T18" s="13">
        <f>_xll.BDH("BLUE US Equity","ARD_GL_ON_SALE_OF_INV_MKT_SEC","FQ3 2022","FQ3 2022","Currency=USD","Period=FQ","BEST_FPERIOD_OVERRIDE=FQ","FILING_STATUS=MR","SCALING_FORMAT=MLN","Sort=A","Dates=H","DateFormat=P","Fill=—","Direction=H","UseDPDF=Y")</f>
        <v>3.1349999999999998</v>
      </c>
      <c r="U18" s="13">
        <f>_xll.BDH("BLUE US Equity","ARD_GL_ON_SALE_OF_INV_MKT_SEC","FQ4 2022","FQ4 2022","Currency=USD","Period=FQ","BEST_FPERIOD_OVERRIDE=FQ","FILING_STATUS=MR","SCALING_FORMAT=MLN","Sort=A","Dates=H","DateFormat=P","Fill=—","Direction=H","UseDPDF=Y")</f>
        <v>3.1349999999999998</v>
      </c>
      <c r="V18" s="13" t="str">
        <f>_xll.BDH("BLUE US Equity","ARD_GL_ON_SALE_OF_INV_MKT_SEC","FQ1 2023","FQ1 2023","Currency=USD","Period=FQ","BEST_FPERIOD_OVERRIDE=FQ","FILING_STATUS=MR","SCALING_FORMAT=MLN","Sort=A","Dates=H","DateFormat=P","Fill=—","Direction=H","UseDPDF=Y")</f>
        <v>—</v>
      </c>
      <c r="W18" s="13">
        <f>_xll.BDH("BLUE US Equity","ARD_GL_ON_SALE_OF_INV_MKT_SEC","FQ2 2023","FQ2 2023","Currency=USD","Period=FQ","BEST_FPERIOD_OVERRIDE=FQ","FILING_STATUS=MR","SCALING_FORMAT=MLN","Sort=A","Dates=H","DateFormat=P","Fill=—","Direction=H","UseDPDF=Y")</f>
        <v>-92.93</v>
      </c>
      <c r="X18" s="13" t="str">
        <f>_xll.BDH("BLUE US Equity","ARD_GL_ON_SALE_OF_INV_MKT_SEC","FQ3 2023","FQ3 2023","Currency=USD","Period=FQ","BEST_FPERIOD_OVERRIDE=FQ","FILING_STATUS=MR","SCALING_FORMAT=MLN","Sort=A","Dates=H","DateFormat=P","Fill=—","Direction=H","UseDPDF=Y")</f>
        <v>—</v>
      </c>
      <c r="Y18" s="13">
        <f>_xll.BDH("BLUE US Equity","ARD_GL_ON_SALE_OF_INV_MKT_SEC","FQ1 2024","FQ1 2024","Currency=USD","Period=FQ","BEST_FPERIOD_OVERRIDE=FQ","FILING_STATUS=MR","SCALING_FORMAT=MLN","Sort=A","Dates=H","DateFormat=P","Fill=—","Direction=H","UseDPDF=Y")</f>
        <v>0</v>
      </c>
      <c r="Z18" s="13">
        <f>_xll.BDH("BLUE US Equity","ARD_GL_ON_SALE_OF_INV_MKT_SEC","FQ2 2024","FQ2 2024","Currency=USD","Period=FQ","BEST_FPERIOD_OVERRIDE=FQ","FILING_STATUS=MR","SCALING_FORMAT=MLN","Sort=A","Dates=H","DateFormat=P","Fill=—","Direction=H","UseDPDF=Y")</f>
        <v>0</v>
      </c>
      <c r="AA18" s="13" t="str">
        <f>_xll.BDH("BLUE US Equity","ARD_GL_ON_SALE_OF_INV_MKT_SEC","FQ3 2024","FQ3 2024","Currency=USD","Period=FQ","BEST_FPERIOD_OVERRIDE=FQ","FILING_STATUS=MR","SCALING_FORMAT=MLN","Sort=A","Dates=H","DateFormat=P","Fill=—","Direction=H","UseDPDF=Y")</f>
        <v>—</v>
      </c>
    </row>
    <row r="19" spans="1:27" x14ac:dyDescent="0.25">
      <c r="A19" s="10" t="s">
        <v>1188</v>
      </c>
      <c r="B19" s="10" t="s">
        <v>1189</v>
      </c>
      <c r="C19" s="13">
        <f>_xll.BDH("BLUE US Equity","ARD_CHG_IN_DEFERRED_REV_LT","FQ2 2018","FQ2 2018","Currency=USD","Period=FQ","BEST_FPERIOD_OVERRIDE=FQ","FILING_STATUS=MR","SCALING_FORMAT=MLN","Sort=A","Dates=H","DateFormat=P","Fill=—","Direction=H","UseDPDF=Y")</f>
        <v>-21.588999999999999</v>
      </c>
      <c r="D19" s="13">
        <f>_xll.BDH("BLUE US Equity","ARD_CHG_IN_DEFERRED_REV_LT","FQ3 2018","FQ3 2018","Currency=USD","Period=FQ","BEST_FPERIOD_OVERRIDE=FQ","FILING_STATUS=MR","SCALING_FORMAT=MLN","Sort=A","Dates=H","DateFormat=P","Fill=—","Direction=H","UseDPDF=Y")</f>
        <v>-31.981000000000002</v>
      </c>
      <c r="E19" s="13">
        <f>_xll.BDH("BLUE US Equity","ARD_CHG_IN_DEFERRED_REV_LT","FQ4 2018","FQ4 2018","Currency=USD","Period=FQ","BEST_FPERIOD_OVERRIDE=FQ","FILING_STATUS=MR","SCALING_FORMAT=MLN","Sort=A","Dates=H","DateFormat=P","Fill=—","Direction=H","UseDPDF=Y")</f>
        <v>-41.872</v>
      </c>
      <c r="F19" s="13">
        <f>_xll.BDH("BLUE US Equity","ARD_CHG_IN_DEFERRED_REV_LT","FQ1 2019","FQ1 2019","Currency=USD","Period=FQ","BEST_FPERIOD_OVERRIDE=FQ","FILING_STATUS=MR","SCALING_FORMAT=MLN","Sort=A","Dates=H","DateFormat=P","Fill=—","Direction=H","UseDPDF=Y")</f>
        <v>-8.6720000000000006</v>
      </c>
      <c r="G19" s="13">
        <f>_xll.BDH("BLUE US Equity","ARD_CHG_IN_DEFERRED_REV_LT","FQ2 2019","FQ2 2019","Currency=USD","Period=FQ","BEST_FPERIOD_OVERRIDE=FQ","FILING_STATUS=MR","SCALING_FORMAT=MLN","Sort=A","Dates=H","DateFormat=P","Fill=—","Direction=H","UseDPDF=Y")</f>
        <v>-11.715999999999999</v>
      </c>
      <c r="H19" s="13">
        <f>_xll.BDH("BLUE US Equity","ARD_CHG_IN_DEFERRED_REV_LT","FQ3 2019","FQ3 2019","Currency=USD","Period=FQ","BEST_FPERIOD_OVERRIDE=FQ","FILING_STATUS=MR","SCALING_FORMAT=MLN","Sort=A","Dates=H","DateFormat=P","Fill=—","Direction=H","UseDPDF=Y")</f>
        <v>-14.555999999999999</v>
      </c>
      <c r="I19" s="13">
        <f>_xll.BDH("BLUE US Equity","ARD_CHG_IN_DEFERRED_REV_LT","FQ4 2019","FQ4 2019","Currency=USD","Period=FQ","BEST_FPERIOD_OVERRIDE=FQ","FILING_STATUS=MR","SCALING_FORMAT=MLN","Sort=A","Dates=H","DateFormat=P","Fill=—","Direction=H","UseDPDF=Y")</f>
        <v>-16.673999999999999</v>
      </c>
      <c r="J19" s="13">
        <f>_xll.BDH("BLUE US Equity","ARD_CHG_IN_DEFERRED_REV_LT","FQ1 2020","FQ1 2020","Currency=USD","Period=FQ","BEST_FPERIOD_OVERRIDE=FQ","FILING_STATUS=MR","SCALING_FORMAT=MLN","Sort=A","Dates=H","DateFormat=P","Fill=—","Direction=H","UseDPDF=Y")</f>
        <v>-2.1179999999999999</v>
      </c>
      <c r="K19" s="13">
        <f>_xll.BDH("BLUE US Equity","ARD_CHG_IN_DEFERRED_REV_LT","FQ2 2020","FQ2 2020","Currency=USD","Period=FQ","BEST_FPERIOD_OVERRIDE=FQ","FILING_STATUS=MR","SCALING_FORMAT=MLN","Sort=A","Dates=H","DateFormat=P","Fill=—","Direction=H","UseDPDF=Y")</f>
        <v>11.412000000000001</v>
      </c>
      <c r="L19" s="13">
        <f>_xll.BDH("BLUE US Equity","ARD_CHG_IN_DEFERRED_REV_LT","FQ3 2020","FQ3 2020","Currency=USD","Period=FQ","BEST_FPERIOD_OVERRIDE=FQ","FILING_STATUS=MR","SCALING_FORMAT=MLN","Sort=A","Dates=H","DateFormat=P","Fill=—","Direction=H","UseDPDF=Y")</f>
        <v>8.5579999999999998</v>
      </c>
      <c r="M19" s="13">
        <f>_xll.BDH("BLUE US Equity","ARD_CHG_IN_DEFERRED_REV_LT","FQ4 2020","FQ4 2020","Currency=USD","Period=FQ","BEST_FPERIOD_OVERRIDE=FQ","FILING_STATUS=MR","SCALING_FORMAT=MLN","Sort=A","Dates=H","DateFormat=P","Fill=—","Direction=H","UseDPDF=Y")</f>
        <v>9.8170000000000002</v>
      </c>
      <c r="N19" s="13" t="str">
        <f>_xll.BDH("BLUE US Equity","ARD_CHG_IN_DEFERRED_REV_LT","FQ1 2021","FQ1 2021","Currency=USD","Period=FQ","BEST_FPERIOD_OVERRIDE=FQ","FILING_STATUS=MR","SCALING_FORMAT=MLN","Sort=A","Dates=H","DateFormat=P","Fill=—","Direction=H","UseDPDF=Y")</f>
        <v>—</v>
      </c>
      <c r="O19" s="13">
        <f>_xll.BDH("BLUE US Equity","ARD_CHG_IN_DEFERRED_REV_LT","FQ2 2021","FQ2 2021","Currency=USD","Period=FQ","BEST_FPERIOD_OVERRIDE=FQ","FILING_STATUS=MR","SCALING_FORMAT=MLN","Sort=A","Dates=H","DateFormat=P","Fill=—","Direction=H","UseDPDF=Y")</f>
        <v>0.36699999999999999</v>
      </c>
      <c r="P19" s="13">
        <f>_xll.BDH("BLUE US Equity","ARD_CHG_IN_DEFERRED_REV_LT","FQ3 2021","FQ3 2021","Currency=USD","Period=FQ","BEST_FPERIOD_OVERRIDE=FQ","FILING_STATUS=MR","SCALING_FORMAT=MLN","Sort=A","Dates=H","DateFormat=P","Fill=—","Direction=H","UseDPDF=Y")</f>
        <v>0.21</v>
      </c>
      <c r="Q19" s="13" t="str">
        <f>_xll.BDH("BLUE US Equity","ARD_CHG_IN_DEFERRED_REV_LT","FQ4 2021","FQ4 2021","Currency=USD","Period=FQ","BEST_FPERIOD_OVERRIDE=FQ","FILING_STATUS=MR","SCALING_FORMAT=MLN","Sort=A","Dates=H","DateFormat=P","Fill=—","Direction=H","UseDPDF=Y")</f>
        <v>—</v>
      </c>
      <c r="R19" s="13" t="str">
        <f>_xll.BDH("BLUE US Equity","ARD_CHG_IN_DEFERRED_REV_LT","FQ1 2022","FQ1 2022","Currency=USD","Period=FQ","BEST_FPERIOD_OVERRIDE=FQ","FILING_STATUS=MR","SCALING_FORMAT=MLN","Sort=A","Dates=H","DateFormat=P","Fill=—","Direction=H","UseDPDF=Y")</f>
        <v>—</v>
      </c>
      <c r="S19" s="13" t="str">
        <f>_xll.BDH("BLUE US Equity","ARD_CHG_IN_DEFERRED_REV_LT","FQ2 2022","FQ2 2022","Currency=USD","Period=FQ","BEST_FPERIOD_OVERRIDE=FQ","FILING_STATUS=MR","SCALING_FORMAT=MLN","Sort=A","Dates=H","DateFormat=P","Fill=—","Direction=H","UseDPDF=Y")</f>
        <v>—</v>
      </c>
      <c r="T19" s="13">
        <f>_xll.BDH("BLUE US Equity","ARD_CHG_IN_DEFERRED_REV_LT","FQ3 2022","FQ3 2022","Currency=USD","Period=FQ","BEST_FPERIOD_OVERRIDE=FQ","FILING_STATUS=MR","SCALING_FORMAT=MLN","Sort=A","Dates=H","DateFormat=P","Fill=—","Direction=H","UseDPDF=Y")</f>
        <v>0</v>
      </c>
      <c r="U19" s="13" t="str">
        <f>_xll.BDH("BLUE US Equity","ARD_CHG_IN_DEFERRED_REV_LT","FQ4 2022","FQ4 2022","Currency=USD","Period=FQ","BEST_FPERIOD_OVERRIDE=FQ","FILING_STATUS=MR","SCALING_FORMAT=MLN","Sort=A","Dates=H","DateFormat=P","Fill=—","Direction=H","UseDPDF=Y")</f>
        <v>—</v>
      </c>
      <c r="V19" s="13">
        <f>_xll.BDH("BLUE US Equity","ARD_CHG_IN_DEFERRED_REV_LT","FQ1 2023","FQ1 2023","Currency=USD","Period=FQ","BEST_FPERIOD_OVERRIDE=FQ","FILING_STATUS=MR","SCALING_FORMAT=MLN","Sort=A","Dates=H","DateFormat=P","Fill=—","Direction=H","UseDPDF=Y")</f>
        <v>-8.5000000000000006E-2</v>
      </c>
      <c r="W19" s="13">
        <f>_xll.BDH("BLUE US Equity","ARD_CHG_IN_DEFERRED_REV_LT","FQ2 2023","FQ2 2023","Currency=USD","Period=FQ","BEST_FPERIOD_OVERRIDE=FQ","FILING_STATUS=MR","SCALING_FORMAT=MLN","Sort=A","Dates=H","DateFormat=P","Fill=—","Direction=H","UseDPDF=Y")</f>
        <v>-0.13800000000000001</v>
      </c>
      <c r="X19" s="13">
        <f>_xll.BDH("BLUE US Equity","ARD_CHG_IN_DEFERRED_REV_LT","FQ3 2023","FQ3 2023","Currency=USD","Period=FQ","BEST_FPERIOD_OVERRIDE=FQ","FILING_STATUS=MR","SCALING_FORMAT=MLN","Sort=A","Dates=H","DateFormat=P","Fill=—","Direction=H","UseDPDF=Y")</f>
        <v>-0.248</v>
      </c>
      <c r="Y19" s="13">
        <f>_xll.BDH("BLUE US Equity","ARD_CHG_IN_DEFERRED_REV_LT","FQ1 2024","FQ1 2024","Currency=USD","Period=FQ","BEST_FPERIOD_OVERRIDE=FQ","FILING_STATUS=MR","SCALING_FORMAT=MLN","Sort=A","Dates=H","DateFormat=P","Fill=—","Direction=H","UseDPDF=Y")</f>
        <v>0</v>
      </c>
      <c r="Z19" s="13">
        <f>_xll.BDH("BLUE US Equity","ARD_CHG_IN_DEFERRED_REV_LT","FQ2 2024","FQ2 2024","Currency=USD","Period=FQ","BEST_FPERIOD_OVERRIDE=FQ","FILING_STATUS=MR","SCALING_FORMAT=MLN","Sort=A","Dates=H","DateFormat=P","Fill=—","Direction=H","UseDPDF=Y")</f>
        <v>0</v>
      </c>
      <c r="AA19" s="13">
        <f>_xll.BDH("BLUE US Equity","ARD_CHG_IN_DEFERRED_REV_LT","FQ3 2024","FQ3 2024","Currency=USD","Period=FQ","BEST_FPERIOD_OVERRIDE=FQ","FILING_STATUS=MR","SCALING_FORMAT=MLN","Sort=A","Dates=H","DateFormat=P","Fill=—","Direction=H","UseDPDF=Y")</f>
        <v>0</v>
      </c>
    </row>
    <row r="20" spans="1:27" x14ac:dyDescent="0.25">
      <c r="A20" s="10" t="s">
        <v>1190</v>
      </c>
      <c r="B20" s="10" t="s">
        <v>1191</v>
      </c>
      <c r="C20" s="13" t="str">
        <f>_xll.BDH("BLUE US Equity","ARD_FOREIGN_EXCHANGE_GAIN_LOSS","FQ2 2018","FQ2 2018","Currency=USD","Period=FQ","BEST_FPERIOD_OVERRIDE=FQ","FILING_STATUS=MR","SCALING_FORMAT=MLN","Sort=A","Dates=H","DateFormat=P","Fill=—","Direction=H","UseDPDF=Y")</f>
        <v>—</v>
      </c>
      <c r="D20" s="13" t="str">
        <f>_xll.BDH("BLUE US Equity","ARD_FOREIGN_EXCHANGE_GAIN_LOSS","FQ3 2018","FQ3 2018","Currency=USD","Period=FQ","BEST_FPERIOD_OVERRIDE=FQ","FILING_STATUS=MR","SCALING_FORMAT=MLN","Sort=A","Dates=H","DateFormat=P","Fill=—","Direction=H","UseDPDF=Y")</f>
        <v>—</v>
      </c>
      <c r="E20" s="13" t="str">
        <f>_xll.BDH("BLUE US Equity","ARD_FOREIGN_EXCHANGE_GAIN_LOSS","FQ4 2018","FQ4 2018","Currency=USD","Period=FQ","BEST_FPERIOD_OVERRIDE=FQ","FILING_STATUS=MR","SCALING_FORMAT=MLN","Sort=A","Dates=H","DateFormat=P","Fill=—","Direction=H","UseDPDF=Y")</f>
        <v>—</v>
      </c>
      <c r="F20" s="13" t="str">
        <f>_xll.BDH("BLUE US Equity","ARD_FOREIGN_EXCHANGE_GAIN_LOSS","FQ1 2019","FQ1 2019","Currency=USD","Period=FQ","BEST_FPERIOD_OVERRIDE=FQ","FILING_STATUS=MR","SCALING_FORMAT=MLN","Sort=A","Dates=H","DateFormat=P","Fill=—","Direction=H","UseDPDF=Y")</f>
        <v>—</v>
      </c>
      <c r="G20" s="13" t="str">
        <f>_xll.BDH("BLUE US Equity","ARD_FOREIGN_EXCHANGE_GAIN_LOSS","FQ2 2019","FQ2 2019","Currency=USD","Period=FQ","BEST_FPERIOD_OVERRIDE=FQ","FILING_STATUS=MR","SCALING_FORMAT=MLN","Sort=A","Dates=H","DateFormat=P","Fill=—","Direction=H","UseDPDF=Y")</f>
        <v>—</v>
      </c>
      <c r="H20" s="13" t="str">
        <f>_xll.BDH("BLUE US Equity","ARD_FOREIGN_EXCHANGE_GAIN_LOSS","FQ3 2019","FQ3 2019","Currency=USD","Period=FQ","BEST_FPERIOD_OVERRIDE=FQ","FILING_STATUS=MR","SCALING_FORMAT=MLN","Sort=A","Dates=H","DateFormat=P","Fill=—","Direction=H","UseDPDF=Y")</f>
        <v>—</v>
      </c>
      <c r="I20" s="13" t="str">
        <f>_xll.BDH("BLUE US Equity","ARD_FOREIGN_EXCHANGE_GAIN_LOSS","FQ4 2019","FQ4 2019","Currency=USD","Period=FQ","BEST_FPERIOD_OVERRIDE=FQ","FILING_STATUS=MR","SCALING_FORMAT=MLN","Sort=A","Dates=H","DateFormat=P","Fill=—","Direction=H","UseDPDF=Y")</f>
        <v>—</v>
      </c>
      <c r="J20" s="13" t="str">
        <f>_xll.BDH("BLUE US Equity","ARD_FOREIGN_EXCHANGE_GAIN_LOSS","FQ1 2020","FQ1 2020","Currency=USD","Period=FQ","BEST_FPERIOD_OVERRIDE=FQ","FILING_STATUS=MR","SCALING_FORMAT=MLN","Sort=A","Dates=H","DateFormat=P","Fill=—","Direction=H","UseDPDF=Y")</f>
        <v>—</v>
      </c>
      <c r="K20" s="13" t="str">
        <f>_xll.BDH("BLUE US Equity","ARD_FOREIGN_EXCHANGE_GAIN_LOSS","FQ2 2020","FQ2 2020","Currency=USD","Period=FQ","BEST_FPERIOD_OVERRIDE=FQ","FILING_STATUS=MR","SCALING_FORMAT=MLN","Sort=A","Dates=H","DateFormat=P","Fill=—","Direction=H","UseDPDF=Y")</f>
        <v>—</v>
      </c>
      <c r="L20" s="13" t="str">
        <f>_xll.BDH("BLUE US Equity","ARD_FOREIGN_EXCHANGE_GAIN_LOSS","FQ3 2020","FQ3 2020","Currency=USD","Period=FQ","BEST_FPERIOD_OVERRIDE=FQ","FILING_STATUS=MR","SCALING_FORMAT=MLN","Sort=A","Dates=H","DateFormat=P","Fill=—","Direction=H","UseDPDF=Y")</f>
        <v>—</v>
      </c>
      <c r="M20" s="13" t="str">
        <f>_xll.BDH("BLUE US Equity","ARD_FOREIGN_EXCHANGE_GAIN_LOSS","FQ4 2020","FQ4 2020","Currency=USD","Period=FQ","BEST_FPERIOD_OVERRIDE=FQ","FILING_STATUS=MR","SCALING_FORMAT=MLN","Sort=A","Dates=H","DateFormat=P","Fill=—","Direction=H","UseDPDF=Y")</f>
        <v>—</v>
      </c>
      <c r="N20" s="13" t="str">
        <f>_xll.BDH("BLUE US Equity","ARD_FOREIGN_EXCHANGE_GAIN_LOSS","FQ1 2021","FQ1 2021","Currency=USD","Period=FQ","BEST_FPERIOD_OVERRIDE=FQ","FILING_STATUS=MR","SCALING_FORMAT=MLN","Sort=A","Dates=H","DateFormat=P","Fill=—","Direction=H","UseDPDF=Y")</f>
        <v>—</v>
      </c>
      <c r="O20" s="13" t="str">
        <f>_xll.BDH("BLUE US Equity","ARD_FOREIGN_EXCHANGE_GAIN_LOSS","FQ2 2021","FQ2 2021","Currency=USD","Period=FQ","BEST_FPERIOD_OVERRIDE=FQ","FILING_STATUS=MR","SCALING_FORMAT=MLN","Sort=A","Dates=H","DateFormat=P","Fill=—","Direction=H","UseDPDF=Y")</f>
        <v>—</v>
      </c>
      <c r="P20" s="13" t="str">
        <f>_xll.BDH("BLUE US Equity","ARD_FOREIGN_EXCHANGE_GAIN_LOSS","FQ3 2021","FQ3 2021","Currency=USD","Period=FQ","BEST_FPERIOD_OVERRIDE=FQ","FILING_STATUS=MR","SCALING_FORMAT=MLN","Sort=A","Dates=H","DateFormat=P","Fill=—","Direction=H","UseDPDF=Y")</f>
        <v>—</v>
      </c>
      <c r="Q20" s="13" t="str">
        <f>_xll.BDH("BLUE US Equity","ARD_FOREIGN_EXCHANGE_GAIN_LOSS","FQ4 2021","FQ4 2021","Currency=USD","Period=FQ","BEST_FPERIOD_OVERRIDE=FQ","FILING_STATUS=MR","SCALING_FORMAT=MLN","Sort=A","Dates=H","DateFormat=P","Fill=—","Direction=H","UseDPDF=Y")</f>
        <v>—</v>
      </c>
      <c r="R20" s="13" t="str">
        <f>_xll.BDH("BLUE US Equity","ARD_FOREIGN_EXCHANGE_GAIN_LOSS","FQ1 2022","FQ1 2022","Currency=USD","Period=FQ","BEST_FPERIOD_OVERRIDE=FQ","FILING_STATUS=MR","SCALING_FORMAT=MLN","Sort=A","Dates=H","DateFormat=P","Fill=—","Direction=H","UseDPDF=Y")</f>
        <v>—</v>
      </c>
      <c r="S20" s="13" t="str">
        <f>_xll.BDH("BLUE US Equity","ARD_FOREIGN_EXCHANGE_GAIN_LOSS","FQ2 2022","FQ2 2022","Currency=USD","Period=FQ","BEST_FPERIOD_OVERRIDE=FQ","FILING_STATUS=MR","SCALING_FORMAT=MLN","Sort=A","Dates=H","DateFormat=P","Fill=—","Direction=H","UseDPDF=Y")</f>
        <v>—</v>
      </c>
      <c r="T20" s="13" t="str">
        <f>_xll.BDH("BLUE US Equity","ARD_FOREIGN_EXCHANGE_GAIN_LOSS","FQ3 2022","FQ3 2022","Currency=USD","Period=FQ","BEST_FPERIOD_OVERRIDE=FQ","FILING_STATUS=MR","SCALING_FORMAT=MLN","Sort=A","Dates=H","DateFormat=P","Fill=—","Direction=H","UseDPDF=Y")</f>
        <v>—</v>
      </c>
      <c r="U20" s="13" t="str">
        <f>_xll.BDH("BLUE US Equity","ARD_FOREIGN_EXCHANGE_GAIN_LOSS","FQ4 2022","FQ4 2022","Currency=USD","Period=FQ","BEST_FPERIOD_OVERRIDE=FQ","FILING_STATUS=MR","SCALING_FORMAT=MLN","Sort=A","Dates=H","DateFormat=P","Fill=—","Direction=H","UseDPDF=Y")</f>
        <v>—</v>
      </c>
      <c r="V20" s="13">
        <f>_xll.BDH("BLUE US Equity","ARD_FOREIGN_EXCHANGE_GAIN_LOSS","FQ1 2023","FQ1 2023","Currency=USD","Period=FQ","BEST_FPERIOD_OVERRIDE=FQ","FILING_STATUS=MR","SCALING_FORMAT=MLN","Sort=A","Dates=H","DateFormat=P","Fill=—","Direction=H","UseDPDF=Y")</f>
        <v>-0.108</v>
      </c>
      <c r="W20" s="13">
        <f>_xll.BDH("BLUE US Equity","ARD_FOREIGN_EXCHANGE_GAIN_LOSS","FQ2 2023","FQ2 2023","Currency=USD","Period=FQ","BEST_FPERIOD_OVERRIDE=FQ","FILING_STATUS=MR","SCALING_FORMAT=MLN","Sort=A","Dates=H","DateFormat=P","Fill=—","Direction=H","UseDPDF=Y")</f>
        <v>-0.28100000000000003</v>
      </c>
      <c r="X20" s="13">
        <f>_xll.BDH("BLUE US Equity","ARD_FOREIGN_EXCHANGE_GAIN_LOSS","FQ3 2023","FQ3 2023","Currency=USD","Period=FQ","BEST_FPERIOD_OVERRIDE=FQ","FILING_STATUS=MR","SCALING_FORMAT=MLN","Sort=A","Dates=H","DateFormat=P","Fill=—","Direction=H","UseDPDF=Y")</f>
        <v>-1.0620000000000001</v>
      </c>
      <c r="Y20" s="13">
        <f>_xll.BDH("BLUE US Equity","ARD_FOREIGN_EXCHANGE_GAIN_LOSS","FQ1 2024","FQ1 2024","Currency=USD","Period=FQ","BEST_FPERIOD_OVERRIDE=FQ","FILING_STATUS=MR","SCALING_FORMAT=MLN","Sort=A","Dates=H","DateFormat=P","Fill=—","Direction=H","UseDPDF=Y")</f>
        <v>-0.77700000000000002</v>
      </c>
      <c r="Z20" s="13">
        <f>_xll.BDH("BLUE US Equity","ARD_FOREIGN_EXCHANGE_GAIN_LOSS","FQ2 2024","FQ2 2024","Currency=USD","Period=FQ","BEST_FPERIOD_OVERRIDE=FQ","FILING_STATUS=MR","SCALING_FORMAT=MLN","Sort=A","Dates=H","DateFormat=P","Fill=—","Direction=H","UseDPDF=Y")</f>
        <v>-0.58099999999999996</v>
      </c>
      <c r="AA20" s="13">
        <f>_xll.BDH("BLUE US Equity","ARD_FOREIGN_EXCHANGE_GAIN_LOSS","FQ3 2024","FQ3 2024","Currency=USD","Period=FQ","BEST_FPERIOD_OVERRIDE=FQ","FILING_STATUS=MR","SCALING_FORMAT=MLN","Sort=A","Dates=H","DateFormat=P","Fill=—","Direction=H","UseDPDF=Y")</f>
        <v>-8.5999999999999993E-2</v>
      </c>
    </row>
    <row r="21" spans="1:27" x14ac:dyDescent="0.25">
      <c r="A21" s="10" t="s">
        <v>1192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86</v>
      </c>
      <c r="B22" s="10" t="s">
        <v>1193</v>
      </c>
      <c r="C22" s="13">
        <f>_xll.BDH("BLUE US Equity","ARD_CAPITAL_EXPENDITURES","FQ2 2018","FQ2 2018","Currency=USD","Period=FQ","BEST_FPERIOD_OVERRIDE=FQ","FILING_STATUS=MR","SCALING_FORMAT=MLN","Sort=A","Dates=H","DateFormat=P","Fill=—","Direction=H","UseDPDF=Y")</f>
        <v>-20.689</v>
      </c>
      <c r="D22" s="13">
        <f>_xll.BDH("BLUE US Equity","ARD_CAPITAL_EXPENDITURES","FQ3 2018","FQ3 2018","Currency=USD","Period=FQ","BEST_FPERIOD_OVERRIDE=FQ","FILING_STATUS=MR","SCALING_FORMAT=MLN","Sort=A","Dates=H","DateFormat=P","Fill=—","Direction=H","UseDPDF=Y")</f>
        <v>-42.844000000000001</v>
      </c>
      <c r="E22" s="13">
        <f>_xll.BDH("BLUE US Equity","ARD_CAPITAL_EXPENDITURES","FQ4 2018","FQ4 2018","Currency=USD","Period=FQ","BEST_FPERIOD_OVERRIDE=FQ","FILING_STATUS=MR","SCALING_FORMAT=MLN","Sort=A","Dates=H","DateFormat=P","Fill=—","Direction=H","UseDPDF=Y")</f>
        <v>-55.737000000000002</v>
      </c>
      <c r="F22" s="13">
        <f>_xll.BDH("BLUE US Equity","ARD_CAPITAL_EXPENDITURES","FQ1 2019","FQ1 2019","Currency=USD","Period=FQ","BEST_FPERIOD_OVERRIDE=FQ","FILING_STATUS=MR","SCALING_FORMAT=MLN","Sort=A","Dates=H","DateFormat=P","Fill=—","Direction=H","UseDPDF=Y")</f>
        <v>-19.321000000000002</v>
      </c>
      <c r="G22" s="13">
        <f>_xll.BDH("BLUE US Equity","ARD_CAPITAL_EXPENDITURES","FQ2 2019","FQ2 2019","Currency=USD","Period=FQ","BEST_FPERIOD_OVERRIDE=FQ","FILING_STATUS=MR","SCALING_FORMAT=MLN","Sort=A","Dates=H","DateFormat=P","Fill=—","Direction=H","UseDPDF=Y")</f>
        <v>-37.924999999999997</v>
      </c>
      <c r="H22" s="13">
        <f>_xll.BDH("BLUE US Equity","ARD_CAPITAL_EXPENDITURES","FQ3 2019","FQ3 2019","Currency=USD","Period=FQ","BEST_FPERIOD_OVERRIDE=FQ","FILING_STATUS=MR","SCALING_FORMAT=MLN","Sort=A","Dates=H","DateFormat=P","Fill=—","Direction=H","UseDPDF=Y")</f>
        <v>-58.637999999999998</v>
      </c>
      <c r="I22" s="13">
        <f>_xll.BDH("BLUE US Equity","ARD_CAPITAL_EXPENDITURES","FQ4 2019","FQ4 2019","Currency=USD","Period=FQ","BEST_FPERIOD_OVERRIDE=FQ","FILING_STATUS=MR","SCALING_FORMAT=MLN","Sort=A","Dates=H","DateFormat=P","Fill=—","Direction=H","UseDPDF=Y")</f>
        <v>-71.028000000000006</v>
      </c>
      <c r="J22" s="13">
        <f>_xll.BDH("BLUE US Equity","ARD_CAPITAL_EXPENDITURES","FQ1 2020","FQ1 2020","Currency=USD","Period=FQ","BEST_FPERIOD_OVERRIDE=FQ","FILING_STATUS=MR","SCALING_FORMAT=MLN","Sort=A","Dates=H","DateFormat=P","Fill=—","Direction=H","UseDPDF=Y")</f>
        <v>-10.676</v>
      </c>
      <c r="K22" s="13">
        <f>_xll.BDH("BLUE US Equity","ARD_CAPITAL_EXPENDITURES","FQ2 2020","FQ2 2020","Currency=USD","Period=FQ","BEST_FPERIOD_OVERRIDE=FQ","FILING_STATUS=MR","SCALING_FORMAT=MLN","Sort=A","Dates=H","DateFormat=P","Fill=—","Direction=H","UseDPDF=Y")</f>
        <v>-15.478</v>
      </c>
      <c r="L22" s="13">
        <f>_xll.BDH("BLUE US Equity","ARD_CAPITAL_EXPENDITURES","FQ3 2020","FQ3 2020","Currency=USD","Period=FQ","BEST_FPERIOD_OVERRIDE=FQ","FILING_STATUS=MR","SCALING_FORMAT=MLN","Sort=A","Dates=H","DateFormat=P","Fill=—","Direction=H","UseDPDF=Y")</f>
        <v>-21.097999999999999</v>
      </c>
      <c r="M22" s="13">
        <f>_xll.BDH("BLUE US Equity","ARD_CAPITAL_EXPENDITURES","FQ4 2020","FQ4 2020","Currency=USD","Period=FQ","BEST_FPERIOD_OVERRIDE=FQ","FILING_STATUS=MR","SCALING_FORMAT=MLN","Sort=A","Dates=H","DateFormat=P","Fill=—","Direction=H","UseDPDF=Y")</f>
        <v>-28.986000000000001</v>
      </c>
      <c r="N22" s="13">
        <f>_xll.BDH("BLUE US Equity","ARD_CAPITAL_EXPENDITURES","FQ1 2021","FQ1 2021","Currency=USD","Period=FQ","BEST_FPERIOD_OVERRIDE=FQ","FILING_STATUS=MR","SCALING_FORMAT=MLN","Sort=A","Dates=H","DateFormat=P","Fill=—","Direction=H","UseDPDF=Y")</f>
        <v>-7.6260000000000003</v>
      </c>
      <c r="O22" s="13">
        <f>_xll.BDH("BLUE US Equity","ARD_CAPITAL_EXPENDITURES","FQ2 2021","FQ2 2021","Currency=USD","Period=FQ","BEST_FPERIOD_OVERRIDE=FQ","FILING_STATUS=MR","SCALING_FORMAT=MLN","Sort=A","Dates=H","DateFormat=P","Fill=—","Direction=H","UseDPDF=Y")</f>
        <v>-9.2040000000000006</v>
      </c>
      <c r="P22" s="13">
        <f>_xll.BDH("BLUE US Equity","ARD_CAPITAL_EXPENDITURES","FQ3 2021","FQ3 2021","Currency=USD","Period=FQ","BEST_FPERIOD_OVERRIDE=FQ","FILING_STATUS=MR","SCALING_FORMAT=MLN","Sort=A","Dates=H","DateFormat=P","Fill=—","Direction=H","UseDPDF=Y")</f>
        <v>-12.944000000000001</v>
      </c>
      <c r="Q22" s="13">
        <f>_xll.BDH("BLUE US Equity","ARD_CAPITAL_EXPENDITURES","FQ4 2021","FQ4 2021","Currency=USD","Period=FQ","BEST_FPERIOD_OVERRIDE=FQ","FILING_STATUS=MR","SCALING_FORMAT=MLN","Sort=A","Dates=H","DateFormat=P","Fill=—","Direction=H","UseDPDF=Y")</f>
        <v>-14.503</v>
      </c>
      <c r="R22" s="13">
        <f>_xll.BDH("BLUE US Equity","ARD_CAPITAL_EXPENDITURES","FQ1 2022","FQ1 2022","Currency=USD","Period=FQ","BEST_FPERIOD_OVERRIDE=FQ","FILING_STATUS=MR","SCALING_FORMAT=MLN","Sort=A","Dates=H","DateFormat=P","Fill=—","Direction=H","UseDPDF=Y")</f>
        <v>-0.85699999999999998</v>
      </c>
      <c r="S22" s="13">
        <f>_xll.BDH("BLUE US Equity","ARD_CAPITAL_EXPENDITURES","FQ2 2022","FQ2 2022","Currency=USD","Period=FQ","BEST_FPERIOD_OVERRIDE=FQ","FILING_STATUS=MR","SCALING_FORMAT=MLN","Sort=A","Dates=H","DateFormat=P","Fill=—","Direction=H","UseDPDF=Y")</f>
        <v>-6.8360000000000003</v>
      </c>
      <c r="T22" s="13">
        <f>_xll.BDH("BLUE US Equity","ARD_CAPITAL_EXPENDITURES","FQ3 2022","FQ3 2022","Currency=USD","Period=FQ","BEST_FPERIOD_OVERRIDE=FQ","FILING_STATUS=MR","SCALING_FORMAT=MLN","Sort=A","Dates=H","DateFormat=P","Fill=—","Direction=H","UseDPDF=Y")</f>
        <v>-8.1</v>
      </c>
      <c r="U22" s="13">
        <f>_xll.BDH("BLUE US Equity","ARD_CAPITAL_EXPENDITURES","FQ4 2022","FQ4 2022","Currency=USD","Period=FQ","BEST_FPERIOD_OVERRIDE=FQ","FILING_STATUS=MR","SCALING_FORMAT=MLN","Sort=A","Dates=H","DateFormat=P","Fill=—","Direction=H","UseDPDF=Y")</f>
        <v>-8.2080000000000002</v>
      </c>
      <c r="V22" s="13">
        <f>_xll.BDH("BLUE US Equity","ARD_CAPITAL_EXPENDITURES","FQ1 2023","FQ1 2023","Currency=USD","Period=FQ","BEST_FPERIOD_OVERRIDE=FQ","FILING_STATUS=MR","SCALING_FORMAT=MLN","Sort=A","Dates=H","DateFormat=P","Fill=—","Direction=H","UseDPDF=Y")</f>
        <v>-0.23200000000000001</v>
      </c>
      <c r="W22" s="13">
        <f>_xll.BDH("BLUE US Equity","ARD_CAPITAL_EXPENDITURES","FQ2 2023","FQ2 2023","Currency=USD","Period=FQ","BEST_FPERIOD_OVERRIDE=FQ","FILING_STATUS=MR","SCALING_FORMAT=MLN","Sort=A","Dates=H","DateFormat=P","Fill=—","Direction=H","UseDPDF=Y")</f>
        <v>-0.93700000000000006</v>
      </c>
      <c r="X22" s="13">
        <f>_xll.BDH("BLUE US Equity","ARD_CAPITAL_EXPENDITURES","FQ3 2023","FQ3 2023","Currency=USD","Period=FQ","BEST_FPERIOD_OVERRIDE=FQ","FILING_STATUS=MR","SCALING_FORMAT=MLN","Sort=A","Dates=H","DateFormat=P","Fill=—","Direction=H","UseDPDF=Y")</f>
        <v>-2.9750000000000001</v>
      </c>
      <c r="Y22" s="13">
        <f>_xll.BDH("BLUE US Equity","ARD_CAPITAL_EXPENDITURES","FQ1 2024","FQ1 2024","Currency=USD","Period=FQ","BEST_FPERIOD_OVERRIDE=FQ","FILING_STATUS=MR","SCALING_FORMAT=MLN","Sort=A","Dates=H","DateFormat=P","Fill=—","Direction=H","UseDPDF=Y")</f>
        <v>-1.7749999999999999</v>
      </c>
      <c r="Z22" s="13">
        <f>_xll.BDH("BLUE US Equity","ARD_CAPITAL_EXPENDITURES","FQ2 2024","FQ2 2024","Currency=USD","Period=FQ","BEST_FPERIOD_OVERRIDE=FQ","FILING_STATUS=MR","SCALING_FORMAT=MLN","Sort=A","Dates=H","DateFormat=P","Fill=—","Direction=H","UseDPDF=Y")</f>
        <v>-1.8340000000000001</v>
      </c>
      <c r="AA22" s="13">
        <f>_xll.BDH("BLUE US Equity","ARD_CAPITAL_EXPENDITURES","FQ3 2024","FQ3 2024","Currency=USD","Period=FQ","BEST_FPERIOD_OVERRIDE=FQ","FILING_STATUS=MR","SCALING_FORMAT=MLN","Sort=A","Dates=H","DateFormat=P","Fill=—","Direction=H","UseDPDF=Y")</f>
        <v>-2.1139999999999999</v>
      </c>
    </row>
    <row r="23" spans="1:27" x14ac:dyDescent="0.25">
      <c r="A23" s="10" t="s">
        <v>1194</v>
      </c>
      <c r="B23" s="10" t="s">
        <v>1195</v>
      </c>
      <c r="C23" s="13" t="str">
        <f>_xll.BDH("BLUE US Equity","ARD_OTHER_INVESTING_ACTIVITIES","FQ2 2018","FQ2 2018","Currency=USD","Period=FQ","BEST_FPERIOD_OVERRIDE=FQ","FILING_STATUS=MR","SCALING_FORMAT=MLN","Sort=A","Dates=H","DateFormat=P","Fill=—","Direction=H","UseDPDF=Y")</f>
        <v>—</v>
      </c>
      <c r="D23" s="13">
        <f>_xll.BDH("BLUE US Equity","ARD_OTHER_INVESTING_ACTIVITIES","FQ3 2018","FQ3 2018","Currency=USD","Period=FQ","BEST_FPERIOD_OVERRIDE=FQ","FILING_STATUS=MR","SCALING_FORMAT=MLN","Sort=A","Dates=H","DateFormat=P","Fill=—","Direction=H","UseDPDF=Y")</f>
        <v>-20.016999999999999</v>
      </c>
      <c r="E23" s="13" t="str">
        <f>_xll.BDH("BLUE US Equity","ARD_OTHER_INVESTING_ACTIVITIES","FQ4 2018","FQ4 2018","Currency=USD","Period=FQ","BEST_FPERIOD_OVERRIDE=FQ","FILING_STATUS=MR","SCALING_FORMAT=MLN","Sort=A","Dates=H","DateFormat=P","Fill=—","Direction=H","UseDPDF=Y")</f>
        <v>—</v>
      </c>
      <c r="F23" s="13" t="str">
        <f>_xll.BDH("BLUE US Equity","ARD_OTHER_INVESTING_ACTIVITIES","FQ1 2019","FQ1 2019","Currency=USD","Period=FQ","BEST_FPERIOD_OVERRIDE=FQ","FILING_STATUS=MR","SCALING_FORMAT=MLN","Sort=A","Dates=H","DateFormat=P","Fill=—","Direction=H","UseDPDF=Y")</f>
        <v>—</v>
      </c>
      <c r="G23" s="13" t="str">
        <f>_xll.BDH("BLUE US Equity","ARD_OTHER_INVESTING_ACTIVITIES","FQ2 2019","FQ2 2019","Currency=USD","Period=FQ","BEST_FPERIOD_OVERRIDE=FQ","FILING_STATUS=MR","SCALING_FORMAT=MLN","Sort=A","Dates=H","DateFormat=P","Fill=—","Direction=H","UseDPDF=Y")</f>
        <v>—</v>
      </c>
      <c r="H23" s="13">
        <f>_xll.BDH("BLUE US Equity","ARD_OTHER_INVESTING_ACTIVITIES","FQ3 2019","FQ3 2019","Currency=USD","Period=FQ","BEST_FPERIOD_OVERRIDE=FQ","FILING_STATUS=MR","SCALING_FORMAT=MLN","Sort=A","Dates=H","DateFormat=P","Fill=—","Direction=H","UseDPDF=Y")</f>
        <v>0</v>
      </c>
      <c r="I23" s="13" t="str">
        <f>_xll.BDH("BLUE US Equity","ARD_OTHER_INVESTING_ACTIVITIES","FQ4 2019","FQ4 2019","Currency=USD","Period=FQ","BEST_FPERIOD_OVERRIDE=FQ","FILING_STATUS=MR","SCALING_FORMAT=MLN","Sort=A","Dates=H","DateFormat=P","Fill=—","Direction=H","UseDPDF=Y")</f>
        <v>—</v>
      </c>
      <c r="J23" s="13" t="str">
        <f>_xll.BDH("BLUE US Equity","ARD_OTHER_INVESTING_ACTIVITIES","FQ1 2020","FQ1 2020","Currency=USD","Period=FQ","BEST_FPERIOD_OVERRIDE=FQ","FILING_STATUS=MR","SCALING_FORMAT=MLN","Sort=A","Dates=H","DateFormat=P","Fill=—","Direction=H","UseDPDF=Y")</f>
        <v>—</v>
      </c>
      <c r="K23" s="13">
        <f>_xll.BDH("BLUE US Equity","ARD_OTHER_INVESTING_ACTIVITIES","FQ2 2020","FQ2 2020","Currency=USD","Period=FQ","BEST_FPERIOD_OVERRIDE=FQ","FILING_STATUS=MR","SCALING_FORMAT=MLN","Sort=A","Dates=H","DateFormat=P","Fill=—","Direction=H","UseDPDF=Y")</f>
        <v>29.878</v>
      </c>
      <c r="L23" s="13">
        <f>_xll.BDH("BLUE US Equity","ARD_OTHER_INVESTING_ACTIVITIES","FQ3 2020","FQ3 2020","Currency=USD","Period=FQ","BEST_FPERIOD_OVERRIDE=FQ","FILING_STATUS=MR","SCALING_FORMAT=MLN","Sort=A","Dates=H","DateFormat=P","Fill=—","Direction=H","UseDPDF=Y")</f>
        <v>29.878</v>
      </c>
      <c r="M23" s="13" t="str">
        <f>_xll.BDH("BLUE US Equity","ARD_OTHER_INVESTING_ACTIVITIES","FQ4 2020","FQ4 2020","Currency=USD","Period=FQ","BEST_FPERIOD_OVERRIDE=FQ","FILING_STATUS=MR","SCALING_FORMAT=MLN","Sort=A","Dates=H","DateFormat=P","Fill=—","Direction=H","UseDPDF=Y")</f>
        <v>—</v>
      </c>
      <c r="N23" s="13" t="str">
        <f>_xll.BDH("BLUE US Equity","ARD_OTHER_INVESTING_ACTIVITIES","FQ1 2021","FQ1 2021","Currency=USD","Period=FQ","BEST_FPERIOD_OVERRIDE=FQ","FILING_STATUS=MR","SCALING_FORMAT=MLN","Sort=A","Dates=H","DateFormat=P","Fill=—","Direction=H","UseDPDF=Y")</f>
        <v>—</v>
      </c>
      <c r="O23" s="13" t="str">
        <f>_xll.BDH("BLUE US Equity","ARD_OTHER_INVESTING_ACTIVITIES","FQ2 2021","FQ2 2021","Currency=USD","Period=FQ","BEST_FPERIOD_OVERRIDE=FQ","FILING_STATUS=MR","SCALING_FORMAT=MLN","Sort=A","Dates=H","DateFormat=P","Fill=—","Direction=H","UseDPDF=Y")</f>
        <v>—</v>
      </c>
      <c r="P23" s="13" t="str">
        <f>_xll.BDH("BLUE US Equity","ARD_OTHER_INVESTING_ACTIVITIES","FQ3 2021","FQ3 2021","Currency=USD","Period=FQ","BEST_FPERIOD_OVERRIDE=FQ","FILING_STATUS=MR","SCALING_FORMAT=MLN","Sort=A","Dates=H","DateFormat=P","Fill=—","Direction=H","UseDPDF=Y")</f>
        <v>—</v>
      </c>
      <c r="Q23" s="13" t="str">
        <f>_xll.BDH("BLUE US Equity","ARD_OTHER_INVESTING_ACTIVITIES","FQ4 2021","FQ4 2021","Currency=USD","Period=FQ","BEST_FPERIOD_OVERRIDE=FQ","FILING_STATUS=MR","SCALING_FORMAT=MLN","Sort=A","Dates=H","DateFormat=P","Fill=—","Direction=H","UseDPDF=Y")</f>
        <v>—</v>
      </c>
      <c r="R23" s="13" t="str">
        <f>_xll.BDH("BLUE US Equity","ARD_OTHER_INVESTING_ACTIVITIES","FQ1 2022","FQ1 2022","Currency=USD","Period=FQ","BEST_FPERIOD_OVERRIDE=FQ","FILING_STATUS=MR","SCALING_FORMAT=MLN","Sort=A","Dates=H","DateFormat=P","Fill=—","Direction=H","UseDPDF=Y")</f>
        <v>—</v>
      </c>
      <c r="S23" s="13" t="str">
        <f>_xll.BDH("BLUE US Equity","ARD_OTHER_INVESTING_ACTIVITIES","FQ2 2022","FQ2 2022","Currency=USD","Period=FQ","BEST_FPERIOD_OVERRIDE=FQ","FILING_STATUS=MR","SCALING_FORMAT=MLN","Sort=A","Dates=H","DateFormat=P","Fill=—","Direction=H","UseDPDF=Y")</f>
        <v>—</v>
      </c>
      <c r="T23" s="13" t="str">
        <f>_xll.BDH("BLUE US Equity","ARD_OTHER_INVESTING_ACTIVITIES","FQ3 2022","FQ3 2022","Currency=USD","Period=FQ","BEST_FPERIOD_OVERRIDE=FQ","FILING_STATUS=MR","SCALING_FORMAT=MLN","Sort=A","Dates=H","DateFormat=P","Fill=—","Direction=H","UseDPDF=Y")</f>
        <v>—</v>
      </c>
      <c r="U23" s="13">
        <f>_xll.BDH("BLUE US Equity","ARD_OTHER_INVESTING_ACTIVITIES","FQ4 2022","FQ4 2022","Currency=USD","Period=FQ","BEST_FPERIOD_OVERRIDE=FQ","FILING_STATUS=MR","SCALING_FORMAT=MLN","Sort=A","Dates=H","DateFormat=P","Fill=—","Direction=H","UseDPDF=Y")</f>
        <v>102</v>
      </c>
      <c r="V23" s="13">
        <f>_xll.BDH("BLUE US Equity","ARD_OTHER_INVESTING_ACTIVITIES","FQ1 2023","FQ1 2023","Currency=USD","Period=FQ","BEST_FPERIOD_OVERRIDE=FQ","FILING_STATUS=MR","SCALING_FORMAT=MLN","Sort=A","Dates=H","DateFormat=P","Fill=—","Direction=H","UseDPDF=Y")</f>
        <v>92.971999999999994</v>
      </c>
      <c r="W23" s="13">
        <f>_xll.BDH("BLUE US Equity","ARD_OTHER_INVESTING_ACTIVITIES","FQ2 2023","FQ2 2023","Currency=USD","Period=FQ","BEST_FPERIOD_OVERRIDE=FQ","FILING_STATUS=MR","SCALING_FORMAT=MLN","Sort=A","Dates=H","DateFormat=P","Fill=—","Direction=H","UseDPDF=Y")</f>
        <v>92.93</v>
      </c>
      <c r="X23" s="13">
        <f>_xll.BDH("BLUE US Equity","ARD_OTHER_INVESTING_ACTIVITIES","FQ3 2023","FQ3 2023","Currency=USD","Period=FQ","BEST_FPERIOD_OVERRIDE=FQ","FILING_STATUS=MR","SCALING_FORMAT=MLN","Sort=A","Dates=H","DateFormat=P","Fill=—","Direction=H","UseDPDF=Y")</f>
        <v>92.93</v>
      </c>
      <c r="Y23" s="13">
        <f>_xll.BDH("BLUE US Equity","ARD_OTHER_INVESTING_ACTIVITIES","FQ1 2024","FQ1 2024","Currency=USD","Period=FQ","BEST_FPERIOD_OVERRIDE=FQ","FILING_STATUS=MR","SCALING_FORMAT=MLN","Sort=A","Dates=H","DateFormat=P","Fill=—","Direction=H","UseDPDF=Y")</f>
        <v>1.1200000000000001</v>
      </c>
      <c r="Z23" s="13">
        <f>_xll.BDH("BLUE US Equity","ARD_OTHER_INVESTING_ACTIVITIES","FQ2 2024","FQ2 2024","Currency=USD","Period=FQ","BEST_FPERIOD_OVERRIDE=FQ","FILING_STATUS=MR","SCALING_FORMAT=MLN","Sort=A","Dates=H","DateFormat=P","Fill=—","Direction=H","UseDPDF=Y")</f>
        <v>2.8</v>
      </c>
      <c r="AA23" s="13">
        <f>_xll.BDH("BLUE US Equity","ARD_OTHER_INVESTING_ACTIVITIES","FQ3 2024","FQ3 2024","Currency=USD","Period=FQ","BEST_FPERIOD_OVERRIDE=FQ","FILING_STATUS=MR","SCALING_FORMAT=MLN","Sort=A","Dates=H","DateFormat=P","Fill=—","Direction=H","UseDPDF=Y")</f>
        <v>3.5459999999999998</v>
      </c>
    </row>
    <row r="24" spans="1:27" x14ac:dyDescent="0.25">
      <c r="A24" s="10" t="s">
        <v>1196</v>
      </c>
      <c r="B24" s="10" t="s">
        <v>1197</v>
      </c>
      <c r="C24" s="13" t="str">
        <f>_xll.BDH("BLUE US Equity","ARD_DIVESTITURE_OF_BUSINESS","FQ2 2018","FQ2 2018","Currency=USD","Period=FQ","BEST_FPERIOD_OVERRIDE=FQ","FILING_STATUS=MR","SCALING_FORMAT=MLN","Sort=A","Dates=H","DateFormat=P","Fill=—","Direction=H","UseDPDF=Y")</f>
        <v>—</v>
      </c>
      <c r="D24" s="13" t="str">
        <f>_xll.BDH("BLUE US Equity","ARD_DIVESTITURE_OF_BUSINESS","FQ3 2018","FQ3 2018","Currency=USD","Period=FQ","BEST_FPERIOD_OVERRIDE=FQ","FILING_STATUS=MR","SCALING_FORMAT=MLN","Sort=A","Dates=H","DateFormat=P","Fill=—","Direction=H","UseDPDF=Y")</f>
        <v>—</v>
      </c>
      <c r="E24" s="13" t="str">
        <f>_xll.BDH("BLUE US Equity","ARD_DIVESTITURE_OF_BUSINESS","FQ4 2018","FQ4 2018","Currency=USD","Period=FQ","BEST_FPERIOD_OVERRIDE=FQ","FILING_STATUS=MR","SCALING_FORMAT=MLN","Sort=A","Dates=H","DateFormat=P","Fill=—","Direction=H","UseDPDF=Y")</f>
        <v>—</v>
      </c>
      <c r="F24" s="13" t="str">
        <f>_xll.BDH("BLUE US Equity","ARD_DIVESTITURE_OF_BUSINESS","FQ1 2019","FQ1 2019","Currency=USD","Period=FQ","BEST_FPERIOD_OVERRIDE=FQ","FILING_STATUS=MR","SCALING_FORMAT=MLN","Sort=A","Dates=H","DateFormat=P","Fill=—","Direction=H","UseDPDF=Y")</f>
        <v>—</v>
      </c>
      <c r="G24" s="13" t="str">
        <f>_xll.BDH("BLUE US Equity","ARD_DIVESTITURE_OF_BUSINESS","FQ2 2019","FQ2 2019","Currency=USD","Period=FQ","BEST_FPERIOD_OVERRIDE=FQ","FILING_STATUS=MR","SCALING_FORMAT=MLN","Sort=A","Dates=H","DateFormat=P","Fill=—","Direction=H","UseDPDF=Y")</f>
        <v>—</v>
      </c>
      <c r="H24" s="13" t="str">
        <f>_xll.BDH("BLUE US Equity","ARD_DIVESTITURE_OF_BUSINESS","FQ3 2019","FQ3 2019","Currency=USD","Period=FQ","BEST_FPERIOD_OVERRIDE=FQ","FILING_STATUS=MR","SCALING_FORMAT=MLN","Sort=A","Dates=H","DateFormat=P","Fill=—","Direction=H","UseDPDF=Y")</f>
        <v>—</v>
      </c>
      <c r="I24" s="13" t="str">
        <f>_xll.BDH("BLUE US Equity","ARD_DIVESTITURE_OF_BUSINESS","FQ4 2019","FQ4 2019","Currency=USD","Period=FQ","BEST_FPERIOD_OVERRIDE=FQ","FILING_STATUS=MR","SCALING_FORMAT=MLN","Sort=A","Dates=H","DateFormat=P","Fill=—","Direction=H","UseDPDF=Y")</f>
        <v>—</v>
      </c>
      <c r="J24" s="13" t="str">
        <f>_xll.BDH("BLUE US Equity","ARD_DIVESTITURE_OF_BUSINESS","FQ1 2020","FQ1 2020","Currency=USD","Period=FQ","BEST_FPERIOD_OVERRIDE=FQ","FILING_STATUS=MR","SCALING_FORMAT=MLN","Sort=A","Dates=H","DateFormat=P","Fill=—","Direction=H","UseDPDF=Y")</f>
        <v>—</v>
      </c>
      <c r="K24" s="13" t="str">
        <f>_xll.BDH("BLUE US Equity","ARD_DIVESTITURE_OF_BUSINESS","FQ2 2020","FQ2 2020","Currency=USD","Period=FQ","BEST_FPERIOD_OVERRIDE=FQ","FILING_STATUS=MR","SCALING_FORMAT=MLN","Sort=A","Dates=H","DateFormat=P","Fill=—","Direction=H","UseDPDF=Y")</f>
        <v>—</v>
      </c>
      <c r="L24" s="13" t="str">
        <f>_xll.BDH("BLUE US Equity","ARD_DIVESTITURE_OF_BUSINESS","FQ3 2020","FQ3 2020","Currency=USD","Period=FQ","BEST_FPERIOD_OVERRIDE=FQ","FILING_STATUS=MR","SCALING_FORMAT=MLN","Sort=A","Dates=H","DateFormat=P","Fill=—","Direction=H","UseDPDF=Y")</f>
        <v>—</v>
      </c>
      <c r="M24" s="13" t="str">
        <f>_xll.BDH("BLUE US Equity","ARD_DIVESTITURE_OF_BUSINESS","FQ4 2020","FQ4 2020","Currency=USD","Period=FQ","BEST_FPERIOD_OVERRIDE=FQ","FILING_STATUS=MR","SCALING_FORMAT=MLN","Sort=A","Dates=H","DateFormat=P","Fill=—","Direction=H","UseDPDF=Y")</f>
        <v>—</v>
      </c>
      <c r="N24" s="13" t="str">
        <f>_xll.BDH("BLUE US Equity","ARD_DIVESTITURE_OF_BUSINESS","FQ1 2021","FQ1 2021","Currency=USD","Period=FQ","BEST_FPERIOD_OVERRIDE=FQ","FILING_STATUS=MR","SCALING_FORMAT=MLN","Sort=A","Dates=H","DateFormat=P","Fill=—","Direction=H","UseDPDF=Y")</f>
        <v>—</v>
      </c>
      <c r="O24" s="13" t="str">
        <f>_xll.BDH("BLUE US Equity","ARD_DIVESTITURE_OF_BUSINESS","FQ2 2021","FQ2 2021","Currency=USD","Period=FQ","BEST_FPERIOD_OVERRIDE=FQ","FILING_STATUS=MR","SCALING_FORMAT=MLN","Sort=A","Dates=H","DateFormat=P","Fill=—","Direction=H","UseDPDF=Y")</f>
        <v>—</v>
      </c>
      <c r="P24" s="13">
        <f>_xll.BDH("BLUE US Equity","ARD_DIVESTITURE_OF_BUSINESS","FQ3 2021","FQ3 2021","Currency=USD","Period=FQ","BEST_FPERIOD_OVERRIDE=FQ","FILING_STATUS=MR","SCALING_FORMAT=MLN","Sort=A","Dates=H","DateFormat=P","Fill=—","Direction=H","UseDPDF=Y")</f>
        <v>110.3</v>
      </c>
      <c r="Q24" s="13">
        <f>_xll.BDH("BLUE US Equity","ARD_DIVESTITURE_OF_BUSINESS","FQ4 2021","FQ4 2021","Currency=USD","Period=FQ","BEST_FPERIOD_OVERRIDE=FQ","FILING_STATUS=MR","SCALING_FORMAT=MLN","Sort=A","Dates=H","DateFormat=P","Fill=—","Direction=H","UseDPDF=Y")</f>
        <v>110.3</v>
      </c>
      <c r="R24" s="13" t="str">
        <f>_xll.BDH("BLUE US Equity","ARD_DIVESTITURE_OF_BUSINESS","FQ1 2022","FQ1 2022","Currency=USD","Period=FQ","BEST_FPERIOD_OVERRIDE=FQ","FILING_STATUS=MR","SCALING_FORMAT=MLN","Sort=A","Dates=H","DateFormat=P","Fill=—","Direction=H","UseDPDF=Y")</f>
        <v>—</v>
      </c>
      <c r="S24" s="13" t="str">
        <f>_xll.BDH("BLUE US Equity","ARD_DIVESTITURE_OF_BUSINESS","FQ2 2022","FQ2 2022","Currency=USD","Period=FQ","BEST_FPERIOD_OVERRIDE=FQ","FILING_STATUS=MR","SCALING_FORMAT=MLN","Sort=A","Dates=H","DateFormat=P","Fill=—","Direction=H","UseDPDF=Y")</f>
        <v>—</v>
      </c>
      <c r="T24" s="13">
        <f>_xll.BDH("BLUE US Equity","ARD_DIVESTITURE_OF_BUSINESS","FQ3 2022","FQ3 2022","Currency=USD","Period=FQ","BEST_FPERIOD_OVERRIDE=FQ","FILING_STATUS=MR","SCALING_FORMAT=MLN","Sort=A","Dates=H","DateFormat=P","Fill=—","Direction=H","UseDPDF=Y")</f>
        <v>0</v>
      </c>
      <c r="U24" s="13">
        <f>_xll.BDH("BLUE US Equity","ARD_DIVESTITURE_OF_BUSINESS","FQ4 2022","FQ4 2022","Currency=USD","Period=FQ","BEST_FPERIOD_OVERRIDE=FQ","FILING_STATUS=MR","SCALING_FORMAT=MLN","Sort=A","Dates=H","DateFormat=P","Fill=—","Direction=H","UseDPDF=Y")</f>
        <v>0</v>
      </c>
      <c r="V24" s="13" t="str">
        <f>_xll.BDH("BLUE US Equity","ARD_DIVESTITURE_OF_BUSINESS","FQ1 2023","FQ1 2023","Currency=USD","Period=FQ","BEST_FPERIOD_OVERRIDE=FQ","FILING_STATUS=MR","SCALING_FORMAT=MLN","Sort=A","Dates=H","DateFormat=P","Fill=—","Direction=H","UseDPDF=Y")</f>
        <v>—</v>
      </c>
      <c r="W24" s="13" t="str">
        <f>_xll.BDH("BLUE US Equity","ARD_DIVESTITURE_OF_BUSINESS","FQ2 2023","FQ2 2023","Currency=USD","Period=FQ","BEST_FPERIOD_OVERRIDE=FQ","FILING_STATUS=MR","SCALING_FORMAT=MLN","Sort=A","Dates=H","DateFormat=P","Fill=—","Direction=H","UseDPDF=Y")</f>
        <v>—</v>
      </c>
      <c r="X24" s="13" t="str">
        <f>_xll.BDH("BLUE US Equity","ARD_DIVESTITURE_OF_BUSINESS","FQ3 2023","FQ3 2023","Currency=USD","Period=FQ","BEST_FPERIOD_OVERRIDE=FQ","FILING_STATUS=MR","SCALING_FORMAT=MLN","Sort=A","Dates=H","DateFormat=P","Fill=—","Direction=H","UseDPDF=Y")</f>
        <v>—</v>
      </c>
      <c r="Y24" s="13" t="str">
        <f>_xll.BDH("BLUE US Equity","ARD_DIVESTITURE_OF_BUSINESS","FQ1 2024","FQ1 2024","Currency=USD","Period=FQ","BEST_FPERIOD_OVERRIDE=FQ","FILING_STATUS=MR","SCALING_FORMAT=MLN","Sort=A","Dates=H","DateFormat=P","Fill=—","Direction=H","UseDPDF=Y")</f>
        <v>—</v>
      </c>
      <c r="Z24" s="13" t="str">
        <f>_xll.BDH("BLUE US Equity","ARD_DIVESTITURE_OF_BUSINESS","FQ2 2024","FQ2 2024","Currency=USD","Period=FQ","BEST_FPERIOD_OVERRIDE=FQ","FILING_STATUS=MR","SCALING_FORMAT=MLN","Sort=A","Dates=H","DateFormat=P","Fill=—","Direction=H","UseDPDF=Y")</f>
        <v>—</v>
      </c>
      <c r="AA24" s="13" t="str">
        <f>_xll.BDH("BLUE US Equity","ARD_DIVESTITURE_OF_BUSINESS","FQ3 2024","FQ3 2024","Currency=USD","Period=FQ","BEST_FPERIOD_OVERRIDE=FQ","FILING_STATUS=MR","SCALING_FORMAT=MLN","Sort=A","Dates=H","DateFormat=P","Fill=—","Direction=H","UseDPDF=Y")</f>
        <v>—</v>
      </c>
    </row>
    <row r="25" spans="1:27" x14ac:dyDescent="0.25">
      <c r="A25" s="10" t="s">
        <v>1198</v>
      </c>
      <c r="B25" s="10" t="s">
        <v>1199</v>
      </c>
      <c r="C25" s="13">
        <f>_xll.BDH("BLUE US Equity","ARD_PROCEEDS_FROM_LT_MKT_SEC","FQ2 2018","FQ2 2018","Currency=USD","Period=FQ","BEST_FPERIOD_OVERRIDE=FQ","FILING_STATUS=MR","SCALING_FORMAT=MLN","Sort=A","Dates=H","DateFormat=P","Fill=—","Direction=H","UseDPDF=Y")</f>
        <v>417.64</v>
      </c>
      <c r="D25" s="13">
        <f>_xll.BDH("BLUE US Equity","ARD_PROCEEDS_FROM_LT_MKT_SEC","FQ3 2018","FQ3 2018","Currency=USD","Period=FQ","BEST_FPERIOD_OVERRIDE=FQ","FILING_STATUS=MR","SCALING_FORMAT=MLN","Sort=A","Dates=H","DateFormat=P","Fill=—","Direction=H","UseDPDF=Y")</f>
        <v>631.67999999999995</v>
      </c>
      <c r="E25" s="13">
        <f>_xll.BDH("BLUE US Equity","ARD_PROCEEDS_FROM_LT_MKT_SEC","FQ4 2018","FQ4 2018","Currency=USD","Period=FQ","BEST_FPERIOD_OVERRIDE=FQ","FILING_STATUS=MR","SCALING_FORMAT=MLN","Sort=A","Dates=H","DateFormat=P","Fill=—","Direction=H","UseDPDF=Y")</f>
        <v>894.28399999999999</v>
      </c>
      <c r="F25" s="13">
        <f>_xll.BDH("BLUE US Equity","ARD_PROCEEDS_FROM_LT_MKT_SEC","FQ1 2019","FQ1 2019","Currency=USD","Period=FQ","BEST_FPERIOD_OVERRIDE=FQ","FILING_STATUS=MR","SCALING_FORMAT=MLN","Sort=A","Dates=H","DateFormat=P","Fill=—","Direction=H","UseDPDF=Y")</f>
        <v>364.14299999999997</v>
      </c>
      <c r="G25" s="13">
        <f>_xll.BDH("BLUE US Equity","ARD_PROCEEDS_FROM_LT_MKT_SEC","FQ2 2019","FQ2 2019","Currency=USD","Period=FQ","BEST_FPERIOD_OVERRIDE=FQ","FILING_STATUS=MR","SCALING_FORMAT=MLN","Sort=A","Dates=H","DateFormat=P","Fill=—","Direction=H","UseDPDF=Y")</f>
        <v>704.803</v>
      </c>
      <c r="H25" s="13">
        <f>_xll.BDH("BLUE US Equity","ARD_PROCEEDS_FROM_LT_MKT_SEC","FQ3 2019","FQ3 2019","Currency=USD","Period=FQ","BEST_FPERIOD_OVERRIDE=FQ","FILING_STATUS=MR","SCALING_FORMAT=MLN","Sort=A","Dates=H","DateFormat=P","Fill=—","Direction=H","UseDPDF=Y")</f>
        <v>1034.3530000000001</v>
      </c>
      <c r="I25" s="13">
        <f>_xll.BDH("BLUE US Equity","ARD_PROCEEDS_FROM_LT_MKT_SEC","FQ4 2019","FQ4 2019","Currency=USD","Period=FQ","BEST_FPERIOD_OVERRIDE=FQ","FILING_STATUS=MR","SCALING_FORMAT=MLN","Sort=A","Dates=H","DateFormat=P","Fill=—","Direction=H","UseDPDF=Y")</f>
        <v>1340.6289999999999</v>
      </c>
      <c r="J25" s="13">
        <f>_xll.BDH("BLUE US Equity","ARD_PROCEEDS_FROM_LT_MKT_SEC","FQ1 2020","FQ1 2020","Currency=USD","Period=FQ","BEST_FPERIOD_OVERRIDE=FQ","FILING_STATUS=MR","SCALING_FORMAT=MLN","Sort=A","Dates=H","DateFormat=P","Fill=—","Direction=H","UseDPDF=Y")</f>
        <v>336.67500000000001</v>
      </c>
      <c r="K25" s="13">
        <f>_xll.BDH("BLUE US Equity","ARD_PROCEEDS_FROM_LT_MKT_SEC","FQ2 2020","FQ2 2020","Currency=USD","Period=FQ","BEST_FPERIOD_OVERRIDE=FQ","FILING_STATUS=MR","SCALING_FORMAT=MLN","Sort=A","Dates=H","DateFormat=P","Fill=—","Direction=H","UseDPDF=Y")</f>
        <v>580.875</v>
      </c>
      <c r="L25" s="13">
        <f>_xll.BDH("BLUE US Equity","ARD_PROCEEDS_FROM_LT_MKT_SEC","FQ3 2020","FQ3 2020","Currency=USD","Period=FQ","BEST_FPERIOD_OVERRIDE=FQ","FILING_STATUS=MR","SCALING_FORMAT=MLN","Sort=A","Dates=H","DateFormat=P","Fill=—","Direction=H","UseDPDF=Y")</f>
        <v>722.48699999999997</v>
      </c>
      <c r="M25" s="13">
        <f>_xll.BDH("BLUE US Equity","ARD_PROCEEDS_FROM_LT_MKT_SEC","FQ4 2020","FQ4 2020","Currency=USD","Period=FQ","BEST_FPERIOD_OVERRIDE=FQ","FILING_STATUS=MR","SCALING_FORMAT=MLN","Sort=A","Dates=H","DateFormat=P","Fill=—","Direction=H","UseDPDF=Y")</f>
        <v>948.16600000000005</v>
      </c>
      <c r="N25" s="13">
        <f>_xll.BDH("BLUE US Equity","ARD_PROCEEDS_FROM_LT_MKT_SEC","FQ1 2021","FQ1 2021","Currency=USD","Period=FQ","BEST_FPERIOD_OVERRIDE=FQ","FILING_STATUS=MR","SCALING_FORMAT=MLN","Sort=A","Dates=H","DateFormat=P","Fill=—","Direction=H","UseDPDF=Y")</f>
        <v>382.178</v>
      </c>
      <c r="O25" s="13">
        <f>_xll.BDH("BLUE US Equity","ARD_PROCEEDS_FROM_LT_MKT_SEC","FQ2 2021","FQ2 2021","Currency=USD","Period=FQ","BEST_FPERIOD_OVERRIDE=FQ","FILING_STATUS=MR","SCALING_FORMAT=MLN","Sort=A","Dates=H","DateFormat=P","Fill=—","Direction=H","UseDPDF=Y")</f>
        <v>589.06899999999996</v>
      </c>
      <c r="P25" s="13">
        <f>_xll.BDH("BLUE US Equity","ARD_PROCEEDS_FROM_LT_MKT_SEC","FQ3 2021","FQ3 2021","Currency=USD","Period=FQ","BEST_FPERIOD_OVERRIDE=FQ","FILING_STATUS=MR","SCALING_FORMAT=MLN","Sort=A","Dates=H","DateFormat=P","Fill=—","Direction=H","UseDPDF=Y")</f>
        <v>833.68499999999995</v>
      </c>
      <c r="Q25" s="13">
        <f>_xll.BDH("BLUE US Equity","ARD_PROCEEDS_FROM_LT_MKT_SEC","FQ4 2021","FQ4 2021","Currency=USD","Period=FQ","BEST_FPERIOD_OVERRIDE=FQ","FILING_STATUS=MR","SCALING_FORMAT=MLN","Sort=A","Dates=H","DateFormat=P","Fill=—","Direction=H","UseDPDF=Y")</f>
        <v>926.65099999999995</v>
      </c>
      <c r="R25" s="13">
        <f>_xll.BDH("BLUE US Equity","ARD_PROCEEDS_FROM_LT_MKT_SEC","FQ1 2022","FQ1 2022","Currency=USD","Period=FQ","BEST_FPERIOD_OVERRIDE=FQ","FILING_STATUS=MR","SCALING_FORMAT=MLN","Sort=A","Dates=H","DateFormat=P","Fill=—","Direction=H","UseDPDF=Y")</f>
        <v>70.783000000000001</v>
      </c>
      <c r="S25" s="13">
        <f>_xll.BDH("BLUE US Equity","ARD_PROCEEDS_FROM_LT_MKT_SEC","FQ2 2022","FQ2 2022","Currency=USD","Period=FQ","BEST_FPERIOD_OVERRIDE=FQ","FILING_STATUS=MR","SCALING_FORMAT=MLN","Sort=A","Dates=H","DateFormat=P","Fill=—","Direction=H","UseDPDF=Y")</f>
        <v>138.43799999999999</v>
      </c>
      <c r="T25" s="13">
        <f>_xll.BDH("BLUE US Equity","ARD_PROCEEDS_FROM_LT_MKT_SEC","FQ3 2022","FQ3 2022","Currency=USD","Period=FQ","BEST_FPERIOD_OVERRIDE=FQ","FILING_STATUS=MR","SCALING_FORMAT=MLN","Sort=A","Dates=H","DateFormat=P","Fill=—","Direction=H","UseDPDF=Y")</f>
        <v>155.31100000000001</v>
      </c>
      <c r="U25" s="13">
        <f>_xll.BDH("BLUE US Equity","ARD_PROCEEDS_FROM_LT_MKT_SEC","FQ4 2022","FQ4 2022","Currency=USD","Period=FQ","BEST_FPERIOD_OVERRIDE=FQ","FILING_STATUS=MR","SCALING_FORMAT=MLN","Sort=A","Dates=H","DateFormat=P","Fill=—","Direction=H","UseDPDF=Y")</f>
        <v>161.661</v>
      </c>
      <c r="V25" s="13">
        <f>_xll.BDH("BLUE US Equity","ARD_PROCEEDS_FROM_LT_MKT_SEC","FQ1 2023","FQ1 2023","Currency=USD","Period=FQ","BEST_FPERIOD_OVERRIDE=FQ","FILING_STATUS=MR","SCALING_FORMAT=MLN","Sort=A","Dates=H","DateFormat=P","Fill=—","Direction=H","UseDPDF=Y")</f>
        <v>9.8740000000000006</v>
      </c>
      <c r="W25" s="13">
        <f>_xll.BDH("BLUE US Equity","ARD_PROCEEDS_FROM_LT_MKT_SEC","FQ2 2023","FQ2 2023","Currency=USD","Period=FQ","BEST_FPERIOD_OVERRIDE=FQ","FILING_STATUS=MR","SCALING_FORMAT=MLN","Sort=A","Dates=H","DateFormat=P","Fill=—","Direction=H","UseDPDF=Y")</f>
        <v>32.374000000000002</v>
      </c>
      <c r="X25" s="13">
        <f>_xll.BDH("BLUE US Equity","ARD_PROCEEDS_FROM_LT_MKT_SEC","FQ3 2023","FQ3 2023","Currency=USD","Period=FQ","BEST_FPERIOD_OVERRIDE=FQ","FILING_STATUS=MR","SCALING_FORMAT=MLN","Sort=A","Dates=H","DateFormat=P","Fill=—","Direction=H","UseDPDF=Y")</f>
        <v>105.374</v>
      </c>
      <c r="Y25" s="13">
        <f>_xll.BDH("BLUE US Equity","ARD_PROCEEDS_FROM_LT_MKT_SEC","FQ1 2024","FQ1 2024","Currency=USD","Period=FQ","BEST_FPERIOD_OVERRIDE=FQ","FILING_STATUS=MR","SCALING_FORMAT=MLN","Sort=A","Dates=H","DateFormat=P","Fill=—","Direction=H","UseDPDF=Y")</f>
        <v>0</v>
      </c>
      <c r="Z25" s="13">
        <f>_xll.BDH("BLUE US Equity","ARD_PROCEEDS_FROM_LT_MKT_SEC","FQ2 2024","FQ2 2024","Currency=USD","Period=FQ","BEST_FPERIOD_OVERRIDE=FQ","FILING_STATUS=MR","SCALING_FORMAT=MLN","Sort=A","Dates=H","DateFormat=P","Fill=—","Direction=H","UseDPDF=Y")</f>
        <v>0</v>
      </c>
      <c r="AA25" s="13">
        <f>_xll.BDH("BLUE US Equity","ARD_PROCEEDS_FROM_LT_MKT_SEC","FQ3 2024","FQ3 2024","Currency=USD","Period=FQ","BEST_FPERIOD_OVERRIDE=FQ","FILING_STATUS=MR","SCALING_FORMAT=MLN","Sort=A","Dates=H","DateFormat=P","Fill=—","Direction=H","UseDPDF=Y")</f>
        <v>0</v>
      </c>
    </row>
    <row r="26" spans="1:27" x14ac:dyDescent="0.25">
      <c r="A26" s="10" t="s">
        <v>1200</v>
      </c>
      <c r="B26" s="10" t="s">
        <v>1201</v>
      </c>
      <c r="C26" s="13">
        <f>_xll.BDH("BLUE US Equity","ARD_PURCHASES_OF_LT_MKT_SEC","FQ2 2018","FQ2 2018","Currency=USD","Period=FQ","BEST_FPERIOD_OVERRIDE=FQ","FILING_STATUS=MR","SCALING_FORMAT=MLN","Sort=A","Dates=H","DateFormat=P","Fill=—","Direction=H","UseDPDF=Y")</f>
        <v>-689.16300000000001</v>
      </c>
      <c r="D26" s="13">
        <f>_xll.BDH("BLUE US Equity","ARD_PURCHASES_OF_LT_MKT_SEC","FQ3 2018","FQ3 2018","Currency=USD","Period=FQ","BEST_FPERIOD_OVERRIDE=FQ","FILING_STATUS=MR","SCALING_FORMAT=MLN","Sort=A","Dates=H","DateFormat=P","Fill=—","Direction=H","UseDPDF=Y")</f>
        <v>-827.16300000000001</v>
      </c>
      <c r="E26" s="13">
        <f>_xll.BDH("BLUE US Equity","ARD_PURCHASES_OF_LT_MKT_SEC","FQ4 2018","FQ4 2018","Currency=USD","Period=FQ","BEST_FPERIOD_OVERRIDE=FQ","FILING_STATUS=MR","SCALING_FORMAT=MLN","Sort=A","Dates=H","DateFormat=P","Fill=—","Direction=H","UseDPDF=Y")</f>
        <v>-1517.982</v>
      </c>
      <c r="F26" s="13">
        <f>_xll.BDH("BLUE US Equity","ARD_PURCHASES_OF_LT_MKT_SEC","FQ1 2019","FQ1 2019","Currency=USD","Period=FQ","BEST_FPERIOD_OVERRIDE=FQ","FILING_STATUS=MR","SCALING_FORMAT=MLN","Sort=A","Dates=H","DateFormat=P","Fill=—","Direction=H","UseDPDF=Y")</f>
        <v>-381.73500000000001</v>
      </c>
      <c r="G26" s="13">
        <f>_xll.BDH("BLUE US Equity","ARD_PURCHASES_OF_LT_MKT_SEC","FQ2 2019","FQ2 2019","Currency=USD","Period=FQ","BEST_FPERIOD_OVERRIDE=FQ","FILING_STATUS=MR","SCALING_FORMAT=MLN","Sort=A","Dates=H","DateFormat=P","Fill=—","Direction=H","UseDPDF=Y")</f>
        <v>-471.36500000000001</v>
      </c>
      <c r="H26" s="13">
        <f>_xll.BDH("BLUE US Equity","ARD_PURCHASES_OF_LT_MKT_SEC","FQ3 2019","FQ3 2019","Currency=USD","Period=FQ","BEST_FPERIOD_OVERRIDE=FQ","FILING_STATUS=MR","SCALING_FORMAT=MLN","Sort=A","Dates=H","DateFormat=P","Fill=—","Direction=H","UseDPDF=Y")</f>
        <v>-646.93700000000001</v>
      </c>
      <c r="I26" s="13">
        <f>_xll.BDH("BLUE US Equity","ARD_PURCHASES_OF_LT_MKT_SEC","FQ4 2019","FQ4 2019","Currency=USD","Period=FQ","BEST_FPERIOD_OVERRIDE=FQ","FILING_STATUS=MR","SCALING_FORMAT=MLN","Sort=A","Dates=H","DateFormat=P","Fill=—","Direction=H","UseDPDF=Y")</f>
        <v>-756.57</v>
      </c>
      <c r="J26" s="13">
        <f>_xll.BDH("BLUE US Equity","ARD_PURCHASES_OF_LT_MKT_SEC","FQ1 2020","FQ1 2020","Currency=USD","Period=FQ","BEST_FPERIOD_OVERRIDE=FQ","FILING_STATUS=MR","SCALING_FORMAT=MLN","Sort=A","Dates=H","DateFormat=P","Fill=—","Direction=H","UseDPDF=Y")</f>
        <v>-101.42100000000001</v>
      </c>
      <c r="K26" s="13">
        <f>_xll.BDH("BLUE US Equity","ARD_PURCHASES_OF_LT_MKT_SEC","FQ2 2020","FQ2 2020","Currency=USD","Period=FQ","BEST_FPERIOD_OVERRIDE=FQ","FILING_STATUS=MR","SCALING_FORMAT=MLN","Sort=A","Dates=H","DateFormat=P","Fill=—","Direction=H","UseDPDF=Y")</f>
        <v>-101.42100000000001</v>
      </c>
      <c r="L26" s="13">
        <f>_xll.BDH("BLUE US Equity","ARD_PURCHASES_OF_LT_MKT_SEC","FQ3 2020","FQ3 2020","Currency=USD","Period=FQ","BEST_FPERIOD_OVERRIDE=FQ","FILING_STATUS=MR","SCALING_FORMAT=MLN","Sort=A","Dates=H","DateFormat=P","Fill=—","Direction=H","UseDPDF=Y")</f>
        <v>-964.428</v>
      </c>
      <c r="M26" s="13">
        <f>_xll.BDH("BLUE US Equity","ARD_PURCHASES_OF_LT_MKT_SEC","FQ4 2020","FQ4 2020","Currency=USD","Period=FQ","BEST_FPERIOD_OVERRIDE=FQ","FILING_STATUS=MR","SCALING_FORMAT=MLN","Sort=A","Dates=H","DateFormat=P","Fill=—","Direction=H","UseDPDF=Y")</f>
        <v>-1003.525</v>
      </c>
      <c r="N26" s="13">
        <f>_xll.BDH("BLUE US Equity","ARD_PURCHASES_OF_LT_MKT_SEC","FQ1 2021","FQ1 2021","Currency=USD","Period=FQ","BEST_FPERIOD_OVERRIDE=FQ","FILING_STATUS=MR","SCALING_FORMAT=MLN","Sort=A","Dates=H","DateFormat=P","Fill=—","Direction=H","UseDPDF=Y")</f>
        <v>-53.2</v>
      </c>
      <c r="O26" s="13">
        <f>_xll.BDH("BLUE US Equity","ARD_PURCHASES_OF_LT_MKT_SEC","FQ2 2021","FQ2 2021","Currency=USD","Period=FQ","BEST_FPERIOD_OVERRIDE=FQ","FILING_STATUS=MR","SCALING_FORMAT=MLN","Sort=A","Dates=H","DateFormat=P","Fill=—","Direction=H","UseDPDF=Y")</f>
        <v>-196.14500000000001</v>
      </c>
      <c r="P26" s="13">
        <f>_xll.BDH("BLUE US Equity","ARD_PURCHASES_OF_LT_MKT_SEC","FQ3 2021","FQ3 2021","Currency=USD","Period=FQ","BEST_FPERIOD_OVERRIDE=FQ","FILING_STATUS=MR","SCALING_FORMAT=MLN","Sort=A","Dates=H","DateFormat=P","Fill=—","Direction=H","UseDPDF=Y")</f>
        <v>-421.416</v>
      </c>
      <c r="Q26" s="13">
        <f>_xll.BDH("BLUE US Equity","ARD_PURCHASES_OF_LT_MKT_SEC","FQ4 2021","FQ4 2021","Currency=USD","Period=FQ","BEST_FPERIOD_OVERRIDE=FQ","FILING_STATUS=MR","SCALING_FORMAT=MLN","Sort=A","Dates=H","DateFormat=P","Fill=—","Direction=H","UseDPDF=Y")</f>
        <v>-451.39100000000002</v>
      </c>
      <c r="R26" s="13">
        <f>_xll.BDH("BLUE US Equity","ARD_PURCHASES_OF_LT_MKT_SEC","FQ1 2022","FQ1 2022","Currency=USD","Period=FQ","BEST_FPERIOD_OVERRIDE=FQ","FILING_STATUS=MR","SCALING_FORMAT=MLN","Sort=A","Dates=H","DateFormat=P","Fill=—","Direction=H","UseDPDF=Y")</f>
        <v>0</v>
      </c>
      <c r="S26" s="13">
        <f>_xll.BDH("BLUE US Equity","ARD_PURCHASES_OF_LT_MKT_SEC","FQ2 2022","FQ2 2022","Currency=USD","Period=FQ","BEST_FPERIOD_OVERRIDE=FQ","FILING_STATUS=MR","SCALING_FORMAT=MLN","Sort=A","Dates=H","DateFormat=P","Fill=—","Direction=H","UseDPDF=Y")</f>
        <v>0</v>
      </c>
      <c r="T26" s="13">
        <f>_xll.BDH("BLUE US Equity","ARD_PURCHASES_OF_LT_MKT_SEC","FQ3 2022","FQ3 2022","Currency=USD","Period=FQ","BEST_FPERIOD_OVERRIDE=FQ","FILING_STATUS=MR","SCALING_FORMAT=MLN","Sort=A","Dates=H","DateFormat=P","Fill=—","Direction=H","UseDPDF=Y")</f>
        <v>0</v>
      </c>
      <c r="U26" s="13">
        <f>_xll.BDH("BLUE US Equity","ARD_PURCHASES_OF_LT_MKT_SEC","FQ4 2022","FQ4 2022","Currency=USD","Period=FQ","BEST_FPERIOD_OVERRIDE=FQ","FILING_STATUS=MR","SCALING_FORMAT=MLN","Sort=A","Dates=H","DateFormat=P","Fill=—","Direction=H","UseDPDF=Y")</f>
        <v>0</v>
      </c>
      <c r="V26" s="13">
        <f>_xll.BDH("BLUE US Equity","ARD_PURCHASES_OF_LT_MKT_SEC","FQ1 2023","FQ1 2023","Currency=USD","Period=FQ","BEST_FPERIOD_OVERRIDE=FQ","FILING_STATUS=MR","SCALING_FORMAT=MLN","Sort=A","Dates=H","DateFormat=P","Fill=—","Direction=H","UseDPDF=Y")</f>
        <v>-19.61</v>
      </c>
      <c r="W26" s="13">
        <f>_xll.BDH("BLUE US Equity","ARD_PURCHASES_OF_LT_MKT_SEC","FQ2 2023","FQ2 2023","Currency=USD","Period=FQ","BEST_FPERIOD_OVERRIDE=FQ","FILING_STATUS=MR","SCALING_FORMAT=MLN","Sort=A","Dates=H","DateFormat=P","Fill=—","Direction=H","UseDPDF=Y")</f>
        <v>-34.417999999999999</v>
      </c>
      <c r="X26" s="13">
        <f>_xll.BDH("BLUE US Equity","ARD_PURCHASES_OF_LT_MKT_SEC","FQ3 2023","FQ3 2023","Currency=USD","Period=FQ","BEST_FPERIOD_OVERRIDE=FQ","FILING_STATUS=MR","SCALING_FORMAT=MLN","Sort=A","Dates=H","DateFormat=P","Fill=—","Direction=H","UseDPDF=Y")</f>
        <v>-43.296999999999997</v>
      </c>
      <c r="Y26" s="13">
        <f>_xll.BDH("BLUE US Equity","ARD_PURCHASES_OF_LT_MKT_SEC","FQ1 2024","FQ1 2024","Currency=USD","Period=FQ","BEST_FPERIOD_OVERRIDE=FQ","FILING_STATUS=MR","SCALING_FORMAT=MLN","Sort=A","Dates=H","DateFormat=P","Fill=—","Direction=H","UseDPDF=Y")</f>
        <v>0</v>
      </c>
      <c r="Z26" s="13">
        <f>_xll.BDH("BLUE US Equity","ARD_PURCHASES_OF_LT_MKT_SEC","FQ2 2024","FQ2 2024","Currency=USD","Period=FQ","BEST_FPERIOD_OVERRIDE=FQ","FILING_STATUS=MR","SCALING_FORMAT=MLN","Sort=A","Dates=H","DateFormat=P","Fill=—","Direction=H","UseDPDF=Y")</f>
        <v>0</v>
      </c>
      <c r="AA26" s="13">
        <f>_xll.BDH("BLUE US Equity","ARD_PURCHASES_OF_LT_MKT_SEC","FQ3 2024","FQ3 2024","Currency=USD","Period=FQ","BEST_FPERIOD_OVERRIDE=FQ","FILING_STATUS=MR","SCALING_FORMAT=MLN","Sort=A","Dates=H","DateFormat=P","Fill=—","Direction=H","UseDPDF=Y")</f>
        <v>0</v>
      </c>
    </row>
    <row r="27" spans="1:27" x14ac:dyDescent="0.25">
      <c r="A27" s="10" t="s">
        <v>1202</v>
      </c>
      <c r="B27" s="10" t="s">
        <v>1203</v>
      </c>
      <c r="C27" s="13" t="str">
        <f>_xll.BDH("BLUE US Equity","ARD_PURCHASE_OF_INTANGIBLES","FQ2 2018","FQ2 2018","Currency=USD","Period=FQ","BEST_FPERIOD_OVERRIDE=FQ","FILING_STATUS=MR","SCALING_FORMAT=MLN","Sort=A","Dates=H","DateFormat=P","Fill=—","Direction=H","UseDPDF=Y")</f>
        <v>—</v>
      </c>
      <c r="D27" s="13" t="str">
        <f>_xll.BDH("BLUE US Equity","ARD_PURCHASE_OF_INTANGIBLES","FQ3 2018","FQ3 2018","Currency=USD","Period=FQ","BEST_FPERIOD_OVERRIDE=FQ","FILING_STATUS=MR","SCALING_FORMAT=MLN","Sort=A","Dates=H","DateFormat=P","Fill=—","Direction=H","UseDPDF=Y")</f>
        <v>—</v>
      </c>
      <c r="E27" s="13" t="str">
        <f>_xll.BDH("BLUE US Equity","ARD_PURCHASE_OF_INTANGIBLES","FQ4 2018","FQ4 2018","Currency=USD","Period=FQ","BEST_FPERIOD_OVERRIDE=FQ","FILING_STATUS=MR","SCALING_FORMAT=MLN","Sort=A","Dates=H","DateFormat=P","Fill=—","Direction=H","UseDPDF=Y")</f>
        <v>—</v>
      </c>
      <c r="F27" s="13" t="str">
        <f>_xll.BDH("BLUE US Equity","ARD_PURCHASE_OF_INTANGIBLES","FQ1 2019","FQ1 2019","Currency=USD","Period=FQ","BEST_FPERIOD_OVERRIDE=FQ","FILING_STATUS=MR","SCALING_FORMAT=MLN","Sort=A","Dates=H","DateFormat=P","Fill=—","Direction=H","UseDPDF=Y")</f>
        <v>—</v>
      </c>
      <c r="G27" s="13" t="str">
        <f>_xll.BDH("BLUE US Equity","ARD_PURCHASE_OF_INTANGIBLES","FQ2 2019","FQ2 2019","Currency=USD","Period=FQ","BEST_FPERIOD_OVERRIDE=FQ","FILING_STATUS=MR","SCALING_FORMAT=MLN","Sort=A","Dates=H","DateFormat=P","Fill=—","Direction=H","UseDPDF=Y")</f>
        <v>—</v>
      </c>
      <c r="H27" s="13">
        <f>_xll.BDH("BLUE US Equity","ARD_PURCHASE_OF_INTANGIBLES","FQ3 2019","FQ3 2019","Currency=USD","Period=FQ","BEST_FPERIOD_OVERRIDE=FQ","FILING_STATUS=MR","SCALING_FORMAT=MLN","Sort=A","Dates=H","DateFormat=P","Fill=—","Direction=H","UseDPDF=Y")</f>
        <v>-4.2240000000000002</v>
      </c>
      <c r="I27" s="13">
        <f>_xll.BDH("BLUE US Equity","ARD_PURCHASE_OF_INTANGIBLES","FQ4 2019","FQ4 2019","Currency=USD","Period=FQ","BEST_FPERIOD_OVERRIDE=FQ","FILING_STATUS=MR","SCALING_FORMAT=MLN","Sort=A","Dates=H","DateFormat=P","Fill=—","Direction=H","UseDPDF=Y")</f>
        <v>-5.2240000000000002</v>
      </c>
      <c r="J27" s="13" t="str">
        <f>_xll.BDH("BLUE US Equity","ARD_PURCHASE_OF_INTANGIBLES","FQ1 2020","FQ1 2020","Currency=USD","Period=FQ","BEST_FPERIOD_OVERRIDE=FQ","FILING_STATUS=MR","SCALING_FORMAT=MLN","Sort=A","Dates=H","DateFormat=P","Fill=—","Direction=H","UseDPDF=Y")</f>
        <v>—</v>
      </c>
      <c r="K27" s="13" t="str">
        <f>_xll.BDH("BLUE US Equity","ARD_PURCHASE_OF_INTANGIBLES","FQ2 2020","FQ2 2020","Currency=USD","Period=FQ","BEST_FPERIOD_OVERRIDE=FQ","FILING_STATUS=MR","SCALING_FORMAT=MLN","Sort=A","Dates=H","DateFormat=P","Fill=—","Direction=H","UseDPDF=Y")</f>
        <v>—</v>
      </c>
      <c r="L27" s="13" t="str">
        <f>_xll.BDH("BLUE US Equity","ARD_PURCHASE_OF_INTANGIBLES","FQ3 2020","FQ3 2020","Currency=USD","Period=FQ","BEST_FPERIOD_OVERRIDE=FQ","FILING_STATUS=MR","SCALING_FORMAT=MLN","Sort=A","Dates=H","DateFormat=P","Fill=—","Direction=H","UseDPDF=Y")</f>
        <v>—</v>
      </c>
      <c r="M27" s="13">
        <f>_xll.BDH("BLUE US Equity","ARD_PURCHASE_OF_INTANGIBLES","FQ4 2020","FQ4 2020","Currency=USD","Period=FQ","BEST_FPERIOD_OVERRIDE=FQ","FILING_STATUS=MR","SCALING_FORMAT=MLN","Sort=A","Dates=H","DateFormat=P","Fill=—","Direction=H","UseDPDF=Y")</f>
        <v>0</v>
      </c>
      <c r="N27" s="13" t="str">
        <f>_xll.BDH("BLUE US Equity","ARD_PURCHASE_OF_INTANGIBLES","FQ1 2021","FQ1 2021","Currency=USD","Period=FQ","BEST_FPERIOD_OVERRIDE=FQ","FILING_STATUS=MR","SCALING_FORMAT=MLN","Sort=A","Dates=H","DateFormat=P","Fill=—","Direction=H","UseDPDF=Y")</f>
        <v>—</v>
      </c>
      <c r="O27" s="13">
        <f>_xll.BDH("BLUE US Equity","ARD_PURCHASE_OF_INTANGIBLES","FQ2 2021","FQ2 2021","Currency=USD","Period=FQ","BEST_FPERIOD_OVERRIDE=FQ","FILING_STATUS=MR","SCALING_FORMAT=MLN","Sort=A","Dates=H","DateFormat=P","Fill=—","Direction=H","UseDPDF=Y")</f>
        <v>-2</v>
      </c>
      <c r="P27" s="13">
        <f>_xll.BDH("BLUE US Equity","ARD_PURCHASE_OF_INTANGIBLES","FQ3 2021","FQ3 2021","Currency=USD","Period=FQ","BEST_FPERIOD_OVERRIDE=FQ","FILING_STATUS=MR","SCALING_FORMAT=MLN","Sort=A","Dates=H","DateFormat=P","Fill=—","Direction=H","UseDPDF=Y")</f>
        <v>-8</v>
      </c>
      <c r="Q27" s="13">
        <f>_xll.BDH("BLUE US Equity","ARD_PURCHASE_OF_INTANGIBLES","FQ4 2021","FQ4 2021","Currency=USD","Period=FQ","BEST_FPERIOD_OVERRIDE=FQ","FILING_STATUS=MR","SCALING_FORMAT=MLN","Sort=A","Dates=H","DateFormat=P","Fill=—","Direction=H","UseDPDF=Y")</f>
        <v>-8.5</v>
      </c>
      <c r="R27" s="13" t="str">
        <f>_xll.BDH("BLUE US Equity","ARD_PURCHASE_OF_INTANGIBLES","FQ1 2022","FQ1 2022","Currency=USD","Period=FQ","BEST_FPERIOD_OVERRIDE=FQ","FILING_STATUS=MR","SCALING_FORMAT=MLN","Sort=A","Dates=H","DateFormat=P","Fill=—","Direction=H","UseDPDF=Y")</f>
        <v>—</v>
      </c>
      <c r="S27" s="13">
        <f>_xll.BDH("BLUE US Equity","ARD_PURCHASE_OF_INTANGIBLES","FQ2 2022","FQ2 2022","Currency=USD","Period=FQ","BEST_FPERIOD_OVERRIDE=FQ","FILING_STATUS=MR","SCALING_FORMAT=MLN","Sort=A","Dates=H","DateFormat=P","Fill=—","Direction=H","UseDPDF=Y")</f>
        <v>0</v>
      </c>
      <c r="T27" s="13">
        <f>_xll.BDH("BLUE US Equity","ARD_PURCHASE_OF_INTANGIBLES","FQ3 2022","FQ3 2022","Currency=USD","Period=FQ","BEST_FPERIOD_OVERRIDE=FQ","FILING_STATUS=MR","SCALING_FORMAT=MLN","Sort=A","Dates=H","DateFormat=P","Fill=—","Direction=H","UseDPDF=Y")</f>
        <v>0</v>
      </c>
      <c r="U27" s="13">
        <f>_xll.BDH("BLUE US Equity","ARD_PURCHASE_OF_INTANGIBLES","FQ4 2022","FQ4 2022","Currency=USD","Period=FQ","BEST_FPERIOD_OVERRIDE=FQ","FILING_STATUS=MR","SCALING_FORMAT=MLN","Sort=A","Dates=H","DateFormat=P","Fill=—","Direction=H","UseDPDF=Y")</f>
        <v>-5</v>
      </c>
      <c r="V27" s="13">
        <f>_xll.BDH("BLUE US Equity","ARD_PURCHASE_OF_INTANGIBLES","FQ1 2023","FQ1 2023","Currency=USD","Period=FQ","BEST_FPERIOD_OVERRIDE=FQ","FILING_STATUS=MR","SCALING_FORMAT=MLN","Sort=A","Dates=H","DateFormat=P","Fill=—","Direction=H","UseDPDF=Y")</f>
        <v>-0.86799999999999999</v>
      </c>
      <c r="W27" s="13">
        <f>_xll.BDH("BLUE US Equity","ARD_PURCHASE_OF_INTANGIBLES","FQ2 2023","FQ2 2023","Currency=USD","Period=FQ","BEST_FPERIOD_OVERRIDE=FQ","FILING_STATUS=MR","SCALING_FORMAT=MLN","Sort=A","Dates=H","DateFormat=P","Fill=—","Direction=H","UseDPDF=Y")</f>
        <v>-0.86799999999999999</v>
      </c>
      <c r="X27" s="13">
        <f>_xll.BDH("BLUE US Equity","ARD_PURCHASE_OF_INTANGIBLES","FQ3 2023","FQ3 2023","Currency=USD","Period=FQ","BEST_FPERIOD_OVERRIDE=FQ","FILING_STATUS=MR","SCALING_FORMAT=MLN","Sort=A","Dates=H","DateFormat=P","Fill=—","Direction=H","UseDPDF=Y")</f>
        <v>-0.86799999999999999</v>
      </c>
      <c r="Y27" s="13">
        <f>_xll.BDH("BLUE US Equity","ARD_PURCHASE_OF_INTANGIBLES","FQ1 2024","FQ1 2024","Currency=USD","Period=FQ","BEST_FPERIOD_OVERRIDE=FQ","FILING_STATUS=MR","SCALING_FORMAT=MLN","Sort=A","Dates=H","DateFormat=P","Fill=—","Direction=H","UseDPDF=Y")</f>
        <v>0</v>
      </c>
      <c r="Z27" s="13">
        <f>_xll.BDH("BLUE US Equity","ARD_PURCHASE_OF_INTANGIBLES","FQ2 2024","FQ2 2024","Currency=USD","Period=FQ","BEST_FPERIOD_OVERRIDE=FQ","FILING_STATUS=MR","SCALING_FORMAT=MLN","Sort=A","Dates=H","DateFormat=P","Fill=—","Direction=H","UseDPDF=Y")</f>
        <v>0</v>
      </c>
      <c r="AA27" s="13">
        <f>_xll.BDH("BLUE US Equity","ARD_PURCHASE_OF_INTANGIBLES","FQ3 2024","FQ3 2024","Currency=USD","Period=FQ","BEST_FPERIOD_OVERRIDE=FQ","FILING_STATUS=MR","SCALING_FORMAT=MLN","Sort=A","Dates=H","DateFormat=P","Fill=—","Direction=H","UseDPDF=Y")</f>
        <v>0</v>
      </c>
    </row>
    <row r="28" spans="1:27" x14ac:dyDescent="0.25">
      <c r="A28" s="6" t="s">
        <v>1204</v>
      </c>
      <c r="B28" s="6" t="s">
        <v>1205</v>
      </c>
      <c r="C28" s="19">
        <f>_xll.BDH("BLUE US Equity","ARD_TOT_CASHFLOWS_FROM_INVESTING","FQ2 2018","FQ2 2018","Currency=USD","Period=FQ","BEST_FPERIOD_OVERRIDE=FQ","FILING_STATUS=MR","SCALING_FORMAT=MLN","Sort=A","Dates=H","DateFormat=P","Fill=—","Direction=H","UseDPDF=Y")</f>
        <v>-292.21199999999999</v>
      </c>
      <c r="D28" s="19">
        <f>_xll.BDH("BLUE US Equity","ARD_TOT_CASHFLOWS_FROM_INVESTING","FQ3 2018","FQ3 2018","Currency=USD","Period=FQ","BEST_FPERIOD_OVERRIDE=FQ","FILING_STATUS=MR","SCALING_FORMAT=MLN","Sort=A","Dates=H","DateFormat=P","Fill=—","Direction=H","UseDPDF=Y")</f>
        <v>-258.34399999999999</v>
      </c>
      <c r="E28" s="19">
        <f>_xll.BDH("BLUE US Equity","ARD_TOT_CASHFLOWS_FROM_INVESTING","FQ4 2018","FQ4 2018","Currency=USD","Period=FQ","BEST_FPERIOD_OVERRIDE=FQ","FILING_STATUS=MR","SCALING_FORMAT=MLN","Sort=A","Dates=H","DateFormat=P","Fill=—","Direction=H","UseDPDF=Y")</f>
        <v>-679.43499999999995</v>
      </c>
      <c r="F28" s="19">
        <f>_xll.BDH("BLUE US Equity","ARD_TOT_CASHFLOWS_FROM_INVESTING","FQ1 2019","FQ1 2019","Currency=USD","Period=FQ","BEST_FPERIOD_OVERRIDE=FQ","FILING_STATUS=MR","SCALING_FORMAT=MLN","Sort=A","Dates=H","DateFormat=P","Fill=—","Direction=H","UseDPDF=Y")</f>
        <v>-36.912999999999997</v>
      </c>
      <c r="G28" s="19">
        <f>_xll.BDH("BLUE US Equity","ARD_TOT_CASHFLOWS_FROM_INVESTING","FQ2 2019","FQ2 2019","Currency=USD","Period=FQ","BEST_FPERIOD_OVERRIDE=FQ","FILING_STATUS=MR","SCALING_FORMAT=MLN","Sort=A","Dates=H","DateFormat=P","Fill=—","Direction=H","UseDPDF=Y")</f>
        <v>195.51300000000001</v>
      </c>
      <c r="H28" s="19">
        <f>_xll.BDH("BLUE US Equity","ARD_TOT_CASHFLOWS_FROM_INVESTING","FQ3 2019","FQ3 2019","Currency=USD","Period=FQ","BEST_FPERIOD_OVERRIDE=FQ","FILING_STATUS=MR","SCALING_FORMAT=MLN","Sort=A","Dates=H","DateFormat=P","Fill=—","Direction=H","UseDPDF=Y")</f>
        <v>324.55399999999997</v>
      </c>
      <c r="I28" s="19">
        <f>_xll.BDH("BLUE US Equity","ARD_TOT_CASHFLOWS_FROM_INVESTING","FQ4 2019","FQ4 2019","Currency=USD","Period=FQ","BEST_FPERIOD_OVERRIDE=FQ","FILING_STATUS=MR","SCALING_FORMAT=MLN","Sort=A","Dates=H","DateFormat=P","Fill=—","Direction=H","UseDPDF=Y")</f>
        <v>507.80700000000002</v>
      </c>
      <c r="J28" s="19">
        <f>_xll.BDH("BLUE US Equity","ARD_TOT_CASHFLOWS_FROM_INVESTING","FQ1 2020","FQ1 2020","Currency=USD","Period=FQ","BEST_FPERIOD_OVERRIDE=FQ","FILING_STATUS=MR","SCALING_FORMAT=MLN","Sort=A","Dates=H","DateFormat=P","Fill=—","Direction=H","UseDPDF=Y")</f>
        <v>224.578</v>
      </c>
      <c r="K28" s="19">
        <f>_xll.BDH("BLUE US Equity","ARD_TOT_CASHFLOWS_FROM_INVESTING","FQ2 2020","FQ2 2020","Currency=USD","Period=FQ","BEST_FPERIOD_OVERRIDE=FQ","FILING_STATUS=MR","SCALING_FORMAT=MLN","Sort=A","Dates=H","DateFormat=P","Fill=—","Direction=H","UseDPDF=Y")</f>
        <v>493.85399999999998</v>
      </c>
      <c r="L28" s="19">
        <f>_xll.BDH("BLUE US Equity","ARD_TOT_CASHFLOWS_FROM_INVESTING","FQ3 2020","FQ3 2020","Currency=USD","Period=FQ","BEST_FPERIOD_OVERRIDE=FQ","FILING_STATUS=MR","SCALING_FORMAT=MLN","Sort=A","Dates=H","DateFormat=P","Fill=—","Direction=H","UseDPDF=Y")</f>
        <v>-233.161</v>
      </c>
      <c r="M28" s="19">
        <f>_xll.BDH("BLUE US Equity","ARD_TOT_CASHFLOWS_FROM_INVESTING","FQ4 2020","FQ4 2020","Currency=USD","Period=FQ","BEST_FPERIOD_OVERRIDE=FQ","FILING_STATUS=MR","SCALING_FORMAT=MLN","Sort=A","Dates=H","DateFormat=P","Fill=—","Direction=H","UseDPDF=Y")</f>
        <v>-84.344999999999999</v>
      </c>
      <c r="N28" s="19">
        <f>_xll.BDH("BLUE US Equity","ARD_TOT_CASHFLOWS_FROM_INVESTING","FQ1 2021","FQ1 2021","Currency=USD","Period=FQ","BEST_FPERIOD_OVERRIDE=FQ","FILING_STATUS=MR","SCALING_FORMAT=MLN","Sort=A","Dates=H","DateFormat=P","Fill=—","Direction=H","UseDPDF=Y")</f>
        <v>321.35199999999998</v>
      </c>
      <c r="O28" s="19">
        <f>_xll.BDH("BLUE US Equity","ARD_TOT_CASHFLOWS_FROM_INVESTING","FQ2 2021","FQ2 2021","Currency=USD","Period=FQ","BEST_FPERIOD_OVERRIDE=FQ","FILING_STATUS=MR","SCALING_FORMAT=MLN","Sort=A","Dates=H","DateFormat=P","Fill=—","Direction=H","UseDPDF=Y")</f>
        <v>381.72</v>
      </c>
      <c r="P28" s="19">
        <f>_xll.BDH("BLUE US Equity","ARD_TOT_CASHFLOWS_FROM_INVESTING","FQ3 2021","FQ3 2021","Currency=USD","Period=FQ","BEST_FPERIOD_OVERRIDE=FQ","FILING_STATUS=MR","SCALING_FORMAT=MLN","Sort=A","Dates=H","DateFormat=P","Fill=—","Direction=H","UseDPDF=Y")</f>
        <v>501.625</v>
      </c>
      <c r="Q28" s="19">
        <f>_xll.BDH("BLUE US Equity","ARD_TOT_CASHFLOWS_FROM_INVESTING","FQ4 2021","FQ4 2021","Currency=USD","Period=FQ","BEST_FPERIOD_OVERRIDE=FQ","FILING_STATUS=MR","SCALING_FORMAT=MLN","Sort=A","Dates=H","DateFormat=P","Fill=—","Direction=H","UseDPDF=Y")</f>
        <v>562.55700000000002</v>
      </c>
      <c r="R28" s="19">
        <f>_xll.BDH("BLUE US Equity","ARD_TOT_CASHFLOWS_FROM_INVESTING","FQ1 2022","FQ1 2022","Currency=USD","Period=FQ","BEST_FPERIOD_OVERRIDE=FQ","FILING_STATUS=MR","SCALING_FORMAT=MLN","Sort=A","Dates=H","DateFormat=P","Fill=—","Direction=H","UseDPDF=Y")</f>
        <v>69.926000000000002</v>
      </c>
      <c r="S28" s="19">
        <f>_xll.BDH("BLUE US Equity","ARD_TOT_CASHFLOWS_FROM_INVESTING","FQ2 2022","FQ2 2022","Currency=USD","Period=FQ","BEST_FPERIOD_OVERRIDE=FQ","FILING_STATUS=MR","SCALING_FORMAT=MLN","Sort=A","Dates=H","DateFormat=P","Fill=—","Direction=H","UseDPDF=Y")</f>
        <v>131.602</v>
      </c>
      <c r="T28" s="19">
        <f>_xll.BDH("BLUE US Equity","ARD_TOT_CASHFLOWS_FROM_INVESTING","FQ3 2022","FQ3 2022","Currency=USD","Period=FQ","BEST_FPERIOD_OVERRIDE=FQ","FILING_STATUS=MR","SCALING_FORMAT=MLN","Sort=A","Dates=H","DateFormat=P","Fill=—","Direction=H","UseDPDF=Y")</f>
        <v>147.21100000000001</v>
      </c>
      <c r="U28" s="19">
        <f>_xll.BDH("BLUE US Equity","ARD_TOT_CASHFLOWS_FROM_INVESTING","FQ4 2022","FQ4 2022","Currency=USD","Period=FQ","BEST_FPERIOD_OVERRIDE=FQ","FILING_STATUS=MR","SCALING_FORMAT=MLN","Sort=A","Dates=H","DateFormat=P","Fill=—","Direction=H","UseDPDF=Y")</f>
        <v>250.453</v>
      </c>
      <c r="V28" s="19">
        <f>_xll.BDH("BLUE US Equity","ARD_TOT_CASHFLOWS_FROM_INVESTING","FQ1 2023","FQ1 2023","Currency=USD","Period=FQ","BEST_FPERIOD_OVERRIDE=FQ","FILING_STATUS=MR","SCALING_FORMAT=MLN","Sort=A","Dates=H","DateFormat=P","Fill=—","Direction=H","UseDPDF=Y")</f>
        <v>82.135999999999996</v>
      </c>
      <c r="W28" s="19">
        <f>_xll.BDH("BLUE US Equity","ARD_TOT_CASHFLOWS_FROM_INVESTING","FQ2 2023","FQ2 2023","Currency=USD","Period=FQ","BEST_FPERIOD_OVERRIDE=FQ","FILING_STATUS=MR","SCALING_FORMAT=MLN","Sort=A","Dates=H","DateFormat=P","Fill=—","Direction=H","UseDPDF=Y")</f>
        <v>89.081000000000003</v>
      </c>
      <c r="X28" s="19">
        <f>_xll.BDH("BLUE US Equity","ARD_TOT_CASHFLOWS_FROM_INVESTING","FQ3 2023","FQ3 2023","Currency=USD","Period=FQ","BEST_FPERIOD_OVERRIDE=FQ","FILING_STATUS=MR","SCALING_FORMAT=MLN","Sort=A","Dates=H","DateFormat=P","Fill=—","Direction=H","UseDPDF=Y")</f>
        <v>151.16399999999999</v>
      </c>
      <c r="Y28" s="19">
        <f>_xll.BDH("BLUE US Equity","ARD_TOT_CASHFLOWS_FROM_INVESTING","FQ1 2024","FQ1 2024","Currency=USD","Period=FQ","BEST_FPERIOD_OVERRIDE=FQ","FILING_STATUS=MR","SCALING_FORMAT=MLN","Sort=A","Dates=H","DateFormat=P","Fill=—","Direction=H","UseDPDF=Y")</f>
        <v>-0.65500000000000003</v>
      </c>
      <c r="Z28" s="19">
        <f>_xll.BDH("BLUE US Equity","ARD_TOT_CASHFLOWS_FROM_INVESTING","FQ2 2024","FQ2 2024","Currency=USD","Period=FQ","BEST_FPERIOD_OVERRIDE=FQ","FILING_STATUS=MR","SCALING_FORMAT=MLN","Sort=A","Dates=H","DateFormat=P","Fill=—","Direction=H","UseDPDF=Y")</f>
        <v>0.96599999999999997</v>
      </c>
      <c r="AA28" s="19">
        <f>_xll.BDH("BLUE US Equity","ARD_TOT_CASHFLOWS_FROM_INVESTING","FQ3 2024","FQ3 2024","Currency=USD","Period=FQ","BEST_FPERIOD_OVERRIDE=FQ","FILING_STATUS=MR","SCALING_FORMAT=MLN","Sort=A","Dates=H","DateFormat=P","Fill=—","Direction=H","UseDPDF=Y")</f>
        <v>1.4319999999999999</v>
      </c>
    </row>
    <row r="29" spans="1:27" x14ac:dyDescent="0.25">
      <c r="A29" s="10" t="s">
        <v>1206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1207</v>
      </c>
      <c r="B30" s="10" t="s">
        <v>1208</v>
      </c>
      <c r="C30" s="13" t="str">
        <f>_xll.BDH("BLUE US Equity","ARD_INCR_IN_LT_BORROW","FQ2 2018","FQ2 2018","Currency=USD","Period=FQ","BEST_FPERIOD_OVERRIDE=FQ","FILING_STATUS=MR","SCALING_FORMAT=MLN","Sort=A","Dates=H","DateFormat=P","Fill=—","Direction=H","UseDPDF=Y")</f>
        <v>—</v>
      </c>
      <c r="D30" s="13" t="str">
        <f>_xll.BDH("BLUE US Equity","ARD_INCR_IN_LT_BORROW","FQ3 2018","FQ3 2018","Currency=USD","Period=FQ","BEST_FPERIOD_OVERRIDE=FQ","FILING_STATUS=MR","SCALING_FORMAT=MLN","Sort=A","Dates=H","DateFormat=P","Fill=—","Direction=H","UseDPDF=Y")</f>
        <v>—</v>
      </c>
      <c r="E30" s="13" t="str">
        <f>_xll.BDH("BLUE US Equity","ARD_INCR_IN_LT_BORROW","FQ4 2018","FQ4 2018","Currency=USD","Period=FQ","BEST_FPERIOD_OVERRIDE=FQ","FILING_STATUS=MR","SCALING_FORMAT=MLN","Sort=A","Dates=H","DateFormat=P","Fill=—","Direction=H","UseDPDF=Y")</f>
        <v>—</v>
      </c>
      <c r="F30" s="13" t="str">
        <f>_xll.BDH("BLUE US Equity","ARD_INCR_IN_LT_BORROW","FQ1 2019","FQ1 2019","Currency=USD","Period=FQ","BEST_FPERIOD_OVERRIDE=FQ","FILING_STATUS=MR","SCALING_FORMAT=MLN","Sort=A","Dates=H","DateFormat=P","Fill=—","Direction=H","UseDPDF=Y")</f>
        <v>—</v>
      </c>
      <c r="G30" s="13" t="str">
        <f>_xll.BDH("BLUE US Equity","ARD_INCR_IN_LT_BORROW","FQ2 2019","FQ2 2019","Currency=USD","Period=FQ","BEST_FPERIOD_OVERRIDE=FQ","FILING_STATUS=MR","SCALING_FORMAT=MLN","Sort=A","Dates=H","DateFormat=P","Fill=—","Direction=H","UseDPDF=Y")</f>
        <v>—</v>
      </c>
      <c r="H30" s="13" t="str">
        <f>_xll.BDH("BLUE US Equity","ARD_INCR_IN_LT_BORROW","FQ3 2019","FQ3 2019","Currency=USD","Period=FQ","BEST_FPERIOD_OVERRIDE=FQ","FILING_STATUS=MR","SCALING_FORMAT=MLN","Sort=A","Dates=H","DateFormat=P","Fill=—","Direction=H","UseDPDF=Y")</f>
        <v>—</v>
      </c>
      <c r="I30" s="13" t="str">
        <f>_xll.BDH("BLUE US Equity","ARD_INCR_IN_LT_BORROW","FQ4 2019","FQ4 2019","Currency=USD","Period=FQ","BEST_FPERIOD_OVERRIDE=FQ","FILING_STATUS=MR","SCALING_FORMAT=MLN","Sort=A","Dates=H","DateFormat=P","Fill=—","Direction=H","UseDPDF=Y")</f>
        <v>—</v>
      </c>
      <c r="J30" s="13" t="str">
        <f>_xll.BDH("BLUE US Equity","ARD_INCR_IN_LT_BORROW","FQ1 2020","FQ1 2020","Currency=USD","Period=FQ","BEST_FPERIOD_OVERRIDE=FQ","FILING_STATUS=MR","SCALING_FORMAT=MLN","Sort=A","Dates=H","DateFormat=P","Fill=—","Direction=H","UseDPDF=Y")</f>
        <v>—</v>
      </c>
      <c r="K30" s="13" t="str">
        <f>_xll.BDH("BLUE US Equity","ARD_INCR_IN_LT_BORROW","FQ2 2020","FQ2 2020","Currency=USD","Period=FQ","BEST_FPERIOD_OVERRIDE=FQ","FILING_STATUS=MR","SCALING_FORMAT=MLN","Sort=A","Dates=H","DateFormat=P","Fill=—","Direction=H","UseDPDF=Y")</f>
        <v>—</v>
      </c>
      <c r="L30" s="13" t="str">
        <f>_xll.BDH("BLUE US Equity","ARD_INCR_IN_LT_BORROW","FQ3 2020","FQ3 2020","Currency=USD","Period=FQ","BEST_FPERIOD_OVERRIDE=FQ","FILING_STATUS=MR","SCALING_FORMAT=MLN","Sort=A","Dates=H","DateFormat=P","Fill=—","Direction=H","UseDPDF=Y")</f>
        <v>—</v>
      </c>
      <c r="M30" s="13" t="str">
        <f>_xll.BDH("BLUE US Equity","ARD_INCR_IN_LT_BORROW","FQ4 2020","FQ4 2020","Currency=USD","Period=FQ","BEST_FPERIOD_OVERRIDE=FQ","FILING_STATUS=MR","SCALING_FORMAT=MLN","Sort=A","Dates=H","DateFormat=P","Fill=—","Direction=H","UseDPDF=Y")</f>
        <v>—</v>
      </c>
      <c r="N30" s="13" t="str">
        <f>_xll.BDH("BLUE US Equity","ARD_INCR_IN_LT_BORROW","FQ1 2021","FQ1 2021","Currency=USD","Period=FQ","BEST_FPERIOD_OVERRIDE=FQ","FILING_STATUS=MR","SCALING_FORMAT=MLN","Sort=A","Dates=H","DateFormat=P","Fill=—","Direction=H","UseDPDF=Y")</f>
        <v>—</v>
      </c>
      <c r="O30" s="13" t="str">
        <f>_xll.BDH("BLUE US Equity","ARD_INCR_IN_LT_BORROW","FQ2 2021","FQ2 2021","Currency=USD","Period=FQ","BEST_FPERIOD_OVERRIDE=FQ","FILING_STATUS=MR","SCALING_FORMAT=MLN","Sort=A","Dates=H","DateFormat=P","Fill=—","Direction=H","UseDPDF=Y")</f>
        <v>—</v>
      </c>
      <c r="P30" s="13" t="str">
        <f>_xll.BDH("BLUE US Equity","ARD_INCR_IN_LT_BORROW","FQ3 2021","FQ3 2021","Currency=USD","Period=FQ","BEST_FPERIOD_OVERRIDE=FQ","FILING_STATUS=MR","SCALING_FORMAT=MLN","Sort=A","Dates=H","DateFormat=P","Fill=—","Direction=H","UseDPDF=Y")</f>
        <v>—</v>
      </c>
      <c r="Q30" s="13" t="str">
        <f>_xll.BDH("BLUE US Equity","ARD_INCR_IN_LT_BORROW","FQ4 2021","FQ4 2021","Currency=USD","Period=FQ","BEST_FPERIOD_OVERRIDE=FQ","FILING_STATUS=MR","SCALING_FORMAT=MLN","Sort=A","Dates=H","DateFormat=P","Fill=—","Direction=H","UseDPDF=Y")</f>
        <v>—</v>
      </c>
      <c r="R30" s="13" t="str">
        <f>_xll.BDH("BLUE US Equity","ARD_INCR_IN_LT_BORROW","FQ1 2022","FQ1 2022","Currency=USD","Period=FQ","BEST_FPERIOD_OVERRIDE=FQ","FILING_STATUS=MR","SCALING_FORMAT=MLN","Sort=A","Dates=H","DateFormat=P","Fill=—","Direction=H","UseDPDF=Y")</f>
        <v>—</v>
      </c>
      <c r="S30" s="13" t="str">
        <f>_xll.BDH("BLUE US Equity","ARD_INCR_IN_LT_BORROW","FQ2 2022","FQ2 2022","Currency=USD","Period=FQ","BEST_FPERIOD_OVERRIDE=FQ","FILING_STATUS=MR","SCALING_FORMAT=MLN","Sort=A","Dates=H","DateFormat=P","Fill=—","Direction=H","UseDPDF=Y")</f>
        <v>—</v>
      </c>
      <c r="T30" s="13" t="str">
        <f>_xll.BDH("BLUE US Equity","ARD_INCR_IN_LT_BORROW","FQ3 2022","FQ3 2022","Currency=USD","Period=FQ","BEST_FPERIOD_OVERRIDE=FQ","FILING_STATUS=MR","SCALING_FORMAT=MLN","Sort=A","Dates=H","DateFormat=P","Fill=—","Direction=H","UseDPDF=Y")</f>
        <v>—</v>
      </c>
      <c r="U30" s="13" t="str">
        <f>_xll.BDH("BLUE US Equity","ARD_INCR_IN_LT_BORROW","FQ4 2022","FQ4 2022","Currency=USD","Period=FQ","BEST_FPERIOD_OVERRIDE=FQ","FILING_STATUS=MR","SCALING_FORMAT=MLN","Sort=A","Dates=H","DateFormat=P","Fill=—","Direction=H","UseDPDF=Y")</f>
        <v>—</v>
      </c>
      <c r="V30" s="13">
        <f>_xll.BDH("BLUE US Equity","ARD_INCR_IN_LT_BORROW","FQ1 2023","FQ1 2023","Currency=USD","Period=FQ","BEST_FPERIOD_OVERRIDE=FQ","FILING_STATUS=MR","SCALING_FORMAT=MLN","Sort=A","Dates=H","DateFormat=P","Fill=—","Direction=H","UseDPDF=Y")</f>
        <v>0</v>
      </c>
      <c r="W30" s="13">
        <f>_xll.BDH("BLUE US Equity","ARD_INCR_IN_LT_BORROW","FQ2 2023","FQ2 2023","Currency=USD","Period=FQ","BEST_FPERIOD_OVERRIDE=FQ","FILING_STATUS=MR","SCALING_FORMAT=MLN","Sort=A","Dates=H","DateFormat=P","Fill=—","Direction=H","UseDPDF=Y")</f>
        <v>0</v>
      </c>
      <c r="X30" s="13">
        <f>_xll.BDH("BLUE US Equity","ARD_INCR_IN_LT_BORROW","FQ3 2023","FQ3 2023","Currency=USD","Period=FQ","BEST_FPERIOD_OVERRIDE=FQ","FILING_STATUS=MR","SCALING_FORMAT=MLN","Sort=A","Dates=H","DateFormat=P","Fill=—","Direction=H","UseDPDF=Y")</f>
        <v>0</v>
      </c>
      <c r="Y30" s="13">
        <f>_xll.BDH("BLUE US Equity","ARD_INCR_IN_LT_BORROW","FQ1 2024","FQ1 2024","Currency=USD","Period=FQ","BEST_FPERIOD_OVERRIDE=FQ","FILING_STATUS=MR","SCALING_FORMAT=MLN","Sort=A","Dates=H","DateFormat=P","Fill=—","Direction=H","UseDPDF=Y")</f>
        <v>2.669</v>
      </c>
      <c r="Z30" s="13">
        <f>_xll.BDH("BLUE US Equity","ARD_INCR_IN_LT_BORROW","FQ2 2024","FQ2 2024","Currency=USD","Period=FQ","BEST_FPERIOD_OVERRIDE=FQ","FILING_STATUS=MR","SCALING_FORMAT=MLN","Sort=A","Dates=H","DateFormat=P","Fill=—","Direction=H","UseDPDF=Y")</f>
        <v>2.669</v>
      </c>
      <c r="AA30" s="13">
        <f>_xll.BDH("BLUE US Equity","ARD_INCR_IN_LT_BORROW","FQ3 2024","FQ3 2024","Currency=USD","Period=FQ","BEST_FPERIOD_OVERRIDE=FQ","FILING_STATUS=MR","SCALING_FORMAT=MLN","Sort=A","Dates=H","DateFormat=P","Fill=—","Direction=H","UseDPDF=Y")</f>
        <v>2.669</v>
      </c>
    </row>
    <row r="31" spans="1:27" x14ac:dyDescent="0.25">
      <c r="A31" s="10" t="s">
        <v>1209</v>
      </c>
      <c r="B31" s="10" t="s">
        <v>1210</v>
      </c>
      <c r="C31" s="13" t="str">
        <f>_xll.BDH("BLUE US Equity","ARD_DECR_IN_LT_BORROW","FQ2 2018","FQ2 2018","Currency=USD","Period=FQ","BEST_FPERIOD_OVERRIDE=FQ","FILING_STATUS=MR","SCALING_FORMAT=MLN","Sort=A","Dates=H","DateFormat=P","Fill=—","Direction=H","UseDPDF=Y")</f>
        <v>—</v>
      </c>
      <c r="D31" s="13" t="str">
        <f>_xll.BDH("BLUE US Equity","ARD_DECR_IN_LT_BORROW","FQ3 2018","FQ3 2018","Currency=USD","Period=FQ","BEST_FPERIOD_OVERRIDE=FQ","FILING_STATUS=MR","SCALING_FORMAT=MLN","Sort=A","Dates=H","DateFormat=P","Fill=—","Direction=H","UseDPDF=Y")</f>
        <v>—</v>
      </c>
      <c r="E31" s="13" t="str">
        <f>_xll.BDH("BLUE US Equity","ARD_DECR_IN_LT_BORROW","FQ4 2018","FQ4 2018","Currency=USD","Period=FQ","BEST_FPERIOD_OVERRIDE=FQ","FILING_STATUS=MR","SCALING_FORMAT=MLN","Sort=A","Dates=H","DateFormat=P","Fill=—","Direction=H","UseDPDF=Y")</f>
        <v>—</v>
      </c>
      <c r="F31" s="13">
        <f>_xll.BDH("BLUE US Equity","ARD_DECR_IN_LT_BORROW","FQ1 2019","FQ1 2019","Currency=USD","Period=FQ","BEST_FPERIOD_OVERRIDE=FQ","FILING_STATUS=MR","SCALING_FORMAT=MLN","Sort=A","Dates=H","DateFormat=P","Fill=—","Direction=H","UseDPDF=Y")</f>
        <v>0</v>
      </c>
      <c r="G31" s="13">
        <f>_xll.BDH("BLUE US Equity","ARD_DECR_IN_LT_BORROW","FQ2 2019","FQ2 2019","Currency=USD","Period=FQ","BEST_FPERIOD_OVERRIDE=FQ","FILING_STATUS=MR","SCALING_FORMAT=MLN","Sort=A","Dates=H","DateFormat=P","Fill=—","Direction=H","UseDPDF=Y")</f>
        <v>0</v>
      </c>
      <c r="H31" s="13">
        <f>_xll.BDH("BLUE US Equity","ARD_DECR_IN_LT_BORROW","FQ3 2019","FQ3 2019","Currency=USD","Period=FQ","BEST_FPERIOD_OVERRIDE=FQ","FILING_STATUS=MR","SCALING_FORMAT=MLN","Sort=A","Dates=H","DateFormat=P","Fill=—","Direction=H","UseDPDF=Y")</f>
        <v>0</v>
      </c>
      <c r="I31" s="13">
        <f>_xll.BDH("BLUE US Equity","ARD_DECR_IN_LT_BORROW","FQ4 2019","FQ4 2019","Currency=USD","Period=FQ","BEST_FPERIOD_OVERRIDE=FQ","FILING_STATUS=MR","SCALING_FORMAT=MLN","Sort=A","Dates=H","DateFormat=P","Fill=—","Direction=H","UseDPDF=Y")</f>
        <v>0</v>
      </c>
      <c r="J31" s="13" t="str">
        <f>_xll.BDH("BLUE US Equity","ARD_DECR_IN_LT_BORROW","FQ1 2020","FQ1 2020","Currency=USD","Period=FQ","BEST_FPERIOD_OVERRIDE=FQ","FILING_STATUS=MR","SCALING_FORMAT=MLN","Sort=A","Dates=H","DateFormat=P","Fill=—","Direction=H","UseDPDF=Y")</f>
        <v>—</v>
      </c>
      <c r="K31" s="13" t="str">
        <f>_xll.BDH("BLUE US Equity","ARD_DECR_IN_LT_BORROW","FQ2 2020","FQ2 2020","Currency=USD","Period=FQ","BEST_FPERIOD_OVERRIDE=FQ","FILING_STATUS=MR","SCALING_FORMAT=MLN","Sort=A","Dates=H","DateFormat=P","Fill=—","Direction=H","UseDPDF=Y")</f>
        <v>—</v>
      </c>
      <c r="L31" s="13" t="str">
        <f>_xll.BDH("BLUE US Equity","ARD_DECR_IN_LT_BORROW","FQ3 2020","FQ3 2020","Currency=USD","Period=FQ","BEST_FPERIOD_OVERRIDE=FQ","FILING_STATUS=MR","SCALING_FORMAT=MLN","Sort=A","Dates=H","DateFormat=P","Fill=—","Direction=H","UseDPDF=Y")</f>
        <v>—</v>
      </c>
      <c r="M31" s="13">
        <f>_xll.BDH("BLUE US Equity","ARD_DECR_IN_LT_BORROW","FQ4 2020","FQ4 2020","Currency=USD","Period=FQ","BEST_FPERIOD_OVERRIDE=FQ","FILING_STATUS=MR","SCALING_FORMAT=MLN","Sort=A","Dates=H","DateFormat=P","Fill=—","Direction=H","UseDPDF=Y")</f>
        <v>0</v>
      </c>
      <c r="N31" s="13" t="str">
        <f>_xll.BDH("BLUE US Equity","ARD_DECR_IN_LT_BORROW","FQ1 2021","FQ1 2021","Currency=USD","Period=FQ","BEST_FPERIOD_OVERRIDE=FQ","FILING_STATUS=MR","SCALING_FORMAT=MLN","Sort=A","Dates=H","DateFormat=P","Fill=—","Direction=H","UseDPDF=Y")</f>
        <v>—</v>
      </c>
      <c r="O31" s="13" t="str">
        <f>_xll.BDH("BLUE US Equity","ARD_DECR_IN_LT_BORROW","FQ2 2021","FQ2 2021","Currency=USD","Period=FQ","BEST_FPERIOD_OVERRIDE=FQ","FILING_STATUS=MR","SCALING_FORMAT=MLN","Sort=A","Dates=H","DateFormat=P","Fill=—","Direction=H","UseDPDF=Y")</f>
        <v>—</v>
      </c>
      <c r="P31" s="13" t="str">
        <f>_xll.BDH("BLUE US Equity","ARD_DECR_IN_LT_BORROW","FQ3 2021","FQ3 2021","Currency=USD","Period=FQ","BEST_FPERIOD_OVERRIDE=FQ","FILING_STATUS=MR","SCALING_FORMAT=MLN","Sort=A","Dates=H","DateFormat=P","Fill=—","Direction=H","UseDPDF=Y")</f>
        <v>—</v>
      </c>
      <c r="Q31" s="13" t="str">
        <f>_xll.BDH("BLUE US Equity","ARD_DECR_IN_LT_BORROW","FQ4 2021","FQ4 2021","Currency=USD","Period=FQ","BEST_FPERIOD_OVERRIDE=FQ","FILING_STATUS=MR","SCALING_FORMAT=MLN","Sort=A","Dates=H","DateFormat=P","Fill=—","Direction=H","UseDPDF=Y")</f>
        <v>—</v>
      </c>
      <c r="R31" s="13" t="str">
        <f>_xll.BDH("BLUE US Equity","ARD_DECR_IN_LT_BORROW","FQ1 2022","FQ1 2022","Currency=USD","Period=FQ","BEST_FPERIOD_OVERRIDE=FQ","FILING_STATUS=MR","SCALING_FORMAT=MLN","Sort=A","Dates=H","DateFormat=P","Fill=—","Direction=H","UseDPDF=Y")</f>
        <v>—</v>
      </c>
      <c r="S31" s="13" t="str">
        <f>_xll.BDH("BLUE US Equity","ARD_DECR_IN_LT_BORROW","FQ2 2022","FQ2 2022","Currency=USD","Period=FQ","BEST_FPERIOD_OVERRIDE=FQ","FILING_STATUS=MR","SCALING_FORMAT=MLN","Sort=A","Dates=H","DateFormat=P","Fill=—","Direction=H","UseDPDF=Y")</f>
        <v>—</v>
      </c>
      <c r="T31" s="13" t="str">
        <f>_xll.BDH("BLUE US Equity","ARD_DECR_IN_LT_BORROW","FQ3 2022","FQ3 2022","Currency=USD","Period=FQ","BEST_FPERIOD_OVERRIDE=FQ","FILING_STATUS=MR","SCALING_FORMAT=MLN","Sort=A","Dates=H","DateFormat=P","Fill=—","Direction=H","UseDPDF=Y")</f>
        <v>—</v>
      </c>
      <c r="U31" s="13" t="str">
        <f>_xll.BDH("BLUE US Equity","ARD_DECR_IN_LT_BORROW","FQ4 2022","FQ4 2022","Currency=USD","Period=FQ","BEST_FPERIOD_OVERRIDE=FQ","FILING_STATUS=MR","SCALING_FORMAT=MLN","Sort=A","Dates=H","DateFormat=P","Fill=—","Direction=H","UseDPDF=Y")</f>
        <v>—</v>
      </c>
      <c r="V31" s="13">
        <f>_xll.BDH("BLUE US Equity","ARD_DECR_IN_LT_BORROW","FQ1 2023","FQ1 2023","Currency=USD","Period=FQ","BEST_FPERIOD_OVERRIDE=FQ","FILING_STATUS=MR","SCALING_FORMAT=MLN","Sort=A","Dates=H","DateFormat=P","Fill=—","Direction=H","UseDPDF=Y")</f>
        <v>0</v>
      </c>
      <c r="W31" s="13">
        <f>_xll.BDH("BLUE US Equity","ARD_DECR_IN_LT_BORROW","FQ2 2023","FQ2 2023","Currency=USD","Period=FQ","BEST_FPERIOD_OVERRIDE=FQ","FILING_STATUS=MR","SCALING_FORMAT=MLN","Sort=A","Dates=H","DateFormat=P","Fill=—","Direction=H","UseDPDF=Y")</f>
        <v>0</v>
      </c>
      <c r="X31" s="13">
        <f>_xll.BDH("BLUE US Equity","ARD_DECR_IN_LT_BORROW","FQ3 2023","FQ3 2023","Currency=USD","Period=FQ","BEST_FPERIOD_OVERRIDE=FQ","FILING_STATUS=MR","SCALING_FORMAT=MLN","Sort=A","Dates=H","DateFormat=P","Fill=—","Direction=H","UseDPDF=Y")</f>
        <v>0</v>
      </c>
      <c r="Y31" s="13">
        <f>_xll.BDH("BLUE US Equity","ARD_DECR_IN_LT_BORROW","FQ1 2024","FQ1 2024","Currency=USD","Period=FQ","BEST_FPERIOD_OVERRIDE=FQ","FILING_STATUS=MR","SCALING_FORMAT=MLN","Sort=A","Dates=H","DateFormat=P","Fill=—","Direction=H","UseDPDF=Y")</f>
        <v>-2.25</v>
      </c>
      <c r="Z31" s="13">
        <f>_xll.BDH("BLUE US Equity","ARD_DECR_IN_LT_BORROW","FQ2 2024","FQ2 2024","Currency=USD","Period=FQ","BEST_FPERIOD_OVERRIDE=FQ","FILING_STATUS=MR","SCALING_FORMAT=MLN","Sort=A","Dates=H","DateFormat=P","Fill=—","Direction=H","UseDPDF=Y")</f>
        <v>-2.5760000000000001</v>
      </c>
      <c r="AA31" s="13">
        <f>_xll.BDH("BLUE US Equity","ARD_DECR_IN_LT_BORROW","FQ3 2024","FQ3 2024","Currency=USD","Period=FQ","BEST_FPERIOD_OVERRIDE=FQ","FILING_STATUS=MR","SCALING_FORMAT=MLN","Sort=A","Dates=H","DateFormat=P","Fill=—","Direction=H","UseDPDF=Y")</f>
        <v>-2.5760000000000001</v>
      </c>
    </row>
    <row r="32" spans="1:27" x14ac:dyDescent="0.25">
      <c r="A32" s="10" t="s">
        <v>1211</v>
      </c>
      <c r="B32" s="10" t="s">
        <v>1212</v>
      </c>
      <c r="C32" s="13">
        <f>_xll.BDH("BLUE US Equity","ARD_ISSUANCE_OF_COMMON_STOCK","FQ2 2018","FQ2 2018","Currency=USD","Period=FQ","BEST_FPERIOD_OVERRIDE=FQ","FILING_STATUS=MR","SCALING_FORMAT=MLN","Sort=A","Dates=H","DateFormat=P","Fill=—","Direction=H","UseDPDF=Y")</f>
        <v>25.623999999999999</v>
      </c>
      <c r="D32" s="13">
        <f>_xll.BDH("BLUE US Equity","ARD_ISSUANCE_OF_COMMON_STOCK","FQ3 2018","FQ3 2018","Currency=USD","Period=FQ","BEST_FPERIOD_OVERRIDE=FQ","FILING_STATUS=MR","SCALING_FORMAT=MLN","Sort=A","Dates=H","DateFormat=P","Fill=—","Direction=H","UseDPDF=Y")</f>
        <v>84.034000000000006</v>
      </c>
      <c r="E32" s="13">
        <f>_xll.BDH("BLUE US Equity","ARD_ISSUANCE_OF_COMMON_STOCK","FQ4 2018","FQ4 2018","Currency=USD","Period=FQ","BEST_FPERIOD_OVERRIDE=FQ","FILING_STATUS=MR","SCALING_FORMAT=MLN","Sort=A","Dates=H","DateFormat=P","Fill=—","Direction=H","UseDPDF=Y")</f>
        <v>84.034000000000006</v>
      </c>
      <c r="F32" s="13" t="str">
        <f>_xll.BDH("BLUE US Equity","ARD_ISSUANCE_OF_COMMON_STOCK","FQ1 2019","FQ1 2019","Currency=USD","Period=FQ","BEST_FPERIOD_OVERRIDE=FQ","FILING_STATUS=MR","SCALING_FORMAT=MLN","Sort=A","Dates=H","DateFormat=P","Fill=—","Direction=H","UseDPDF=Y")</f>
        <v>—</v>
      </c>
      <c r="G32" s="13" t="str">
        <f>_xll.BDH("BLUE US Equity","ARD_ISSUANCE_OF_COMMON_STOCK","FQ2 2019","FQ2 2019","Currency=USD","Period=FQ","BEST_FPERIOD_OVERRIDE=FQ","FILING_STATUS=MR","SCALING_FORMAT=MLN","Sort=A","Dates=H","DateFormat=P","Fill=—","Direction=H","UseDPDF=Y")</f>
        <v>—</v>
      </c>
      <c r="H32" s="13">
        <f>_xll.BDH("BLUE US Equity","ARD_ISSUANCE_OF_COMMON_STOCK","FQ3 2019","FQ3 2019","Currency=USD","Period=FQ","BEST_FPERIOD_OVERRIDE=FQ","FILING_STATUS=MR","SCALING_FORMAT=MLN","Sort=A","Dates=H","DateFormat=P","Fill=—","Direction=H","UseDPDF=Y")</f>
        <v>0</v>
      </c>
      <c r="I32" s="13">
        <f>_xll.BDH("BLUE US Equity","ARD_ISSUANCE_OF_COMMON_STOCK","FQ4 2019","FQ4 2019","Currency=USD","Period=FQ","BEST_FPERIOD_OVERRIDE=FQ","FILING_STATUS=MR","SCALING_FORMAT=MLN","Sort=A","Dates=H","DateFormat=P","Fill=—","Direction=H","UseDPDF=Y")</f>
        <v>0</v>
      </c>
      <c r="J32" s="13" t="str">
        <f>_xll.BDH("BLUE US Equity","ARD_ISSUANCE_OF_COMMON_STOCK","FQ1 2020","FQ1 2020","Currency=USD","Period=FQ","BEST_FPERIOD_OVERRIDE=FQ","FILING_STATUS=MR","SCALING_FORMAT=MLN","Sort=A","Dates=H","DateFormat=P","Fill=—","Direction=H","UseDPDF=Y")</f>
        <v>—</v>
      </c>
      <c r="K32" s="13">
        <f>_xll.BDH("BLUE US Equity","ARD_ISSUANCE_OF_COMMON_STOCK","FQ2 2020","FQ2 2020","Currency=USD","Period=FQ","BEST_FPERIOD_OVERRIDE=FQ","FILING_STATUS=MR","SCALING_FORMAT=MLN","Sort=A","Dates=H","DateFormat=P","Fill=—","Direction=H","UseDPDF=Y")</f>
        <v>541.53599999999994</v>
      </c>
      <c r="L32" s="13">
        <f>_xll.BDH("BLUE US Equity","ARD_ISSUANCE_OF_COMMON_STOCK","FQ3 2020","FQ3 2020","Currency=USD","Period=FQ","BEST_FPERIOD_OVERRIDE=FQ","FILING_STATUS=MR","SCALING_FORMAT=MLN","Sort=A","Dates=H","DateFormat=P","Fill=—","Direction=H","UseDPDF=Y")</f>
        <v>541.53599999999994</v>
      </c>
      <c r="M32" s="13">
        <f>_xll.BDH("BLUE US Equity","ARD_ISSUANCE_OF_COMMON_STOCK","FQ4 2020","FQ4 2020","Currency=USD","Period=FQ","BEST_FPERIOD_OVERRIDE=FQ","FILING_STATUS=MR","SCALING_FORMAT=MLN","Sort=A","Dates=H","DateFormat=P","Fill=—","Direction=H","UseDPDF=Y")</f>
        <v>541.53599999999994</v>
      </c>
      <c r="N32" s="13" t="str">
        <f>_xll.BDH("BLUE US Equity","ARD_ISSUANCE_OF_COMMON_STOCK","FQ1 2021","FQ1 2021","Currency=USD","Period=FQ","BEST_FPERIOD_OVERRIDE=FQ","FILING_STATUS=MR","SCALING_FORMAT=MLN","Sort=A","Dates=H","DateFormat=P","Fill=—","Direction=H","UseDPDF=Y")</f>
        <v>—</v>
      </c>
      <c r="O32" s="13">
        <f>_xll.BDH("BLUE US Equity","ARD_ISSUANCE_OF_COMMON_STOCK","FQ2 2021","FQ2 2021","Currency=USD","Period=FQ","BEST_FPERIOD_OVERRIDE=FQ","FILING_STATUS=MR","SCALING_FORMAT=MLN","Sort=A","Dates=H","DateFormat=P","Fill=—","Direction=H","UseDPDF=Y")</f>
        <v>0</v>
      </c>
      <c r="P32" s="13">
        <f>_xll.BDH("BLUE US Equity","ARD_ISSUANCE_OF_COMMON_STOCK","FQ3 2021","FQ3 2021","Currency=USD","Period=FQ","BEST_FPERIOD_OVERRIDE=FQ","FILING_STATUS=MR","SCALING_FORMAT=MLN","Sort=A","Dates=H","DateFormat=P","Fill=—","Direction=H","UseDPDF=Y")</f>
        <v>74.981999999999999</v>
      </c>
      <c r="Q32" s="13">
        <f>_xll.BDH("BLUE US Equity","ARD_ISSUANCE_OF_COMMON_STOCK","FQ4 2021","FQ4 2021","Currency=USD","Period=FQ","BEST_FPERIOD_OVERRIDE=FQ","FILING_STATUS=MR","SCALING_FORMAT=MLN","Sort=A","Dates=H","DateFormat=P","Fill=—","Direction=H","UseDPDF=Y")</f>
        <v>74.974999999999994</v>
      </c>
      <c r="R32" s="13" t="str">
        <f>_xll.BDH("BLUE US Equity","ARD_ISSUANCE_OF_COMMON_STOCK","FQ1 2022","FQ1 2022","Currency=USD","Period=FQ","BEST_FPERIOD_OVERRIDE=FQ","FILING_STATUS=MR","SCALING_FORMAT=MLN","Sort=A","Dates=H","DateFormat=P","Fill=—","Direction=H","UseDPDF=Y")</f>
        <v>—</v>
      </c>
      <c r="S32" s="13">
        <f>_xll.BDH("BLUE US Equity","ARD_ISSUANCE_OF_COMMON_STOCK","FQ2 2022","FQ2 2022","Currency=USD","Period=FQ","BEST_FPERIOD_OVERRIDE=FQ","FILING_STATUS=MR","SCALING_FORMAT=MLN","Sort=A","Dates=H","DateFormat=P","Fill=—","Direction=H","UseDPDF=Y")</f>
        <v>8.0429999999999993</v>
      </c>
      <c r="T32" s="13">
        <f>_xll.BDH("BLUE US Equity","ARD_ISSUANCE_OF_COMMON_STOCK","FQ3 2022","FQ3 2022","Currency=USD","Period=FQ","BEST_FPERIOD_OVERRIDE=FQ","FILING_STATUS=MR","SCALING_FORMAT=MLN","Sort=A","Dates=H","DateFormat=P","Fill=—","Direction=H","UseDPDF=Y")</f>
        <v>54.365000000000002</v>
      </c>
      <c r="U32" s="13">
        <f>_xll.BDH("BLUE US Equity","ARD_ISSUANCE_OF_COMMON_STOCK","FQ4 2022","FQ4 2022","Currency=USD","Period=FQ","BEST_FPERIOD_OVERRIDE=FQ","FILING_STATUS=MR","SCALING_FORMAT=MLN","Sort=A","Dates=H","DateFormat=P","Fill=—","Direction=H","UseDPDF=Y")</f>
        <v>54.237000000000002</v>
      </c>
      <c r="V32" s="13">
        <f>_xll.BDH("BLUE US Equity","ARD_ISSUANCE_OF_COMMON_STOCK","FQ1 2023","FQ1 2023","Currency=USD","Period=FQ","BEST_FPERIOD_OVERRIDE=FQ","FILING_STATUS=MR","SCALING_FORMAT=MLN","Sort=A","Dates=H","DateFormat=P","Fill=—","Direction=H","UseDPDF=Y")</f>
        <v>130.64500000000001</v>
      </c>
      <c r="W32" s="13">
        <f>_xll.BDH("BLUE US Equity","ARD_ISSUANCE_OF_COMMON_STOCK","FQ2 2023","FQ2 2023","Currency=USD","Period=FQ","BEST_FPERIOD_OVERRIDE=FQ","FILING_STATUS=MR","SCALING_FORMAT=MLN","Sort=A","Dates=H","DateFormat=P","Fill=—","Direction=H","UseDPDF=Y")</f>
        <v>130.12200000000001</v>
      </c>
      <c r="X32" s="13">
        <f>_xll.BDH("BLUE US Equity","ARD_ISSUANCE_OF_COMMON_STOCK","FQ3 2023","FQ3 2023","Currency=USD","Period=FQ","BEST_FPERIOD_OVERRIDE=FQ","FILING_STATUS=MR","SCALING_FORMAT=MLN","Sort=A","Dates=H","DateFormat=P","Fill=—","Direction=H","UseDPDF=Y")</f>
        <v>130.072</v>
      </c>
      <c r="Y32" s="13">
        <f>_xll.BDH("BLUE US Equity","ARD_ISSUANCE_OF_COMMON_STOCK","FQ1 2024","FQ1 2024","Currency=USD","Period=FQ","BEST_FPERIOD_OVERRIDE=FQ","FILING_STATUS=MR","SCALING_FORMAT=MLN","Sort=A","Dates=H","DateFormat=P","Fill=—","Direction=H","UseDPDF=Y")</f>
        <v>0</v>
      </c>
      <c r="Z32" s="13">
        <f>_xll.BDH("BLUE US Equity","ARD_ISSUANCE_OF_COMMON_STOCK","FQ2 2024","FQ2 2024","Currency=USD","Period=FQ","BEST_FPERIOD_OVERRIDE=FQ","FILING_STATUS=MR","SCALING_FORMAT=MLN","Sort=A","Dates=H","DateFormat=P","Fill=—","Direction=H","UseDPDF=Y")</f>
        <v>0</v>
      </c>
      <c r="AA32" s="13">
        <f>_xll.BDH("BLUE US Equity","ARD_ISSUANCE_OF_COMMON_STOCK","FQ3 2024","FQ3 2024","Currency=USD","Period=FQ","BEST_FPERIOD_OVERRIDE=FQ","FILING_STATUS=MR","SCALING_FORMAT=MLN","Sort=A","Dates=H","DateFormat=P","Fill=—","Direction=H","UseDPDF=Y")</f>
        <v>0</v>
      </c>
    </row>
    <row r="33" spans="1:27" x14ac:dyDescent="0.25">
      <c r="A33" s="10" t="s">
        <v>1213</v>
      </c>
      <c r="B33" s="10" t="s">
        <v>1214</v>
      </c>
      <c r="C33" s="13" t="str">
        <f>_xll.BDH("BLUE US Equity","ARD_DEBT_FIN_ISSUANCE_COSTS","FQ2 2018","FQ2 2018","Currency=USD","Period=FQ","BEST_FPERIOD_OVERRIDE=FQ","FILING_STATUS=MR","SCALING_FORMAT=MLN","Sort=A","Dates=H","DateFormat=P","Fill=—","Direction=H","UseDPDF=Y")</f>
        <v>—</v>
      </c>
      <c r="D33" s="13" t="str">
        <f>_xll.BDH("BLUE US Equity","ARD_DEBT_FIN_ISSUANCE_COSTS","FQ3 2018","FQ3 2018","Currency=USD","Period=FQ","BEST_FPERIOD_OVERRIDE=FQ","FILING_STATUS=MR","SCALING_FORMAT=MLN","Sort=A","Dates=H","DateFormat=P","Fill=—","Direction=H","UseDPDF=Y")</f>
        <v>—</v>
      </c>
      <c r="E33" s="13" t="str">
        <f>_xll.BDH("BLUE US Equity","ARD_DEBT_FIN_ISSUANCE_COSTS","FQ4 2018","FQ4 2018","Currency=USD","Period=FQ","BEST_FPERIOD_OVERRIDE=FQ","FILING_STATUS=MR","SCALING_FORMAT=MLN","Sort=A","Dates=H","DateFormat=P","Fill=—","Direction=H","UseDPDF=Y")</f>
        <v>—</v>
      </c>
      <c r="F33" s="13" t="str">
        <f>_xll.BDH("BLUE US Equity","ARD_DEBT_FIN_ISSUANCE_COSTS","FQ1 2019","FQ1 2019","Currency=USD","Period=FQ","BEST_FPERIOD_OVERRIDE=FQ","FILING_STATUS=MR","SCALING_FORMAT=MLN","Sort=A","Dates=H","DateFormat=P","Fill=—","Direction=H","UseDPDF=Y")</f>
        <v>—</v>
      </c>
      <c r="G33" s="13" t="str">
        <f>_xll.BDH("BLUE US Equity","ARD_DEBT_FIN_ISSUANCE_COSTS","FQ2 2019","FQ2 2019","Currency=USD","Period=FQ","BEST_FPERIOD_OVERRIDE=FQ","FILING_STATUS=MR","SCALING_FORMAT=MLN","Sort=A","Dates=H","DateFormat=P","Fill=—","Direction=H","UseDPDF=Y")</f>
        <v>—</v>
      </c>
      <c r="H33" s="13" t="str">
        <f>_xll.BDH("BLUE US Equity","ARD_DEBT_FIN_ISSUANCE_COSTS","FQ3 2019","FQ3 2019","Currency=USD","Period=FQ","BEST_FPERIOD_OVERRIDE=FQ","FILING_STATUS=MR","SCALING_FORMAT=MLN","Sort=A","Dates=H","DateFormat=P","Fill=—","Direction=H","UseDPDF=Y")</f>
        <v>—</v>
      </c>
      <c r="I33" s="13" t="str">
        <f>_xll.BDH("BLUE US Equity","ARD_DEBT_FIN_ISSUANCE_COSTS","FQ4 2019","FQ4 2019","Currency=USD","Period=FQ","BEST_FPERIOD_OVERRIDE=FQ","FILING_STATUS=MR","SCALING_FORMAT=MLN","Sort=A","Dates=H","DateFormat=P","Fill=—","Direction=H","UseDPDF=Y")</f>
        <v>—</v>
      </c>
      <c r="J33" s="13" t="str">
        <f>_xll.BDH("BLUE US Equity","ARD_DEBT_FIN_ISSUANCE_COSTS","FQ1 2020","FQ1 2020","Currency=USD","Period=FQ","BEST_FPERIOD_OVERRIDE=FQ","FILING_STATUS=MR","SCALING_FORMAT=MLN","Sort=A","Dates=H","DateFormat=P","Fill=—","Direction=H","UseDPDF=Y")</f>
        <v>—</v>
      </c>
      <c r="K33" s="13" t="str">
        <f>_xll.BDH("BLUE US Equity","ARD_DEBT_FIN_ISSUANCE_COSTS","FQ2 2020","FQ2 2020","Currency=USD","Period=FQ","BEST_FPERIOD_OVERRIDE=FQ","FILING_STATUS=MR","SCALING_FORMAT=MLN","Sort=A","Dates=H","DateFormat=P","Fill=—","Direction=H","UseDPDF=Y")</f>
        <v>—</v>
      </c>
      <c r="L33" s="13" t="str">
        <f>_xll.BDH("BLUE US Equity","ARD_DEBT_FIN_ISSUANCE_COSTS","FQ3 2020","FQ3 2020","Currency=USD","Period=FQ","BEST_FPERIOD_OVERRIDE=FQ","FILING_STATUS=MR","SCALING_FORMAT=MLN","Sort=A","Dates=H","DateFormat=P","Fill=—","Direction=H","UseDPDF=Y")</f>
        <v>—</v>
      </c>
      <c r="M33" s="13" t="str">
        <f>_xll.BDH("BLUE US Equity","ARD_DEBT_FIN_ISSUANCE_COSTS","FQ4 2020","FQ4 2020","Currency=USD","Period=FQ","BEST_FPERIOD_OVERRIDE=FQ","FILING_STATUS=MR","SCALING_FORMAT=MLN","Sort=A","Dates=H","DateFormat=P","Fill=—","Direction=H","UseDPDF=Y")</f>
        <v>—</v>
      </c>
      <c r="N33" s="13" t="str">
        <f>_xll.BDH("BLUE US Equity","ARD_DEBT_FIN_ISSUANCE_COSTS","FQ1 2021","FQ1 2021","Currency=USD","Period=FQ","BEST_FPERIOD_OVERRIDE=FQ","FILING_STATUS=MR","SCALING_FORMAT=MLN","Sort=A","Dates=H","DateFormat=P","Fill=—","Direction=H","UseDPDF=Y")</f>
        <v>—</v>
      </c>
      <c r="O33" s="13" t="str">
        <f>_xll.BDH("BLUE US Equity","ARD_DEBT_FIN_ISSUANCE_COSTS","FQ2 2021","FQ2 2021","Currency=USD","Period=FQ","BEST_FPERIOD_OVERRIDE=FQ","FILING_STATUS=MR","SCALING_FORMAT=MLN","Sort=A","Dates=H","DateFormat=P","Fill=—","Direction=H","UseDPDF=Y")</f>
        <v>—</v>
      </c>
      <c r="P33" s="13" t="str">
        <f>_xll.BDH("BLUE US Equity","ARD_DEBT_FIN_ISSUANCE_COSTS","FQ3 2021","FQ3 2021","Currency=USD","Period=FQ","BEST_FPERIOD_OVERRIDE=FQ","FILING_STATUS=MR","SCALING_FORMAT=MLN","Sort=A","Dates=H","DateFormat=P","Fill=—","Direction=H","UseDPDF=Y")</f>
        <v>—</v>
      </c>
      <c r="Q33" s="13" t="str">
        <f>_xll.BDH("BLUE US Equity","ARD_DEBT_FIN_ISSUANCE_COSTS","FQ4 2021","FQ4 2021","Currency=USD","Period=FQ","BEST_FPERIOD_OVERRIDE=FQ","FILING_STATUS=MR","SCALING_FORMAT=MLN","Sort=A","Dates=H","DateFormat=P","Fill=—","Direction=H","UseDPDF=Y")</f>
        <v>—</v>
      </c>
      <c r="R33" s="13" t="str">
        <f>_xll.BDH("BLUE US Equity","ARD_DEBT_FIN_ISSUANCE_COSTS","FQ1 2022","FQ1 2022","Currency=USD","Period=FQ","BEST_FPERIOD_OVERRIDE=FQ","FILING_STATUS=MR","SCALING_FORMAT=MLN","Sort=A","Dates=H","DateFormat=P","Fill=—","Direction=H","UseDPDF=Y")</f>
        <v>—</v>
      </c>
      <c r="S33" s="13" t="str">
        <f>_xll.BDH("BLUE US Equity","ARD_DEBT_FIN_ISSUANCE_COSTS","FQ2 2022","FQ2 2022","Currency=USD","Period=FQ","BEST_FPERIOD_OVERRIDE=FQ","FILING_STATUS=MR","SCALING_FORMAT=MLN","Sort=A","Dates=H","DateFormat=P","Fill=—","Direction=H","UseDPDF=Y")</f>
        <v>—</v>
      </c>
      <c r="T33" s="13" t="str">
        <f>_xll.BDH("BLUE US Equity","ARD_DEBT_FIN_ISSUANCE_COSTS","FQ3 2022","FQ3 2022","Currency=USD","Period=FQ","BEST_FPERIOD_OVERRIDE=FQ","FILING_STATUS=MR","SCALING_FORMAT=MLN","Sort=A","Dates=H","DateFormat=P","Fill=—","Direction=H","UseDPDF=Y")</f>
        <v>—</v>
      </c>
      <c r="U33" s="13" t="str">
        <f>_xll.BDH("BLUE US Equity","ARD_DEBT_FIN_ISSUANCE_COSTS","FQ4 2022","FQ4 2022","Currency=USD","Period=FQ","BEST_FPERIOD_OVERRIDE=FQ","FILING_STATUS=MR","SCALING_FORMAT=MLN","Sort=A","Dates=H","DateFormat=P","Fill=—","Direction=H","UseDPDF=Y")</f>
        <v>—</v>
      </c>
      <c r="V33" s="13">
        <f>_xll.BDH("BLUE US Equity","ARD_DEBT_FIN_ISSUANCE_COSTS","FQ1 2023","FQ1 2023","Currency=USD","Period=FQ","BEST_FPERIOD_OVERRIDE=FQ","FILING_STATUS=MR","SCALING_FORMAT=MLN","Sort=A","Dates=H","DateFormat=P","Fill=—","Direction=H","UseDPDF=Y")</f>
        <v>0</v>
      </c>
      <c r="W33" s="13">
        <f>_xll.BDH("BLUE US Equity","ARD_DEBT_FIN_ISSUANCE_COSTS","FQ2 2023","FQ2 2023","Currency=USD","Period=FQ","BEST_FPERIOD_OVERRIDE=FQ","FILING_STATUS=MR","SCALING_FORMAT=MLN","Sort=A","Dates=H","DateFormat=P","Fill=—","Direction=H","UseDPDF=Y")</f>
        <v>0</v>
      </c>
      <c r="X33" s="13">
        <f>_xll.BDH("BLUE US Equity","ARD_DEBT_FIN_ISSUANCE_COSTS","FQ3 2023","FQ3 2023","Currency=USD","Period=FQ","BEST_FPERIOD_OVERRIDE=FQ","FILING_STATUS=MR","SCALING_FORMAT=MLN","Sort=A","Dates=H","DateFormat=P","Fill=—","Direction=H","UseDPDF=Y")</f>
        <v>0</v>
      </c>
      <c r="Y33" s="13">
        <f>_xll.BDH("BLUE US Equity","ARD_DEBT_FIN_ISSUANCE_COSTS","FQ1 2024","FQ1 2024","Currency=USD","Period=FQ","BEST_FPERIOD_OVERRIDE=FQ","FILING_STATUS=MR","SCALING_FORMAT=MLN","Sort=A","Dates=H","DateFormat=P","Fill=—","Direction=H","UseDPDF=Y")</f>
        <v>71.316000000000003</v>
      </c>
      <c r="Z33" s="13">
        <f>_xll.BDH("BLUE US Equity","ARD_DEBT_FIN_ISSUANCE_COSTS","FQ2 2024","FQ2 2024","Currency=USD","Period=FQ","BEST_FPERIOD_OVERRIDE=FQ","FILING_STATUS=MR","SCALING_FORMAT=MLN","Sort=A","Dates=H","DateFormat=P","Fill=—","Direction=H","UseDPDF=Y")</f>
        <v>71.316000000000003</v>
      </c>
      <c r="AA33" s="13">
        <f>_xll.BDH("BLUE US Equity","ARD_DEBT_FIN_ISSUANCE_COSTS","FQ3 2024","FQ3 2024","Currency=USD","Period=FQ","BEST_FPERIOD_OVERRIDE=FQ","FILING_STATUS=MR","SCALING_FORMAT=MLN","Sort=A","Dates=H","DateFormat=P","Fill=—","Direction=H","UseDPDF=Y")</f>
        <v>71.316000000000003</v>
      </c>
    </row>
    <row r="34" spans="1:27" x14ac:dyDescent="0.25">
      <c r="A34" s="10" t="s">
        <v>1215</v>
      </c>
      <c r="B34" s="10" t="s">
        <v>1216</v>
      </c>
      <c r="C34" s="13">
        <f>_xll.BDH("BLUE US Equity","ARD_OTHER_FINANCING_ACTIVITIES","FQ2 2018","FQ2 2018","Currency=USD","Period=FQ","BEST_FPERIOD_OVERRIDE=FQ","FILING_STATUS=MR","SCALING_FORMAT=MLN","Sort=A","Dates=H","DateFormat=P","Fill=—","Direction=H","UseDPDF=Y")</f>
        <v>2.6520000000000001</v>
      </c>
      <c r="D34" s="13">
        <f>_xll.BDH("BLUE US Equity","ARD_OTHER_FINANCING_ACTIVITIES","FQ3 2018","FQ3 2018","Currency=USD","Period=FQ","BEST_FPERIOD_OVERRIDE=FQ","FILING_STATUS=MR","SCALING_FORMAT=MLN","Sort=A","Dates=H","DateFormat=P","Fill=—","Direction=H","UseDPDF=Y")</f>
        <v>2.37</v>
      </c>
      <c r="E34" s="13">
        <f>_xll.BDH("BLUE US Equity","ARD_OTHER_FINANCING_ACTIVITIES","FQ4 2018","FQ4 2018","Currency=USD","Period=FQ","BEST_FPERIOD_OVERRIDE=FQ","FILING_STATUS=MR","SCALING_FORMAT=MLN","Sort=A","Dates=H","DateFormat=P","Fill=—","Direction=H","UseDPDF=Y")</f>
        <v>2.081</v>
      </c>
      <c r="F34" s="13">
        <f>_xll.BDH("BLUE US Equity","ARD_OTHER_FINANCING_ACTIVITIES","FQ1 2019","FQ1 2019","Currency=USD","Period=FQ","BEST_FPERIOD_OVERRIDE=FQ","FILING_STATUS=MR","SCALING_FORMAT=MLN","Sort=A","Dates=H","DateFormat=P","Fill=—","Direction=H","UseDPDF=Y")</f>
        <v>0</v>
      </c>
      <c r="G34" s="13">
        <f>_xll.BDH("BLUE US Equity","ARD_OTHER_FINANCING_ACTIVITIES","FQ2 2019","FQ2 2019","Currency=USD","Period=FQ","BEST_FPERIOD_OVERRIDE=FQ","FILING_STATUS=MR","SCALING_FORMAT=MLN","Sort=A","Dates=H","DateFormat=P","Fill=—","Direction=H","UseDPDF=Y")</f>
        <v>0</v>
      </c>
      <c r="H34" s="13">
        <f>_xll.BDH("BLUE US Equity","ARD_OTHER_FINANCING_ACTIVITIES","FQ3 2019","FQ3 2019","Currency=USD","Period=FQ","BEST_FPERIOD_OVERRIDE=FQ","FILING_STATUS=MR","SCALING_FORMAT=MLN","Sort=A","Dates=H","DateFormat=P","Fill=—","Direction=H","UseDPDF=Y")</f>
        <v>0</v>
      </c>
      <c r="I34" s="13">
        <f>_xll.BDH("BLUE US Equity","ARD_OTHER_FINANCING_ACTIVITIES","FQ4 2019","FQ4 2019","Currency=USD","Period=FQ","BEST_FPERIOD_OVERRIDE=FQ","FILING_STATUS=MR","SCALING_FORMAT=MLN","Sort=A","Dates=H","DateFormat=P","Fill=—","Direction=H","UseDPDF=Y")</f>
        <v>0</v>
      </c>
      <c r="J34" s="13" t="str">
        <f>_xll.BDH("BLUE US Equity","ARD_OTHER_FINANCING_ACTIVITIES","FQ1 2020","FQ1 2020","Currency=USD","Period=FQ","BEST_FPERIOD_OVERRIDE=FQ","FILING_STATUS=MR","SCALING_FORMAT=MLN","Sort=A","Dates=H","DateFormat=P","Fill=—","Direction=H","UseDPDF=Y")</f>
        <v>—</v>
      </c>
      <c r="K34" s="13" t="str">
        <f>_xll.BDH("BLUE US Equity","ARD_OTHER_FINANCING_ACTIVITIES","FQ2 2020","FQ2 2020","Currency=USD","Period=FQ","BEST_FPERIOD_OVERRIDE=FQ","FILING_STATUS=MR","SCALING_FORMAT=MLN","Sort=A","Dates=H","DateFormat=P","Fill=—","Direction=H","UseDPDF=Y")</f>
        <v>—</v>
      </c>
      <c r="L34" s="13" t="str">
        <f>_xll.BDH("BLUE US Equity","ARD_OTHER_FINANCING_ACTIVITIES","FQ3 2020","FQ3 2020","Currency=USD","Period=FQ","BEST_FPERIOD_OVERRIDE=FQ","FILING_STATUS=MR","SCALING_FORMAT=MLN","Sort=A","Dates=H","DateFormat=P","Fill=—","Direction=H","UseDPDF=Y")</f>
        <v>—</v>
      </c>
      <c r="M34" s="13">
        <f>_xll.BDH("BLUE US Equity","ARD_OTHER_FINANCING_ACTIVITIES","FQ4 2020","FQ4 2020","Currency=USD","Period=FQ","BEST_FPERIOD_OVERRIDE=FQ","FILING_STATUS=MR","SCALING_FORMAT=MLN","Sort=A","Dates=H","DateFormat=P","Fill=—","Direction=H","UseDPDF=Y")</f>
        <v>5.1790000000000003</v>
      </c>
      <c r="N34" s="13" t="str">
        <f>_xll.BDH("BLUE US Equity","ARD_OTHER_FINANCING_ACTIVITIES","FQ1 2021","FQ1 2021","Currency=USD","Period=FQ","BEST_FPERIOD_OVERRIDE=FQ","FILING_STATUS=MR","SCALING_FORMAT=MLN","Sort=A","Dates=H","DateFormat=P","Fill=—","Direction=H","UseDPDF=Y")</f>
        <v>—</v>
      </c>
      <c r="O34" s="13" t="str">
        <f>_xll.BDH("BLUE US Equity","ARD_OTHER_FINANCING_ACTIVITIES","FQ2 2021","FQ2 2021","Currency=USD","Period=FQ","BEST_FPERIOD_OVERRIDE=FQ","FILING_STATUS=MR","SCALING_FORMAT=MLN","Sort=A","Dates=H","DateFormat=P","Fill=—","Direction=H","UseDPDF=Y")</f>
        <v>—</v>
      </c>
      <c r="P34" s="13" t="str">
        <f>_xll.BDH("BLUE US Equity","ARD_OTHER_FINANCING_ACTIVITIES","FQ3 2021","FQ3 2021","Currency=USD","Period=FQ","BEST_FPERIOD_OVERRIDE=FQ","FILING_STATUS=MR","SCALING_FORMAT=MLN","Sort=A","Dates=H","DateFormat=P","Fill=—","Direction=H","UseDPDF=Y")</f>
        <v>—</v>
      </c>
      <c r="Q34" s="13">
        <f>_xll.BDH("BLUE US Equity","ARD_OTHER_FINANCING_ACTIVITIES","FQ4 2021","FQ4 2021","Currency=USD","Period=FQ","BEST_FPERIOD_OVERRIDE=FQ","FILING_STATUS=MR","SCALING_FORMAT=MLN","Sort=A","Dates=H","DateFormat=P","Fill=—","Direction=H","UseDPDF=Y")</f>
        <v>-174.28399999999999</v>
      </c>
      <c r="R34" s="13" t="str">
        <f>_xll.BDH("BLUE US Equity","ARD_OTHER_FINANCING_ACTIVITIES","FQ1 2022","FQ1 2022","Currency=USD","Period=FQ","BEST_FPERIOD_OVERRIDE=FQ","FILING_STATUS=MR","SCALING_FORMAT=MLN","Sort=A","Dates=H","DateFormat=P","Fill=—","Direction=H","UseDPDF=Y")</f>
        <v>—</v>
      </c>
      <c r="S34" s="13" t="str">
        <f>_xll.BDH("BLUE US Equity","ARD_OTHER_FINANCING_ACTIVITIES","FQ2 2022","FQ2 2022","Currency=USD","Period=FQ","BEST_FPERIOD_OVERRIDE=FQ","FILING_STATUS=MR","SCALING_FORMAT=MLN","Sort=A","Dates=H","DateFormat=P","Fill=—","Direction=H","UseDPDF=Y")</f>
        <v>—</v>
      </c>
      <c r="T34" s="13" t="str">
        <f>_xll.BDH("BLUE US Equity","ARD_OTHER_FINANCING_ACTIVITIES","FQ3 2022","FQ3 2022","Currency=USD","Period=FQ","BEST_FPERIOD_OVERRIDE=FQ","FILING_STATUS=MR","SCALING_FORMAT=MLN","Sort=A","Dates=H","DateFormat=P","Fill=—","Direction=H","UseDPDF=Y")</f>
        <v>—</v>
      </c>
      <c r="U34" s="13">
        <f>_xll.BDH("BLUE US Equity","ARD_OTHER_FINANCING_ACTIVITIES","FQ4 2022","FQ4 2022","Currency=USD","Period=FQ","BEST_FPERIOD_OVERRIDE=FQ","FILING_STATUS=MR","SCALING_FORMAT=MLN","Sort=A","Dates=H","DateFormat=P","Fill=—","Direction=H","UseDPDF=Y")</f>
        <v>0</v>
      </c>
      <c r="V34" s="13">
        <f>_xll.BDH("BLUE US Equity","ARD_OTHER_FINANCING_ACTIVITIES","FQ1 2023","FQ1 2023","Currency=USD","Period=FQ","BEST_FPERIOD_OVERRIDE=FQ","FILING_STATUS=MR","SCALING_FORMAT=MLN","Sort=A","Dates=H","DateFormat=P","Fill=—","Direction=H","UseDPDF=Y")</f>
        <v>-0.19600000000000001</v>
      </c>
      <c r="W34" s="13">
        <f>_xll.BDH("BLUE US Equity","ARD_OTHER_FINANCING_ACTIVITIES","FQ2 2023","FQ2 2023","Currency=USD","Period=FQ","BEST_FPERIOD_OVERRIDE=FQ","FILING_STATUS=MR","SCALING_FORMAT=MLN","Sort=A","Dates=H","DateFormat=P","Fill=—","Direction=H","UseDPDF=Y")</f>
        <v>-0.19600000000000001</v>
      </c>
      <c r="X34" s="13">
        <f>_xll.BDH("BLUE US Equity","ARD_OTHER_FINANCING_ACTIVITIES","FQ3 2023","FQ3 2023","Currency=USD","Period=FQ","BEST_FPERIOD_OVERRIDE=FQ","FILING_STATUS=MR","SCALING_FORMAT=MLN","Sort=A","Dates=H","DateFormat=P","Fill=—","Direction=H","UseDPDF=Y")</f>
        <v>-0.19600000000000001</v>
      </c>
      <c r="Y34" s="13">
        <f>_xll.BDH("BLUE US Equity","ARD_OTHER_FINANCING_ACTIVITIES","FQ1 2024","FQ1 2024","Currency=USD","Period=FQ","BEST_FPERIOD_OVERRIDE=FQ","FILING_STATUS=MR","SCALING_FORMAT=MLN","Sort=A","Dates=H","DateFormat=P","Fill=—","Direction=H","UseDPDF=Y")</f>
        <v>15.12</v>
      </c>
      <c r="Z34" s="13">
        <f>_xll.BDH("BLUE US Equity","ARD_OTHER_FINANCING_ACTIVITIES","FQ2 2024","FQ2 2024","Currency=USD","Period=FQ","BEST_FPERIOD_OVERRIDE=FQ","FILING_STATUS=MR","SCALING_FORMAT=MLN","Sort=A","Dates=H","DateFormat=P","Fill=—","Direction=H","UseDPDF=Y")</f>
        <v>35.82</v>
      </c>
      <c r="AA34" s="13">
        <f>_xll.BDH("BLUE US Equity","ARD_OTHER_FINANCING_ACTIVITIES","FQ3 2024","FQ3 2024","Currency=USD","Period=FQ","BEST_FPERIOD_OVERRIDE=FQ","FILING_STATUS=MR","SCALING_FORMAT=MLN","Sort=A","Dates=H","DateFormat=P","Fill=—","Direction=H","UseDPDF=Y")</f>
        <v>50.646000000000001</v>
      </c>
    </row>
    <row r="35" spans="1:27" x14ac:dyDescent="0.25">
      <c r="A35" s="10" t="s">
        <v>1217</v>
      </c>
      <c r="B35" s="10" t="s">
        <v>1218</v>
      </c>
      <c r="C35" s="13" t="str">
        <f>_xll.BDH("BLUE US Equity","ARD_CASH_PAID_FOR_TAXES","FQ2 2018","FQ2 2018","Currency=USD","Period=FQ","BEST_FPERIOD_OVERRIDE=FQ","FILING_STATUS=MR","SCALING_FORMAT=MLN","Sort=A","Dates=H","DateFormat=P","Fill=—","Direction=H","UseDPDF=Y")</f>
        <v>—</v>
      </c>
      <c r="D35" s="13" t="str">
        <f>_xll.BDH("BLUE US Equity","ARD_CASH_PAID_FOR_TAXES","FQ3 2018","FQ3 2018","Currency=USD","Period=FQ","BEST_FPERIOD_OVERRIDE=FQ","FILING_STATUS=MR","SCALING_FORMAT=MLN","Sort=A","Dates=H","DateFormat=P","Fill=—","Direction=H","UseDPDF=Y")</f>
        <v>—</v>
      </c>
      <c r="E35" s="13" t="str">
        <f>_xll.BDH("BLUE US Equity","ARD_CASH_PAID_FOR_TAXES","FQ4 2018","FQ4 2018","Currency=USD","Period=FQ","BEST_FPERIOD_OVERRIDE=FQ","FILING_STATUS=MR","SCALING_FORMAT=MLN","Sort=A","Dates=H","DateFormat=P","Fill=—","Direction=H","UseDPDF=Y")</f>
        <v>—</v>
      </c>
      <c r="F35" s="13" t="str">
        <f>_xll.BDH("BLUE US Equity","ARD_CASH_PAID_FOR_TAXES","FQ1 2019","FQ1 2019","Currency=USD","Period=FQ","BEST_FPERIOD_OVERRIDE=FQ","FILING_STATUS=MR","SCALING_FORMAT=MLN","Sort=A","Dates=H","DateFormat=P","Fill=—","Direction=H","UseDPDF=Y")</f>
        <v>—</v>
      </c>
      <c r="G35" s="13" t="str">
        <f>_xll.BDH("BLUE US Equity","ARD_CASH_PAID_FOR_TAXES","FQ2 2019","FQ2 2019","Currency=USD","Period=FQ","BEST_FPERIOD_OVERRIDE=FQ","FILING_STATUS=MR","SCALING_FORMAT=MLN","Sort=A","Dates=H","DateFormat=P","Fill=—","Direction=H","UseDPDF=Y")</f>
        <v>—</v>
      </c>
      <c r="H35" s="13" t="str">
        <f>_xll.BDH("BLUE US Equity","ARD_CASH_PAID_FOR_TAXES","FQ3 2019","FQ3 2019","Currency=USD","Period=FQ","BEST_FPERIOD_OVERRIDE=FQ","FILING_STATUS=MR","SCALING_FORMAT=MLN","Sort=A","Dates=H","DateFormat=P","Fill=—","Direction=H","UseDPDF=Y")</f>
        <v>—</v>
      </c>
      <c r="I35" s="13" t="str">
        <f>_xll.BDH("BLUE US Equity","ARD_CASH_PAID_FOR_TAXES","FQ4 2019","FQ4 2019","Currency=USD","Period=FQ","BEST_FPERIOD_OVERRIDE=FQ","FILING_STATUS=MR","SCALING_FORMAT=MLN","Sort=A","Dates=H","DateFormat=P","Fill=—","Direction=H","UseDPDF=Y")</f>
        <v>—</v>
      </c>
      <c r="J35" s="13" t="str">
        <f>_xll.BDH("BLUE US Equity","ARD_CASH_PAID_FOR_TAXES","FQ1 2020","FQ1 2020","Currency=USD","Period=FQ","BEST_FPERIOD_OVERRIDE=FQ","FILING_STATUS=MR","SCALING_FORMAT=MLN","Sort=A","Dates=H","DateFormat=P","Fill=—","Direction=H","UseDPDF=Y")</f>
        <v>—</v>
      </c>
      <c r="K35" s="13" t="str">
        <f>_xll.BDH("BLUE US Equity","ARD_CASH_PAID_FOR_TAXES","FQ2 2020","FQ2 2020","Currency=USD","Period=FQ","BEST_FPERIOD_OVERRIDE=FQ","FILING_STATUS=MR","SCALING_FORMAT=MLN","Sort=A","Dates=H","DateFormat=P","Fill=—","Direction=H","UseDPDF=Y")</f>
        <v>—</v>
      </c>
      <c r="L35" s="13" t="str">
        <f>_xll.BDH("BLUE US Equity","ARD_CASH_PAID_FOR_TAXES","FQ3 2020","FQ3 2020","Currency=USD","Period=FQ","BEST_FPERIOD_OVERRIDE=FQ","FILING_STATUS=MR","SCALING_FORMAT=MLN","Sort=A","Dates=H","DateFormat=P","Fill=—","Direction=H","UseDPDF=Y")</f>
        <v>—</v>
      </c>
      <c r="M35" s="13" t="str">
        <f>_xll.BDH("BLUE US Equity","ARD_CASH_PAID_FOR_TAXES","FQ4 2020","FQ4 2020","Currency=USD","Period=FQ","BEST_FPERIOD_OVERRIDE=FQ","FILING_STATUS=MR","SCALING_FORMAT=MLN","Sort=A","Dates=H","DateFormat=P","Fill=—","Direction=H","UseDPDF=Y")</f>
        <v>—</v>
      </c>
      <c r="N35" s="13" t="str">
        <f>_xll.BDH("BLUE US Equity","ARD_CASH_PAID_FOR_TAXES","FQ1 2021","FQ1 2021","Currency=USD","Period=FQ","BEST_FPERIOD_OVERRIDE=FQ","FILING_STATUS=MR","SCALING_FORMAT=MLN","Sort=A","Dates=H","DateFormat=P","Fill=—","Direction=H","UseDPDF=Y")</f>
        <v>—</v>
      </c>
      <c r="O35" s="13" t="str">
        <f>_xll.BDH("BLUE US Equity","ARD_CASH_PAID_FOR_TAXES","FQ2 2021","FQ2 2021","Currency=USD","Period=FQ","BEST_FPERIOD_OVERRIDE=FQ","FILING_STATUS=MR","SCALING_FORMAT=MLN","Sort=A","Dates=H","DateFormat=P","Fill=—","Direction=H","UseDPDF=Y")</f>
        <v>—</v>
      </c>
      <c r="P35" s="13" t="str">
        <f>_xll.BDH("BLUE US Equity","ARD_CASH_PAID_FOR_TAXES","FQ3 2021","FQ3 2021","Currency=USD","Period=FQ","BEST_FPERIOD_OVERRIDE=FQ","FILING_STATUS=MR","SCALING_FORMAT=MLN","Sort=A","Dates=H","DateFormat=P","Fill=—","Direction=H","UseDPDF=Y")</f>
        <v>—</v>
      </c>
      <c r="Q35" s="13">
        <f>_xll.BDH("BLUE US Equity","ARD_CASH_PAID_FOR_TAXES","FQ4 2021","FQ4 2021","Currency=USD","Period=FQ","BEST_FPERIOD_OVERRIDE=FQ","FILING_STATUS=MR","SCALING_FORMAT=MLN","Sort=A","Dates=H","DateFormat=P","Fill=—","Direction=H","UseDPDF=Y")</f>
        <v>0.61699999999999999</v>
      </c>
      <c r="R35" s="13" t="str">
        <f>_xll.BDH("BLUE US Equity","ARD_CASH_PAID_FOR_TAXES","FQ1 2022","FQ1 2022","Currency=USD","Period=FQ","BEST_FPERIOD_OVERRIDE=FQ","FILING_STATUS=MR","SCALING_FORMAT=MLN","Sort=A","Dates=H","DateFormat=P","Fill=—","Direction=H","UseDPDF=Y")</f>
        <v>—</v>
      </c>
      <c r="S35" s="13" t="str">
        <f>_xll.BDH("BLUE US Equity","ARD_CASH_PAID_FOR_TAXES","FQ2 2022","FQ2 2022","Currency=USD","Period=FQ","BEST_FPERIOD_OVERRIDE=FQ","FILING_STATUS=MR","SCALING_FORMAT=MLN","Sort=A","Dates=H","DateFormat=P","Fill=—","Direction=H","UseDPDF=Y")</f>
        <v>—</v>
      </c>
      <c r="T35" s="13" t="str">
        <f>_xll.BDH("BLUE US Equity","ARD_CASH_PAID_FOR_TAXES","FQ3 2022","FQ3 2022","Currency=USD","Period=FQ","BEST_FPERIOD_OVERRIDE=FQ","FILING_STATUS=MR","SCALING_FORMAT=MLN","Sort=A","Dates=H","DateFormat=P","Fill=—","Direction=H","UseDPDF=Y")</f>
        <v>—</v>
      </c>
      <c r="U35" s="13">
        <f>_xll.BDH("BLUE US Equity","ARD_CASH_PAID_FOR_TAXES","FQ4 2022","FQ4 2022","Currency=USD","Period=FQ","BEST_FPERIOD_OVERRIDE=FQ","FILING_STATUS=MR","SCALING_FORMAT=MLN","Sort=A","Dates=H","DateFormat=P","Fill=—","Direction=H","UseDPDF=Y")</f>
        <v>0.253</v>
      </c>
      <c r="V35" s="13" t="str">
        <f>_xll.BDH("BLUE US Equity","ARD_CASH_PAID_FOR_TAXES","FQ1 2023","FQ1 2023","Currency=USD","Period=FQ","BEST_FPERIOD_OVERRIDE=FQ","FILING_STATUS=MR","SCALING_FORMAT=MLN","Sort=A","Dates=H","DateFormat=P","Fill=—","Direction=H","UseDPDF=Y")</f>
        <v>—</v>
      </c>
      <c r="W35" s="13" t="str">
        <f>_xll.BDH("BLUE US Equity","ARD_CASH_PAID_FOR_TAXES","FQ2 2023","FQ2 2023","Currency=USD","Period=FQ","BEST_FPERIOD_OVERRIDE=FQ","FILING_STATUS=MR","SCALING_FORMAT=MLN","Sort=A","Dates=H","DateFormat=P","Fill=—","Direction=H","UseDPDF=Y")</f>
        <v>—</v>
      </c>
      <c r="X35" s="13" t="str">
        <f>_xll.BDH("BLUE US Equity","ARD_CASH_PAID_FOR_TAXES","FQ3 2023","FQ3 2023","Currency=USD","Period=FQ","BEST_FPERIOD_OVERRIDE=FQ","FILING_STATUS=MR","SCALING_FORMAT=MLN","Sort=A","Dates=H","DateFormat=P","Fill=—","Direction=H","UseDPDF=Y")</f>
        <v>—</v>
      </c>
      <c r="Y35" s="13" t="str">
        <f>_xll.BDH("BLUE US Equity","ARD_CASH_PAID_FOR_TAXES","FQ1 2024","FQ1 2024","Currency=USD","Period=FQ","BEST_FPERIOD_OVERRIDE=FQ","FILING_STATUS=MR","SCALING_FORMAT=MLN","Sort=A","Dates=H","DateFormat=P","Fill=—","Direction=H","UseDPDF=Y")</f>
        <v>—</v>
      </c>
      <c r="Z35" s="13" t="str">
        <f>_xll.BDH("BLUE US Equity","ARD_CASH_PAID_FOR_TAXES","FQ2 2024","FQ2 2024","Currency=USD","Period=FQ","BEST_FPERIOD_OVERRIDE=FQ","FILING_STATUS=MR","SCALING_FORMAT=MLN","Sort=A","Dates=H","DateFormat=P","Fill=—","Direction=H","UseDPDF=Y")</f>
        <v>—</v>
      </c>
      <c r="AA35" s="13" t="str">
        <f>_xll.BDH("BLUE US Equity","ARD_CASH_PAID_FOR_TAXES","FQ3 2024","FQ3 2024","Currency=USD","Period=FQ","BEST_FPERIOD_OVERRIDE=FQ","FILING_STATUS=MR","SCALING_FORMAT=MLN","Sort=A","Dates=H","DateFormat=P","Fill=—","Direction=H","UseDPDF=Y")</f>
        <v>—</v>
      </c>
    </row>
    <row r="36" spans="1:27" x14ac:dyDescent="0.25">
      <c r="A36" s="10" t="s">
        <v>1219</v>
      </c>
      <c r="B36" s="10" t="s">
        <v>1220</v>
      </c>
      <c r="C36" s="13" t="str">
        <f>_xll.BDH("BLUE US Equity","ARD_CASH_PAID_FOR_INTEREST","FQ2 2018","FQ2 2018","Currency=USD","Period=FQ","BEST_FPERIOD_OVERRIDE=FQ","FILING_STATUS=MR","SCALING_FORMAT=MLN","Sort=A","Dates=H","DateFormat=P","Fill=—","Direction=H","UseDPDF=Y")</f>
        <v>—</v>
      </c>
      <c r="D36" s="13" t="str">
        <f>_xll.BDH("BLUE US Equity","ARD_CASH_PAID_FOR_INTEREST","FQ3 2018","FQ3 2018","Currency=USD","Period=FQ","BEST_FPERIOD_OVERRIDE=FQ","FILING_STATUS=MR","SCALING_FORMAT=MLN","Sort=A","Dates=H","DateFormat=P","Fill=—","Direction=H","UseDPDF=Y")</f>
        <v>—</v>
      </c>
      <c r="E36" s="13" t="str">
        <f>_xll.BDH("BLUE US Equity","ARD_CASH_PAID_FOR_INTEREST","FQ4 2018","FQ4 2018","Currency=USD","Period=FQ","BEST_FPERIOD_OVERRIDE=FQ","FILING_STATUS=MR","SCALING_FORMAT=MLN","Sort=A","Dates=H","DateFormat=P","Fill=—","Direction=H","UseDPDF=Y")</f>
        <v>—</v>
      </c>
      <c r="F36" s="13" t="str">
        <f>_xll.BDH("BLUE US Equity","ARD_CASH_PAID_FOR_INTEREST","FQ1 2019","FQ1 2019","Currency=USD","Period=FQ","BEST_FPERIOD_OVERRIDE=FQ","FILING_STATUS=MR","SCALING_FORMAT=MLN","Sort=A","Dates=H","DateFormat=P","Fill=—","Direction=H","UseDPDF=Y")</f>
        <v>—</v>
      </c>
      <c r="G36" s="13" t="str">
        <f>_xll.BDH("BLUE US Equity","ARD_CASH_PAID_FOR_INTEREST","FQ2 2019","FQ2 2019","Currency=USD","Period=FQ","BEST_FPERIOD_OVERRIDE=FQ","FILING_STATUS=MR","SCALING_FORMAT=MLN","Sort=A","Dates=H","DateFormat=P","Fill=—","Direction=H","UseDPDF=Y")</f>
        <v>—</v>
      </c>
      <c r="H36" s="13" t="str">
        <f>_xll.BDH("BLUE US Equity","ARD_CASH_PAID_FOR_INTEREST","FQ3 2019","FQ3 2019","Currency=USD","Period=FQ","BEST_FPERIOD_OVERRIDE=FQ","FILING_STATUS=MR","SCALING_FORMAT=MLN","Sort=A","Dates=H","DateFormat=P","Fill=—","Direction=H","UseDPDF=Y")</f>
        <v>—</v>
      </c>
      <c r="I36" s="13" t="str">
        <f>_xll.BDH("BLUE US Equity","ARD_CASH_PAID_FOR_INTEREST","FQ4 2019","FQ4 2019","Currency=USD","Period=FQ","BEST_FPERIOD_OVERRIDE=FQ","FILING_STATUS=MR","SCALING_FORMAT=MLN","Sort=A","Dates=H","DateFormat=P","Fill=—","Direction=H","UseDPDF=Y")</f>
        <v>—</v>
      </c>
      <c r="J36" s="13" t="str">
        <f>_xll.BDH("BLUE US Equity","ARD_CASH_PAID_FOR_INTEREST","FQ1 2020","FQ1 2020","Currency=USD","Period=FQ","BEST_FPERIOD_OVERRIDE=FQ","FILING_STATUS=MR","SCALING_FORMAT=MLN","Sort=A","Dates=H","DateFormat=P","Fill=—","Direction=H","UseDPDF=Y")</f>
        <v>—</v>
      </c>
      <c r="K36" s="13" t="str">
        <f>_xll.BDH("BLUE US Equity","ARD_CASH_PAID_FOR_INTEREST","FQ2 2020","FQ2 2020","Currency=USD","Period=FQ","BEST_FPERIOD_OVERRIDE=FQ","FILING_STATUS=MR","SCALING_FORMAT=MLN","Sort=A","Dates=H","DateFormat=P","Fill=—","Direction=H","UseDPDF=Y")</f>
        <v>—</v>
      </c>
      <c r="L36" s="13" t="str">
        <f>_xll.BDH("BLUE US Equity","ARD_CASH_PAID_FOR_INTEREST","FQ3 2020","FQ3 2020","Currency=USD","Period=FQ","BEST_FPERIOD_OVERRIDE=FQ","FILING_STATUS=MR","SCALING_FORMAT=MLN","Sort=A","Dates=H","DateFormat=P","Fill=—","Direction=H","UseDPDF=Y")</f>
        <v>—</v>
      </c>
      <c r="M36" s="13" t="str">
        <f>_xll.BDH("BLUE US Equity","ARD_CASH_PAID_FOR_INTEREST","FQ4 2020","FQ4 2020","Currency=USD","Period=FQ","BEST_FPERIOD_OVERRIDE=FQ","FILING_STATUS=MR","SCALING_FORMAT=MLN","Sort=A","Dates=H","DateFormat=P","Fill=—","Direction=H","UseDPDF=Y")</f>
        <v>—</v>
      </c>
      <c r="N36" s="13" t="str">
        <f>_xll.BDH("BLUE US Equity","ARD_CASH_PAID_FOR_INTEREST","FQ1 2021","FQ1 2021","Currency=USD","Period=FQ","BEST_FPERIOD_OVERRIDE=FQ","FILING_STATUS=MR","SCALING_FORMAT=MLN","Sort=A","Dates=H","DateFormat=P","Fill=—","Direction=H","UseDPDF=Y")</f>
        <v>—</v>
      </c>
      <c r="O36" s="13" t="str">
        <f>_xll.BDH("BLUE US Equity","ARD_CASH_PAID_FOR_INTEREST","FQ2 2021","FQ2 2021","Currency=USD","Period=FQ","BEST_FPERIOD_OVERRIDE=FQ","FILING_STATUS=MR","SCALING_FORMAT=MLN","Sort=A","Dates=H","DateFormat=P","Fill=—","Direction=H","UseDPDF=Y")</f>
        <v>—</v>
      </c>
      <c r="P36" s="13" t="str">
        <f>_xll.BDH("BLUE US Equity","ARD_CASH_PAID_FOR_INTEREST","FQ3 2021","FQ3 2021","Currency=USD","Period=FQ","BEST_FPERIOD_OVERRIDE=FQ","FILING_STATUS=MR","SCALING_FORMAT=MLN","Sort=A","Dates=H","DateFormat=P","Fill=—","Direction=H","UseDPDF=Y")</f>
        <v>—</v>
      </c>
      <c r="Q36" s="13">
        <f>_xll.BDH("BLUE US Equity","ARD_CASH_PAID_FOR_INTEREST","FQ4 2021","FQ4 2021","Currency=USD","Period=FQ","BEST_FPERIOD_OVERRIDE=FQ","FILING_STATUS=MR","SCALING_FORMAT=MLN","Sort=A","Dates=H","DateFormat=P","Fill=—","Direction=H","UseDPDF=Y")</f>
        <v>0</v>
      </c>
      <c r="R36" s="13" t="str">
        <f>_xll.BDH("BLUE US Equity","ARD_CASH_PAID_FOR_INTEREST","FQ1 2022","FQ1 2022","Currency=USD","Period=FQ","BEST_FPERIOD_OVERRIDE=FQ","FILING_STATUS=MR","SCALING_FORMAT=MLN","Sort=A","Dates=H","DateFormat=P","Fill=—","Direction=H","UseDPDF=Y")</f>
        <v>—</v>
      </c>
      <c r="S36" s="13" t="str">
        <f>_xll.BDH("BLUE US Equity","ARD_CASH_PAID_FOR_INTEREST","FQ2 2022","FQ2 2022","Currency=USD","Period=FQ","BEST_FPERIOD_OVERRIDE=FQ","FILING_STATUS=MR","SCALING_FORMAT=MLN","Sort=A","Dates=H","DateFormat=P","Fill=—","Direction=H","UseDPDF=Y")</f>
        <v>—</v>
      </c>
      <c r="T36" s="13" t="str">
        <f>_xll.BDH("BLUE US Equity","ARD_CASH_PAID_FOR_INTEREST","FQ3 2022","FQ3 2022","Currency=USD","Period=FQ","BEST_FPERIOD_OVERRIDE=FQ","FILING_STATUS=MR","SCALING_FORMAT=MLN","Sort=A","Dates=H","DateFormat=P","Fill=—","Direction=H","UseDPDF=Y")</f>
        <v>—</v>
      </c>
      <c r="U36" s="13">
        <f>_xll.BDH("BLUE US Equity","ARD_CASH_PAID_FOR_INTEREST","FQ4 2022","FQ4 2022","Currency=USD","Period=FQ","BEST_FPERIOD_OVERRIDE=FQ","FILING_STATUS=MR","SCALING_FORMAT=MLN","Sort=A","Dates=H","DateFormat=P","Fill=—","Direction=H","UseDPDF=Y")</f>
        <v>0.17</v>
      </c>
      <c r="V36" s="13" t="str">
        <f>_xll.BDH("BLUE US Equity","ARD_CASH_PAID_FOR_INTEREST","FQ1 2023","FQ1 2023","Currency=USD","Period=FQ","BEST_FPERIOD_OVERRIDE=FQ","FILING_STATUS=MR","SCALING_FORMAT=MLN","Sort=A","Dates=H","DateFormat=P","Fill=—","Direction=H","UseDPDF=Y")</f>
        <v>—</v>
      </c>
      <c r="W36" s="13" t="str">
        <f>_xll.BDH("BLUE US Equity","ARD_CASH_PAID_FOR_INTEREST","FQ2 2023","FQ2 2023","Currency=USD","Period=FQ","BEST_FPERIOD_OVERRIDE=FQ","FILING_STATUS=MR","SCALING_FORMAT=MLN","Sort=A","Dates=H","DateFormat=P","Fill=—","Direction=H","UseDPDF=Y")</f>
        <v>—</v>
      </c>
      <c r="X36" s="13" t="str">
        <f>_xll.BDH("BLUE US Equity","ARD_CASH_PAID_FOR_INTEREST","FQ3 2023","FQ3 2023","Currency=USD","Period=FQ","BEST_FPERIOD_OVERRIDE=FQ","FILING_STATUS=MR","SCALING_FORMAT=MLN","Sort=A","Dates=H","DateFormat=P","Fill=—","Direction=H","UseDPDF=Y")</f>
        <v>—</v>
      </c>
      <c r="Y36" s="13" t="str">
        <f>_xll.BDH("BLUE US Equity","ARD_CASH_PAID_FOR_INTEREST","FQ1 2024","FQ1 2024","Currency=USD","Period=FQ","BEST_FPERIOD_OVERRIDE=FQ","FILING_STATUS=MR","SCALING_FORMAT=MLN","Sort=A","Dates=H","DateFormat=P","Fill=—","Direction=H","UseDPDF=Y")</f>
        <v>—</v>
      </c>
      <c r="Z36" s="13" t="str">
        <f>_xll.BDH("BLUE US Equity","ARD_CASH_PAID_FOR_INTEREST","FQ2 2024","FQ2 2024","Currency=USD","Period=FQ","BEST_FPERIOD_OVERRIDE=FQ","FILING_STATUS=MR","SCALING_FORMAT=MLN","Sort=A","Dates=H","DateFormat=P","Fill=—","Direction=H","UseDPDF=Y")</f>
        <v>—</v>
      </c>
      <c r="AA36" s="13" t="str">
        <f>_xll.BDH("BLUE US Equity","ARD_CASH_PAID_FOR_INTEREST","FQ3 2024","FQ3 2024","Currency=USD","Period=FQ","BEST_FPERIOD_OVERRIDE=FQ","FILING_STATUS=MR","SCALING_FORMAT=MLN","Sort=A","Dates=H","DateFormat=P","Fill=—","Direction=H","UseDPDF=Y")</f>
        <v>—</v>
      </c>
    </row>
    <row r="37" spans="1:27" x14ac:dyDescent="0.25">
      <c r="A37" s="10" t="s">
        <v>1221</v>
      </c>
      <c r="B37" s="10" t="s">
        <v>1222</v>
      </c>
      <c r="C37" s="13" t="str">
        <f>_xll.BDH("BLUE US Equity","ARD_EXERCISE_OF_STOCK_OPTIONS","FQ2 2018","FQ2 2018","Currency=USD","Period=FQ","BEST_FPERIOD_OVERRIDE=FQ","FILING_STATUS=MR","SCALING_FORMAT=MLN","Sort=A","Dates=H","DateFormat=P","Fill=—","Direction=H","UseDPDF=Y")</f>
        <v>—</v>
      </c>
      <c r="D37" s="13" t="str">
        <f>_xll.BDH("BLUE US Equity","ARD_EXERCISE_OF_STOCK_OPTIONS","FQ3 2018","FQ3 2018","Currency=USD","Period=FQ","BEST_FPERIOD_OVERRIDE=FQ","FILING_STATUS=MR","SCALING_FORMAT=MLN","Sort=A","Dates=H","DateFormat=P","Fill=—","Direction=H","UseDPDF=Y")</f>
        <v>—</v>
      </c>
      <c r="E37" s="13">
        <f>_xll.BDH("BLUE US Equity","ARD_EXERCISE_OF_STOCK_OPTIONS","FQ4 2018","FQ4 2018","Currency=USD","Period=FQ","BEST_FPERIOD_OVERRIDE=FQ","FILING_STATUS=MR","SCALING_FORMAT=MLN","Sort=A","Dates=H","DateFormat=P","Fill=—","Direction=H","UseDPDF=Y")</f>
        <v>2.2090000000000001</v>
      </c>
      <c r="F37" s="13">
        <f>_xll.BDH("BLUE US Equity","ARD_EXERCISE_OF_STOCK_OPTIONS","FQ1 2019","FQ1 2019","Currency=USD","Period=FQ","BEST_FPERIOD_OVERRIDE=FQ","FILING_STATUS=MR","SCALING_FORMAT=MLN","Sort=A","Dates=H","DateFormat=P","Fill=—","Direction=H","UseDPDF=Y")</f>
        <v>10.223000000000001</v>
      </c>
      <c r="G37" s="13">
        <f>_xll.BDH("BLUE US Equity","ARD_EXERCISE_OF_STOCK_OPTIONS","FQ2 2019","FQ2 2019","Currency=USD","Period=FQ","BEST_FPERIOD_OVERRIDE=FQ","FILING_STATUS=MR","SCALING_FORMAT=MLN","Sort=A","Dates=H","DateFormat=P","Fill=—","Direction=H","UseDPDF=Y")</f>
        <v>15.004</v>
      </c>
      <c r="H37" s="13">
        <f>_xll.BDH("BLUE US Equity","ARD_EXERCISE_OF_STOCK_OPTIONS","FQ3 2019","FQ3 2019","Currency=USD","Period=FQ","BEST_FPERIOD_OVERRIDE=FQ","FILING_STATUS=MR","SCALING_FORMAT=MLN","Sort=A","Dates=H","DateFormat=P","Fill=—","Direction=H","UseDPDF=Y")</f>
        <v>19.181999999999999</v>
      </c>
      <c r="I37" s="13">
        <f>_xll.BDH("BLUE US Equity","ARD_EXERCISE_OF_STOCK_OPTIONS","FQ4 2019","FQ4 2019","Currency=USD","Period=FQ","BEST_FPERIOD_OVERRIDE=FQ","FILING_STATUS=MR","SCALING_FORMAT=MLN","Sort=A","Dates=H","DateFormat=P","Fill=—","Direction=H","UseDPDF=Y")</f>
        <v>21.187000000000001</v>
      </c>
      <c r="J37" s="13">
        <f>_xll.BDH("BLUE US Equity","ARD_EXERCISE_OF_STOCK_OPTIONS","FQ1 2020","FQ1 2020","Currency=USD","Period=FQ","BEST_FPERIOD_OVERRIDE=FQ","FILING_STATUS=MR","SCALING_FORMAT=MLN","Sort=A","Dates=H","DateFormat=P","Fill=—","Direction=H","UseDPDF=Y")</f>
        <v>0.96299999999999997</v>
      </c>
      <c r="K37" s="13">
        <f>_xll.BDH("BLUE US Equity","ARD_EXERCISE_OF_STOCK_OPTIONS","FQ2 2020","FQ2 2020","Currency=USD","Period=FQ","BEST_FPERIOD_OVERRIDE=FQ","FILING_STATUS=MR","SCALING_FORMAT=MLN","Sort=A","Dates=H","DateFormat=P","Fill=—","Direction=H","UseDPDF=Y")</f>
        <v>2.5489999999999999</v>
      </c>
      <c r="L37" s="13">
        <f>_xll.BDH("BLUE US Equity","ARD_EXERCISE_OF_STOCK_OPTIONS","FQ3 2020","FQ3 2020","Currency=USD","Period=FQ","BEST_FPERIOD_OVERRIDE=FQ","FILING_STATUS=MR","SCALING_FORMAT=MLN","Sort=A","Dates=H","DateFormat=P","Fill=—","Direction=H","UseDPDF=Y")</f>
        <v>3.7469999999999999</v>
      </c>
      <c r="M37" s="13" t="str">
        <f>_xll.BDH("BLUE US Equity","ARD_EXERCISE_OF_STOCK_OPTIONS","FQ4 2020","FQ4 2020","Currency=USD","Period=FQ","BEST_FPERIOD_OVERRIDE=FQ","FILING_STATUS=MR","SCALING_FORMAT=MLN","Sort=A","Dates=H","DateFormat=P","Fill=—","Direction=H","UseDPDF=Y")</f>
        <v>—</v>
      </c>
      <c r="N37" s="13">
        <f>_xll.BDH("BLUE US Equity","ARD_EXERCISE_OF_STOCK_OPTIONS","FQ1 2021","FQ1 2021","Currency=USD","Period=FQ","BEST_FPERIOD_OVERRIDE=FQ","FILING_STATUS=MR","SCALING_FORMAT=MLN","Sort=A","Dates=H","DateFormat=P","Fill=—","Direction=H","UseDPDF=Y")</f>
        <v>3.7959999999999998</v>
      </c>
      <c r="O37" s="13">
        <f>_xll.BDH("BLUE US Equity","ARD_EXERCISE_OF_STOCK_OPTIONS","FQ2 2021","FQ2 2021","Currency=USD","Period=FQ","BEST_FPERIOD_OVERRIDE=FQ","FILING_STATUS=MR","SCALING_FORMAT=MLN","Sort=A","Dates=H","DateFormat=P","Fill=—","Direction=H","UseDPDF=Y")</f>
        <v>4.1920000000000002</v>
      </c>
      <c r="P37" s="13">
        <f>_xll.BDH("BLUE US Equity","ARD_EXERCISE_OF_STOCK_OPTIONS","FQ3 2021","FQ3 2021","Currency=USD","Period=FQ","BEST_FPERIOD_OVERRIDE=FQ","FILING_STATUS=MR","SCALING_FORMAT=MLN","Sort=A","Dates=H","DateFormat=P","Fill=—","Direction=H","UseDPDF=Y")</f>
        <v>5.0780000000000003</v>
      </c>
      <c r="Q37" s="13">
        <f>_xll.BDH("BLUE US Equity","ARD_EXERCISE_OF_STOCK_OPTIONS","FQ4 2021","FQ4 2021","Currency=USD","Period=FQ","BEST_FPERIOD_OVERRIDE=FQ","FILING_STATUS=MR","SCALING_FORMAT=MLN","Sort=A","Dates=H","DateFormat=P","Fill=—","Direction=H","UseDPDF=Y")</f>
        <v>5.3550000000000004</v>
      </c>
      <c r="R37" s="13">
        <f>_xll.BDH("BLUE US Equity","ARD_EXERCISE_OF_STOCK_OPTIONS","FQ1 2022","FQ1 2022","Currency=USD","Period=FQ","BEST_FPERIOD_OVERRIDE=FQ","FILING_STATUS=MR","SCALING_FORMAT=MLN","Sort=A","Dates=H","DateFormat=P","Fill=—","Direction=H","UseDPDF=Y")</f>
        <v>8.9999999999999993E-3</v>
      </c>
      <c r="S37" s="13">
        <f>_xll.BDH("BLUE US Equity","ARD_EXERCISE_OF_STOCK_OPTIONS","FQ2 2022","FQ2 2022","Currency=USD","Period=FQ","BEST_FPERIOD_OVERRIDE=FQ","FILING_STATUS=MR","SCALING_FORMAT=MLN","Sort=A","Dates=H","DateFormat=P","Fill=—","Direction=H","UseDPDF=Y")</f>
        <v>0</v>
      </c>
      <c r="T37" s="13">
        <f>_xll.BDH("BLUE US Equity","ARD_EXERCISE_OF_STOCK_OPTIONS","FQ3 2022","FQ3 2022","Currency=USD","Period=FQ","BEST_FPERIOD_OVERRIDE=FQ","FILING_STATUS=MR","SCALING_FORMAT=MLN","Sort=A","Dates=H","DateFormat=P","Fill=—","Direction=H","UseDPDF=Y")</f>
        <v>3.0000000000000001E-3</v>
      </c>
      <c r="U37" s="13">
        <f>_xll.BDH("BLUE US Equity","ARD_EXERCISE_OF_STOCK_OPTIONS","FQ4 2022","FQ4 2022","Currency=USD","Period=FQ","BEST_FPERIOD_OVERRIDE=FQ","FILING_STATUS=MR","SCALING_FORMAT=MLN","Sort=A","Dates=H","DateFormat=P","Fill=—","Direction=H","UseDPDF=Y")</f>
        <v>1.6E-2</v>
      </c>
      <c r="V37" s="13">
        <f>_xll.BDH("BLUE US Equity","ARD_EXERCISE_OF_STOCK_OPTIONS","FQ1 2023","FQ1 2023","Currency=USD","Period=FQ","BEST_FPERIOD_OVERRIDE=FQ","FILING_STATUS=MR","SCALING_FORMAT=MLN","Sort=A","Dates=H","DateFormat=P","Fill=—","Direction=H","UseDPDF=Y")</f>
        <v>7.0000000000000001E-3</v>
      </c>
      <c r="W37" s="13">
        <f>_xll.BDH("BLUE US Equity","ARD_EXERCISE_OF_STOCK_OPTIONS","FQ2 2023","FQ2 2023","Currency=USD","Period=FQ","BEST_FPERIOD_OVERRIDE=FQ","FILING_STATUS=MR","SCALING_FORMAT=MLN","Sort=A","Dates=H","DateFormat=P","Fill=—","Direction=H","UseDPDF=Y")</f>
        <v>8.5000000000000006E-2</v>
      </c>
      <c r="X37" s="13">
        <f>_xll.BDH("BLUE US Equity","ARD_EXERCISE_OF_STOCK_OPTIONS","FQ3 2023","FQ3 2023","Currency=USD","Period=FQ","BEST_FPERIOD_OVERRIDE=FQ","FILING_STATUS=MR","SCALING_FORMAT=MLN","Sort=A","Dates=H","DateFormat=P","Fill=—","Direction=H","UseDPDF=Y")</f>
        <v>9.2999999999999999E-2</v>
      </c>
      <c r="Y37" s="13">
        <f>_xll.BDH("BLUE US Equity","ARD_EXERCISE_OF_STOCK_OPTIONS","FQ1 2024","FQ1 2024","Currency=USD","Period=FQ","BEST_FPERIOD_OVERRIDE=FQ","FILING_STATUS=MR","SCALING_FORMAT=MLN","Sort=A","Dates=H","DateFormat=P","Fill=—","Direction=H","UseDPDF=Y")</f>
        <v>0</v>
      </c>
      <c r="Z37" s="13">
        <f>_xll.BDH("BLUE US Equity","ARD_EXERCISE_OF_STOCK_OPTIONS","FQ2 2024","FQ2 2024","Currency=USD","Period=FQ","BEST_FPERIOD_OVERRIDE=FQ","FILING_STATUS=MR","SCALING_FORMAT=MLN","Sort=A","Dates=H","DateFormat=P","Fill=—","Direction=H","UseDPDF=Y")</f>
        <v>0</v>
      </c>
      <c r="AA37" s="13">
        <f>_xll.BDH("BLUE US Equity","ARD_EXERCISE_OF_STOCK_OPTIONS","FQ3 2024","FQ3 2024","Currency=USD","Period=FQ","BEST_FPERIOD_OVERRIDE=FQ","FILING_STATUS=MR","SCALING_FORMAT=MLN","Sort=A","Dates=H","DateFormat=P","Fill=—","Direction=H","UseDPDF=Y")</f>
        <v>0</v>
      </c>
    </row>
    <row r="38" spans="1:27" x14ac:dyDescent="0.25">
      <c r="A38" s="10" t="s">
        <v>1223</v>
      </c>
      <c r="B38" s="10" t="s">
        <v>1224</v>
      </c>
      <c r="C38" s="13">
        <f>_xll.BDH("BLUE US Equity","ARD_NET_CHANGE_IN_CASH","FQ2 2018","FQ2 2018","Currency=USD","Period=FQ","BEST_FPERIOD_OVERRIDE=FQ","FILING_STATUS=MR","SCALING_FORMAT=MLN","Sort=A","Dates=H","DateFormat=P","Fill=—","Direction=H","UseDPDF=Y")</f>
        <v>-424.45600000000002</v>
      </c>
      <c r="D38" s="13">
        <f>_xll.BDH("BLUE US Equity","ARD_NET_CHANGE_IN_CASH","FQ3 2018","FQ3 2018","Currency=USD","Period=FQ","BEST_FPERIOD_OVERRIDE=FQ","FILING_STATUS=MR","SCALING_FORMAT=MLN","Sort=A","Dates=H","DateFormat=P","Fill=—","Direction=H","UseDPDF=Y")</f>
        <v>193.732</v>
      </c>
      <c r="E38" s="13">
        <f>_xll.BDH("BLUE US Equity","ARD_NET_CHANGE_IN_CASH","FQ4 2018","FQ4 2018","Currency=USD","Period=FQ","BEST_FPERIOD_OVERRIDE=FQ","FILING_STATUS=MR","SCALING_FORMAT=MLN","Sort=A","Dates=H","DateFormat=P","Fill=—","Direction=H","UseDPDF=Y")</f>
        <v>-355.16899999999998</v>
      </c>
      <c r="F38" s="13">
        <f>_xll.BDH("BLUE US Equity","ARD_NET_CHANGE_IN_CASH","FQ1 2019","FQ1 2019","Currency=USD","Period=FQ","BEST_FPERIOD_OVERRIDE=FQ","FILING_STATUS=MR","SCALING_FORMAT=MLN","Sort=A","Dates=H","DateFormat=P","Fill=—","Direction=H","UseDPDF=Y")</f>
        <v>-180.84399999999999</v>
      </c>
      <c r="G38" s="13">
        <f>_xll.BDH("BLUE US Equity","ARD_NET_CHANGE_IN_CASH","FQ2 2019","FQ2 2019","Currency=USD","Period=FQ","BEST_FPERIOD_OVERRIDE=FQ","FILING_STATUS=MR","SCALING_FORMAT=MLN","Sort=A","Dates=H","DateFormat=P","Fill=—","Direction=H","UseDPDF=Y")</f>
        <v>-81.510000000000005</v>
      </c>
      <c r="H38" s="13">
        <f>_xll.BDH("BLUE US Equity","ARD_NET_CHANGE_IN_CASH","FQ3 2019","FQ3 2019","Currency=USD","Period=FQ","BEST_FPERIOD_OVERRIDE=FQ","FILING_STATUS=MR","SCALING_FORMAT=MLN","Sort=A","Dates=H","DateFormat=P","Fill=—","Direction=H","UseDPDF=Y")</f>
        <v>-61.671999999999997</v>
      </c>
      <c r="I38" s="13">
        <f>_xll.BDH("BLUE US Equity","ARD_NET_CHANGE_IN_CASH","FQ4 2019","FQ4 2019","Currency=USD","Period=FQ","BEST_FPERIOD_OVERRIDE=FQ","FILING_STATUS=MR","SCALING_FORMAT=MLN","Sort=A","Dates=H","DateFormat=P","Fill=—","Direction=H","UseDPDF=Y")</f>
        <v>-35.39</v>
      </c>
      <c r="J38" s="13">
        <f>_xll.BDH("BLUE US Equity","ARD_NET_CHANGE_IN_CASH","FQ1 2020","FQ1 2020","Currency=USD","Period=FQ","BEST_FPERIOD_OVERRIDE=FQ","FILING_STATUS=MR","SCALING_FORMAT=MLN","Sort=A","Dates=H","DateFormat=P","Fill=—","Direction=H","UseDPDF=Y")</f>
        <v>19.420000000000002</v>
      </c>
      <c r="K38" s="13">
        <f>_xll.BDH("BLUE US Equity","ARD_NET_CHANGE_IN_CASH","FQ2 2020","FQ2 2020","Currency=USD","Period=FQ","BEST_FPERIOD_OVERRIDE=FQ","FILING_STATUS=MR","SCALING_FORMAT=MLN","Sort=A","Dates=H","DateFormat=P","Fill=—","Direction=H","UseDPDF=Y")</f>
        <v>871.56100000000004</v>
      </c>
      <c r="L38" s="13">
        <f>_xll.BDH("BLUE US Equity","ARD_NET_CHANGE_IN_CASH","FQ3 2020","FQ3 2020","Currency=USD","Period=FQ","BEST_FPERIOD_OVERRIDE=FQ","FILING_STATUS=MR","SCALING_FORMAT=MLN","Sort=A","Dates=H","DateFormat=P","Fill=—","Direction=H","UseDPDF=Y")</f>
        <v>-3.036</v>
      </c>
      <c r="M38" s="13">
        <f>_xll.BDH("BLUE US Equity","ARD_NET_CHANGE_IN_CASH","FQ4 2020","FQ4 2020","Currency=USD","Period=FQ","BEST_FPERIOD_OVERRIDE=FQ","FILING_STATUS=MR","SCALING_FORMAT=MLN","Sort=A","Dates=H","DateFormat=P","Fill=—","Direction=H","UseDPDF=Y")</f>
        <v>-7.9809999999999999</v>
      </c>
      <c r="N38" s="13">
        <f>_xll.BDH("BLUE US Equity","ARD_NET_CHANGE_IN_CASH","FQ1 2021","FQ1 2021","Currency=USD","Period=FQ","BEST_FPERIOD_OVERRIDE=FQ","FILING_STATUS=MR","SCALING_FORMAT=MLN","Sort=A","Dates=H","DateFormat=P","Fill=—","Direction=H","UseDPDF=Y")</f>
        <v>121.821</v>
      </c>
      <c r="O38" s="13">
        <f>_xll.BDH("BLUE US Equity","ARD_NET_CHANGE_IN_CASH","FQ2 2021","FQ2 2021","Currency=USD","Period=FQ","BEST_FPERIOD_OVERRIDE=FQ","FILING_STATUS=MR","SCALING_FORMAT=MLN","Sort=A","Dates=H","DateFormat=P","Fill=—","Direction=H","UseDPDF=Y")</f>
        <v>36.936999999999998</v>
      </c>
      <c r="P38" s="13">
        <f>_xll.BDH("BLUE US Equity","ARD_NET_CHANGE_IN_CASH","FQ3 2021","FQ3 2021","Currency=USD","Period=FQ","BEST_FPERIOD_OVERRIDE=FQ","FILING_STATUS=MR","SCALING_FORMAT=MLN","Sort=A","Dates=H","DateFormat=P","Fill=—","Direction=H","UseDPDF=Y")</f>
        <v>85.771000000000001</v>
      </c>
      <c r="Q38" s="13">
        <f>_xll.BDH("BLUE US Equity","ARD_NET_CHANGE_IN_CASH","FQ4 2021","FQ4 2021","Currency=USD","Period=FQ","BEST_FPERIOD_OVERRIDE=FQ","FILING_STATUS=MR","SCALING_FORMAT=MLN","Sort=A","Dates=H","DateFormat=P","Fill=—","Direction=H","UseDPDF=Y")</f>
        <v>-167.036</v>
      </c>
      <c r="R38" s="13">
        <f>_xll.BDH("BLUE US Equity","ARD_NET_CHANGE_IN_CASH","FQ1 2022","FQ1 2022","Currency=USD","Period=FQ","BEST_FPERIOD_OVERRIDE=FQ","FILING_STATUS=MR","SCALING_FORMAT=MLN","Sort=A","Dates=H","DateFormat=P","Fill=—","Direction=H","UseDPDF=Y")</f>
        <v>-55.360999999999997</v>
      </c>
      <c r="S38" s="13">
        <f>_xll.BDH("BLUE US Equity","ARD_NET_CHANGE_IN_CASH","FQ2 2022","FQ2 2022","Currency=USD","Period=FQ","BEST_FPERIOD_OVERRIDE=FQ","FILING_STATUS=MR","SCALING_FORMAT=MLN","Sort=A","Dates=H","DateFormat=P","Fill=—","Direction=H","UseDPDF=Y")</f>
        <v>-80.009</v>
      </c>
      <c r="T38" s="13">
        <f>_xll.BDH("BLUE US Equity","ARD_NET_CHANGE_IN_CASH","FQ3 2022","FQ3 2022","Currency=USD","Period=FQ","BEST_FPERIOD_OVERRIDE=FQ","FILING_STATUS=MR","SCALING_FORMAT=MLN","Sort=A","Dates=H","DateFormat=P","Fill=—","Direction=H","UseDPDF=Y")</f>
        <v>-95.100999999999999</v>
      </c>
      <c r="U38" s="13">
        <f>_xll.BDH("BLUE US Equity","ARD_NET_CHANGE_IN_CASH","FQ4 2022","FQ4 2022","Currency=USD","Period=FQ","BEST_FPERIOD_OVERRIDE=FQ","FILING_STATUS=MR","SCALING_FORMAT=MLN","Sort=A","Dates=H","DateFormat=P","Fill=—","Direction=H","UseDPDF=Y")</f>
        <v>-48.247</v>
      </c>
      <c r="V38" s="13">
        <f>_xll.BDH("BLUE US Equity","ARD_NET_CHANGE_IN_CASH","FQ1 2023","FQ1 2023","Currency=USD","Period=FQ","BEST_FPERIOD_OVERRIDE=FQ","FILING_STATUS=MR","SCALING_FORMAT=MLN","Sort=A","Dates=H","DateFormat=P","Fill=—","Direction=H","UseDPDF=Y")</f>
        <v>125.95399999999999</v>
      </c>
      <c r="W38" s="13">
        <f>_xll.BDH("BLUE US Equity","ARD_NET_CHANGE_IN_CASH","FQ2 2023","FQ2 2023","Currency=USD","Period=FQ","BEST_FPERIOD_OVERRIDE=FQ","FILING_STATUS=MR","SCALING_FORMAT=MLN","Sort=A","Dates=H","DateFormat=P","Fill=—","Direction=H","UseDPDF=Y")</f>
        <v>59.728999999999999</v>
      </c>
      <c r="X38" s="13">
        <f>_xll.BDH("BLUE US Equity","ARD_NET_CHANGE_IN_CASH","FQ3 2023","FQ3 2023","Currency=USD","Period=FQ","BEST_FPERIOD_OVERRIDE=FQ","FILING_STATUS=MR","SCALING_FORMAT=MLN","Sort=A","Dates=H","DateFormat=P","Fill=—","Direction=H","UseDPDF=Y")</f>
        <v>59.923999999999999</v>
      </c>
      <c r="Y38" s="13">
        <f>_xll.BDH("BLUE US Equity","ARD_NET_CHANGE_IN_CASH","FQ1 2024","FQ1 2024","Currency=USD","Period=FQ","BEST_FPERIOD_OVERRIDE=FQ","FILING_STATUS=MR","SCALING_FORMAT=MLN","Sort=A","Dates=H","DateFormat=P","Fill=—","Direction=H","UseDPDF=Y")</f>
        <v>-10.686</v>
      </c>
      <c r="Z38" s="13">
        <f>_xll.BDH("BLUE US Equity","ARD_NET_CHANGE_IN_CASH","FQ2 2024","FQ2 2024","Currency=USD","Period=FQ","BEST_FPERIOD_OVERRIDE=FQ","FILING_STATUS=MR","SCALING_FORMAT=MLN","Sort=A","Dates=H","DateFormat=P","Fill=—","Direction=H","UseDPDF=Y")</f>
        <v>-81.378</v>
      </c>
      <c r="AA38" s="13">
        <f>_xll.BDH("BLUE US Equity","ARD_NET_CHANGE_IN_CASH","FQ3 2024","FQ3 2024","Currency=USD","Period=FQ","BEST_FPERIOD_OVERRIDE=FQ","FILING_STATUS=MR","SCALING_FORMAT=MLN","Sort=A","Dates=H","DateFormat=P","Fill=—","Direction=H","UseDPDF=Y")</f>
        <v>-155.94499999999999</v>
      </c>
    </row>
    <row r="39" spans="1:27" x14ac:dyDescent="0.25">
      <c r="A39" s="10" t="s">
        <v>1225</v>
      </c>
      <c r="B39" s="10" t="s">
        <v>1226</v>
      </c>
      <c r="C39" s="13">
        <f>_xll.BDH("BLUE US Equity","ARD_CASH_CASH_EQUIV_END_OF_PER","FQ2 2018","FQ2 2018","Currency=USD","Period=FQ","BEST_FPERIOD_OVERRIDE=FQ","FILING_STATUS=MR","SCALING_FORMAT=MLN","Sort=A","Dates=H","DateFormat=P","Fill=—","Direction=H","UseDPDF=Y")</f>
        <v>347.81200000000001</v>
      </c>
      <c r="D39" s="13">
        <f>_xll.BDH("BLUE US Equity","ARD_CASH_CASH_EQUIV_END_OF_PER","FQ3 2018","FQ3 2018","Currency=USD","Period=FQ","BEST_FPERIOD_OVERRIDE=FQ","FILING_STATUS=MR","SCALING_FORMAT=MLN","Sort=A","Dates=H","DateFormat=P","Fill=—","Direction=H","UseDPDF=Y")</f>
        <v>966</v>
      </c>
      <c r="E39" s="13">
        <f>_xll.BDH("BLUE US Equity","ARD_CASH_CASH_EQUIV_END_OF_PER","FQ4 2018","FQ4 2018","Currency=USD","Period=FQ","BEST_FPERIOD_OVERRIDE=FQ","FILING_STATUS=MR","SCALING_FORMAT=MLN","Sort=A","Dates=H","DateFormat=P","Fill=—","Direction=H","UseDPDF=Y")</f>
        <v>417.09899999999999</v>
      </c>
      <c r="F39" s="13">
        <f>_xll.BDH("BLUE US Equity","ARD_CASH_CASH_EQUIV_END_OF_PER","FQ1 2019","FQ1 2019","Currency=USD","Period=FQ","BEST_FPERIOD_OVERRIDE=FQ","FILING_STATUS=MR","SCALING_FORMAT=MLN","Sort=A","Dates=H","DateFormat=P","Fill=—","Direction=H","UseDPDF=Y")</f>
        <v>236.255</v>
      </c>
      <c r="G39" s="13">
        <f>_xll.BDH("BLUE US Equity","ARD_CASH_CASH_EQUIV_END_OF_PER","FQ2 2019","FQ2 2019","Currency=USD","Period=FQ","BEST_FPERIOD_OVERRIDE=FQ","FILING_STATUS=MR","SCALING_FORMAT=MLN","Sort=A","Dates=H","DateFormat=P","Fill=—","Direction=H","UseDPDF=Y")</f>
        <v>335.589</v>
      </c>
      <c r="H39" s="13">
        <f>_xll.BDH("BLUE US Equity","ARD_CASH_CASH_EQUIV_END_OF_PER","FQ3 2019","FQ3 2019","Currency=USD","Period=FQ","BEST_FPERIOD_OVERRIDE=FQ","FILING_STATUS=MR","SCALING_FORMAT=MLN","Sort=A","Dates=H","DateFormat=P","Fill=—","Direction=H","UseDPDF=Y")</f>
        <v>355.42700000000002</v>
      </c>
      <c r="I39" s="13">
        <f>_xll.BDH("BLUE US Equity","ARD_CASH_CASH_EQUIV_END_OF_PER","FQ4 2019","FQ4 2019","Currency=USD","Period=FQ","BEST_FPERIOD_OVERRIDE=FQ","FILING_STATUS=MR","SCALING_FORMAT=MLN","Sort=A","Dates=H","DateFormat=P","Fill=—","Direction=H","UseDPDF=Y")</f>
        <v>381.709</v>
      </c>
      <c r="J39" s="13">
        <f>_xll.BDH("BLUE US Equity","ARD_CASH_CASH_EQUIV_END_OF_PER","FQ1 2020","FQ1 2020","Currency=USD","Period=FQ","BEST_FPERIOD_OVERRIDE=FQ","FILING_STATUS=MR","SCALING_FORMAT=MLN","Sort=A","Dates=H","DateFormat=P","Fill=—","Direction=H","UseDPDF=Y")</f>
        <v>401.12900000000002</v>
      </c>
      <c r="K39" s="13">
        <f>_xll.BDH("BLUE US Equity","ARD_CASH_CASH_EQUIV_END_OF_PER","FQ2 2020","FQ2 2020","Currency=USD","Period=FQ","BEST_FPERIOD_OVERRIDE=FQ","FILING_STATUS=MR","SCALING_FORMAT=MLN","Sort=A","Dates=H","DateFormat=P","Fill=—","Direction=H","UseDPDF=Y")</f>
        <v>1253.27</v>
      </c>
      <c r="L39" s="13">
        <f>_xll.BDH("BLUE US Equity","ARD_CASH_CASH_EQUIV_END_OF_PER","FQ3 2020","FQ3 2020","Currency=USD","Period=FQ","BEST_FPERIOD_OVERRIDE=FQ","FILING_STATUS=MR","SCALING_FORMAT=MLN","Sort=A","Dates=H","DateFormat=P","Fill=—","Direction=H","UseDPDF=Y")</f>
        <v>378.673</v>
      </c>
      <c r="M39" s="13">
        <f>_xll.BDH("BLUE US Equity","ARD_CASH_CASH_EQUIV_END_OF_PER","FQ4 2020","FQ4 2020","Currency=USD","Period=FQ","BEST_FPERIOD_OVERRIDE=FQ","FILING_STATUS=MR","SCALING_FORMAT=MLN","Sort=A","Dates=H","DateFormat=P","Fill=—","Direction=H","UseDPDF=Y")</f>
        <v>373.72800000000001</v>
      </c>
      <c r="N39" s="13">
        <f>_xll.BDH("BLUE US Equity","ARD_CASH_CASH_EQUIV_END_OF_PER","FQ1 2021","FQ1 2021","Currency=USD","Period=FQ","BEST_FPERIOD_OVERRIDE=FQ","FILING_STATUS=MR","SCALING_FORMAT=MLN","Sort=A","Dates=H","DateFormat=P","Fill=—","Direction=H","UseDPDF=Y")</f>
        <v>495.54899999999998</v>
      </c>
      <c r="O39" s="13">
        <f>_xll.BDH("BLUE US Equity","ARD_CASH_CASH_EQUIV_END_OF_PER","FQ2 2021","FQ2 2021","Currency=USD","Period=FQ","BEST_FPERIOD_OVERRIDE=FQ","FILING_STATUS=MR","SCALING_FORMAT=MLN","Sort=A","Dates=H","DateFormat=P","Fill=—","Direction=H","UseDPDF=Y")</f>
        <v>410.66500000000002</v>
      </c>
      <c r="P39" s="13">
        <f>_xll.BDH("BLUE US Equity","ARD_CASH_CASH_EQUIV_END_OF_PER","FQ3 2021","FQ3 2021","Currency=USD","Period=FQ","BEST_FPERIOD_OVERRIDE=FQ","FILING_STATUS=MR","SCALING_FORMAT=MLN","Sort=A","Dates=H","DateFormat=P","Fill=—","Direction=H","UseDPDF=Y")</f>
        <v>459.49900000000002</v>
      </c>
      <c r="Q39" s="13">
        <f>_xll.BDH("BLUE US Equity","ARD_CASH_CASH_EQUIV_END_OF_PER","FQ4 2021","FQ4 2021","Currency=USD","Period=FQ","BEST_FPERIOD_OVERRIDE=FQ","FILING_STATUS=MR","SCALING_FORMAT=MLN","Sort=A","Dates=H","DateFormat=P","Fill=—","Direction=H","UseDPDF=Y")</f>
        <v>206.69200000000001</v>
      </c>
      <c r="R39" s="13">
        <f>_xll.BDH("BLUE US Equity","ARD_CASH_CASH_EQUIV_END_OF_PER","FQ1 2022","FQ1 2022","Currency=USD","Period=FQ","BEST_FPERIOD_OVERRIDE=FQ","FILING_STATUS=MR","SCALING_FORMAT=MLN","Sort=A","Dates=H","DateFormat=P","Fill=—","Direction=H","UseDPDF=Y")</f>
        <v>151.33199999999999</v>
      </c>
      <c r="S39" s="13">
        <f>_xll.BDH("BLUE US Equity","ARD_CASH_CASH_EQUIV_END_OF_PER","FQ2 2022","FQ2 2022","Currency=USD","Period=FQ","BEST_FPERIOD_OVERRIDE=FQ","FILING_STATUS=MR","SCALING_FORMAT=MLN","Sort=A","Dates=H","DateFormat=P","Fill=—","Direction=H","UseDPDF=Y")</f>
        <v>126.684</v>
      </c>
      <c r="T39" s="13">
        <f>_xll.BDH("BLUE US Equity","ARD_CASH_CASH_EQUIV_END_OF_PER","FQ3 2022","FQ3 2022","Currency=USD","Period=FQ","BEST_FPERIOD_OVERRIDE=FQ","FILING_STATUS=MR","SCALING_FORMAT=MLN","Sort=A","Dates=H","DateFormat=P","Fill=—","Direction=H","UseDPDF=Y")</f>
        <v>111.592</v>
      </c>
      <c r="U39" s="13">
        <f>_xll.BDH("BLUE US Equity","ARD_CASH_CASH_EQUIV_END_OF_PER","FQ4 2022","FQ4 2022","Currency=USD","Period=FQ","BEST_FPERIOD_OVERRIDE=FQ","FILING_STATUS=MR","SCALING_FORMAT=MLN","Sort=A","Dates=H","DateFormat=P","Fill=—","Direction=H","UseDPDF=Y")</f>
        <v>158.44499999999999</v>
      </c>
      <c r="V39" s="13">
        <f>_xll.BDH("BLUE US Equity","ARD_CASH_CASH_EQUIV_END_OF_PER","FQ1 2023","FQ1 2023","Currency=USD","Period=FQ","BEST_FPERIOD_OVERRIDE=FQ","FILING_STATUS=MR","SCALING_FORMAT=MLN","Sort=A","Dates=H","DateFormat=P","Fill=—","Direction=H","UseDPDF=Y")</f>
        <v>284.399</v>
      </c>
      <c r="W39" s="13">
        <f>_xll.BDH("BLUE US Equity","ARD_CASH_CASH_EQUIV_END_OF_PER","FQ2 2023","FQ2 2023","Currency=USD","Period=FQ","BEST_FPERIOD_OVERRIDE=FQ","FILING_STATUS=MR","SCALING_FORMAT=MLN","Sort=A","Dates=H","DateFormat=P","Fill=—","Direction=H","UseDPDF=Y")</f>
        <v>218.17400000000001</v>
      </c>
      <c r="X39" s="13">
        <f>_xll.BDH("BLUE US Equity","ARD_CASH_CASH_EQUIV_END_OF_PER","FQ3 2023","FQ3 2023","Currency=USD","Period=FQ","BEST_FPERIOD_OVERRIDE=FQ","FILING_STATUS=MR","SCALING_FORMAT=MLN","Sort=A","Dates=H","DateFormat=P","Fill=—","Direction=H","UseDPDF=Y")</f>
        <v>218.369</v>
      </c>
      <c r="Y39" s="13">
        <f>_xll.BDH("BLUE US Equity","ARD_CASH_CASH_EQUIV_END_OF_PER","FQ1 2024","FQ1 2024","Currency=USD","Period=FQ","BEST_FPERIOD_OVERRIDE=FQ","FILING_STATUS=MR","SCALING_FORMAT=MLN","Sort=A","Dates=H","DateFormat=P","Fill=—","Direction=H","UseDPDF=Y")</f>
        <v>263.911</v>
      </c>
      <c r="Z39" s="13">
        <f>_xll.BDH("BLUE US Equity","ARD_CASH_CASH_EQUIV_END_OF_PER","FQ2 2024","FQ2 2024","Currency=USD","Period=FQ","BEST_FPERIOD_OVERRIDE=FQ","FILING_STATUS=MR","SCALING_FORMAT=MLN","Sort=A","Dates=H","DateFormat=P","Fill=—","Direction=H","UseDPDF=Y")</f>
        <v>193.21899999999999</v>
      </c>
      <c r="AA39" s="13">
        <f>_xll.BDH("BLUE US Equity","ARD_CASH_CASH_EQUIV_END_OF_PER","FQ3 2024","FQ3 2024","Currency=USD","Period=FQ","BEST_FPERIOD_OVERRIDE=FQ","FILING_STATUS=MR","SCALING_FORMAT=MLN","Sort=A","Dates=H","DateFormat=P","Fill=—","Direction=H","UseDPDF=Y")</f>
        <v>118.652</v>
      </c>
    </row>
    <row r="40" spans="1:27" x14ac:dyDescent="0.25">
      <c r="A40" s="10" t="s">
        <v>1227</v>
      </c>
      <c r="B40" s="10" t="s">
        <v>1228</v>
      </c>
      <c r="C40" s="13">
        <f>_xll.BDH("BLUE US Equity","ARD_CASH_CASH_EQUIV_BEG_OF_PER","FQ2 2018","FQ2 2018","Currency=USD","Period=FQ","BEST_FPERIOD_OVERRIDE=FQ","FILING_STATUS=MR","SCALING_FORMAT=MLN","Sort=A","Dates=H","DateFormat=P","Fill=—","Direction=H","UseDPDF=Y")</f>
        <v>772.26800000000003</v>
      </c>
      <c r="D40" s="13">
        <f>_xll.BDH("BLUE US Equity","ARD_CASH_CASH_EQUIV_BEG_OF_PER","FQ3 2018","FQ3 2018","Currency=USD","Period=FQ","BEST_FPERIOD_OVERRIDE=FQ","FILING_STATUS=MR","SCALING_FORMAT=MLN","Sort=A","Dates=H","DateFormat=P","Fill=—","Direction=H","UseDPDF=Y")</f>
        <v>772.26800000000003</v>
      </c>
      <c r="E40" s="13">
        <f>_xll.BDH("BLUE US Equity","ARD_CASH_CASH_EQUIV_BEG_OF_PER","FQ4 2018","FQ4 2018","Currency=USD","Period=FQ","BEST_FPERIOD_OVERRIDE=FQ","FILING_STATUS=MR","SCALING_FORMAT=MLN","Sort=A","Dates=H","DateFormat=P","Fill=—","Direction=H","UseDPDF=Y")</f>
        <v>772.26800000000003</v>
      </c>
      <c r="F40" s="13">
        <f>_xll.BDH("BLUE US Equity","ARD_CASH_CASH_EQUIV_BEG_OF_PER","FQ1 2019","FQ1 2019","Currency=USD","Period=FQ","BEST_FPERIOD_OVERRIDE=FQ","FILING_STATUS=MR","SCALING_FORMAT=MLN","Sort=A","Dates=H","DateFormat=P","Fill=—","Direction=H","UseDPDF=Y")</f>
        <v>417.09899999999999</v>
      </c>
      <c r="G40" s="13">
        <f>_xll.BDH("BLUE US Equity","ARD_CASH_CASH_EQUIV_BEG_OF_PER","FQ2 2019","FQ2 2019","Currency=USD","Period=FQ","BEST_FPERIOD_OVERRIDE=FQ","FILING_STATUS=MR","SCALING_FORMAT=MLN","Sort=A","Dates=H","DateFormat=P","Fill=—","Direction=H","UseDPDF=Y")</f>
        <v>417.09899999999999</v>
      </c>
      <c r="H40" s="13">
        <f>_xll.BDH("BLUE US Equity","ARD_CASH_CASH_EQUIV_BEG_OF_PER","FQ3 2019","FQ3 2019","Currency=USD","Period=FQ","BEST_FPERIOD_OVERRIDE=FQ","FILING_STATUS=MR","SCALING_FORMAT=MLN","Sort=A","Dates=H","DateFormat=P","Fill=—","Direction=H","UseDPDF=Y")</f>
        <v>417.09899999999999</v>
      </c>
      <c r="I40" s="13">
        <f>_xll.BDH("BLUE US Equity","ARD_CASH_CASH_EQUIV_BEG_OF_PER","FQ4 2019","FQ4 2019","Currency=USD","Period=FQ","BEST_FPERIOD_OVERRIDE=FQ","FILING_STATUS=MR","SCALING_FORMAT=MLN","Sort=A","Dates=H","DateFormat=P","Fill=—","Direction=H","UseDPDF=Y")</f>
        <v>417.09899999999999</v>
      </c>
      <c r="J40" s="13">
        <f>_xll.BDH("BLUE US Equity","ARD_CASH_CASH_EQUIV_BEG_OF_PER","FQ1 2020","FQ1 2020","Currency=USD","Period=FQ","BEST_FPERIOD_OVERRIDE=FQ","FILING_STATUS=MR","SCALING_FORMAT=MLN","Sort=A","Dates=H","DateFormat=P","Fill=—","Direction=H","UseDPDF=Y")</f>
        <v>381.709</v>
      </c>
      <c r="K40" s="13">
        <f>_xll.BDH("BLUE US Equity","ARD_CASH_CASH_EQUIV_BEG_OF_PER","FQ2 2020","FQ2 2020","Currency=USD","Period=FQ","BEST_FPERIOD_OVERRIDE=FQ","FILING_STATUS=MR","SCALING_FORMAT=MLN","Sort=A","Dates=H","DateFormat=P","Fill=—","Direction=H","UseDPDF=Y")</f>
        <v>381.709</v>
      </c>
      <c r="L40" s="13">
        <f>_xll.BDH("BLUE US Equity","ARD_CASH_CASH_EQUIV_BEG_OF_PER","FQ3 2020","FQ3 2020","Currency=USD","Period=FQ","BEST_FPERIOD_OVERRIDE=FQ","FILING_STATUS=MR","SCALING_FORMAT=MLN","Sort=A","Dates=H","DateFormat=P","Fill=—","Direction=H","UseDPDF=Y")</f>
        <v>381.709</v>
      </c>
      <c r="M40" s="13">
        <f>_xll.BDH("BLUE US Equity","ARD_CASH_CASH_EQUIV_BEG_OF_PER","FQ4 2020","FQ4 2020","Currency=USD","Period=FQ","BEST_FPERIOD_OVERRIDE=FQ","FILING_STATUS=MR","SCALING_FORMAT=MLN","Sort=A","Dates=H","DateFormat=P","Fill=—","Direction=H","UseDPDF=Y")</f>
        <v>381.709</v>
      </c>
      <c r="N40" s="13">
        <f>_xll.BDH("BLUE US Equity","ARD_CASH_CASH_EQUIV_BEG_OF_PER","FQ1 2021","FQ1 2021","Currency=USD","Period=FQ","BEST_FPERIOD_OVERRIDE=FQ","FILING_STATUS=MR","SCALING_FORMAT=MLN","Sort=A","Dates=H","DateFormat=P","Fill=—","Direction=H","UseDPDF=Y")</f>
        <v>373.72800000000001</v>
      </c>
      <c r="O40" s="13">
        <f>_xll.BDH("BLUE US Equity","ARD_CASH_CASH_EQUIV_BEG_OF_PER","FQ2 2021","FQ2 2021","Currency=USD","Period=FQ","BEST_FPERIOD_OVERRIDE=FQ","FILING_STATUS=MR","SCALING_FORMAT=MLN","Sort=A","Dates=H","DateFormat=P","Fill=—","Direction=H","UseDPDF=Y")</f>
        <v>373.72800000000001</v>
      </c>
      <c r="P40" s="13">
        <f>_xll.BDH("BLUE US Equity","ARD_CASH_CASH_EQUIV_BEG_OF_PER","FQ3 2021","FQ3 2021","Currency=USD","Period=FQ","BEST_FPERIOD_OVERRIDE=FQ","FILING_STATUS=MR","SCALING_FORMAT=MLN","Sort=A","Dates=H","DateFormat=P","Fill=—","Direction=H","UseDPDF=Y")</f>
        <v>373.72800000000001</v>
      </c>
      <c r="Q40" s="13">
        <f>_xll.BDH("BLUE US Equity","ARD_CASH_CASH_EQUIV_BEG_OF_PER","FQ4 2021","FQ4 2021","Currency=USD","Period=FQ","BEST_FPERIOD_OVERRIDE=FQ","FILING_STATUS=MR","SCALING_FORMAT=MLN","Sort=A","Dates=H","DateFormat=P","Fill=—","Direction=H","UseDPDF=Y")</f>
        <v>373.72800000000001</v>
      </c>
      <c r="R40" s="13">
        <f>_xll.BDH("BLUE US Equity","ARD_CASH_CASH_EQUIV_BEG_OF_PER","FQ1 2022","FQ1 2022","Currency=USD","Period=FQ","BEST_FPERIOD_OVERRIDE=FQ","FILING_STATUS=MR","SCALING_FORMAT=MLN","Sort=A","Dates=H","DateFormat=P","Fill=—","Direction=H","UseDPDF=Y")</f>
        <v>206.69300000000001</v>
      </c>
      <c r="S40" s="13">
        <f>_xll.BDH("BLUE US Equity","ARD_CASH_CASH_EQUIV_BEG_OF_PER","FQ2 2022","FQ2 2022","Currency=USD","Period=FQ","BEST_FPERIOD_OVERRIDE=FQ","FILING_STATUS=MR","SCALING_FORMAT=MLN","Sort=A","Dates=H","DateFormat=P","Fill=—","Direction=H","UseDPDF=Y")</f>
        <v>206.69300000000001</v>
      </c>
      <c r="T40" s="13">
        <f>_xll.BDH("BLUE US Equity","ARD_CASH_CASH_EQUIV_BEG_OF_PER","FQ3 2022","FQ3 2022","Currency=USD","Period=FQ","BEST_FPERIOD_OVERRIDE=FQ","FILING_STATUS=MR","SCALING_FORMAT=MLN","Sort=A","Dates=H","DateFormat=P","Fill=—","Direction=H","UseDPDF=Y")</f>
        <v>206.69300000000001</v>
      </c>
      <c r="U40" s="13">
        <f>_xll.BDH("BLUE US Equity","ARD_CASH_CASH_EQUIV_BEG_OF_PER","FQ4 2022","FQ4 2022","Currency=USD","Period=FQ","BEST_FPERIOD_OVERRIDE=FQ","FILING_STATUS=MR","SCALING_FORMAT=MLN","Sort=A","Dates=H","DateFormat=P","Fill=—","Direction=H","UseDPDF=Y")</f>
        <v>206.69200000000001</v>
      </c>
      <c r="V40" s="13">
        <f>_xll.BDH("BLUE US Equity","ARD_CASH_CASH_EQUIV_BEG_OF_PER","FQ1 2023","FQ1 2023","Currency=USD","Period=FQ","BEST_FPERIOD_OVERRIDE=FQ","FILING_STATUS=MR","SCALING_FORMAT=MLN","Sort=A","Dates=H","DateFormat=P","Fill=—","Direction=H","UseDPDF=Y")</f>
        <v>158.44499999999999</v>
      </c>
      <c r="W40" s="13">
        <f>_xll.BDH("BLUE US Equity","ARD_CASH_CASH_EQUIV_BEG_OF_PER","FQ2 2023","FQ2 2023","Currency=USD","Period=FQ","BEST_FPERIOD_OVERRIDE=FQ","FILING_STATUS=MR","SCALING_FORMAT=MLN","Sort=A","Dates=H","DateFormat=P","Fill=—","Direction=H","UseDPDF=Y")</f>
        <v>158.44499999999999</v>
      </c>
      <c r="X40" s="13">
        <f>_xll.BDH("BLUE US Equity","ARD_CASH_CASH_EQUIV_BEG_OF_PER","FQ3 2023","FQ3 2023","Currency=USD","Period=FQ","BEST_FPERIOD_OVERRIDE=FQ","FILING_STATUS=MR","SCALING_FORMAT=MLN","Sort=A","Dates=H","DateFormat=P","Fill=—","Direction=H","UseDPDF=Y")</f>
        <v>158.44499999999999</v>
      </c>
      <c r="Y40" s="13">
        <f>_xll.BDH("BLUE US Equity","ARD_CASH_CASH_EQUIV_BEG_OF_PER","FQ1 2024","FQ1 2024","Currency=USD","Period=FQ","BEST_FPERIOD_OVERRIDE=FQ","FILING_STATUS=MR","SCALING_FORMAT=MLN","Sort=A","Dates=H","DateFormat=P","Fill=—","Direction=H","UseDPDF=Y")</f>
        <v>274.59699999999998</v>
      </c>
      <c r="Z40" s="13">
        <f>_xll.BDH("BLUE US Equity","ARD_CASH_CASH_EQUIV_BEG_OF_PER","FQ2 2024","FQ2 2024","Currency=USD","Period=FQ","BEST_FPERIOD_OVERRIDE=FQ","FILING_STATUS=MR","SCALING_FORMAT=MLN","Sort=A","Dates=H","DateFormat=P","Fill=—","Direction=H","UseDPDF=Y")</f>
        <v>274.59699999999998</v>
      </c>
      <c r="AA40" s="13">
        <f>_xll.BDH("BLUE US Equity","ARD_CASH_CASH_EQUIV_BEG_OF_PER","FQ3 2024","FQ3 2024","Currency=USD","Period=FQ","BEST_FPERIOD_OVERRIDE=FQ","FILING_STATUS=MR","SCALING_FORMAT=MLN","Sort=A","Dates=H","DateFormat=P","Fill=—","Direction=H","UseDPDF=Y")</f>
        <v>274.59699999999998</v>
      </c>
    </row>
    <row r="41" spans="1:27" x14ac:dyDescent="0.25">
      <c r="A41" s="10" t="s">
        <v>1229</v>
      </c>
      <c r="B41" s="10" t="s">
        <v>1230</v>
      </c>
      <c r="C41" s="13">
        <f>_xll.BDH("BLUE US Equity","ARD_STOCK_ISSUANCE_COSTS","FQ2 2018","FQ2 2018","Currency=USD","Period=FQ","BEST_FPERIOD_OVERRIDE=FQ","FILING_STATUS=MR","SCALING_FORMAT=MLN","Sort=A","Dates=H","DateFormat=P","Fill=—","Direction=H","UseDPDF=Y")</f>
        <v>48.701999999999998</v>
      </c>
      <c r="D41" s="13">
        <f>_xll.BDH("BLUE US Equity","ARD_STOCK_ISSUANCE_COSTS","FQ3 2018","FQ3 2018","Currency=USD","Period=FQ","BEST_FPERIOD_OVERRIDE=FQ","FILING_STATUS=MR","SCALING_FORMAT=MLN","Sort=A","Dates=H","DateFormat=P","Fill=—","Direction=H","UseDPDF=Y")</f>
        <v>649.36699999999996</v>
      </c>
      <c r="E41" s="13">
        <f>_xll.BDH("BLUE US Equity","ARD_STOCK_ISSUANCE_COSTS","FQ4 2018","FQ4 2018","Currency=USD","Period=FQ","BEST_FPERIOD_OVERRIDE=FQ","FILING_STATUS=MR","SCALING_FORMAT=MLN","Sort=A","Dates=H","DateFormat=P","Fill=—","Direction=H","UseDPDF=Y")</f>
        <v>649.36800000000005</v>
      </c>
      <c r="F41" s="13">
        <f>_xll.BDH("BLUE US Equity","ARD_STOCK_ISSUANCE_COSTS","FQ1 2019","FQ1 2019","Currency=USD","Period=FQ","BEST_FPERIOD_OVERRIDE=FQ","FILING_STATUS=MR","SCALING_FORMAT=MLN","Sort=A","Dates=H","DateFormat=P","Fill=—","Direction=H","UseDPDF=Y")</f>
        <v>0</v>
      </c>
      <c r="G41" s="13">
        <f>_xll.BDH("BLUE US Equity","ARD_STOCK_ISSUANCE_COSTS","FQ2 2019","FQ2 2019","Currency=USD","Period=FQ","BEST_FPERIOD_OVERRIDE=FQ","FILING_STATUS=MR","SCALING_FORMAT=MLN","Sort=A","Dates=H","DateFormat=P","Fill=—","Direction=H","UseDPDF=Y")</f>
        <v>0</v>
      </c>
      <c r="H41" s="13">
        <f>_xll.BDH("BLUE US Equity","ARD_STOCK_ISSUANCE_COSTS","FQ3 2019","FQ3 2019","Currency=USD","Period=FQ","BEST_FPERIOD_OVERRIDE=FQ","FILING_STATUS=MR","SCALING_FORMAT=MLN","Sort=A","Dates=H","DateFormat=P","Fill=—","Direction=H","UseDPDF=Y")</f>
        <v>0</v>
      </c>
      <c r="I41" s="13">
        <f>_xll.BDH("BLUE US Equity","ARD_STOCK_ISSUANCE_COSTS","FQ4 2019","FQ4 2019","Currency=USD","Period=FQ","BEST_FPERIOD_OVERRIDE=FQ","FILING_STATUS=MR","SCALING_FORMAT=MLN","Sort=A","Dates=H","DateFormat=P","Fill=—","Direction=H","UseDPDF=Y")</f>
        <v>0</v>
      </c>
      <c r="J41" s="13" t="str">
        <f>_xll.BDH("BLUE US Equity","ARD_STOCK_ISSUANCE_COSTS","FQ1 2020","FQ1 2020","Currency=USD","Period=FQ","BEST_FPERIOD_OVERRIDE=FQ","FILING_STATUS=MR","SCALING_FORMAT=MLN","Sort=A","Dates=H","DateFormat=P","Fill=—","Direction=H","UseDPDF=Y")</f>
        <v>—</v>
      </c>
      <c r="K41" s="13" t="str">
        <f>_xll.BDH("BLUE US Equity","ARD_STOCK_ISSUANCE_COSTS","FQ2 2020","FQ2 2020","Currency=USD","Period=FQ","BEST_FPERIOD_OVERRIDE=FQ","FILING_STATUS=MR","SCALING_FORMAT=MLN","Sort=A","Dates=H","DateFormat=P","Fill=—","Direction=H","UseDPDF=Y")</f>
        <v>—</v>
      </c>
      <c r="L41" s="13">
        <f>_xll.BDH("BLUE US Equity","ARD_STOCK_ISSUANCE_COSTS","FQ3 2020","FQ3 2020","Currency=USD","Period=FQ","BEST_FPERIOD_OVERRIDE=FQ","FILING_STATUS=MR","SCALING_FORMAT=MLN","Sort=A","Dates=H","DateFormat=P","Fill=—","Direction=H","UseDPDF=Y")</f>
        <v>541.53599999999994</v>
      </c>
      <c r="M41" s="13" t="str">
        <f>_xll.BDH("BLUE US Equity","ARD_STOCK_ISSUANCE_COSTS","FQ4 2020","FQ4 2020","Currency=USD","Period=FQ","BEST_FPERIOD_OVERRIDE=FQ","FILING_STATUS=MR","SCALING_FORMAT=MLN","Sort=A","Dates=H","DateFormat=P","Fill=—","Direction=H","UseDPDF=Y")</f>
        <v>—</v>
      </c>
      <c r="N41" s="13" t="str">
        <f>_xll.BDH("BLUE US Equity","ARD_STOCK_ISSUANCE_COSTS","FQ1 2021","FQ1 2021","Currency=USD","Period=FQ","BEST_FPERIOD_OVERRIDE=FQ","FILING_STATUS=MR","SCALING_FORMAT=MLN","Sort=A","Dates=H","DateFormat=P","Fill=—","Direction=H","UseDPDF=Y")</f>
        <v>—</v>
      </c>
      <c r="O41" s="13" t="str">
        <f>_xll.BDH("BLUE US Equity","ARD_STOCK_ISSUANCE_COSTS","FQ2 2021","FQ2 2021","Currency=USD","Period=FQ","BEST_FPERIOD_OVERRIDE=FQ","FILING_STATUS=MR","SCALING_FORMAT=MLN","Sort=A","Dates=H","DateFormat=P","Fill=—","Direction=H","UseDPDF=Y")</f>
        <v>—</v>
      </c>
      <c r="P41" s="13" t="str">
        <f>_xll.BDH("BLUE US Equity","ARD_STOCK_ISSUANCE_COSTS","FQ3 2021","FQ3 2021","Currency=USD","Period=FQ","BEST_FPERIOD_OVERRIDE=FQ","FILING_STATUS=MR","SCALING_FORMAT=MLN","Sort=A","Dates=H","DateFormat=P","Fill=—","Direction=H","UseDPDF=Y")</f>
        <v>—</v>
      </c>
      <c r="Q41" s="13" t="str">
        <f>_xll.BDH("BLUE US Equity","ARD_STOCK_ISSUANCE_COSTS","FQ4 2021","FQ4 2021","Currency=USD","Period=FQ","BEST_FPERIOD_OVERRIDE=FQ","FILING_STATUS=MR","SCALING_FORMAT=MLN","Sort=A","Dates=H","DateFormat=P","Fill=—","Direction=H","UseDPDF=Y")</f>
        <v>—</v>
      </c>
      <c r="R41" s="13" t="str">
        <f>_xll.BDH("BLUE US Equity","ARD_STOCK_ISSUANCE_COSTS","FQ1 2022","FQ1 2022","Currency=USD","Period=FQ","BEST_FPERIOD_OVERRIDE=FQ","FILING_STATUS=MR","SCALING_FORMAT=MLN","Sort=A","Dates=H","DateFormat=P","Fill=—","Direction=H","UseDPDF=Y")</f>
        <v>—</v>
      </c>
      <c r="S41" s="13" t="str">
        <f>_xll.BDH("BLUE US Equity","ARD_STOCK_ISSUANCE_COSTS","FQ2 2022","FQ2 2022","Currency=USD","Period=FQ","BEST_FPERIOD_OVERRIDE=FQ","FILING_STATUS=MR","SCALING_FORMAT=MLN","Sort=A","Dates=H","DateFormat=P","Fill=—","Direction=H","UseDPDF=Y")</f>
        <v>—</v>
      </c>
      <c r="T41" s="13" t="str">
        <f>_xll.BDH("BLUE US Equity","ARD_STOCK_ISSUANCE_COSTS","FQ3 2022","FQ3 2022","Currency=USD","Period=FQ","BEST_FPERIOD_OVERRIDE=FQ","FILING_STATUS=MR","SCALING_FORMAT=MLN","Sort=A","Dates=H","DateFormat=P","Fill=—","Direction=H","UseDPDF=Y")</f>
        <v>—</v>
      </c>
      <c r="U41" s="13" t="str">
        <f>_xll.BDH("BLUE US Equity","ARD_STOCK_ISSUANCE_COSTS","FQ4 2022","FQ4 2022","Currency=USD","Period=FQ","BEST_FPERIOD_OVERRIDE=FQ","FILING_STATUS=MR","SCALING_FORMAT=MLN","Sort=A","Dates=H","DateFormat=P","Fill=—","Direction=H","UseDPDF=Y")</f>
        <v>—</v>
      </c>
      <c r="V41" s="13" t="str">
        <f>_xll.BDH("BLUE US Equity","ARD_STOCK_ISSUANCE_COSTS","FQ1 2023","FQ1 2023","Currency=USD","Period=FQ","BEST_FPERIOD_OVERRIDE=FQ","FILING_STATUS=MR","SCALING_FORMAT=MLN","Sort=A","Dates=H","DateFormat=P","Fill=—","Direction=H","UseDPDF=Y")</f>
        <v>—</v>
      </c>
      <c r="W41" s="13" t="str">
        <f>_xll.BDH("BLUE US Equity","ARD_STOCK_ISSUANCE_COSTS","FQ2 2023","FQ2 2023","Currency=USD","Period=FQ","BEST_FPERIOD_OVERRIDE=FQ","FILING_STATUS=MR","SCALING_FORMAT=MLN","Sort=A","Dates=H","DateFormat=P","Fill=—","Direction=H","UseDPDF=Y")</f>
        <v>—</v>
      </c>
      <c r="X41" s="13" t="str">
        <f>_xll.BDH("BLUE US Equity","ARD_STOCK_ISSUANCE_COSTS","FQ3 2023","FQ3 2023","Currency=USD","Period=FQ","BEST_FPERIOD_OVERRIDE=FQ","FILING_STATUS=MR","SCALING_FORMAT=MLN","Sort=A","Dates=H","DateFormat=P","Fill=—","Direction=H","UseDPDF=Y")</f>
        <v>—</v>
      </c>
      <c r="Y41" s="13" t="str">
        <f>_xll.BDH("BLUE US Equity","ARD_STOCK_ISSUANCE_COSTS","FQ1 2024","FQ1 2024","Currency=USD","Period=FQ","BEST_FPERIOD_OVERRIDE=FQ","FILING_STATUS=MR","SCALING_FORMAT=MLN","Sort=A","Dates=H","DateFormat=P","Fill=—","Direction=H","UseDPDF=Y")</f>
        <v>—</v>
      </c>
      <c r="Z41" s="13" t="str">
        <f>_xll.BDH("BLUE US Equity","ARD_STOCK_ISSUANCE_COSTS","FQ2 2024","FQ2 2024","Currency=USD","Period=FQ","BEST_FPERIOD_OVERRIDE=FQ","FILING_STATUS=MR","SCALING_FORMAT=MLN","Sort=A","Dates=H","DateFormat=P","Fill=—","Direction=H","UseDPDF=Y")</f>
        <v>—</v>
      </c>
      <c r="AA41" s="13" t="str">
        <f>_xll.BDH("BLUE US Equity","ARD_STOCK_ISSUANCE_COSTS","FQ3 2024","FQ3 2024","Currency=USD","Period=FQ","BEST_FPERIOD_OVERRIDE=FQ","FILING_STATUS=MR","SCALING_FORMAT=MLN","Sort=A","Dates=H","DateFormat=P","Fill=—","Direction=H","UseDPDF=Y")</f>
        <v>—</v>
      </c>
    </row>
    <row r="42" spans="1:27" x14ac:dyDescent="0.25">
      <c r="A42" s="10" t="s">
        <v>1231</v>
      </c>
      <c r="B42" s="10" t="s">
        <v>1232</v>
      </c>
      <c r="C42" s="13" t="str">
        <f>_xll.BDH("BLUE US Equity","ARD_REPAYMENT_FINANCE_LEASES","FQ2 2018","FQ2 2018","Currency=USD","Period=FQ","BEST_FPERIOD_OVERRIDE=FQ","FILING_STATUS=MR","SCALING_FORMAT=MLN","Sort=A","Dates=H","DateFormat=P","Fill=—","Direction=H","UseDPDF=Y")</f>
        <v>—</v>
      </c>
      <c r="D42" s="13" t="str">
        <f>_xll.BDH("BLUE US Equity","ARD_REPAYMENT_FINANCE_LEASES","FQ3 2018","FQ3 2018","Currency=USD","Period=FQ","BEST_FPERIOD_OVERRIDE=FQ","FILING_STATUS=MR","SCALING_FORMAT=MLN","Sort=A","Dates=H","DateFormat=P","Fill=—","Direction=H","UseDPDF=Y")</f>
        <v>—</v>
      </c>
      <c r="E42" s="13" t="str">
        <f>_xll.BDH("BLUE US Equity","ARD_REPAYMENT_FINANCE_LEASES","FQ4 2018","FQ4 2018","Currency=USD","Period=FQ","BEST_FPERIOD_OVERRIDE=FQ","FILING_STATUS=MR","SCALING_FORMAT=MLN","Sort=A","Dates=H","DateFormat=P","Fill=—","Direction=H","UseDPDF=Y")</f>
        <v>—</v>
      </c>
      <c r="F42" s="13" t="str">
        <f>_xll.BDH("BLUE US Equity","ARD_REPAYMENT_FINANCE_LEASES","FQ1 2019","FQ1 2019","Currency=USD","Period=FQ","BEST_FPERIOD_OVERRIDE=FQ","FILING_STATUS=MR","SCALING_FORMAT=MLN","Sort=A","Dates=H","DateFormat=P","Fill=—","Direction=H","UseDPDF=Y")</f>
        <v>—</v>
      </c>
      <c r="G42" s="13" t="str">
        <f>_xll.BDH("BLUE US Equity","ARD_REPAYMENT_FINANCE_LEASES","FQ2 2019","FQ2 2019","Currency=USD","Period=FQ","BEST_FPERIOD_OVERRIDE=FQ","FILING_STATUS=MR","SCALING_FORMAT=MLN","Sort=A","Dates=H","DateFormat=P","Fill=—","Direction=H","UseDPDF=Y")</f>
        <v>—</v>
      </c>
      <c r="H42" s="13" t="str">
        <f>_xll.BDH("BLUE US Equity","ARD_REPAYMENT_FINANCE_LEASES","FQ3 2019","FQ3 2019","Currency=USD","Period=FQ","BEST_FPERIOD_OVERRIDE=FQ","FILING_STATUS=MR","SCALING_FORMAT=MLN","Sort=A","Dates=H","DateFormat=P","Fill=—","Direction=H","UseDPDF=Y")</f>
        <v>—</v>
      </c>
      <c r="I42" s="13" t="str">
        <f>_xll.BDH("BLUE US Equity","ARD_REPAYMENT_FINANCE_LEASES","FQ4 2019","FQ4 2019","Currency=USD","Period=FQ","BEST_FPERIOD_OVERRIDE=FQ","FILING_STATUS=MR","SCALING_FORMAT=MLN","Sort=A","Dates=H","DateFormat=P","Fill=—","Direction=H","UseDPDF=Y")</f>
        <v>—</v>
      </c>
      <c r="J42" s="13" t="str">
        <f>_xll.BDH("BLUE US Equity","ARD_REPAYMENT_FINANCE_LEASES","FQ1 2020","FQ1 2020","Currency=USD","Period=FQ","BEST_FPERIOD_OVERRIDE=FQ","FILING_STATUS=MR","SCALING_FORMAT=MLN","Sort=A","Dates=H","DateFormat=P","Fill=—","Direction=H","UseDPDF=Y")</f>
        <v>—</v>
      </c>
      <c r="K42" s="13" t="str">
        <f>_xll.BDH("BLUE US Equity","ARD_REPAYMENT_FINANCE_LEASES","FQ2 2020","FQ2 2020","Currency=USD","Period=FQ","BEST_FPERIOD_OVERRIDE=FQ","FILING_STATUS=MR","SCALING_FORMAT=MLN","Sort=A","Dates=H","DateFormat=P","Fill=—","Direction=H","UseDPDF=Y")</f>
        <v>—</v>
      </c>
      <c r="L42" s="13" t="str">
        <f>_xll.BDH("BLUE US Equity","ARD_REPAYMENT_FINANCE_LEASES","FQ3 2020","FQ3 2020","Currency=USD","Period=FQ","BEST_FPERIOD_OVERRIDE=FQ","FILING_STATUS=MR","SCALING_FORMAT=MLN","Sort=A","Dates=H","DateFormat=P","Fill=—","Direction=H","UseDPDF=Y")</f>
        <v>—</v>
      </c>
      <c r="M42" s="13">
        <f>_xll.BDH("BLUE US Equity","ARD_REPAYMENT_FINANCE_LEASES","FQ4 2020","FQ4 2020","Currency=USD","Period=FQ","BEST_FPERIOD_OVERRIDE=FQ","FILING_STATUS=MR","SCALING_FORMAT=MLN","Sort=A","Dates=H","DateFormat=P","Fill=—","Direction=H","UseDPDF=Y")</f>
        <v>0</v>
      </c>
      <c r="N42" s="13" t="str">
        <f>_xll.BDH("BLUE US Equity","ARD_REPAYMENT_FINANCE_LEASES","FQ1 2021","FQ1 2021","Currency=USD","Period=FQ","BEST_FPERIOD_OVERRIDE=FQ","FILING_STATUS=MR","SCALING_FORMAT=MLN","Sort=A","Dates=H","DateFormat=P","Fill=—","Direction=H","UseDPDF=Y")</f>
        <v>—</v>
      </c>
      <c r="O42" s="13" t="str">
        <f>_xll.BDH("BLUE US Equity","ARD_REPAYMENT_FINANCE_LEASES","FQ2 2021","FQ2 2021","Currency=USD","Period=FQ","BEST_FPERIOD_OVERRIDE=FQ","FILING_STATUS=MR","SCALING_FORMAT=MLN","Sort=A","Dates=H","DateFormat=P","Fill=—","Direction=H","UseDPDF=Y")</f>
        <v>—</v>
      </c>
      <c r="P42" s="13" t="str">
        <f>_xll.BDH("BLUE US Equity","ARD_REPAYMENT_FINANCE_LEASES","FQ3 2021","FQ3 2021","Currency=USD","Period=FQ","BEST_FPERIOD_OVERRIDE=FQ","FILING_STATUS=MR","SCALING_FORMAT=MLN","Sort=A","Dates=H","DateFormat=P","Fill=—","Direction=H","UseDPDF=Y")</f>
        <v>—</v>
      </c>
      <c r="Q42" s="13" t="str">
        <f>_xll.BDH("BLUE US Equity","ARD_REPAYMENT_FINANCE_LEASES","FQ4 2021","FQ4 2021","Currency=USD","Period=FQ","BEST_FPERIOD_OVERRIDE=FQ","FILING_STATUS=MR","SCALING_FORMAT=MLN","Sort=A","Dates=H","DateFormat=P","Fill=—","Direction=H","UseDPDF=Y")</f>
        <v>—</v>
      </c>
      <c r="R42" s="13" t="str">
        <f>_xll.BDH("BLUE US Equity","ARD_REPAYMENT_FINANCE_LEASES","FQ1 2022","FQ1 2022","Currency=USD","Period=FQ","BEST_FPERIOD_OVERRIDE=FQ","FILING_STATUS=MR","SCALING_FORMAT=MLN","Sort=A","Dates=H","DateFormat=P","Fill=—","Direction=H","UseDPDF=Y")</f>
        <v>—</v>
      </c>
      <c r="S42" s="13" t="str">
        <f>_xll.BDH("BLUE US Equity","ARD_REPAYMENT_FINANCE_LEASES","FQ2 2022","FQ2 2022","Currency=USD","Period=FQ","BEST_FPERIOD_OVERRIDE=FQ","FILING_STATUS=MR","SCALING_FORMAT=MLN","Sort=A","Dates=H","DateFormat=P","Fill=—","Direction=H","UseDPDF=Y")</f>
        <v>—</v>
      </c>
      <c r="T42" s="13" t="str">
        <f>_xll.BDH("BLUE US Equity","ARD_REPAYMENT_FINANCE_LEASES","FQ3 2022","FQ3 2022","Currency=USD","Period=FQ","BEST_FPERIOD_OVERRIDE=FQ","FILING_STATUS=MR","SCALING_FORMAT=MLN","Sort=A","Dates=H","DateFormat=P","Fill=—","Direction=H","UseDPDF=Y")</f>
        <v>—</v>
      </c>
      <c r="U42" s="13" t="str">
        <f>_xll.BDH("BLUE US Equity","ARD_REPAYMENT_FINANCE_LEASES","FQ4 2022","FQ4 2022","Currency=USD","Period=FQ","BEST_FPERIOD_OVERRIDE=FQ","FILING_STATUS=MR","SCALING_FORMAT=MLN","Sort=A","Dates=H","DateFormat=P","Fill=—","Direction=H","UseDPDF=Y")</f>
        <v>—</v>
      </c>
      <c r="V42" s="13">
        <f>_xll.BDH("BLUE US Equity","ARD_REPAYMENT_FINANCE_LEASES","FQ1 2023","FQ1 2023","Currency=USD","Period=FQ","BEST_FPERIOD_OVERRIDE=FQ","FILING_STATUS=MR","SCALING_FORMAT=MLN","Sort=A","Dates=H","DateFormat=P","Fill=—","Direction=H","UseDPDF=Y")</f>
        <v>-15.28</v>
      </c>
      <c r="W42" s="13">
        <f>_xll.BDH("BLUE US Equity","ARD_REPAYMENT_FINANCE_LEASES","FQ2 2023","FQ2 2023","Currency=USD","Period=FQ","BEST_FPERIOD_OVERRIDE=FQ","FILING_STATUS=MR","SCALING_FORMAT=MLN","Sort=A","Dates=H","DateFormat=P","Fill=—","Direction=H","UseDPDF=Y")</f>
        <v>-28.504000000000001</v>
      </c>
      <c r="X42" s="13">
        <f>_xll.BDH("BLUE US Equity","ARD_REPAYMENT_FINANCE_LEASES","FQ3 2023","FQ3 2023","Currency=USD","Period=FQ","BEST_FPERIOD_OVERRIDE=FQ","FILING_STATUS=MR","SCALING_FORMAT=MLN","Sort=A","Dates=H","DateFormat=P","Fill=—","Direction=H","UseDPDF=Y")</f>
        <v>-40.298999999999999</v>
      </c>
      <c r="Y42" s="13">
        <f>_xll.BDH("BLUE US Equity","ARD_REPAYMENT_FINANCE_LEASES","FQ1 2024","FQ1 2024","Currency=USD","Period=FQ","BEST_FPERIOD_OVERRIDE=FQ","FILING_STATUS=MR","SCALING_FORMAT=MLN","Sort=A","Dates=H","DateFormat=P","Fill=—","Direction=H","UseDPDF=Y")</f>
        <v>-22.21</v>
      </c>
      <c r="Z42" s="13">
        <f>_xll.BDH("BLUE US Equity","ARD_REPAYMENT_FINANCE_LEASES","FQ2 2024","FQ2 2024","Currency=USD","Period=FQ","BEST_FPERIOD_OVERRIDE=FQ","FILING_STATUS=MR","SCALING_FORMAT=MLN","Sort=A","Dates=H","DateFormat=P","Fill=—","Direction=H","UseDPDF=Y")</f>
        <v>-48.645000000000003</v>
      </c>
      <c r="AA42" s="13">
        <f>_xll.BDH("BLUE US Equity","ARD_REPAYMENT_FINANCE_LEASES","FQ3 2024","FQ3 2024","Currency=USD","Period=FQ","BEST_FPERIOD_OVERRIDE=FQ","FILING_STATUS=MR","SCALING_FORMAT=MLN","Sort=A","Dates=H","DateFormat=P","Fill=—","Direction=H","UseDPDF=Y")</f>
        <v>-69.575999999999993</v>
      </c>
    </row>
    <row r="43" spans="1:27" x14ac:dyDescent="0.25">
      <c r="A43" s="6" t="s">
        <v>1233</v>
      </c>
      <c r="B43" s="6" t="s">
        <v>1234</v>
      </c>
      <c r="C43" s="19">
        <f>_xll.BDH("BLUE US Equity","ARD_TOT_CASHFLOWS_FROM_FINANCING","FQ2 2018","FQ2 2018","Currency=USD","Period=FQ","BEST_FPERIOD_OVERRIDE=FQ","FILING_STATUS=MR","SCALING_FORMAT=MLN","Sort=A","Dates=H","DateFormat=P","Fill=—","Direction=H","UseDPDF=Y")</f>
        <v>76.977999999999994</v>
      </c>
      <c r="D43" s="19">
        <f>_xll.BDH("BLUE US Equity","ARD_TOT_CASHFLOWS_FROM_FINANCING","FQ3 2018","FQ3 2018","Currency=USD","Period=FQ","BEST_FPERIOD_OVERRIDE=FQ","FILING_STATUS=MR","SCALING_FORMAT=MLN","Sort=A","Dates=H","DateFormat=P","Fill=—","Direction=H","UseDPDF=Y")</f>
        <v>735.77099999999996</v>
      </c>
      <c r="E43" s="19">
        <f>_xll.BDH("BLUE US Equity","ARD_TOT_CASHFLOWS_FROM_FINANCING","FQ4 2018","FQ4 2018","Currency=USD","Period=FQ","BEST_FPERIOD_OVERRIDE=FQ","FILING_STATUS=MR","SCALING_FORMAT=MLN","Sort=A","Dates=H","DateFormat=P","Fill=—","Direction=H","UseDPDF=Y")</f>
        <v>737.69200000000001</v>
      </c>
      <c r="F43" s="19">
        <f>_xll.BDH("BLUE US Equity","ARD_TOT_CASHFLOWS_FROM_FINANCING","FQ1 2019","FQ1 2019","Currency=USD","Period=FQ","BEST_FPERIOD_OVERRIDE=FQ","FILING_STATUS=MR","SCALING_FORMAT=MLN","Sort=A","Dates=H","DateFormat=P","Fill=—","Direction=H","UseDPDF=Y")</f>
        <v>10.223000000000001</v>
      </c>
      <c r="G43" s="19">
        <f>_xll.BDH("BLUE US Equity","ARD_TOT_CASHFLOWS_FROM_FINANCING","FQ2 2019","FQ2 2019","Currency=USD","Period=FQ","BEST_FPERIOD_OVERRIDE=FQ","FILING_STATUS=MR","SCALING_FORMAT=MLN","Sort=A","Dates=H","DateFormat=P","Fill=—","Direction=H","UseDPDF=Y")</f>
        <v>15.004</v>
      </c>
      <c r="H43" s="19">
        <f>_xll.BDH("BLUE US Equity","ARD_TOT_CASHFLOWS_FROM_FINANCING","FQ3 2019","FQ3 2019","Currency=USD","Period=FQ","BEST_FPERIOD_OVERRIDE=FQ","FILING_STATUS=MR","SCALING_FORMAT=MLN","Sort=A","Dates=H","DateFormat=P","Fill=—","Direction=H","UseDPDF=Y")</f>
        <v>19.181999999999999</v>
      </c>
      <c r="I43" s="19">
        <f>_xll.BDH("BLUE US Equity","ARD_TOT_CASHFLOWS_FROM_FINANCING","FQ4 2019","FQ4 2019","Currency=USD","Period=FQ","BEST_FPERIOD_OVERRIDE=FQ","FILING_STATUS=MR","SCALING_FORMAT=MLN","Sort=A","Dates=H","DateFormat=P","Fill=—","Direction=H","UseDPDF=Y")</f>
        <v>21.187000000000001</v>
      </c>
      <c r="J43" s="19">
        <f>_xll.BDH("BLUE US Equity","ARD_TOT_CASHFLOWS_FROM_FINANCING","FQ1 2020","FQ1 2020","Currency=USD","Period=FQ","BEST_FPERIOD_OVERRIDE=FQ","FILING_STATUS=MR","SCALING_FORMAT=MLN","Sort=A","Dates=H","DateFormat=P","Fill=—","Direction=H","UseDPDF=Y")</f>
        <v>0.96299999999999997</v>
      </c>
      <c r="K43" s="19">
        <f>_xll.BDH("BLUE US Equity","ARD_TOT_CASHFLOWS_FROM_FINANCING","FQ2 2020","FQ2 2020","Currency=USD","Period=FQ","BEST_FPERIOD_OVERRIDE=FQ","FILING_STATUS=MR","SCALING_FORMAT=MLN","Sort=A","Dates=H","DateFormat=P","Fill=—","Direction=H","UseDPDF=Y")</f>
        <v>544.08500000000004</v>
      </c>
      <c r="L43" s="19">
        <f>_xll.BDH("BLUE US Equity","ARD_TOT_CASHFLOWS_FROM_FINANCING","FQ3 2020","FQ3 2020","Currency=USD","Period=FQ","BEST_FPERIOD_OVERRIDE=FQ","FILING_STATUS=MR","SCALING_FORMAT=MLN","Sort=A","Dates=H","DateFormat=P","Fill=—","Direction=H","UseDPDF=Y")</f>
        <v>545.28300000000002</v>
      </c>
      <c r="M43" s="19">
        <f>_xll.BDH("BLUE US Equity","ARD_TOT_CASHFLOWS_FROM_FINANCING","FQ4 2020","FQ4 2020","Currency=USD","Period=FQ","BEST_FPERIOD_OVERRIDE=FQ","FILING_STATUS=MR","SCALING_FORMAT=MLN","Sort=A","Dates=H","DateFormat=P","Fill=—","Direction=H","UseDPDF=Y")</f>
        <v>546.71500000000003</v>
      </c>
      <c r="N43" s="19">
        <f>_xll.BDH("BLUE US Equity","ARD_TOT_CASHFLOWS_FROM_FINANCING","FQ1 2021","FQ1 2021","Currency=USD","Period=FQ","BEST_FPERIOD_OVERRIDE=FQ","FILING_STATUS=MR","SCALING_FORMAT=MLN","Sort=A","Dates=H","DateFormat=P","Fill=—","Direction=H","UseDPDF=Y")</f>
        <v>3.7959999999999998</v>
      </c>
      <c r="O43" s="19">
        <f>_xll.BDH("BLUE US Equity","ARD_TOT_CASHFLOWS_FROM_FINANCING","FQ2 2021","FQ2 2021","Currency=USD","Period=FQ","BEST_FPERIOD_OVERRIDE=FQ","FILING_STATUS=MR","SCALING_FORMAT=MLN","Sort=A","Dates=H","DateFormat=P","Fill=—","Direction=H","UseDPDF=Y")</f>
        <v>4.1920000000000002</v>
      </c>
      <c r="P43" s="19">
        <f>_xll.BDH("BLUE US Equity","ARD_TOT_CASHFLOWS_FROM_FINANCING","FQ3 2021","FQ3 2021","Currency=USD","Period=FQ","BEST_FPERIOD_OVERRIDE=FQ","FILING_STATUS=MR","SCALING_FORMAT=MLN","Sort=A","Dates=H","DateFormat=P","Fill=—","Direction=H","UseDPDF=Y")</f>
        <v>80.06</v>
      </c>
      <c r="Q43" s="19">
        <f>_xll.BDH("BLUE US Equity","ARD_TOT_CASHFLOWS_FROM_FINANCING","FQ4 2021","FQ4 2021","Currency=USD","Period=FQ","BEST_FPERIOD_OVERRIDE=FQ","FILING_STATUS=MR","SCALING_FORMAT=MLN","Sort=A","Dates=H","DateFormat=P","Fill=—","Direction=H","UseDPDF=Y")</f>
        <v>-93.953999999999994</v>
      </c>
      <c r="R43" s="19">
        <f>_xll.BDH("BLUE US Equity","ARD_TOT_CASHFLOWS_FROM_FINANCING","FQ1 2022","FQ1 2022","Currency=USD","Period=FQ","BEST_FPERIOD_OVERRIDE=FQ","FILING_STATUS=MR","SCALING_FORMAT=MLN","Sort=A","Dates=H","DateFormat=P","Fill=—","Direction=H","UseDPDF=Y")</f>
        <v>8.9999999999999993E-3</v>
      </c>
      <c r="S43" s="19">
        <f>_xll.BDH("BLUE US Equity","ARD_TOT_CASHFLOWS_FROM_FINANCING","FQ2 2022","FQ2 2022","Currency=USD","Period=FQ","BEST_FPERIOD_OVERRIDE=FQ","FILING_STATUS=MR","SCALING_FORMAT=MLN","Sort=A","Dates=H","DateFormat=P","Fill=—","Direction=H","UseDPDF=Y")</f>
        <v>8.0429999999999993</v>
      </c>
      <c r="T43" s="19">
        <f>_xll.BDH("BLUE US Equity","ARD_TOT_CASHFLOWS_FROM_FINANCING","FQ3 2022","FQ3 2022","Currency=USD","Period=FQ","BEST_FPERIOD_OVERRIDE=FQ","FILING_STATUS=MR","SCALING_FORMAT=MLN","Sort=A","Dates=H","DateFormat=P","Fill=—","Direction=H","UseDPDF=Y")</f>
        <v>54.368000000000002</v>
      </c>
      <c r="U43" s="19">
        <f>_xll.BDH("BLUE US Equity","ARD_TOT_CASHFLOWS_FROM_FINANCING","FQ4 2022","FQ4 2022","Currency=USD","Period=FQ","BEST_FPERIOD_OVERRIDE=FQ","FILING_STATUS=MR","SCALING_FORMAT=MLN","Sort=A","Dates=H","DateFormat=P","Fill=—","Direction=H","UseDPDF=Y")</f>
        <v>54.253</v>
      </c>
      <c r="V43" s="19">
        <f>_xll.BDH("BLUE US Equity","ARD_TOT_CASHFLOWS_FROM_FINANCING","FQ1 2023","FQ1 2023","Currency=USD","Period=FQ","BEST_FPERIOD_OVERRIDE=FQ","FILING_STATUS=MR","SCALING_FORMAT=MLN","Sort=A","Dates=H","DateFormat=P","Fill=—","Direction=H","UseDPDF=Y")</f>
        <v>115.176</v>
      </c>
      <c r="W43" s="19">
        <f>_xll.BDH("BLUE US Equity","ARD_TOT_CASHFLOWS_FROM_FINANCING","FQ2 2023","FQ2 2023","Currency=USD","Period=FQ","BEST_FPERIOD_OVERRIDE=FQ","FILING_STATUS=MR","SCALING_FORMAT=MLN","Sort=A","Dates=H","DateFormat=P","Fill=—","Direction=H","UseDPDF=Y")</f>
        <v>101.50700000000001</v>
      </c>
      <c r="X43" s="19">
        <f>_xll.BDH("BLUE US Equity","ARD_TOT_CASHFLOWS_FROM_FINANCING","FQ3 2023","FQ3 2023","Currency=USD","Period=FQ","BEST_FPERIOD_OVERRIDE=FQ","FILING_STATUS=MR","SCALING_FORMAT=MLN","Sort=A","Dates=H","DateFormat=P","Fill=—","Direction=H","UseDPDF=Y")</f>
        <v>89.67</v>
      </c>
      <c r="Y43" s="19">
        <f>_xll.BDH("BLUE US Equity","ARD_TOT_CASHFLOWS_FROM_FINANCING","FQ1 2024","FQ1 2024","Currency=USD","Period=FQ","BEST_FPERIOD_OVERRIDE=FQ","FILING_STATUS=MR","SCALING_FORMAT=MLN","Sort=A","Dates=H","DateFormat=P","Fill=—","Direction=H","UseDPDF=Y")</f>
        <v>64.644999999999996</v>
      </c>
      <c r="Z43" s="19">
        <f>_xll.BDH("BLUE US Equity","ARD_TOT_CASHFLOWS_FROM_FINANCING","FQ2 2024","FQ2 2024","Currency=USD","Period=FQ","BEST_FPERIOD_OVERRIDE=FQ","FILING_STATUS=MR","SCALING_FORMAT=MLN","Sort=A","Dates=H","DateFormat=P","Fill=—","Direction=H","UseDPDF=Y")</f>
        <v>58.584000000000003</v>
      </c>
      <c r="AA43" s="19">
        <f>_xll.BDH("BLUE US Equity","ARD_TOT_CASHFLOWS_FROM_FINANCING","FQ3 2024","FQ3 2024","Currency=USD","Period=FQ","BEST_FPERIOD_OVERRIDE=FQ","FILING_STATUS=MR","SCALING_FORMAT=MLN","Sort=A","Dates=H","DateFormat=P","Fill=—","Direction=H","UseDPDF=Y")</f>
        <v>52.478999999999999</v>
      </c>
    </row>
    <row r="44" spans="1:27" x14ac:dyDescent="0.25">
      <c r="A44" s="7" t="s">
        <v>90</v>
      </c>
      <c r="B44" s="7"/>
      <c r="C44" s="7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1235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1236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1237</v>
      </c>
      <c r="B7" s="10" t="s">
        <v>1238</v>
      </c>
      <c r="C7" s="14">
        <f>_xll.BDH("BLUE US Equity","RETURN_COM_EQY","FQ4 2018","FQ4 2018","Currency=USD","Period=FQ","BEST_FPERIOD_OVERRIDE=FQ","FILING_STATUS=MR","FA_ADJUSTED=GAAP","Sort=A","Dates=H","DateFormat=P","Fill=—","Direction=H","UseDPDF=Y")</f>
        <v>-31.673100000000002</v>
      </c>
      <c r="D7" s="14">
        <f>_xll.BDH("BLUE US Equity","RETURN_COM_EQY","FQ1 2019","FQ1 2019","Currency=USD","Period=FQ","BEST_FPERIOD_OVERRIDE=FQ","FILING_STATUS=MR","FA_ADJUSTED=GAAP","Sort=A","Dates=H","DateFormat=P","Fill=—","Direction=H","UseDPDF=Y")</f>
        <v>-36.199300000000001</v>
      </c>
      <c r="E7" s="14">
        <f>_xll.BDH("BLUE US Equity","RETURN_COM_EQY","FQ2 2019","FQ2 2019","Currency=USD","Period=FQ","BEST_FPERIOD_OVERRIDE=FQ","FILING_STATUS=MR","FA_ADJUSTED=GAAP","Sort=A","Dates=H","DateFormat=P","Fill=—","Direction=H","UseDPDF=Y")</f>
        <v>-42.323900000000002</v>
      </c>
      <c r="F7" s="14">
        <f>_xll.BDH("BLUE US Equity","RETURN_COM_EQY","FQ3 2019","FQ3 2019","Currency=USD","Period=FQ","BEST_FPERIOD_OVERRIDE=FQ","FILING_STATUS=MR","FA_ADJUSTED=GAAP","Sort=A","Dates=H","DateFormat=P","Fill=—","Direction=H","UseDPDF=Y")</f>
        <v>-41.197099999999999</v>
      </c>
      <c r="G7" s="14">
        <f>_xll.BDH("BLUE US Equity","RETURN_COM_EQY","FQ4 2019","FQ4 2019","Currency=USD","Period=FQ","BEST_FPERIOD_OVERRIDE=FQ","FILING_STATUS=MR","FA_ADJUSTED=GAAP","Sort=A","Dates=H","DateFormat=P","Fill=—","Direction=H","UseDPDF=Y")</f>
        <v>-49.816499999999998</v>
      </c>
      <c r="H7" s="14">
        <f>_xll.BDH("BLUE US Equity","RETURN_COM_EQY","FQ1 2020","FQ1 2020","Currency=USD","Period=FQ","BEST_FPERIOD_OVERRIDE=FQ","FILING_STATUS=MR","FA_ADJUSTED=GAAP","Sort=A","Dates=H","DateFormat=P","Fill=—","Direction=H","UseDPDF=Y")</f>
        <v>-57.235199999999999</v>
      </c>
      <c r="I7" s="14">
        <f>_xll.BDH("BLUE US Equity","RETURN_COM_EQY","FQ2 2020","FQ2 2020","Currency=USD","Period=FQ","BEST_FPERIOD_OVERRIDE=FQ","FILING_STATUS=MR","FA_ADJUSTED=GAAP","Sort=A","Dates=H","DateFormat=P","Fill=—","Direction=H","UseDPDF=Y")</f>
        <v>-39.383699999999997</v>
      </c>
      <c r="J7" s="14">
        <f>_xll.BDH("BLUE US Equity","RETURN_COM_EQY","FQ3 2020","FQ3 2020","Currency=USD","Period=FQ","BEST_FPERIOD_OVERRIDE=FQ","FILING_STATUS=MR","FA_ADJUSTED=GAAP","Sort=A","Dates=H","DateFormat=P","Fill=—","Direction=H","UseDPDF=Y")</f>
        <v>-42.886499999999998</v>
      </c>
      <c r="K7" s="14">
        <f>_xll.BDH("BLUE US Equity","RETURN_COM_EQY","FQ4 2020","FQ4 2020","Currency=USD","Period=FQ","BEST_FPERIOD_OVERRIDE=FQ","FILING_STATUS=MR","FA_ADJUSTED=GAAP","Sort=A","Dates=H","DateFormat=P","Fill=—","Direction=H","UseDPDF=Y")</f>
        <v>-46.87</v>
      </c>
      <c r="L7" s="14">
        <f>_xll.BDH("BLUE US Equity","RETURN_COM_EQY","FQ1 2021","FQ1 2021","Currency=USD","Period=FQ","BEST_FPERIOD_OVERRIDE=FQ","FILING_STATUS=MR","FA_ADJUSTED=GAAP","Sort=A","Dates=H","DateFormat=P","Fill=—","Direction=H","UseDPDF=Y")</f>
        <v>-53.593699999999998</v>
      </c>
      <c r="M7" s="14">
        <f>_xll.BDH("BLUE US Equity","RETURN_COM_EQY","FQ2 2021","FQ2 2021","Currency=USD","Period=FQ","BEST_FPERIOD_OVERRIDE=FQ","FILING_STATUS=MR","FA_ADJUSTED=GAAP","Sort=A","Dates=H","DateFormat=P","Fill=—","Direction=H","UseDPDF=Y")</f>
        <v>-63.1614</v>
      </c>
      <c r="N7" s="14">
        <f>_xll.BDH("BLUE US Equity","RETURN_COM_EQY","FQ3 2021","FQ3 2021","Currency=USD","Period=FQ","BEST_FPERIOD_OVERRIDE=FQ","FILING_STATUS=MR","FA_ADJUSTED=GAAP","Sort=A","Dates=H","DateFormat=P","Fill=—","Direction=H","UseDPDF=Y")</f>
        <v>-72.210800000000006</v>
      </c>
      <c r="O7" s="14">
        <f>_xll.BDH("BLUE US Equity","RETURN_COM_EQY","FQ4 2021","FQ4 2021","Currency=USD","Period=FQ","BEST_FPERIOD_OVERRIDE=FQ","FILING_STATUS=MR","FA_ADJUSTED=GAAP","Sort=A","Dates=H","DateFormat=P","Fill=—","Direction=H","UseDPDF=Y")</f>
        <v>-94.762299999999996</v>
      </c>
      <c r="P7" s="14">
        <f>_xll.BDH("BLUE US Equity","RETURN_COM_EQY","FQ1 2022","FQ1 2022","Currency=USD","Period=FQ","BEST_FPERIOD_OVERRIDE=FQ","FILING_STATUS=MR","FA_ADJUSTED=GAAP","Sort=A","Dates=H","DateFormat=P","Fill=—","Direction=H","UseDPDF=Y")</f>
        <v>-100.5365</v>
      </c>
      <c r="Q7" s="14">
        <f>_xll.BDH("BLUE US Equity","RETURN_COM_EQY","FQ2 2022","FQ2 2022","Currency=USD","Period=FQ","BEST_FPERIOD_OVERRIDE=FQ","FILING_STATUS=MR","FA_ADJUSTED=GAAP","Sort=A","Dates=H","DateFormat=P","Fill=—","Direction=H","UseDPDF=Y")</f>
        <v>-102.02970000000001</v>
      </c>
      <c r="R7" s="14">
        <f>_xll.BDH("BLUE US Equity","RETURN_COM_EQY","FQ3 2022","FQ3 2022","Currency=USD","Period=FQ","BEST_FPERIOD_OVERRIDE=FQ","FILING_STATUS=MR","FA_ADJUSTED=GAAP","Sort=A","Dates=H","DateFormat=P","Fill=—","Direction=H","UseDPDF=Y")</f>
        <v>-88.181299999999993</v>
      </c>
      <c r="S7" s="14">
        <f>_xll.BDH("BLUE US Equity","RETURN_COM_EQY","FQ4 2022","FQ4 2022","Currency=USD","Period=FQ","BEST_FPERIOD_OVERRIDE=FQ","FILING_STATUS=MR","FA_ADJUSTED=GAAP","Sort=A","Dates=H","DateFormat=P","Fill=—","Direction=H","UseDPDF=Y")</f>
        <v>-90.577100000000002</v>
      </c>
      <c r="T7" s="14">
        <f>_xll.BDH("BLUE US Equity","RETURN_COM_EQY","FQ1 2023","FQ1 2023","Currency=USD","Period=FQ","BEST_FPERIOD_OVERRIDE=FQ","FILING_STATUS=MR","FA_ADJUSTED=GAAP","Sort=A","Dates=H","DateFormat=P","Fill=—","Direction=H","UseDPDF=Y")</f>
        <v>-28.886800000000001</v>
      </c>
      <c r="U7" s="14">
        <f>_xll.BDH("BLUE US Equity","RETURN_COM_EQY","FQ2 2023","FQ2 2023","Currency=USD","Period=FQ","BEST_FPERIOD_OVERRIDE=FQ","FILING_STATUS=MR","FA_ADJUSTED=GAAP","Sort=A","Dates=H","DateFormat=P","Fill=—","Direction=H","UseDPDF=Y")</f>
        <v>-22.130500000000001</v>
      </c>
      <c r="V7" s="14">
        <f>_xll.BDH("BLUE US Equity","RETURN_COM_EQY","FQ3 2023","FQ3 2023","Currency=USD","Period=FQ","BEST_FPERIOD_OVERRIDE=FQ","FILING_STATUS=MR","FA_ADJUSTED=GAAP","Sort=A","Dates=H","DateFormat=P","Fill=—","Direction=H","UseDPDF=Y")</f>
        <v>-32.839100000000002</v>
      </c>
      <c r="W7" s="14">
        <f>_xll.BDH("BLUE US Equity","RETURN_COM_EQY","FQ4 2023","FQ4 2023","Currency=USD","Period=FQ","BEST_FPERIOD_OVERRIDE=FQ","FILING_STATUS=MR","FA_ADJUSTED=GAAP","Sort=A","Dates=H","DateFormat=P","Fill=—","Direction=H","UseDPDF=Y")</f>
        <v>-133.5513</v>
      </c>
      <c r="X7" s="14">
        <f>_xll.BDH("BLUE US Equity","RETURN_COM_EQY","FQ1 2024","FQ1 2024","Currency=USD","Period=FQ","BEST_FPERIOD_OVERRIDE=FQ","FILING_STATUS=MR","FA_ADJUSTED=GAAP","Sort=A","Dates=H","DateFormat=P","Fill=—","Direction=H","UseDPDF=Y")</f>
        <v>-126.9444</v>
      </c>
      <c r="Y7" s="14">
        <f>_xll.BDH("BLUE US Equity","RETURN_COM_EQY","FQ2 2024","FQ2 2024","Currency=USD","Period=FQ","BEST_FPERIOD_OVERRIDE=FQ","FILING_STATUS=MR","FA_ADJUSTED=GAAP","Sort=A","Dates=H","DateFormat=P","Fill=—","Direction=H","UseDPDF=Y")</f>
        <v>-191.19470000000001</v>
      </c>
      <c r="Z7" s="14" t="str">
        <f>_xll.BDH("BLUE US Equity","RETURN_COM_EQY","FQ3 2024","FQ3 2024","Currency=USD","Period=FQ","BEST_FPERIOD_OVERRIDE=FQ","FILING_STATUS=MR","FA_ADJUSTED=GAAP","Sort=A","Dates=H","DateFormat=P","Fill=—","Direction=H","UseDPDF=Y")</f>
        <v>—</v>
      </c>
      <c r="AA7" s="14" t="str">
        <f>_xll.BDH("BLUE US Equity","RETURN_COM_EQY","FQ4 2024","FQ4 2024","Currency=USD","Period=FQ","BEST_FPERIOD_OVERRIDE=FQ","FILING_STATUS=MR","FA_ADJUSTED=GAAP","Sort=A","Dates=H","DateFormat=P","Fill=—","Direction=H","UseDPDF=Y")</f>
        <v>—</v>
      </c>
    </row>
    <row r="8" spans="1:27" x14ac:dyDescent="0.25">
      <c r="A8" s="10" t="s">
        <v>1239</v>
      </c>
      <c r="B8" s="10" t="s">
        <v>1240</v>
      </c>
      <c r="C8" s="14">
        <f>_xll.BDH("BLUE US Equity","RETURN_ON_ASSET","FQ4 2018","FQ4 2018","Currency=USD","Period=FQ","BEST_FPERIOD_OVERRIDE=FQ","FILING_STATUS=MR","FA_ADJUSTED=GAAP","Sort=A","Dates=H","DateFormat=P","Fill=—","Direction=H","UseDPDF=Y")</f>
        <v>-26.819700000000001</v>
      </c>
      <c r="D8" s="14">
        <f>_xll.BDH("BLUE US Equity","RETURN_ON_ASSET","FQ1 2019","FQ1 2019","Currency=USD","Period=FQ","BEST_FPERIOD_OVERRIDE=FQ","FILING_STATUS=MR","FA_ADJUSTED=GAAP","Sort=A","Dates=H","DateFormat=P","Fill=—","Direction=H","UseDPDF=Y")</f>
        <v>-30.206299999999999</v>
      </c>
      <c r="E8" s="14">
        <f>_xll.BDH("BLUE US Equity","RETURN_ON_ASSET","FQ2 2019","FQ2 2019","Currency=USD","Period=FQ","BEST_FPERIOD_OVERRIDE=FQ","FILING_STATUS=MR","FA_ADJUSTED=GAAP","Sort=A","Dates=H","DateFormat=P","Fill=—","Direction=H","UseDPDF=Y")</f>
        <v>-34.5974</v>
      </c>
      <c r="F8" s="14">
        <f>_xll.BDH("BLUE US Equity","RETURN_ON_ASSET","FQ3 2019","FQ3 2019","Currency=USD","Period=FQ","BEST_FPERIOD_OVERRIDE=FQ","FILING_STATUS=MR","FA_ADJUSTED=GAAP","Sort=A","Dates=H","DateFormat=P","Fill=—","Direction=H","UseDPDF=Y")</f>
        <v>-33.707999999999998</v>
      </c>
      <c r="G8" s="14">
        <f>_xll.BDH("BLUE US Equity","RETURN_ON_ASSET","FQ4 2019","FQ4 2019","Currency=USD","Period=FQ","BEST_FPERIOD_OVERRIDE=FQ","FILING_STATUS=MR","FA_ADJUSTED=GAAP","Sort=A","Dates=H","DateFormat=P","Fill=—","Direction=H","UseDPDF=Y")</f>
        <v>-39.7761</v>
      </c>
      <c r="H8" s="14">
        <f>_xll.BDH("BLUE US Equity","RETURN_ON_ASSET","FQ1 2020","FQ1 2020","Currency=USD","Period=FQ","BEST_FPERIOD_OVERRIDE=FQ","FILING_STATUS=MR","FA_ADJUSTED=GAAP","Sort=A","Dates=H","DateFormat=P","Fill=—","Direction=H","UseDPDF=Y")</f>
        <v>-45.138300000000001</v>
      </c>
      <c r="I8" s="14">
        <f>_xll.BDH("BLUE US Equity","RETURN_ON_ASSET","FQ2 2020","FQ2 2020","Currency=USD","Period=FQ","BEST_FPERIOD_OVERRIDE=FQ","FILING_STATUS=MR","FA_ADJUSTED=GAAP","Sort=A","Dates=H","DateFormat=P","Fill=—","Direction=H","UseDPDF=Y")</f>
        <v>-31.6357</v>
      </c>
      <c r="J8" s="14">
        <f>_xll.BDH("BLUE US Equity","RETURN_ON_ASSET","FQ3 2020","FQ3 2020","Currency=USD","Period=FQ","BEST_FPERIOD_OVERRIDE=FQ","FILING_STATUS=MR","FA_ADJUSTED=GAAP","Sort=A","Dates=H","DateFormat=P","Fill=—","Direction=H","UseDPDF=Y")</f>
        <v>-33.466299999999997</v>
      </c>
      <c r="K8" s="14">
        <f>_xll.BDH("BLUE US Equity","RETURN_ON_ASSET","FQ4 2020","FQ4 2020","Currency=USD","Period=FQ","BEST_FPERIOD_OVERRIDE=FQ","FILING_STATUS=MR","FA_ADJUSTED=GAAP","Sort=A","Dates=H","DateFormat=P","Fill=—","Direction=H","UseDPDF=Y")</f>
        <v>-35.266599999999997</v>
      </c>
      <c r="L8" s="14">
        <f>_xll.BDH("BLUE US Equity","RETURN_ON_ASSET","FQ1 2021","FQ1 2021","Currency=USD","Period=FQ","BEST_FPERIOD_OVERRIDE=FQ","FILING_STATUS=MR","FA_ADJUSTED=GAAP","Sort=A","Dates=H","DateFormat=P","Fill=—","Direction=H","UseDPDF=Y")</f>
        <v>-39.280900000000003</v>
      </c>
      <c r="M8" s="14">
        <f>_xll.BDH("BLUE US Equity","RETURN_ON_ASSET","FQ2 2021","FQ2 2021","Currency=USD","Period=FQ","BEST_FPERIOD_OVERRIDE=FQ","FILING_STATUS=MR","FA_ADJUSTED=GAAP","Sort=A","Dates=H","DateFormat=P","Fill=—","Direction=H","UseDPDF=Y")</f>
        <v>-47.280700000000003</v>
      </c>
      <c r="N8" s="14">
        <f>_xll.BDH("BLUE US Equity","RETURN_ON_ASSET","FQ3 2021","FQ3 2021","Currency=USD","Period=FQ","BEST_FPERIOD_OVERRIDE=FQ","FILING_STATUS=MR","FA_ADJUSTED=GAAP","Sort=A","Dates=H","DateFormat=P","Fill=—","Direction=H","UseDPDF=Y")</f>
        <v>-52.612900000000003</v>
      </c>
      <c r="O8" s="14">
        <f>_xll.BDH("BLUE US Equity","RETURN_ON_ASSET","FQ4 2021","FQ4 2021","Currency=USD","Period=FQ","BEST_FPERIOD_OVERRIDE=FQ","FILING_STATUS=MR","FA_ADJUSTED=GAAP","Sort=A","Dates=H","DateFormat=P","Fill=—","Direction=H","UseDPDF=Y")</f>
        <v>-68.998900000000006</v>
      </c>
      <c r="P8" s="14">
        <f>_xll.BDH("BLUE US Equity","RETURN_ON_ASSET","FQ1 2022","FQ1 2022","Currency=USD","Period=FQ","BEST_FPERIOD_OVERRIDE=FQ","FILING_STATUS=MR","FA_ADJUSTED=GAAP","Sort=A","Dates=H","DateFormat=P","Fill=—","Direction=H","UseDPDF=Y")</f>
        <v>-69.135400000000004</v>
      </c>
      <c r="Q8" s="14">
        <f>_xll.BDH("BLUE US Equity","RETURN_ON_ASSET","FQ2 2022","FQ2 2022","Currency=USD","Period=FQ","BEST_FPERIOD_OVERRIDE=FQ","FILING_STATUS=MR","FA_ADJUSTED=GAAP","Sort=A","Dates=H","DateFormat=P","Fill=—","Direction=H","UseDPDF=Y")</f>
        <v>-58.594000000000001</v>
      </c>
      <c r="R8" s="14">
        <f>_xll.BDH("BLUE US Equity","RETURN_ON_ASSET","FQ3 2022","FQ3 2022","Currency=USD","Period=FQ","BEST_FPERIOD_OVERRIDE=FQ","FILING_STATUS=MR","FA_ADJUSTED=GAAP","Sort=A","Dates=H","DateFormat=P","Fill=—","Direction=H","UseDPDF=Y")</f>
        <v>-48.809100000000001</v>
      </c>
      <c r="S8" s="14">
        <f>_xll.BDH("BLUE US Equity","RETURN_ON_ASSET","FQ4 2022","FQ4 2022","Currency=USD","Period=FQ","BEST_FPERIOD_OVERRIDE=FQ","FILING_STATUS=MR","FA_ADJUSTED=GAAP","Sort=A","Dates=H","DateFormat=P","Fill=—","Direction=H","UseDPDF=Y")</f>
        <v>-39.591000000000001</v>
      </c>
      <c r="T8" s="14">
        <f>_xll.BDH("BLUE US Equity","RETURN_ON_ASSET","FQ1 2023","FQ1 2023","Currency=USD","Period=FQ","BEST_FPERIOD_OVERRIDE=FQ","FILING_STATUS=MR","FA_ADJUSTED=GAAP","Sort=A","Dates=H","DateFormat=P","Fill=—","Direction=H","UseDPDF=Y")</f>
        <v>-15.0802</v>
      </c>
      <c r="U8" s="14">
        <f>_xll.BDH("BLUE US Equity","RETURN_ON_ASSET","FQ2 2023","FQ2 2023","Currency=USD","Period=FQ","BEST_FPERIOD_OVERRIDE=FQ","FILING_STATUS=MR","FA_ADJUSTED=GAAP","Sort=A","Dates=H","DateFormat=P","Fill=—","Direction=H","UseDPDF=Y")</f>
        <v>-8.3931000000000004</v>
      </c>
      <c r="V8" s="14">
        <f>_xll.BDH("BLUE US Equity","RETURN_ON_ASSET","FQ3 2023","FQ3 2023","Currency=USD","Period=FQ","BEST_FPERIOD_OVERRIDE=FQ","FILING_STATUS=MR","FA_ADJUSTED=GAAP","Sort=A","Dates=H","DateFormat=P","Fill=—","Direction=H","UseDPDF=Y")</f>
        <v>-11.047499999999999</v>
      </c>
      <c r="W8" s="14">
        <f>_xll.BDH("BLUE US Equity","RETURN_ON_ASSET","FQ4 2023","FQ4 2023","Currency=USD","Period=FQ","BEST_FPERIOD_OVERRIDE=FQ","FILING_STATUS=MR","FA_ADJUSTED=GAAP","Sort=A","Dates=H","DateFormat=P","Fill=—","Direction=H","UseDPDF=Y")</f>
        <v>-36.940199999999997</v>
      </c>
      <c r="X8" s="14">
        <f>_xll.BDH("BLUE US Equity","RETURN_ON_ASSET","FQ1 2024","FQ1 2024","Currency=USD","Period=FQ","BEST_FPERIOD_OVERRIDE=FQ","FILING_STATUS=MR","FA_ADJUSTED=GAAP","Sort=A","Dates=H","DateFormat=P","Fill=—","Direction=H","UseDPDF=Y")</f>
        <v>-46.569200000000002</v>
      </c>
      <c r="Y8" s="14">
        <f>_xll.BDH("BLUE US Equity","RETURN_ON_ASSET","FQ2 2024","FQ2 2024","Currency=USD","Period=FQ","BEST_FPERIOD_OVERRIDE=FQ","FILING_STATUS=MR","FA_ADJUSTED=GAAP","Sort=A","Dates=H","DateFormat=P","Fill=—","Direction=H","UseDPDF=Y")</f>
        <v>-54.103400000000001</v>
      </c>
      <c r="Z8" s="14">
        <f>_xll.BDH("BLUE US Equity","RETURN_ON_ASSET","FQ3 2024","FQ3 2024","Currency=USD","Period=FQ","BEST_FPERIOD_OVERRIDE=FQ","FILING_STATUS=MR","FA_ADJUSTED=GAAP","Sort=A","Dates=H","DateFormat=P","Fill=—","Direction=H","UseDPDF=Y")</f>
        <v>-55.720599999999997</v>
      </c>
      <c r="AA8" s="14">
        <f>_xll.BDH("BLUE US Equity","RETURN_ON_ASSET","FQ4 2024","FQ4 2024","Currency=USD","Period=FQ","BEST_FPERIOD_OVERRIDE=FQ","FILING_STATUS=MR","FA_ADJUSTED=GAAP","Sort=A","Dates=H","DateFormat=P","Fill=—","Direction=H","UseDPDF=Y")</f>
        <v>-44.601900000000001</v>
      </c>
    </row>
    <row r="9" spans="1:27" x14ac:dyDescent="0.25">
      <c r="A9" s="10" t="s">
        <v>1241</v>
      </c>
      <c r="B9" s="10" t="s">
        <v>1242</v>
      </c>
      <c r="C9" s="14">
        <f>_xll.BDH("BLUE US Equity","RETURN_ON_CAP","FQ4 2018","FQ4 2018","Currency=USD","Period=FQ","BEST_FPERIOD_OVERRIDE=FQ","FILING_STATUS=MR","FA_ADJUSTED=GAAP","Sort=A","Dates=H","DateFormat=P","Fill=—","Direction=H","UseDPDF=Y")</f>
        <v>-29.116499999999998</v>
      </c>
      <c r="D9" s="14">
        <f>_xll.BDH("BLUE US Equity","RETURN_ON_CAP","FQ1 2019","FQ1 2019","Currency=USD","Period=FQ","BEST_FPERIOD_OVERRIDE=FQ","FILING_STATUS=MR","FA_ADJUSTED=GAAP","Sort=A","Dates=H","DateFormat=P","Fill=—","Direction=H","UseDPDF=Y")</f>
        <v>-32.854100000000003</v>
      </c>
      <c r="E9" s="14">
        <f>_xll.BDH("BLUE US Equity","RETURN_ON_CAP","FQ2 2019","FQ2 2019","Currency=USD","Period=FQ","BEST_FPERIOD_OVERRIDE=FQ","FILING_STATUS=MR","FA_ADJUSTED=GAAP","Sort=A","Dates=H","DateFormat=P","Fill=—","Direction=H","UseDPDF=Y")</f>
        <v>-38.0411</v>
      </c>
      <c r="F9" s="14">
        <f>_xll.BDH("BLUE US Equity","RETURN_ON_CAP","FQ3 2019","FQ3 2019","Currency=USD","Period=FQ","BEST_FPERIOD_OVERRIDE=FQ","FILING_STATUS=MR","FA_ADJUSTED=GAAP","Sort=A","Dates=H","DateFormat=P","Fill=—","Direction=H","UseDPDF=Y")</f>
        <v>-37.428100000000001</v>
      </c>
      <c r="G9" s="14">
        <f>_xll.BDH("BLUE US Equity","RETURN_ON_CAP","FQ4 2019","FQ4 2019","Currency=USD","Period=FQ","BEST_FPERIOD_OVERRIDE=FQ","FILING_STATUS=MR","FA_ADJUSTED=GAAP","Sort=A","Dates=H","DateFormat=P","Fill=—","Direction=H","UseDPDF=Y")</f>
        <v>-44.936</v>
      </c>
      <c r="H9" s="14">
        <f>_xll.BDH("BLUE US Equity","RETURN_ON_CAP","FQ1 2020","FQ1 2020","Currency=USD","Period=FQ","BEST_FPERIOD_OVERRIDE=FQ","FILING_STATUS=MR","FA_ADJUSTED=GAAP","Sort=A","Dates=H","DateFormat=P","Fill=—","Direction=H","UseDPDF=Y")</f>
        <v>-50.494900000000001</v>
      </c>
      <c r="I9" s="14">
        <f>_xll.BDH("BLUE US Equity","RETURN_ON_CAP","FQ2 2020","FQ2 2020","Currency=USD","Period=FQ","BEST_FPERIOD_OVERRIDE=FQ","FILING_STATUS=MR","FA_ADJUSTED=GAAP","Sort=A","Dates=H","DateFormat=P","Fill=—","Direction=H","UseDPDF=Y")</f>
        <v>-35.244399999999999</v>
      </c>
      <c r="J9" s="14">
        <f>_xll.BDH("BLUE US Equity","RETURN_ON_CAP","FQ3 2020","FQ3 2020","Currency=USD","Period=FQ","BEST_FPERIOD_OVERRIDE=FQ","FILING_STATUS=MR","FA_ADJUSTED=GAAP","Sort=A","Dates=H","DateFormat=P","Fill=—","Direction=H","UseDPDF=Y")</f>
        <v>-37.930999999999997</v>
      </c>
      <c r="K9" s="14">
        <f>_xll.BDH("BLUE US Equity","RETURN_ON_CAP","FQ4 2020","FQ4 2020","Currency=USD","Period=FQ","BEST_FPERIOD_OVERRIDE=FQ","FILING_STATUS=MR","FA_ADJUSTED=GAAP","Sort=A","Dates=H","DateFormat=P","Fill=—","Direction=H","UseDPDF=Y")</f>
        <v>-42.7209</v>
      </c>
      <c r="L9" s="14">
        <f>_xll.BDH("BLUE US Equity","RETURN_ON_CAP","FQ1 2021","FQ1 2021","Currency=USD","Period=FQ","BEST_FPERIOD_OVERRIDE=FQ","FILING_STATUS=MR","FA_ADJUSTED=GAAP","Sort=A","Dates=H","DateFormat=P","Fill=—","Direction=H","UseDPDF=Y")</f>
        <v>-45.612099999999998</v>
      </c>
      <c r="M9" s="14">
        <f>_xll.BDH("BLUE US Equity","RETURN_ON_CAP","FQ2 2021","FQ2 2021","Currency=USD","Period=FQ","BEST_FPERIOD_OVERRIDE=FQ","FILING_STATUS=MR","FA_ADJUSTED=GAAP","Sort=A","Dates=H","DateFormat=P","Fill=—","Direction=H","UseDPDF=Y")</f>
        <v>-55.028300000000002</v>
      </c>
      <c r="N9" s="14">
        <f>_xll.BDH("BLUE US Equity","RETURN_ON_CAP","FQ3 2021","FQ3 2021","Currency=USD","Period=FQ","BEST_FPERIOD_OVERRIDE=FQ","FILING_STATUS=MR","FA_ADJUSTED=GAAP","Sort=A","Dates=H","DateFormat=P","Fill=—","Direction=H","UseDPDF=Y")</f>
        <v>-62.387900000000002</v>
      </c>
      <c r="O9" s="14">
        <f>_xll.BDH("BLUE US Equity","RETURN_ON_CAP","FQ4 2021","FQ4 2021","Currency=USD","Period=FQ","BEST_FPERIOD_OVERRIDE=FQ","FILING_STATUS=MR","FA_ADJUSTED=GAAP","Sort=A","Dates=H","DateFormat=P","Fill=—","Direction=H","UseDPDF=Y")</f>
        <v>-86.967299999999994</v>
      </c>
      <c r="P9" s="14">
        <f>_xll.BDH("BLUE US Equity","RETURN_ON_CAP","FQ1 2022","FQ1 2022","Currency=USD","Period=FQ","BEST_FPERIOD_OVERRIDE=FQ","FILING_STATUS=MR","FA_ADJUSTED=GAAP","Sort=A","Dates=H","DateFormat=P","Fill=—","Direction=H","UseDPDF=Y")</f>
        <v>-82.679599999999994</v>
      </c>
      <c r="Q9" s="14">
        <f>_xll.BDH("BLUE US Equity","RETURN_ON_CAP","FQ2 2022","FQ2 2022","Currency=USD","Period=FQ","BEST_FPERIOD_OVERRIDE=FQ","FILING_STATUS=MR","FA_ADJUSTED=GAAP","Sort=A","Dates=H","DateFormat=P","Fill=—","Direction=H","UseDPDF=Y")</f>
        <v>-71.747500000000002</v>
      </c>
      <c r="R9" s="14">
        <f>_xll.BDH("BLUE US Equity","RETURN_ON_CAP","FQ3 2022","FQ3 2022","Currency=USD","Period=FQ","BEST_FPERIOD_OVERRIDE=FQ","FILING_STATUS=MR","FA_ADJUSTED=GAAP","Sort=A","Dates=H","DateFormat=P","Fill=—","Direction=H","UseDPDF=Y")</f>
        <v>-60.955300000000001</v>
      </c>
      <c r="S9" s="14">
        <f>_xll.BDH("BLUE US Equity","RETURN_ON_CAP","FQ4 2022","FQ4 2022","Currency=USD","Period=FQ","BEST_FPERIOD_OVERRIDE=FQ","FILING_STATUS=MR","FA_ADJUSTED=GAAP","Sort=A","Dates=H","DateFormat=P","Fill=—","Direction=H","UseDPDF=Y")</f>
        <v>-46.692</v>
      </c>
      <c r="T9" s="14">
        <f>_xll.BDH("BLUE US Equity","RETURN_ON_CAP","FQ1 2023","FQ1 2023","Currency=USD","Period=FQ","BEST_FPERIOD_OVERRIDE=FQ","FILING_STATUS=MR","FA_ADJUSTED=GAAP","Sort=A","Dates=H","DateFormat=P","Fill=—","Direction=H","UseDPDF=Y")</f>
        <v>-16.1508</v>
      </c>
      <c r="U9" s="14">
        <f>_xll.BDH("BLUE US Equity","RETURN_ON_CAP","FQ2 2023","FQ2 2023","Currency=USD","Period=FQ","BEST_FPERIOD_OVERRIDE=FQ","FILING_STATUS=MR","FA_ADJUSTED=GAAP","Sort=A","Dates=H","DateFormat=P","Fill=—","Direction=H","UseDPDF=Y")</f>
        <v>-7.5926</v>
      </c>
      <c r="V9" s="14">
        <f>_xll.BDH("BLUE US Equity","RETURN_ON_CAP","FQ3 2023","FQ3 2023","Currency=USD","Period=FQ","BEST_FPERIOD_OVERRIDE=FQ","FILING_STATUS=MR","FA_ADJUSTED=GAAP","Sort=A","Dates=H","DateFormat=P","Fill=—","Direction=H","UseDPDF=Y")</f>
        <v>-9.9421999999999997</v>
      </c>
      <c r="W9" s="14">
        <f>_xll.BDH("BLUE US Equity","RETURN_ON_CAP","FQ4 2023","FQ4 2023","Currency=USD","Period=FQ","BEST_FPERIOD_OVERRIDE=FQ","FILING_STATUS=MR","FA_ADJUSTED=GAAP","Sort=A","Dates=H","DateFormat=P","Fill=—","Direction=H","UseDPDF=Y")</f>
        <v>-38.381300000000003</v>
      </c>
      <c r="X9" s="14">
        <f>_xll.BDH("BLUE US Equity","RETURN_ON_CAP","FQ1 2024","FQ1 2024","Currency=USD","Period=FQ","BEST_FPERIOD_OVERRIDE=FQ","FILING_STATUS=MR","FA_ADJUSTED=GAAP","Sort=A","Dates=H","DateFormat=P","Fill=—","Direction=H","UseDPDF=Y")</f>
        <v>-48.609299999999998</v>
      </c>
      <c r="Y9" s="14">
        <f>_xll.BDH("BLUE US Equity","RETURN_ON_CAP","FQ2 2024","FQ2 2024","Currency=USD","Period=FQ","BEST_FPERIOD_OVERRIDE=FQ","FILING_STATUS=MR","FA_ADJUSTED=GAAP","Sort=A","Dates=H","DateFormat=P","Fill=—","Direction=H","UseDPDF=Y")</f>
        <v>-58.208599999999997</v>
      </c>
      <c r="Z9" s="14">
        <f>_xll.BDH("BLUE US Equity","RETURN_ON_CAP","FQ3 2024","FQ3 2024","Currency=USD","Period=FQ","BEST_FPERIOD_OVERRIDE=FQ","FILING_STATUS=MR","FA_ADJUSTED=GAAP","Sort=A","Dates=H","DateFormat=P","Fill=—","Direction=H","UseDPDF=Y")</f>
        <v>-62.088700000000003</v>
      </c>
      <c r="AA9" s="14">
        <f>_xll.BDH("BLUE US Equity","RETURN_ON_CAP","FQ4 2024","FQ4 2024","Currency=USD","Period=FQ","BEST_FPERIOD_OVERRIDE=FQ","FILING_STATUS=MR","FA_ADJUSTED=GAAP","Sort=A","Dates=H","DateFormat=P","Fill=—","Direction=H","UseDPDF=Y")</f>
        <v>-52.5533</v>
      </c>
    </row>
    <row r="10" spans="1:27" x14ac:dyDescent="0.25">
      <c r="A10" s="10" t="s">
        <v>1243</v>
      </c>
      <c r="B10" s="10" t="s">
        <v>1244</v>
      </c>
      <c r="C10" s="14">
        <f>_xll.BDH("BLUE US Equity","RETURN_ON_INV_CAPITAL","FQ4 2018","FQ4 2018","Currency=USD","Period=FQ","BEST_FPERIOD_OVERRIDE=FQ","FILING_STATUS=MR","FA_ADJUSTED=GAAP","Sort=A","Dates=H","DateFormat=P","Fill=—","Direction=H","UseDPDF=Y")</f>
        <v>-29.803100000000001</v>
      </c>
      <c r="D10" s="14">
        <f>_xll.BDH("BLUE US Equity","RETURN_ON_INV_CAPITAL","FQ1 2019","FQ1 2019","Currency=USD","Period=FQ","BEST_FPERIOD_OVERRIDE=FQ","FILING_STATUS=MR","FA_ADJUSTED=GAAP","Sort=A","Dates=H","DateFormat=P","Fill=—","Direction=H","UseDPDF=Y")</f>
        <v>-33.789200000000001</v>
      </c>
      <c r="E10" s="14">
        <f>_xll.BDH("BLUE US Equity","RETURN_ON_INV_CAPITAL","FQ2 2019","FQ2 2019","Currency=USD","Period=FQ","BEST_FPERIOD_OVERRIDE=FQ","FILING_STATUS=MR","FA_ADJUSTED=GAAP","Sort=A","Dates=H","DateFormat=P","Fill=—","Direction=H","UseDPDF=Y")</f>
        <v>-39.217399999999998</v>
      </c>
      <c r="F10" s="14">
        <f>_xll.BDH("BLUE US Equity","RETURN_ON_INV_CAPITAL","FQ3 2019","FQ3 2019","Currency=USD","Period=FQ","BEST_FPERIOD_OVERRIDE=FQ","FILING_STATUS=MR","FA_ADJUSTED=GAAP","Sort=A","Dates=H","DateFormat=P","Fill=—","Direction=H","UseDPDF=Y")</f>
        <v>-38.478400000000001</v>
      </c>
      <c r="G10" s="14">
        <f>_xll.BDH("BLUE US Equity","RETURN_ON_INV_CAPITAL","FQ4 2019","FQ4 2019","Currency=USD","Period=FQ","BEST_FPERIOD_OVERRIDE=FQ","FILING_STATUS=MR","FA_ADJUSTED=GAAP","Sort=A","Dates=H","DateFormat=P","Fill=—","Direction=H","UseDPDF=Y")</f>
        <v>-46.045200000000001</v>
      </c>
      <c r="H10" s="14">
        <f>_xll.BDH("BLUE US Equity","RETURN_ON_INV_CAPITAL","FQ1 2020","FQ1 2020","Currency=USD","Period=FQ","BEST_FPERIOD_OVERRIDE=FQ","FILING_STATUS=MR","FA_ADJUSTED=GAAP","Sort=A","Dates=H","DateFormat=P","Fill=—","Direction=H","UseDPDF=Y")</f>
        <v>-51.404200000000003</v>
      </c>
      <c r="I10" s="14">
        <f>_xll.BDH("BLUE US Equity","RETURN_ON_INV_CAPITAL","FQ2 2020","FQ2 2020","Currency=USD","Period=FQ","BEST_FPERIOD_OVERRIDE=FQ","FILING_STATUS=MR","FA_ADJUSTED=GAAP","Sort=A","Dates=H","DateFormat=P","Fill=—","Direction=H","UseDPDF=Y")</f>
        <v>-35.964700000000001</v>
      </c>
      <c r="J10" s="14">
        <f>_xll.BDH("BLUE US Equity","RETURN_ON_INV_CAPITAL","FQ3 2020","FQ3 2020","Currency=USD","Period=FQ","BEST_FPERIOD_OVERRIDE=FQ","FILING_STATUS=MR","FA_ADJUSTED=GAAP","Sort=A","Dates=H","DateFormat=P","Fill=—","Direction=H","UseDPDF=Y")</f>
        <v>-38.307400000000001</v>
      </c>
      <c r="K10" s="14">
        <f>_xll.BDH("BLUE US Equity","RETURN_ON_INV_CAPITAL","FQ4 2020","FQ4 2020","Currency=USD","Period=FQ","BEST_FPERIOD_OVERRIDE=FQ","FILING_STATUS=MR","FA_ADJUSTED=GAAP","Sort=A","Dates=H","DateFormat=P","Fill=—","Direction=H","UseDPDF=Y")</f>
        <v>-38.5505</v>
      </c>
      <c r="L10" s="14">
        <f>_xll.BDH("BLUE US Equity","RETURN_ON_INV_CAPITAL","FQ1 2021","FQ1 2021","Currency=USD","Period=FQ","BEST_FPERIOD_OVERRIDE=FQ","FILING_STATUS=MR","FA_ADJUSTED=GAAP","Sort=A","Dates=H","DateFormat=P","Fill=—","Direction=H","UseDPDF=Y")</f>
        <v>-36.375100000000003</v>
      </c>
      <c r="M10" s="14">
        <f>_xll.BDH("BLUE US Equity","RETURN_ON_INV_CAPITAL","FQ2 2021","FQ2 2021","Currency=USD","Period=FQ","BEST_FPERIOD_OVERRIDE=FQ","FILING_STATUS=MR","FA_ADJUSTED=GAAP","Sort=A","Dates=H","DateFormat=P","Fill=—","Direction=H","UseDPDF=Y")</f>
        <v>-46.5336</v>
      </c>
      <c r="N10" s="14">
        <f>_xll.BDH("BLUE US Equity","RETURN_ON_INV_CAPITAL","FQ3 2021","FQ3 2021","Currency=USD","Period=FQ","BEST_FPERIOD_OVERRIDE=FQ","FILING_STATUS=MR","FA_ADJUSTED=GAAP","Sort=A","Dates=H","DateFormat=P","Fill=—","Direction=H","UseDPDF=Y")</f>
        <v>-48.739100000000001</v>
      </c>
      <c r="O10" s="14">
        <f>_xll.BDH("BLUE US Equity","RETURN_ON_INV_CAPITAL","FQ4 2021","FQ4 2021","Currency=USD","Period=FQ","BEST_FPERIOD_OVERRIDE=FQ","FILING_STATUS=MR","FA_ADJUSTED=GAAP","Sort=A","Dates=H","DateFormat=P","Fill=—","Direction=H","UseDPDF=Y")</f>
        <v>-71.242999999999995</v>
      </c>
      <c r="P10" s="14">
        <f>_xll.BDH("BLUE US Equity","RETURN_ON_INV_CAPITAL","FQ1 2022","FQ1 2022","Currency=USD","Period=FQ","BEST_FPERIOD_OVERRIDE=FQ","FILING_STATUS=MR","FA_ADJUSTED=GAAP","Sort=A","Dates=H","DateFormat=P","Fill=—","Direction=H","UseDPDF=Y")</f>
        <v>-73.1554</v>
      </c>
      <c r="Q10" s="14">
        <f>_xll.BDH("BLUE US Equity","RETURN_ON_INV_CAPITAL","FQ2 2022","FQ2 2022","Currency=USD","Period=FQ","BEST_FPERIOD_OVERRIDE=FQ","FILING_STATUS=MR","FA_ADJUSTED=GAAP","Sort=A","Dates=H","DateFormat=P","Fill=—","Direction=H","UseDPDF=Y")</f>
        <v>-62.268099999999997</v>
      </c>
      <c r="R10" s="14">
        <f>_xll.BDH("BLUE US Equity","RETURN_ON_INV_CAPITAL","FQ3 2022","FQ3 2022","Currency=USD","Period=FQ","BEST_FPERIOD_OVERRIDE=FQ","FILING_STATUS=MR","FA_ADJUSTED=GAAP","Sort=A","Dates=H","DateFormat=P","Fill=—","Direction=H","UseDPDF=Y")</f>
        <v>-59.723199999999999</v>
      </c>
      <c r="S10" s="14">
        <f>_xll.BDH("BLUE US Equity","RETURN_ON_INV_CAPITAL","FQ4 2022","FQ4 2022","Currency=USD","Period=FQ","BEST_FPERIOD_OVERRIDE=FQ","FILING_STATUS=MR","FA_ADJUSTED=GAAP","Sort=A","Dates=H","DateFormat=P","Fill=—","Direction=H","UseDPDF=Y")</f>
        <v>-51.263300000000001</v>
      </c>
      <c r="T10" s="14">
        <f>_xll.BDH("BLUE US Equity","RETURN_ON_INV_CAPITAL","FQ1 2023","FQ1 2023","Currency=USD","Period=FQ","BEST_FPERIOD_OVERRIDE=FQ","FILING_STATUS=MR","FA_ADJUSTED=GAAP","Sort=A","Dates=H","DateFormat=P","Fill=—","Direction=H","UseDPDF=Y")</f>
        <v>-23.148299999999999</v>
      </c>
      <c r="U10" s="14">
        <f>_xll.BDH("BLUE US Equity","RETURN_ON_INV_CAPITAL","FQ2 2023","FQ2 2023","Currency=USD","Period=FQ","BEST_FPERIOD_OVERRIDE=FQ","FILING_STATUS=MR","FA_ADJUSTED=GAAP","Sort=A","Dates=H","DateFormat=P","Fill=—","Direction=H","UseDPDF=Y")</f>
        <v>-14.938599999999999</v>
      </c>
      <c r="V10" s="14">
        <f>_xll.BDH("BLUE US Equity","RETURN_ON_INV_CAPITAL","FQ3 2023","FQ3 2023","Currency=USD","Period=FQ","BEST_FPERIOD_OVERRIDE=FQ","FILING_STATUS=MR","FA_ADJUSTED=GAAP","Sort=A","Dates=H","DateFormat=P","Fill=—","Direction=H","UseDPDF=Y")</f>
        <v>-18.883900000000001</v>
      </c>
      <c r="W10" s="14">
        <f>_xll.BDH("BLUE US Equity","RETURN_ON_INV_CAPITAL","FQ4 2023","FQ4 2023","Currency=USD","Period=FQ","BEST_FPERIOD_OVERRIDE=FQ","FILING_STATUS=MR","FA_ADJUSTED=GAAP","Sort=A","Dates=H","DateFormat=P","Fill=—","Direction=H","UseDPDF=Y")</f>
        <v>-46.199199999999998</v>
      </c>
      <c r="X10" s="14">
        <f>_xll.BDH("BLUE US Equity","RETURN_ON_INV_CAPITAL","FQ1 2024","FQ1 2024","Currency=USD","Period=FQ","BEST_FPERIOD_OVERRIDE=FQ","FILING_STATUS=MR","FA_ADJUSTED=GAAP","Sort=A","Dates=H","DateFormat=P","Fill=—","Direction=H","UseDPDF=Y")</f>
        <v>-55.326900000000002</v>
      </c>
      <c r="Y10" s="14">
        <f>_xll.BDH("BLUE US Equity","RETURN_ON_INV_CAPITAL","FQ2 2024","FQ2 2024","Currency=USD","Period=FQ","BEST_FPERIOD_OVERRIDE=FQ","FILING_STATUS=MR","FA_ADJUSTED=GAAP","Sort=A","Dates=H","DateFormat=P","Fill=—","Direction=H","UseDPDF=Y")</f>
        <v>-65.774799999999999</v>
      </c>
      <c r="Z10" s="14">
        <f>_xll.BDH("BLUE US Equity","RETURN_ON_INV_CAPITAL","FQ3 2024","FQ3 2024","Currency=USD","Period=FQ","BEST_FPERIOD_OVERRIDE=FQ","FILING_STATUS=MR","FA_ADJUSTED=GAAP","Sort=A","Dates=H","DateFormat=P","Fill=—","Direction=H","UseDPDF=Y")</f>
        <v>-70.745199999999997</v>
      </c>
      <c r="AA10" s="14">
        <f>_xll.BDH("BLUE US Equity","RETURN_ON_INV_CAPITAL","FQ4 2024","FQ4 2024","Currency=USD","Period=FQ","BEST_FPERIOD_OVERRIDE=FQ","FILING_STATUS=MR","FA_ADJUSTED=GAAP","Sort=A","Dates=H","DateFormat=P","Fill=—","Direction=H","UseDPDF=Y")</f>
        <v>-62.313299999999998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 t="s">
        <v>1245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358</v>
      </c>
      <c r="B13" s="10" t="s">
        <v>152</v>
      </c>
      <c r="C13" s="14" t="str">
        <f>_xll.BDH("BLUE US Equity","GROSS_MARGIN","FQ4 2018","FQ4 2018","Currency=USD","Period=FQ","BEST_FPERIOD_OVERRIDE=FQ","FILING_STATUS=MR","FA_ADJUSTED=GAAP","Sort=A","Dates=H","DateFormat=P","Fill=—","Direction=H","UseDPDF=Y")</f>
        <v>—</v>
      </c>
      <c r="D13" s="14" t="str">
        <f>_xll.BDH("BLUE US Equity","GROSS_MARGIN","FQ1 2019","FQ1 2019","Currency=USD","Period=FQ","BEST_FPERIOD_OVERRIDE=FQ","FILING_STATUS=MR","FA_ADJUSTED=GAAP","Sort=A","Dates=H","DateFormat=P","Fill=—","Direction=H","UseDPDF=Y")</f>
        <v>—</v>
      </c>
      <c r="E13" s="14" t="str">
        <f>_xll.BDH("BLUE US Equity","GROSS_MARGIN","FQ2 2019","FQ2 2019","Currency=USD","Period=FQ","BEST_FPERIOD_OVERRIDE=FQ","FILING_STATUS=MR","FA_ADJUSTED=GAAP","Sort=A","Dates=H","DateFormat=P","Fill=—","Direction=H","UseDPDF=Y")</f>
        <v>—</v>
      </c>
      <c r="F13" s="14" t="str">
        <f>_xll.BDH("BLUE US Equity","GROSS_MARGIN","FQ3 2019","FQ3 2019","Currency=USD","Period=FQ","BEST_FPERIOD_OVERRIDE=FQ","FILING_STATUS=MR","FA_ADJUSTED=GAAP","Sort=A","Dates=H","DateFormat=P","Fill=—","Direction=H","UseDPDF=Y")</f>
        <v>—</v>
      </c>
      <c r="G13" s="14" t="str">
        <f>_xll.BDH("BLUE US Equity","GROSS_MARGIN","FQ4 2019","FQ4 2019","Currency=USD","Period=FQ","BEST_FPERIOD_OVERRIDE=FQ","FILING_STATUS=MR","FA_ADJUSTED=GAAP","Sort=A","Dates=H","DateFormat=P","Fill=—","Direction=H","UseDPDF=Y")</f>
        <v>—</v>
      </c>
      <c r="H13" s="14" t="str">
        <f>_xll.BDH("BLUE US Equity","GROSS_MARGIN","FQ1 2020","FQ1 2020","Currency=USD","Period=FQ","BEST_FPERIOD_OVERRIDE=FQ","FILING_STATUS=MR","FA_ADJUSTED=GAAP","Sort=A","Dates=H","DateFormat=P","Fill=—","Direction=H","UseDPDF=Y")</f>
        <v>—</v>
      </c>
      <c r="I13" s="14" t="str">
        <f>_xll.BDH("BLUE US Equity","GROSS_MARGIN","FQ2 2020","FQ2 2020","Currency=USD","Period=FQ","BEST_FPERIOD_OVERRIDE=FQ","FILING_STATUS=MR","FA_ADJUSTED=GAAP","Sort=A","Dates=H","DateFormat=P","Fill=—","Direction=H","UseDPDF=Y")</f>
        <v>—</v>
      </c>
      <c r="J13" s="14" t="str">
        <f>_xll.BDH("BLUE US Equity","GROSS_MARGIN","FQ3 2020","FQ3 2020","Currency=USD","Period=FQ","BEST_FPERIOD_OVERRIDE=FQ","FILING_STATUS=MR","FA_ADJUSTED=GAAP","Sort=A","Dates=H","DateFormat=P","Fill=—","Direction=H","UseDPDF=Y")</f>
        <v>—</v>
      </c>
      <c r="K13" s="14" t="str">
        <f>_xll.BDH("BLUE US Equity","GROSS_MARGIN","FQ4 2020","FQ4 2020","Currency=USD","Period=FQ","BEST_FPERIOD_OVERRIDE=FQ","FILING_STATUS=MR","FA_ADJUSTED=GAAP","Sort=A","Dates=H","DateFormat=P","Fill=—","Direction=H","UseDPDF=Y")</f>
        <v>—</v>
      </c>
      <c r="L13" s="14">
        <f>_xll.BDH("BLUE US Equity","GROSS_MARGIN","FQ1 2021","FQ1 2021","Currency=USD","Period=FQ","BEST_FPERIOD_OVERRIDE=FQ","FILING_STATUS=MR","FA_ADJUSTED=GAAP","Sort=A","Dates=H","DateFormat=P","Fill=—","Direction=H","UseDPDF=Y")</f>
        <v>35.570500000000003</v>
      </c>
      <c r="M13" s="14" t="str">
        <f>_xll.BDH("BLUE US Equity","GROSS_MARGIN","FQ2 2021","FQ2 2021","Currency=USD","Period=FQ","BEST_FPERIOD_OVERRIDE=FQ","FILING_STATUS=MR","FA_ADJUSTED=GAAP","Sort=A","Dates=H","DateFormat=P","Fill=—","Direction=H","UseDPDF=Y")</f>
        <v>—</v>
      </c>
      <c r="N13" s="14">
        <f>_xll.BDH("BLUE US Equity","GROSS_MARGIN","FQ3 2021","FQ3 2021","Currency=USD","Period=FQ","BEST_FPERIOD_OVERRIDE=FQ","FILING_STATUS=MR","FA_ADJUSTED=GAAP","Sort=A","Dates=H","DateFormat=P","Fill=—","Direction=H","UseDPDF=Y")</f>
        <v>-1802.3552999999999</v>
      </c>
      <c r="O13" s="14">
        <f>_xll.BDH("BLUE US Equity","GROSS_MARGIN","FQ4 2021","FQ4 2021","Currency=USD","Period=FQ","BEST_FPERIOD_OVERRIDE=FQ","FILING_STATUS=MR","FA_ADJUSTED=GAAP","Sort=A","Dates=H","DateFormat=P","Fill=—","Direction=H","UseDPDF=Y")</f>
        <v>-129.2653</v>
      </c>
      <c r="P13" s="14">
        <f>_xll.BDH("BLUE US Equity","GROSS_MARGIN","FQ1 2022","FQ1 2022","Currency=USD","Period=FQ","BEST_FPERIOD_OVERRIDE=FQ","FILING_STATUS=MR","FA_ADJUSTED=GAAP","Sort=A","Dates=H","DateFormat=P","Fill=—","Direction=H","UseDPDF=Y")</f>
        <v>-327.24939999999998</v>
      </c>
      <c r="Q13" s="14">
        <f>_xll.BDH("BLUE US Equity","GROSS_MARGIN","FQ2 2022","FQ2 2022","Currency=USD","Period=FQ","BEST_FPERIOD_OVERRIDE=FQ","FILING_STATUS=MR","FA_ADJUSTED=GAAP","Sort=A","Dates=H","DateFormat=P","Fill=—","Direction=H","UseDPDF=Y")</f>
        <v>-14.8782</v>
      </c>
      <c r="R13" s="14" t="str">
        <f>_xll.BDH("BLUE US Equity","GROSS_MARGIN","FQ3 2022","FQ3 2022","Currency=USD","Period=FQ","BEST_FPERIOD_OVERRIDE=FQ","FILING_STATUS=MR","FA_ADJUSTED=GAAP","Sort=A","Dates=H","DateFormat=P","Fill=—","Direction=H","UseDPDF=Y")</f>
        <v>—</v>
      </c>
      <c r="S13" s="14">
        <f>_xll.BDH("BLUE US Equity","GROSS_MARGIN","FQ4 2022","FQ4 2022","Currency=USD","Period=FQ","BEST_FPERIOD_OVERRIDE=FQ","FILING_STATUS=MR","FA_ADJUSTED=GAAP","Sort=A","Dates=H","DateFormat=P","Fill=—","Direction=H","UseDPDF=Y")</f>
        <v>64.516099999999994</v>
      </c>
      <c r="T13" s="14">
        <f>_xll.BDH("BLUE US Equity","GROSS_MARGIN","FQ1 2023","FQ1 2023","Currency=USD","Period=FQ","BEST_FPERIOD_OVERRIDE=FQ","FILING_STATUS=MR","FA_ADJUSTED=GAAP","Sort=A","Dates=H","DateFormat=P","Fill=—","Direction=H","UseDPDF=Y")</f>
        <v>-131.49940000000001</v>
      </c>
      <c r="U13" s="14">
        <f>_xll.BDH("BLUE US Equity","GROSS_MARGIN","FQ2 2023","FQ2 2023","Currency=USD","Period=FQ","BEST_FPERIOD_OVERRIDE=FQ","FILING_STATUS=MR","FA_ADJUSTED=GAAP","Sort=A","Dates=H","DateFormat=P","Fill=—","Direction=H","UseDPDF=Y")</f>
        <v>2.8012000000000001</v>
      </c>
      <c r="V13" s="14">
        <f>_xll.BDH("BLUE US Equity","GROSS_MARGIN","FQ3 2023","FQ3 2023","Currency=USD","Period=FQ","BEST_FPERIOD_OVERRIDE=FQ","FILING_STATUS=MR","FA_ADJUSTED=GAAP","Sort=A","Dates=H","DateFormat=P","Fill=—","Direction=H","UseDPDF=Y")</f>
        <v>26.355699999999999</v>
      </c>
      <c r="W13" s="14">
        <f>_xll.BDH("BLUE US Equity","GROSS_MARGIN","FQ4 2023","FQ4 2023","Currency=USD","Period=FQ","BEST_FPERIOD_OVERRIDE=FQ","FILING_STATUS=MR","FA_ADJUSTED=GAAP","Sort=A","Dates=H","DateFormat=P","Fill=—","Direction=H","UseDPDF=Y")</f>
        <v>-22.9512</v>
      </c>
      <c r="X13" s="14">
        <f>_xll.BDH("BLUE US Equity","GROSS_MARGIN","FQ1 2024","FQ1 2024","Currency=USD","Period=FQ","BEST_FPERIOD_OVERRIDE=FQ","FILING_STATUS=MR","FA_ADJUSTED=GAAP","Sort=A","Dates=H","DateFormat=P","Fill=—","Direction=H","UseDPDF=Y")</f>
        <v>-39.255899999999997</v>
      </c>
      <c r="Y13" s="14">
        <f>_xll.BDH("BLUE US Equity","GROSS_MARGIN","FQ2 2024","FQ2 2024","Currency=USD","Period=FQ","BEST_FPERIOD_OVERRIDE=FQ","FILING_STATUS=MR","FA_ADJUSTED=GAAP","Sort=A","Dates=H","DateFormat=P","Fill=—","Direction=H","UseDPDF=Y")</f>
        <v>-79.777699999999996</v>
      </c>
      <c r="Z13" s="14">
        <f>_xll.BDH("BLUE US Equity","GROSS_MARGIN","FQ3 2024","FQ3 2024","Currency=USD","Period=FQ","BEST_FPERIOD_OVERRIDE=FQ","FILING_STATUS=MR","FA_ADJUSTED=GAAP","Sort=A","Dates=H","DateFormat=P","Fill=—","Direction=H","UseDPDF=Y")</f>
        <v>-11.0158</v>
      </c>
      <c r="AA13" s="14">
        <f>_xll.BDH("BLUE US Equity","GROSS_MARGIN","FQ4 2024","FQ4 2024","Currency=USD","Period=FQ","BEST_FPERIOD_OVERRIDE=FQ","FILING_STATUS=MR","FA_ADJUSTED=GAAP","Sort=A","Dates=H","DateFormat=P","Fill=—","Direction=H","UseDPDF=Y")</f>
        <v>40.8401</v>
      </c>
    </row>
    <row r="14" spans="1:27" x14ac:dyDescent="0.25">
      <c r="A14" s="10" t="s">
        <v>1246</v>
      </c>
      <c r="B14" s="10" t="s">
        <v>1247</v>
      </c>
      <c r="C14" s="14">
        <f>_xll.BDH("BLUE US Equity","EBITDA_TO_REVENUE","FQ4 2018","FQ4 2018","Currency=USD","Period=FQ","BEST_FPERIOD_OVERRIDE=FQ","FILING_STATUS=MR","FA_ADJUSTED=GAAP","Sort=A","Dates=H","DateFormat=P","Fill=—","Direction=H","UseDPDF=Y")</f>
        <v>-792.05949999999996</v>
      </c>
      <c r="D14" s="14">
        <f>_xll.BDH("BLUE US Equity","EBITDA_TO_REVENUE","FQ1 2019","FQ1 2019","Currency=USD","Period=FQ","BEST_FPERIOD_OVERRIDE=FQ","FILING_STATUS=MR","FA_ADJUSTED=GAAP","Sort=A","Dates=H","DateFormat=P","Fill=—","Direction=H","UseDPDF=Y")</f>
        <v>-1274.2202</v>
      </c>
      <c r="E14" s="14">
        <f>_xll.BDH("BLUE US Equity","EBITDA_TO_REVENUE","FQ2 2019","FQ2 2019","Currency=USD","Period=FQ","BEST_FPERIOD_OVERRIDE=FQ","FILING_STATUS=MR","FA_ADJUSTED=GAAP","Sort=A","Dates=H","DateFormat=P","Fill=—","Direction=H","UseDPDF=Y")</f>
        <v>-1427.0232000000001</v>
      </c>
      <c r="F14" s="14">
        <f>_xll.BDH("BLUE US Equity","EBITDA_TO_REVENUE","FQ3 2019","FQ3 2019","Currency=USD","Period=FQ","BEST_FPERIOD_OVERRIDE=FQ","FILING_STATUS=MR","FA_ADJUSTED=GAAP","Sort=A","Dates=H","DateFormat=P","Fill=—","Direction=H","UseDPDF=Y")</f>
        <v>-2211.2907</v>
      </c>
      <c r="G14" s="14">
        <f>_xll.BDH("BLUE US Equity","EBITDA_TO_REVENUE","FQ4 2019","FQ4 2019","Currency=USD","Period=FQ","BEST_FPERIOD_OVERRIDE=FQ","FILING_STATUS=MR","FA_ADJUSTED=GAAP","Sort=A","Dates=H","DateFormat=P","Fill=—","Direction=H","UseDPDF=Y")</f>
        <v>-2164.4092999999998</v>
      </c>
      <c r="H14" s="14">
        <f>_xll.BDH("BLUE US Equity","EBITDA_TO_REVENUE","FQ1 2020","FQ1 2020","Currency=USD","Period=FQ","BEST_FPERIOD_OVERRIDE=FQ","FILING_STATUS=MR","FA_ADJUSTED=GAAP","Sort=A","Dates=H","DateFormat=P","Fill=—","Direction=H","UseDPDF=Y")</f>
        <v>-908.13250000000005</v>
      </c>
      <c r="I14" s="14">
        <f>_xll.BDH("BLUE US Equity","EBITDA_TO_REVENUE","FQ2 2020","FQ2 2020","Currency=USD","Period=FQ","BEST_FPERIOD_OVERRIDE=FQ","FILING_STATUS=MR","FA_ADJUSTED=GAAP","Sort=A","Dates=H","DateFormat=P","Fill=—","Direction=H","UseDPDF=Y")</f>
        <v>-10.757199999999999</v>
      </c>
      <c r="J14" s="14">
        <f>_xll.BDH("BLUE US Equity","EBITDA_TO_REVENUE","FQ3 2020","FQ3 2020","Currency=USD","Period=FQ","BEST_FPERIOD_OVERRIDE=FQ","FILING_STATUS=MR","FA_ADJUSTED=GAAP","Sort=A","Dates=H","DateFormat=P","Fill=—","Direction=H","UseDPDF=Y")</f>
        <v>-958.57420000000002</v>
      </c>
      <c r="K14" s="14" t="str">
        <f>_xll.BDH("BLUE US Equity","EBITDA_TO_REVENUE","FQ4 2020","FQ4 2020","Currency=USD","Period=FQ","BEST_FPERIOD_OVERRIDE=FQ","FILING_STATUS=MR","FA_ADJUSTED=GAAP","Sort=A","Dates=H","DateFormat=P","Fill=—","Direction=H","UseDPDF=Y")</f>
        <v>—</v>
      </c>
      <c r="L14" s="14">
        <f>_xll.BDH("BLUE US Equity","EBITDA_TO_REVENUE","FQ1 2021","FQ1 2021","Currency=USD","Period=FQ","BEST_FPERIOD_OVERRIDE=FQ","FILING_STATUS=MR","FA_ADJUSTED=GAAP","Sort=A","Dates=H","DateFormat=P","Fill=—","Direction=H","UseDPDF=Y")</f>
        <v>-15742.058199999999</v>
      </c>
      <c r="M14" s="14">
        <f>_xll.BDH("BLUE US Equity","EBITDA_TO_REVENUE","FQ2 2021","FQ2 2021","Currency=USD","Period=FQ","BEST_FPERIOD_OVERRIDE=FQ","FILING_STATUS=MR","FA_ADJUSTED=GAAP","Sort=A","Dates=H","DateFormat=P","Fill=—","Direction=H","UseDPDF=Y")</f>
        <v>-3143.0005000000001</v>
      </c>
      <c r="N14" s="14">
        <f>_xll.BDH("BLUE US Equity","EBITDA_TO_REVENUE","FQ3 2021","FQ3 2021","Currency=USD","Period=FQ","BEST_FPERIOD_OVERRIDE=FQ","FILING_STATUS=MR","FA_ADJUSTED=GAAP","Sort=A","Dates=H","DateFormat=P","Fill=—","Direction=H","UseDPDF=Y")</f>
        <v>-14569.8724</v>
      </c>
      <c r="O14" s="14">
        <f>_xll.BDH("BLUE US Equity","EBITDA_TO_REVENUE","FQ4 2021","FQ4 2021","Currency=USD","Period=FQ","BEST_FPERIOD_OVERRIDE=FQ","FILING_STATUS=MR","FA_ADJUSTED=GAAP","Sort=A","Dates=H","DateFormat=P","Fill=—","Direction=H","UseDPDF=Y")</f>
        <v>-8303.4246999999996</v>
      </c>
      <c r="P14" s="14">
        <f>_xll.BDH("BLUE US Equity","EBITDA_TO_REVENUE","FQ1 2022","FQ1 2022","Currency=USD","Period=FQ","BEST_FPERIOD_OVERRIDE=FQ","FILING_STATUS=MR","FA_ADJUSTED=GAAP","Sort=A","Dates=H","DateFormat=P","Fill=—","Direction=H","UseDPDF=Y")</f>
        <v>-6135.3212999999996</v>
      </c>
      <c r="Q14" s="14">
        <f>_xll.BDH("BLUE US Equity","EBITDA_TO_REVENUE","FQ2 2022","FQ2 2022","Currency=USD","Period=FQ","BEST_FPERIOD_OVERRIDE=FQ","FILING_STATUS=MR","FA_ADJUSTED=GAAP","Sort=A","Dates=H","DateFormat=P","Fill=—","Direction=H","UseDPDF=Y")</f>
        <v>-6981.9618</v>
      </c>
      <c r="R14" s="14">
        <f>_xll.BDH("BLUE US Equity","EBITDA_TO_REVENUE","FQ3 2022","FQ3 2022","Currency=USD","Period=FQ","BEST_FPERIOD_OVERRIDE=FQ","FILING_STATUS=MR","FA_ADJUSTED=GAAP","Sort=A","Dates=H","DateFormat=P","Fill=—","Direction=H","UseDPDF=Y")</f>
        <v>-117456.338</v>
      </c>
      <c r="S14" s="14">
        <f>_xll.BDH("BLUE US Equity","EBITDA_TO_REVENUE","FQ4 2022","FQ4 2022","Currency=USD","Period=FQ","BEST_FPERIOD_OVERRIDE=FQ","FILING_STATUS=MR","FA_ADJUSTED=GAAP","Sort=A","Dates=H","DateFormat=P","Fill=—","Direction=H","UseDPDF=Y")</f>
        <v>107969.3548</v>
      </c>
      <c r="T14" s="14">
        <f>_xll.BDH("BLUE US Equity","EBITDA_TO_REVENUE","FQ1 2023","FQ1 2023","Currency=USD","Period=FQ","BEST_FPERIOD_OVERRIDE=FQ","FILING_STATUS=MR","FA_ADJUSTED=GAAP","Sort=A","Dates=H","DateFormat=P","Fill=—","Direction=H","UseDPDF=Y")</f>
        <v>767.70259999999996</v>
      </c>
      <c r="U14" s="14">
        <f>_xll.BDH("BLUE US Equity","EBITDA_TO_REVENUE","FQ2 2023","FQ2 2023","Currency=USD","Period=FQ","BEST_FPERIOD_OVERRIDE=FQ","FILING_STATUS=MR","FA_ADJUSTED=GAAP","Sort=A","Dates=H","DateFormat=P","Fill=—","Direction=H","UseDPDF=Y")</f>
        <v>-936.74890000000005</v>
      </c>
      <c r="V14" s="14">
        <f>_xll.BDH("BLUE US Equity","EBITDA_TO_REVENUE","FQ3 2023","FQ3 2023","Currency=USD","Period=FQ","BEST_FPERIOD_OVERRIDE=FQ","FILING_STATUS=MR","FA_ADJUSTED=GAAP","Sort=A","Dates=H","DateFormat=P","Fill=—","Direction=H","UseDPDF=Y")</f>
        <v>-701.00059999999996</v>
      </c>
      <c r="W14" s="14">
        <f>_xll.BDH("BLUE US Equity","EBITDA_TO_REVENUE","FQ4 2023","FQ4 2023","Currency=USD","Period=FQ","BEST_FPERIOD_OVERRIDE=FQ","FILING_STATUS=MR","FA_ADJUSTED=GAAP","Sort=A","Dates=H","DateFormat=P","Fill=—","Direction=H","UseDPDF=Y")</f>
        <v>-731.06970000000001</v>
      </c>
      <c r="X14" s="14">
        <f>_xll.BDH("BLUE US Equity","EBITDA_TO_REVENUE","FQ1 2024","FQ1 2024","Currency=USD","Period=FQ","BEST_FPERIOD_OVERRIDE=FQ","FILING_STATUS=MR","FA_ADJUSTED=GAAP","Sort=A","Dates=H","DateFormat=P","Fill=—","Direction=H","UseDPDF=Y")</f>
        <v>-345.03309999999999</v>
      </c>
      <c r="Y14" s="14">
        <f>_xll.BDH("BLUE US Equity","EBITDA_TO_REVENUE","FQ2 2024","FQ2 2024","Currency=USD","Period=FQ","BEST_FPERIOD_OVERRIDE=FQ","FILING_STATUS=MR","FA_ADJUSTED=GAAP","Sort=A","Dates=H","DateFormat=P","Fill=—","Direction=H","UseDPDF=Y")</f>
        <v>-451.15210000000002</v>
      </c>
      <c r="Z14" s="14">
        <f>_xll.BDH("BLUE US Equity","EBITDA_TO_REVENUE","FQ3 2024","FQ3 2024","Currency=USD","Period=FQ","BEST_FPERIOD_OVERRIDE=FQ","FILING_STATUS=MR","FA_ADJUSTED=GAAP","Sort=A","Dates=H","DateFormat=P","Fill=—","Direction=H","UseDPDF=Y")</f>
        <v>-486.00639999999999</v>
      </c>
      <c r="AA14" s="14">
        <f>_xll.BDH("BLUE US Equity","EBITDA_TO_REVENUE","FQ4 2024","FQ4 2024","Currency=USD","Period=FQ","BEST_FPERIOD_OVERRIDE=FQ","FILING_STATUS=MR","FA_ADJUSTED=GAAP","Sort=A","Dates=H","DateFormat=P","Fill=—","Direction=H","UseDPDF=Y")</f>
        <v>-76.3142</v>
      </c>
    </row>
    <row r="15" spans="1:27" x14ac:dyDescent="0.25">
      <c r="A15" s="10" t="s">
        <v>359</v>
      </c>
      <c r="B15" s="10" t="s">
        <v>360</v>
      </c>
      <c r="C15" s="14">
        <f>_xll.BDH("BLUE US Equity","OPER_MARGIN","FQ4 2018","FQ4 2018","Currency=USD","Period=FQ","BEST_FPERIOD_OVERRIDE=FQ","FILING_STATUS=MR","FA_ADJUSTED=GAAP","Sort=A","Dates=H","DateFormat=P","Fill=—","Direction=H","UseDPDF=Y")</f>
        <v>-815.67840000000001</v>
      </c>
      <c r="D15" s="14">
        <f>_xll.BDH("BLUE US Equity","OPER_MARGIN","FQ1 2019","FQ1 2019","Currency=USD","Period=FQ","BEST_FPERIOD_OVERRIDE=FQ","FILING_STATUS=MR","FA_ADJUSTED=GAAP","Sort=A","Dates=H","DateFormat=P","Fill=—","Direction=H","UseDPDF=Y")</f>
        <v>-1372.5763999999999</v>
      </c>
      <c r="E15" s="14">
        <f>_xll.BDH("BLUE US Equity","OPER_MARGIN","FQ2 2019","FQ2 2019","Currency=USD","Period=FQ","BEST_FPERIOD_OVERRIDE=FQ","FILING_STATUS=MR","FA_ADJUSTED=GAAP","Sort=A","Dates=H","DateFormat=P","Fill=—","Direction=H","UseDPDF=Y")</f>
        <v>-1524.5337</v>
      </c>
      <c r="F15" s="14">
        <f>_xll.BDH("BLUE US Equity","OPER_MARGIN","FQ3 2019","FQ3 2019","Currency=USD","Period=FQ","BEST_FPERIOD_OVERRIDE=FQ","FILING_STATUS=MR","FA_ADJUSTED=GAAP","Sort=A","Dates=H","DateFormat=P","Fill=—","Direction=H","UseDPDF=Y")</f>
        <v>-2361.5713000000001</v>
      </c>
      <c r="G15" s="14">
        <f>_xll.BDH("BLUE US Equity","OPER_MARGIN","FQ4 2019","FQ4 2019","Currency=USD","Period=FQ","BEST_FPERIOD_OVERRIDE=FQ","FILING_STATUS=MR","FA_ADJUSTED=GAAP","Sort=A","Dates=H","DateFormat=P","Fill=—","Direction=H","UseDPDF=Y")</f>
        <v>-2306.0318000000002</v>
      </c>
      <c r="H15" s="14">
        <f>_xll.BDH("BLUE US Equity","OPER_MARGIN","FQ1 2020","FQ1 2020","Currency=USD","Period=FQ","BEST_FPERIOD_OVERRIDE=FQ","FILING_STATUS=MR","FA_ADJUSTED=GAAP","Sort=A","Dates=H","DateFormat=P","Fill=—","Direction=H","UseDPDF=Y")</f>
        <v>-930.45330000000001</v>
      </c>
      <c r="I15" s="14">
        <f>_xll.BDH("BLUE US Equity","OPER_MARGIN","FQ2 2020","FQ2 2020","Currency=USD","Period=FQ","BEST_FPERIOD_OVERRIDE=FQ","FILING_STATUS=MR","FA_ADJUSTED=GAAP","Sort=A","Dates=H","DateFormat=P","Fill=—","Direction=H","UseDPDF=Y")</f>
        <v>-13.0449</v>
      </c>
      <c r="J15" s="14">
        <f>_xll.BDH("BLUE US Equity","OPER_MARGIN","FQ3 2020","FQ3 2020","Currency=USD","Period=FQ","BEST_FPERIOD_OVERRIDE=FQ","FILING_STATUS=MR","FA_ADJUSTED=GAAP","Sort=A","Dates=H","DateFormat=P","Fill=—","Direction=H","UseDPDF=Y")</f>
        <v>-984.24739999999997</v>
      </c>
      <c r="K15" s="14" t="str">
        <f>_xll.BDH("BLUE US Equity","OPER_MARGIN","FQ4 2020","FQ4 2020","Currency=USD","Period=FQ","BEST_FPERIOD_OVERRIDE=FQ","FILING_STATUS=MR","FA_ADJUSTED=GAAP","Sort=A","Dates=H","DateFormat=P","Fill=—","Direction=H","UseDPDF=Y")</f>
        <v>—</v>
      </c>
      <c r="L15" s="14">
        <f>_xll.BDH("BLUE US Equity","OPER_MARGIN","FQ1 2021","FQ1 2021","Currency=USD","Period=FQ","BEST_FPERIOD_OVERRIDE=FQ","FILING_STATUS=MR","FA_ADJUSTED=GAAP","Sort=A","Dates=H","DateFormat=P","Fill=—","Direction=H","UseDPDF=Y")</f>
        <v>-16341.610699999999</v>
      </c>
      <c r="M15" s="14">
        <f>_xll.BDH("BLUE US Equity","OPER_MARGIN","FQ2 2021","FQ2 2021","Currency=USD","Period=FQ","BEST_FPERIOD_OVERRIDE=FQ","FILING_STATUS=MR","FA_ADJUSTED=GAAP","Sort=A","Dates=H","DateFormat=P","Fill=—","Direction=H","UseDPDF=Y")</f>
        <v>-3223.2066</v>
      </c>
      <c r="N15" s="14">
        <f>_xll.BDH("BLUE US Equity","OPER_MARGIN","FQ3 2021","FQ3 2021","Currency=USD","Period=FQ","BEST_FPERIOD_OVERRIDE=FQ","FILING_STATUS=MR","FA_ADJUSTED=GAAP","Sort=A","Dates=H","DateFormat=P","Fill=—","Direction=H","UseDPDF=Y")</f>
        <v>-15156.9185</v>
      </c>
      <c r="O15" s="14">
        <f>_xll.BDH("BLUE US Equity","OPER_MARGIN","FQ4 2021","FQ4 2021","Currency=USD","Period=FQ","BEST_FPERIOD_OVERRIDE=FQ","FILING_STATUS=MR","FA_ADJUSTED=GAAP","Sort=A","Dates=H","DateFormat=P","Fill=—","Direction=H","UseDPDF=Y")</f>
        <v>-8447.5092999999997</v>
      </c>
      <c r="P15" s="14">
        <f>_xll.BDH("BLUE US Equity","OPER_MARGIN","FQ1 2022","FQ1 2022","Currency=USD","Period=FQ","BEST_FPERIOD_OVERRIDE=FQ","FILING_STATUS=MR","FA_ADJUSTED=GAAP","Sort=A","Dates=H","DateFormat=P","Fill=—","Direction=H","UseDPDF=Y")</f>
        <v>-6187.4549999999999</v>
      </c>
      <c r="Q15" s="14">
        <f>_xll.BDH("BLUE US Equity","OPER_MARGIN","FQ2 2022","FQ2 2022","Currency=USD","Period=FQ","BEST_FPERIOD_OVERRIDE=FQ","FILING_STATUS=MR","FA_ADJUSTED=GAAP","Sort=A","Dates=H","DateFormat=P","Fill=—","Direction=H","UseDPDF=Y")</f>
        <v>-7070.4411</v>
      </c>
      <c r="R15" s="14">
        <f>_xll.BDH("BLUE US Equity","OPER_MARGIN","FQ3 2022","FQ3 2022","Currency=USD","Period=FQ","BEST_FPERIOD_OVERRIDE=FQ","FILING_STATUS=MR","FA_ADJUSTED=GAAP","Sort=A","Dates=H","DateFormat=P","Fill=—","Direction=H","UseDPDF=Y")</f>
        <v>-119409.85920000001</v>
      </c>
      <c r="S15" s="14">
        <f>_xll.BDH("BLUE US Equity","OPER_MARGIN","FQ4 2022","FQ4 2022","Currency=USD","Period=FQ","BEST_FPERIOD_OVERRIDE=FQ","FILING_STATUS=MR","FA_ADJUSTED=GAAP","Sort=A","Dates=H","DateFormat=P","Fill=—","Direction=H","UseDPDF=Y")</f>
        <v>100551.61289999999</v>
      </c>
      <c r="T15" s="14">
        <f>_xll.BDH("BLUE US Equity","OPER_MARGIN","FQ1 2023","FQ1 2023","Currency=USD","Period=FQ","BEST_FPERIOD_OVERRIDE=FQ","FILING_STATUS=MR","FA_ADJUSTED=GAAP","Sort=A","Dates=H","DateFormat=P","Fill=—","Direction=H","UseDPDF=Y")</f>
        <v>451.28100000000001</v>
      </c>
      <c r="U15" s="14">
        <f>_xll.BDH("BLUE US Equity","OPER_MARGIN","FQ2 2023","FQ2 2023","Currency=USD","Period=FQ","BEST_FPERIOD_OVERRIDE=FQ","FILING_STATUS=MR","FA_ADJUSTED=GAAP","Sort=A","Dates=H","DateFormat=P","Fill=—","Direction=H","UseDPDF=Y")</f>
        <v>-1040.8852999999999</v>
      </c>
      <c r="V15" s="14">
        <f>_xll.BDH("BLUE US Equity","OPER_MARGIN","FQ3 2023","FQ3 2023","Currency=USD","Period=FQ","BEST_FPERIOD_OVERRIDE=FQ","FILING_STATUS=MR","FA_ADJUSTED=GAAP","Sort=A","Dates=H","DateFormat=P","Fill=—","Direction=H","UseDPDF=Y")</f>
        <v>-774.74180000000001</v>
      </c>
      <c r="W15" s="14">
        <f>_xll.BDH("BLUE US Equity","OPER_MARGIN","FQ4 2023","FQ4 2023","Currency=USD","Period=FQ","BEST_FPERIOD_OVERRIDE=FQ","FILING_STATUS=MR","FA_ADJUSTED=GAAP","Sort=A","Dates=H","DateFormat=P","Fill=—","Direction=H","UseDPDF=Y")</f>
        <v>-1055.3101999999999</v>
      </c>
      <c r="X15" s="14">
        <f>_xll.BDH("BLUE US Equity","OPER_MARGIN","FQ1 2024","FQ1 2024","Currency=USD","Period=FQ","BEST_FPERIOD_OVERRIDE=FQ","FILING_STATUS=MR","FA_ADJUSTED=GAAP","Sort=A","Dates=H","DateFormat=P","Fill=—","Direction=H","UseDPDF=Y")</f>
        <v>-423.69029999999998</v>
      </c>
      <c r="Y15" s="14">
        <f>_xll.BDH("BLUE US Equity","OPER_MARGIN","FQ2 2024","FQ2 2024","Currency=USD","Period=FQ","BEST_FPERIOD_OVERRIDE=FQ","FILING_STATUS=MR","FA_ADJUSTED=GAAP","Sort=A","Dates=H","DateFormat=P","Fill=—","Direction=H","UseDPDF=Y")</f>
        <v>-548.98450000000003</v>
      </c>
      <c r="Z15" s="14">
        <f>_xll.BDH("BLUE US Equity","OPER_MARGIN","FQ3 2024","FQ3 2024","Currency=USD","Period=FQ","BEST_FPERIOD_OVERRIDE=FQ","FILING_STATUS=MR","FA_ADJUSTED=GAAP","Sort=A","Dates=H","DateFormat=P","Fill=—","Direction=H","UseDPDF=Y")</f>
        <v>-630.59739999999999</v>
      </c>
      <c r="AA15" s="14">
        <f>_xll.BDH("BLUE US Equity","OPER_MARGIN","FQ4 2024","FQ4 2024","Currency=USD","Period=FQ","BEST_FPERIOD_OVERRIDE=FQ","FILING_STATUS=MR","FA_ADJUSTED=GAAP","Sort=A","Dates=H","DateFormat=P","Fill=—","Direction=H","UseDPDF=Y")</f>
        <v>-94.644499999999994</v>
      </c>
    </row>
    <row r="16" spans="1:27" x14ac:dyDescent="0.25">
      <c r="A16" s="10" t="s">
        <v>1248</v>
      </c>
      <c r="B16" s="10" t="s">
        <v>1249</v>
      </c>
      <c r="C16" s="14" t="str">
        <f>_xll.BDH("BLUE US Equity","INCREMENTAL_OPERATING_MARGIN","FQ4 2018","FQ4 2018","Currency=USD","Period=FQ","BEST_FPERIOD_OVERRIDE=FQ","FILING_STATUS=MR","FA_ADJUSTED=GAAP","Sort=A","Dates=H","DateFormat=P","Fill=—","Direction=H","UseDPDF=Y")</f>
        <v>—</v>
      </c>
      <c r="D16" s="14">
        <f>_xll.BDH("BLUE US Equity","INCREMENTAL_OPERATING_MARGIN","FQ1 2019","FQ1 2019","Currency=USD","Period=FQ","BEST_FPERIOD_OVERRIDE=FQ","FILING_STATUS=MR","FA_ADJUSTED=GAAP","Sort=A","Dates=H","DateFormat=P","Fill=—","Direction=H","UseDPDF=Y")</f>
        <v>-1564.6873000000001</v>
      </c>
      <c r="E16" s="14" t="str">
        <f>_xll.BDH("BLUE US Equity","INCREMENTAL_OPERATING_MARGIN","FQ2 2019","FQ2 2019","Currency=USD","Period=FQ","BEST_FPERIOD_OVERRIDE=FQ","FILING_STATUS=MR","FA_ADJUSTED=GAAP","Sort=A","Dates=H","DateFormat=P","Fill=—","Direction=H","UseDPDF=Y")</f>
        <v>—</v>
      </c>
      <c r="F16" s="14">
        <f>_xll.BDH("BLUE US Equity","INCREMENTAL_OPERATING_MARGIN","FQ3 2019","FQ3 2019","Currency=USD","Period=FQ","BEST_FPERIOD_OVERRIDE=FQ","FILING_STATUS=MR","FA_ADJUSTED=GAAP","Sort=A","Dates=H","DateFormat=P","Fill=—","Direction=H","UseDPDF=Y")</f>
        <v>-2314.6295</v>
      </c>
      <c r="G16" s="14">
        <f>_xll.BDH("BLUE US Equity","INCREMENTAL_OPERATING_MARGIN","FQ4 2019","FQ4 2019","Currency=USD","Period=FQ","BEST_FPERIOD_OVERRIDE=FQ","FILING_STATUS=MR","FA_ADJUSTED=GAAP","Sort=A","Dates=H","DateFormat=P","Fill=—","Direction=H","UseDPDF=Y")</f>
        <v>-795.72789999999998</v>
      </c>
      <c r="H16" s="14" t="str">
        <f>_xll.BDH("BLUE US Equity","INCREMENTAL_OPERATING_MARGIN","FQ1 2020","FQ1 2020","Currency=USD","Period=FQ","BEST_FPERIOD_OVERRIDE=FQ","FILING_STATUS=MR","FA_ADJUSTED=GAAP","Sort=A","Dates=H","DateFormat=P","Fill=—","Direction=H","UseDPDF=Y")</f>
        <v>—</v>
      </c>
      <c r="I16" s="14">
        <f>_xll.BDH("BLUE US Equity","INCREMENTAL_OPERATING_MARGIN","FQ2 2020","FQ2 2020","Currency=USD","Period=FQ","BEST_FPERIOD_OVERRIDE=FQ","FILING_STATUS=MR","FA_ADJUSTED=GAAP","Sort=A","Dates=H","DateFormat=P","Fill=—","Direction=H","UseDPDF=Y")</f>
        <v>95.238500000000002</v>
      </c>
      <c r="J16" s="14">
        <f>_xll.BDH("BLUE US Equity","INCREMENTAL_OPERATING_MARGIN","FQ3 2020","FQ3 2020","Currency=USD","Period=FQ","BEST_FPERIOD_OVERRIDE=FQ","FILING_STATUS=MR","FA_ADJUSTED=GAAP","Sort=A","Dates=H","DateFormat=P","Fill=—","Direction=H","UseDPDF=Y")</f>
        <v>199.9614</v>
      </c>
      <c r="K16" s="14" t="str">
        <f>_xll.BDH("BLUE US Equity","INCREMENTAL_OPERATING_MARGIN","FQ4 2020","FQ4 2020","Currency=USD","Period=FQ","BEST_FPERIOD_OVERRIDE=FQ","FILING_STATUS=MR","FA_ADJUSTED=GAAP","Sort=A","Dates=H","DateFormat=P","Fill=—","Direction=H","UseDPDF=Y")</f>
        <v>—</v>
      </c>
      <c r="L16" s="14" t="str">
        <f>_xll.BDH("BLUE US Equity","INCREMENTAL_OPERATING_MARGIN","FQ1 2021","FQ1 2021","Currency=USD","Period=FQ","BEST_FPERIOD_OVERRIDE=FQ","FILING_STATUS=MR","FA_ADJUSTED=GAAP","Sort=A","Dates=H","DateFormat=P","Fill=—","Direction=H","UseDPDF=Y")</f>
        <v>—</v>
      </c>
      <c r="M16" s="14">
        <f>_xll.BDH("BLUE US Equity","INCREMENTAL_OPERATING_MARGIN","FQ2 2021","FQ2 2021","Currency=USD","Period=FQ","BEST_FPERIOD_OVERRIDE=FQ","FILING_STATUS=MR","FA_ADJUSTED=GAAP","Sort=A","Dates=H","DateFormat=P","Fill=—","Direction=H","UseDPDF=Y")</f>
        <v>-112.2637</v>
      </c>
      <c r="N16" s="14" t="str">
        <f>_xll.BDH("BLUE US Equity","INCREMENTAL_OPERATING_MARGIN","FQ3 2021","FQ3 2021","Currency=USD","Period=FQ","BEST_FPERIOD_OVERRIDE=FQ","FILING_STATUS=MR","FA_ADJUSTED=GAAP","Sort=A","Dates=H","DateFormat=P","Fill=—","Direction=H","UseDPDF=Y")</f>
        <v>—</v>
      </c>
      <c r="O16" s="14">
        <f>_xll.BDH("BLUE US Equity","INCREMENTAL_OPERATING_MARGIN","FQ4 2021","FQ4 2021","Currency=USD","Period=FQ","BEST_FPERIOD_OVERRIDE=FQ","FILING_STATUS=MR","FA_ADJUSTED=GAAP","Sort=A","Dates=H","DateFormat=P","Fill=—","Direction=H","UseDPDF=Y")</f>
        <v>231.63140000000001</v>
      </c>
      <c r="P16" s="14">
        <f>_xll.BDH("BLUE US Equity","INCREMENTAL_OPERATING_MARGIN","FQ1 2022","FQ1 2022","Currency=USD","Period=FQ","BEST_FPERIOD_OVERRIDE=FQ","FILING_STATUS=MR","FA_ADJUSTED=GAAP","Sort=A","Dates=H","DateFormat=P","Fill=—","Direction=H","UseDPDF=Y")</f>
        <v>2449.8573000000001</v>
      </c>
      <c r="Q16" s="14" t="str">
        <f>_xll.BDH("BLUE US Equity","INCREMENTAL_OPERATING_MARGIN","FQ2 2022","FQ2 2022","Currency=USD","Period=FQ","BEST_FPERIOD_OVERRIDE=FQ","FILING_STATUS=MR","FA_ADJUSTED=GAAP","Sort=A","Dates=H","DateFormat=P","Fill=—","Direction=H","UseDPDF=Y")</f>
        <v>—</v>
      </c>
      <c r="R16" s="14" t="str">
        <f>_xll.BDH("BLUE US Equity","INCREMENTAL_OPERATING_MARGIN","FQ3 2022","FQ3 2022","Currency=USD","Period=FQ","BEST_FPERIOD_OVERRIDE=FQ","FILING_STATUS=MR","FA_ADJUSTED=GAAP","Sort=A","Dates=H","DateFormat=P","Fill=—","Direction=H","UseDPDF=Y")</f>
        <v>—</v>
      </c>
      <c r="S16" s="14" t="str">
        <f>_xll.BDH("BLUE US Equity","INCREMENTAL_OPERATING_MARGIN","FQ4 2022","FQ4 2022","Currency=USD","Period=FQ","BEST_FPERIOD_OVERRIDE=FQ","FILING_STATUS=MR","FA_ADJUSTED=GAAP","Sort=A","Dates=H","DateFormat=P","Fill=—","Direction=H","UseDPDF=Y")</f>
        <v>—</v>
      </c>
      <c r="T16" s="14">
        <f>_xll.BDH("BLUE US Equity","INCREMENTAL_OPERATING_MARGIN","FQ1 2023","FQ1 2023","Currency=USD","Period=FQ","BEST_FPERIOD_OVERRIDE=FQ","FILING_STATUS=MR","FA_ADJUSTED=GAAP","Sort=A","Dates=H","DateFormat=P","Fill=—","Direction=H","UseDPDF=Y")</f>
        <v>30066.7431</v>
      </c>
      <c r="U16" s="14">
        <f>_xll.BDH("BLUE US Equity","INCREMENTAL_OPERATING_MARGIN","FQ2 2023","FQ2 2023","Currency=USD","Period=FQ","BEST_FPERIOD_OVERRIDE=FQ","FILING_STATUS=MR","FA_ADJUSTED=GAAP","Sort=A","Dates=H","DateFormat=P","Fill=—","Direction=H","UseDPDF=Y")</f>
        <v>664.36419999999998</v>
      </c>
      <c r="V16" s="14" t="str">
        <f>_xll.BDH("BLUE US Equity","INCREMENTAL_OPERATING_MARGIN","FQ3 2023","FQ3 2023","Currency=USD","Period=FQ","BEST_FPERIOD_OVERRIDE=FQ","FILING_STATUS=MR","FA_ADJUSTED=GAAP","Sort=A","Dates=H","DateFormat=P","Fill=—","Direction=H","UseDPDF=Y")</f>
        <v>—</v>
      </c>
      <c r="W16" s="14" t="str">
        <f>_xll.BDH("BLUE US Equity","INCREMENTAL_OPERATING_MARGIN","FQ4 2023","FQ4 2023","Currency=USD","Period=FQ","BEST_FPERIOD_OVERRIDE=FQ","FILING_STATUS=MR","FA_ADJUSTED=GAAP","Sort=A","Dates=H","DateFormat=P","Fill=—","Direction=H","UseDPDF=Y")</f>
        <v>—</v>
      </c>
      <c r="X16" s="14" t="str">
        <f>_xll.BDH("BLUE US Equity","INCREMENTAL_OPERATING_MARGIN","FQ1 2024","FQ1 2024","Currency=USD","Period=FQ","BEST_FPERIOD_OVERRIDE=FQ","FILING_STATUS=MR","FA_ADJUSTED=GAAP","Sort=A","Dates=H","DateFormat=P","Fill=—","Direction=H","UseDPDF=Y")</f>
        <v>—</v>
      </c>
      <c r="Y16" s="14" t="str">
        <f>_xll.BDH("BLUE US Equity","INCREMENTAL_OPERATING_MARGIN","FQ2 2024","FQ2 2024","Currency=USD","Period=FQ","BEST_FPERIOD_OVERRIDE=FQ","FILING_STATUS=MR","FA_ADJUSTED=GAAP","Sort=A","Dates=H","DateFormat=P","Fill=—","Direction=H","UseDPDF=Y")</f>
        <v>—</v>
      </c>
      <c r="Z16" s="14" t="str">
        <f>_xll.BDH("BLUE US Equity","INCREMENTAL_OPERATING_MARGIN","FQ3 2024","FQ3 2024","Currency=USD","Period=FQ","BEST_FPERIOD_OVERRIDE=FQ","FILING_STATUS=MR","FA_ADJUSTED=GAAP","Sort=A","Dates=H","DateFormat=P","Fill=—","Direction=H","UseDPDF=Y")</f>
        <v>—</v>
      </c>
      <c r="AA16" s="14">
        <f>_xll.BDH("BLUE US Equity","INCREMENTAL_OPERATING_MARGIN","FQ4 2024","FQ4 2024","Currency=USD","Period=FQ","BEST_FPERIOD_OVERRIDE=FQ","FILING_STATUS=MR","FA_ADJUSTED=GAAP","Sort=A","Dates=H","DateFormat=P","Fill=—","Direction=H","UseDPDF=Y")</f>
        <v>150.60120000000001</v>
      </c>
    </row>
    <row r="17" spans="1:27" x14ac:dyDescent="0.25">
      <c r="A17" s="10" t="s">
        <v>1250</v>
      </c>
      <c r="B17" s="10" t="s">
        <v>1251</v>
      </c>
      <c r="C17" s="14">
        <f>_xll.BDH("BLUE US Equity","PRETAX_INC_TO_NET_SALES","FQ4 2018","FQ4 2018","Currency=USD","Period=FQ","BEST_FPERIOD_OVERRIDE=FQ","FILING_STATUS=MR","FA_ADJUSTED=GAAP","Sort=A","Dates=H","DateFormat=P","Fill=—","Direction=H","UseDPDF=Y")</f>
        <v>-773.45529999999997</v>
      </c>
      <c r="D17" s="14">
        <f>_xll.BDH("BLUE US Equity","PRETAX_INC_TO_NET_SALES","FQ1 2019","FQ1 2019","Currency=USD","Period=FQ","BEST_FPERIOD_OVERRIDE=FQ","FILING_STATUS=MR","FA_ADJUSTED=GAAP","Sort=A","Dates=H","DateFormat=P","Fill=—","Direction=H","UseDPDF=Y")</f>
        <v>-1318.7474999999999</v>
      </c>
      <c r="E17" s="14">
        <f>_xll.BDH("BLUE US Equity","PRETAX_INC_TO_NET_SALES","FQ2 2019","FQ2 2019","Currency=USD","Period=FQ","BEST_FPERIOD_OVERRIDE=FQ","FILING_STATUS=MR","FA_ADJUSTED=GAAP","Sort=A","Dates=H","DateFormat=P","Fill=—","Direction=H","UseDPDF=Y")</f>
        <v>-1476.0153</v>
      </c>
      <c r="F17" s="14">
        <f>_xll.BDH("BLUE US Equity","PRETAX_INC_TO_NET_SALES","FQ3 2019","FQ3 2019","Currency=USD","Period=FQ","BEST_FPERIOD_OVERRIDE=FQ","FILING_STATUS=MR","FA_ADJUSTED=GAAP","Sort=A","Dates=H","DateFormat=P","Fill=—","Direction=H","UseDPDF=Y")</f>
        <v>-2315.3422999999998</v>
      </c>
      <c r="G17" s="14">
        <f>_xll.BDH("BLUE US Equity","PRETAX_INC_TO_NET_SALES","FQ4 2019","FQ4 2019","Currency=USD","Period=FQ","BEST_FPERIOD_OVERRIDE=FQ","FILING_STATUS=MR","FA_ADJUSTED=GAAP","Sort=A","Dates=H","DateFormat=P","Fill=—","Direction=H","UseDPDF=Y")</f>
        <v>-2232.1095999999998</v>
      </c>
      <c r="H17" s="14">
        <f>_xll.BDH("BLUE US Equity","PRETAX_INC_TO_NET_SALES","FQ1 2020","FQ1 2020","Currency=USD","Period=FQ","BEST_FPERIOD_OVERRIDE=FQ","FILING_STATUS=MR","FA_ADJUSTED=GAAP","Sort=A","Dates=H","DateFormat=P","Fill=—","Direction=H","UseDPDF=Y")</f>
        <v>-926.30010000000004</v>
      </c>
      <c r="I17" s="14">
        <f>_xll.BDH("BLUE US Equity","PRETAX_INC_TO_NET_SALES","FQ2 2020","FQ2 2020","Currency=USD","Period=FQ","BEST_FPERIOD_OVERRIDE=FQ","FILING_STATUS=MR","FA_ADJUSTED=GAAP","Sort=A","Dates=H","DateFormat=P","Fill=—","Direction=H","UseDPDF=Y")</f>
        <v>-10.7874</v>
      </c>
      <c r="J17" s="14">
        <f>_xll.BDH("BLUE US Equity","PRETAX_INC_TO_NET_SALES","FQ3 2020","FQ3 2020","Currency=USD","Period=FQ","BEST_FPERIOD_OVERRIDE=FQ","FILING_STATUS=MR","FA_ADJUSTED=GAAP","Sort=A","Dates=H","DateFormat=P","Fill=—","Direction=H","UseDPDF=Y")</f>
        <v>-1008.748</v>
      </c>
      <c r="K17" s="14" t="str">
        <f>_xll.BDH("BLUE US Equity","PRETAX_INC_TO_NET_SALES","FQ4 2020","FQ4 2020","Currency=USD","Period=FQ","BEST_FPERIOD_OVERRIDE=FQ","FILING_STATUS=MR","FA_ADJUSTED=GAAP","Sort=A","Dates=H","DateFormat=P","Fill=—","Direction=H","UseDPDF=Y")</f>
        <v>—</v>
      </c>
      <c r="L17" s="14">
        <f>_xll.BDH("BLUE US Equity","PRETAX_INC_TO_NET_SALES","FQ1 2021","FQ1 2021","Currency=USD","Period=FQ","BEST_FPERIOD_OVERRIDE=FQ","FILING_STATUS=MR","FA_ADJUSTED=GAAP","Sort=A","Dates=H","DateFormat=P","Fill=—","Direction=H","UseDPDF=Y")</f>
        <v>-13583.668900000001</v>
      </c>
      <c r="M17" s="14">
        <f>_xll.BDH("BLUE US Equity","PRETAX_INC_TO_NET_SALES","FQ2 2021","FQ2 2021","Currency=USD","Period=FQ","BEST_FPERIOD_OVERRIDE=FQ","FILING_STATUS=MR","FA_ADJUSTED=GAAP","Sort=A","Dates=H","DateFormat=P","Fill=—","Direction=H","UseDPDF=Y")</f>
        <v>-3231.8789999999999</v>
      </c>
      <c r="N17" s="14">
        <f>_xll.BDH("BLUE US Equity","PRETAX_INC_TO_NET_SALES","FQ3 2021","FQ3 2021","Currency=USD","Period=FQ","BEST_FPERIOD_OVERRIDE=FQ","FILING_STATUS=MR","FA_ADJUSTED=GAAP","Sort=A","Dates=H","DateFormat=P","Fill=—","Direction=H","UseDPDF=Y")</f>
        <v>-15009.5191</v>
      </c>
      <c r="O17" s="14">
        <f>_xll.BDH("BLUE US Equity","PRETAX_INC_TO_NET_SALES","FQ4 2021","FQ4 2021","Currency=USD","Period=FQ","BEST_FPERIOD_OVERRIDE=FQ","FILING_STATUS=MR","FA_ADJUSTED=GAAP","Sort=A","Dates=H","DateFormat=P","Fill=—","Direction=H","UseDPDF=Y")</f>
        <v>-8233.9974999999995</v>
      </c>
      <c r="P17" s="14">
        <f>_xll.BDH("BLUE US Equity","PRETAX_INC_TO_NET_SALES","FQ1 2022","FQ1 2022","Currency=USD","Period=FQ","BEST_FPERIOD_OVERRIDE=FQ","FILING_STATUS=MR","FA_ADJUSTED=GAAP","Sort=A","Dates=H","DateFormat=P","Fill=—","Direction=H","UseDPDF=Y")</f>
        <v>-6280.3085000000001</v>
      </c>
      <c r="Q17" s="14">
        <f>_xll.BDH("BLUE US Equity","PRETAX_INC_TO_NET_SALES","FQ2 2022","FQ2 2022","Currency=USD","Period=FQ","BEST_FPERIOD_OVERRIDE=FQ","FILING_STATUS=MR","FA_ADJUSTED=GAAP","Sort=A","Dates=H","DateFormat=P","Fill=—","Direction=H","UseDPDF=Y")</f>
        <v>-6592.3634000000002</v>
      </c>
      <c r="R17" s="14">
        <f>_xll.BDH("BLUE US Equity","PRETAX_INC_TO_NET_SALES","FQ3 2022","FQ3 2022","Currency=USD","Period=FQ","BEST_FPERIOD_OVERRIDE=FQ","FILING_STATUS=MR","FA_ADJUSTED=GAAP","Sort=A","Dates=H","DateFormat=P","Fill=—","Direction=H","UseDPDF=Y")</f>
        <v>-107764.7887</v>
      </c>
      <c r="S17" s="14">
        <f>_xll.BDH("BLUE US Equity","PRETAX_INC_TO_NET_SALES","FQ4 2022","FQ4 2022","Currency=USD","Period=FQ","BEST_FPERIOD_OVERRIDE=FQ","FILING_STATUS=MR","FA_ADJUSTED=GAAP","Sort=A","Dates=H","DateFormat=P","Fill=—","Direction=H","UseDPDF=Y")</f>
        <v>110609.6774</v>
      </c>
      <c r="T17" s="14">
        <f>_xll.BDH("BLUE US Equity","PRETAX_INC_TO_NET_SALES","FQ1 2023","FQ1 2023","Currency=USD","Period=FQ","BEST_FPERIOD_OVERRIDE=FQ","FILING_STATUS=MR","FA_ADJUSTED=GAAP","Sort=A","Dates=H","DateFormat=P","Fill=—","Direction=H","UseDPDF=Y")</f>
        <v>795.04409999999996</v>
      </c>
      <c r="U17" s="14">
        <f>_xll.BDH("BLUE US Equity","PRETAX_INC_TO_NET_SALES","FQ2 2023","FQ2 2023","Currency=USD","Period=FQ","BEST_FPERIOD_OVERRIDE=FQ","FILING_STATUS=MR","FA_ADJUSTED=GAAP","Sort=A","Dates=H","DateFormat=P","Fill=—","Direction=H","UseDPDF=Y")</f>
        <v>-912.46730000000002</v>
      </c>
      <c r="V17" s="14">
        <f>_xll.BDH("BLUE US Equity","PRETAX_INC_TO_NET_SALES","FQ3 2023","FQ3 2023","Currency=USD","Period=FQ","BEST_FPERIOD_OVERRIDE=FQ","FILING_STATUS=MR","FA_ADJUSTED=GAAP","Sort=A","Dates=H","DateFormat=P","Fill=—","Direction=H","UseDPDF=Y")</f>
        <v>-703.93799999999999</v>
      </c>
      <c r="W17" s="14">
        <f>_xll.BDH("BLUE US Equity","PRETAX_INC_TO_NET_SALES","FQ4 2023","FQ4 2023","Currency=USD","Period=FQ","BEST_FPERIOD_OVERRIDE=FQ","FILING_STATUS=MR","FA_ADJUSTED=GAAP","Sort=A","Dates=H","DateFormat=P","Fill=—","Direction=H","UseDPDF=Y")</f>
        <v>-1130.4570000000001</v>
      </c>
      <c r="X17" s="14">
        <f>_xll.BDH("BLUE US Equity","PRETAX_INC_TO_NET_SALES","FQ1 2024","FQ1 2024","Currency=USD","Period=FQ","BEST_FPERIOD_OVERRIDE=FQ","FILING_STATUS=MR","FA_ADJUSTED=GAAP","Sort=A","Dates=H","DateFormat=P","Fill=—","Direction=H","UseDPDF=Y")</f>
        <v>-375.83589999999998</v>
      </c>
      <c r="Y17" s="14">
        <f>_xll.BDH("BLUE US Equity","PRETAX_INC_TO_NET_SALES","FQ2 2024","FQ2 2024","Currency=USD","Period=FQ","BEST_FPERIOD_OVERRIDE=FQ","FILING_STATUS=MR","FA_ADJUSTED=GAAP","Sort=A","Dates=H","DateFormat=P","Fill=—","Direction=H","UseDPDF=Y")</f>
        <v>-505.38479999999998</v>
      </c>
      <c r="Z17" s="14">
        <f>_xll.BDH("BLUE US Equity","PRETAX_INC_TO_NET_SALES","FQ3 2024","FQ3 2024","Currency=USD","Period=FQ","BEST_FPERIOD_OVERRIDE=FQ","FILING_STATUS=MR","FA_ADJUSTED=GAAP","Sort=A","Dates=H","DateFormat=P","Fill=—","Direction=H","UseDPDF=Y")</f>
        <v>-573.55820000000006</v>
      </c>
      <c r="AA17" s="14">
        <f>_xll.BDH("BLUE US Equity","PRETAX_INC_TO_NET_SALES","FQ4 2024","FQ4 2024","Currency=USD","Period=FQ","BEST_FPERIOD_OVERRIDE=FQ","FILING_STATUS=MR","FA_ADJUSTED=GAAP","Sort=A","Dates=H","DateFormat=P","Fill=—","Direction=H","UseDPDF=Y")</f>
        <v>-74.253</v>
      </c>
    </row>
    <row r="18" spans="1:27" x14ac:dyDescent="0.25">
      <c r="A18" s="10" t="s">
        <v>1252</v>
      </c>
      <c r="B18" s="10" t="s">
        <v>1253</v>
      </c>
      <c r="C18" s="14">
        <f>_xll.BDH("BLUE US Equity","INC_BEF_XO_ITEMS_TO_NET_SALES","FQ4 2018","FQ4 2018","Currency=USD","Period=FQ","BEST_FPERIOD_OVERRIDE=FQ","FILING_STATUS=MR","FA_ADJUSTED=GAAP","Sort=A","Dates=H","DateFormat=P","Fill=—","Direction=H","UseDPDF=Y")</f>
        <v>-774.4271</v>
      </c>
      <c r="D18" s="14">
        <f>_xll.BDH("BLUE US Equity","INC_BEF_XO_ITEMS_TO_NET_SALES","FQ1 2019","FQ1 2019","Currency=USD","Period=FQ","BEST_FPERIOD_OVERRIDE=FQ","FILING_STATUS=MR","FA_ADJUSTED=GAAP","Sort=A","Dates=H","DateFormat=P","Fill=—","Direction=H","UseDPDF=Y")</f>
        <v>-1318.6271999999999</v>
      </c>
      <c r="E18" s="14">
        <f>_xll.BDH("BLUE US Equity","INC_BEF_XO_ITEMS_TO_NET_SALES","FQ2 2019","FQ2 2019","Currency=USD","Period=FQ","BEST_FPERIOD_OVERRIDE=FQ","FILING_STATUS=MR","FA_ADJUSTED=GAAP","Sort=A","Dates=H","DateFormat=P","Fill=—","Direction=H","UseDPDF=Y")</f>
        <v>-1472.4880000000001</v>
      </c>
      <c r="F18" s="14">
        <f>_xll.BDH("BLUE US Equity","INC_BEF_XO_ITEMS_TO_NET_SALES","FQ3 2019","FQ3 2019","Currency=USD","Period=FQ","BEST_FPERIOD_OVERRIDE=FQ","FILING_STATUS=MR","FA_ADJUSTED=GAAP","Sort=A","Dates=H","DateFormat=P","Fill=—","Direction=H","UseDPDF=Y")</f>
        <v>-2312.3793000000001</v>
      </c>
      <c r="G18" s="14">
        <f>_xll.BDH("BLUE US Equity","INC_BEF_XO_ITEMS_TO_NET_SALES","FQ4 2019","FQ4 2019","Currency=USD","Period=FQ","BEST_FPERIOD_OVERRIDE=FQ","FILING_STATUS=MR","FA_ADJUSTED=GAAP","Sort=A","Dates=H","DateFormat=P","Fill=—","Direction=H","UseDPDF=Y")</f>
        <v>-2234.1401999999998</v>
      </c>
      <c r="H18" s="14">
        <f>_xll.BDH("BLUE US Equity","INC_BEF_XO_ITEMS_TO_NET_SALES","FQ1 2020","FQ1 2020","Currency=USD","Period=FQ","BEST_FPERIOD_OVERRIDE=FQ","FILING_STATUS=MR","FA_ADJUSTED=GAAP","Sort=A","Dates=H","DateFormat=P","Fill=—","Direction=H","UseDPDF=Y")</f>
        <v>-926.73009999999999</v>
      </c>
      <c r="I18" s="14">
        <f>_xll.BDH("BLUE US Equity","INC_BEF_XO_ITEMS_TO_NET_SALES","FQ2 2020","FQ2 2020","Currency=USD","Period=FQ","BEST_FPERIOD_OVERRIDE=FQ","FILING_STATUS=MR","FA_ADJUSTED=GAAP","Sort=A","Dates=H","DateFormat=P","Fill=—","Direction=H","UseDPDF=Y")</f>
        <v>-10.792400000000001</v>
      </c>
      <c r="J18" s="14">
        <f>_xll.BDH("BLUE US Equity","INC_BEF_XO_ITEMS_TO_NET_SALES","FQ3 2020","FQ3 2020","Currency=USD","Period=FQ","BEST_FPERIOD_OVERRIDE=FQ","FILING_STATUS=MR","FA_ADJUSTED=GAAP","Sort=A","Dates=H","DateFormat=P","Fill=—","Direction=H","UseDPDF=Y")</f>
        <v>-1010.455</v>
      </c>
      <c r="K18" s="14" t="str">
        <f>_xll.BDH("BLUE US Equity","INC_BEF_XO_ITEMS_TO_NET_SALES","FQ4 2020","FQ4 2020","Currency=USD","Period=FQ","BEST_FPERIOD_OVERRIDE=FQ","FILING_STATUS=MR","FA_ADJUSTED=GAAP","Sort=A","Dates=H","DateFormat=P","Fill=—","Direction=H","UseDPDF=Y")</f>
        <v>—</v>
      </c>
      <c r="L18" s="14">
        <f>_xll.BDH("BLUE US Equity","INC_BEF_XO_ITEMS_TO_NET_SALES","FQ1 2021","FQ1 2021","Currency=USD","Period=FQ","BEST_FPERIOD_OVERRIDE=FQ","FILING_STATUS=MR","FA_ADJUSTED=GAAP","Sort=A","Dates=H","DateFormat=P","Fill=—","Direction=H","UseDPDF=Y")</f>
        <v>-13591.0515</v>
      </c>
      <c r="M18" s="14">
        <f>_xll.BDH("BLUE US Equity","INC_BEF_XO_ITEMS_TO_NET_SALES","FQ2 2021","FQ2 2021","Currency=USD","Period=FQ","BEST_FPERIOD_OVERRIDE=FQ","FILING_STATUS=MR","FA_ADJUSTED=GAAP","Sort=A","Dates=H","DateFormat=P","Fill=—","Direction=H","UseDPDF=Y")</f>
        <v>-3234.7698</v>
      </c>
      <c r="N18" s="14">
        <f>_xll.BDH("BLUE US Equity","INC_BEF_XO_ITEMS_TO_NET_SALES","FQ3 2021","FQ3 2021","Currency=USD","Period=FQ","BEST_FPERIOD_OVERRIDE=FQ","FILING_STATUS=MR","FA_ADJUSTED=GAAP","Sort=A","Dates=H","DateFormat=P","Fill=—","Direction=H","UseDPDF=Y")</f>
        <v>-14998.4298</v>
      </c>
      <c r="O18" s="14">
        <f>_xll.BDH("BLUE US Equity","INC_BEF_XO_ITEMS_TO_NET_SALES","FQ4 2021","FQ4 2021","Currency=USD","Period=FQ","BEST_FPERIOD_OVERRIDE=FQ","FILING_STATUS=MR","FA_ADJUSTED=GAAP","Sort=A","Dates=H","DateFormat=P","Fill=—","Direction=H","UseDPDF=Y")</f>
        <v>-8239.5391999999993</v>
      </c>
      <c r="P18" s="14">
        <f>_xll.BDH("BLUE US Equity","INC_BEF_XO_ITEMS_TO_NET_SALES","FQ1 2022","FQ1 2022","Currency=USD","Period=FQ","BEST_FPERIOD_OVERRIDE=FQ","FILING_STATUS=MR","FA_ADJUSTED=GAAP","Sort=A","Dates=H","DateFormat=P","Fill=—","Direction=H","UseDPDF=Y")</f>
        <v>-6280.3085000000001</v>
      </c>
      <c r="Q18" s="14">
        <f>_xll.BDH("BLUE US Equity","INC_BEF_XO_ITEMS_TO_NET_SALES","FQ2 2022","FQ2 2022","Currency=USD","Period=FQ","BEST_FPERIOD_OVERRIDE=FQ","FILING_STATUS=MR","FA_ADJUSTED=GAAP","Sort=A","Dates=H","DateFormat=P","Fill=—","Direction=H","UseDPDF=Y")</f>
        <v>-6592.3634000000002</v>
      </c>
      <c r="R18" s="14">
        <f>_xll.BDH("BLUE US Equity","INC_BEF_XO_ITEMS_TO_NET_SALES","FQ3 2022","FQ3 2022","Currency=USD","Period=FQ","BEST_FPERIOD_OVERRIDE=FQ","FILING_STATUS=MR","FA_ADJUSTED=GAAP","Sort=A","Dates=H","DateFormat=P","Fill=—","Direction=H","UseDPDF=Y")</f>
        <v>-107774.6479</v>
      </c>
      <c r="S18" s="14">
        <f>_xll.BDH("BLUE US Equity","INC_BEF_XO_ITEMS_TO_NET_SALES","FQ4 2022","FQ4 2022","Currency=USD","Period=FQ","BEST_FPERIOD_OVERRIDE=FQ","FILING_STATUS=MR","FA_ADJUSTED=GAAP","Sort=A","Dates=H","DateFormat=P","Fill=—","Direction=H","UseDPDF=Y")</f>
        <v>110432.25810000001</v>
      </c>
      <c r="T18" s="14">
        <f>_xll.BDH("BLUE US Equity","INC_BEF_XO_ITEMS_TO_NET_SALES","FQ1 2023","FQ1 2023","Currency=USD","Period=FQ","BEST_FPERIOD_OVERRIDE=FQ","FILING_STATUS=MR","FA_ADJUSTED=GAAP","Sort=A","Dates=H","DateFormat=P","Fill=—","Direction=H","UseDPDF=Y")</f>
        <v>795.04409999999996</v>
      </c>
      <c r="U18" s="14">
        <f>_xll.BDH("BLUE US Equity","INC_BEF_XO_ITEMS_TO_NET_SALES","FQ2 2023","FQ2 2023","Currency=USD","Period=FQ","BEST_FPERIOD_OVERRIDE=FQ","FILING_STATUS=MR","FA_ADJUSTED=GAAP","Sort=A","Dates=H","DateFormat=P","Fill=—","Direction=H","UseDPDF=Y")</f>
        <v>-911.30619999999999</v>
      </c>
      <c r="V18" s="14">
        <f>_xll.BDH("BLUE US Equity","INC_BEF_XO_ITEMS_TO_NET_SALES","FQ3 2023","FQ3 2023","Currency=USD","Period=FQ","BEST_FPERIOD_OVERRIDE=FQ","FILING_STATUS=MR","FA_ADJUSTED=GAAP","Sort=A","Dates=H","DateFormat=P","Fill=—","Direction=H","UseDPDF=Y")</f>
        <v>-703.93799999999999</v>
      </c>
      <c r="W18" s="14">
        <f>_xll.BDH("BLUE US Equity","INC_BEF_XO_ITEMS_TO_NET_SALES","FQ4 2023","FQ4 2023","Currency=USD","Period=FQ","BEST_FPERIOD_OVERRIDE=FQ","FILING_STATUS=MR","FA_ADJUSTED=GAAP","Sort=A","Dates=H","DateFormat=P","Fill=—","Direction=H","UseDPDF=Y")</f>
        <v>-1129.8697999999999</v>
      </c>
      <c r="X18" s="14">
        <f>_xll.BDH("BLUE US Equity","INC_BEF_XO_ITEMS_TO_NET_SALES","FQ1 2024","FQ1 2024","Currency=USD","Period=FQ","BEST_FPERIOD_OVERRIDE=FQ","FILING_STATUS=MR","FA_ADJUSTED=GAAP","Sort=A","Dates=H","DateFormat=P","Fill=—","Direction=H","UseDPDF=Y")</f>
        <v>-375.83589999999998</v>
      </c>
      <c r="Y18" s="14">
        <f>_xll.BDH("BLUE US Equity","INC_BEF_XO_ITEMS_TO_NET_SALES","FQ2 2024","FQ2 2024","Currency=USD","Period=FQ","BEST_FPERIOD_OVERRIDE=FQ","FILING_STATUS=MR","FA_ADJUSTED=GAAP","Sort=A","Dates=H","DateFormat=P","Fill=—","Direction=H","UseDPDF=Y")</f>
        <v>-505.51519999999999</v>
      </c>
      <c r="Z18" s="14">
        <f>_xll.BDH("BLUE US Equity","INC_BEF_XO_ITEMS_TO_NET_SALES","FQ3 2024","FQ3 2024","Currency=USD","Period=FQ","BEST_FPERIOD_OVERRIDE=FQ","FILING_STATUS=MR","FA_ADJUSTED=GAAP","Sort=A","Dates=H","DateFormat=P","Fill=—","Direction=H","UseDPDF=Y")</f>
        <v>-573.01170000000002</v>
      </c>
      <c r="AA18" s="14">
        <f>_xll.BDH("BLUE US Equity","INC_BEF_XO_ITEMS_TO_NET_SALES","FQ4 2024","FQ4 2024","Currency=USD","Period=FQ","BEST_FPERIOD_OVERRIDE=FQ","FILING_STATUS=MR","FA_ADJUSTED=GAAP","Sort=A","Dates=H","DateFormat=P","Fill=—","Direction=H","UseDPDF=Y")</f>
        <v>-74.530799999999999</v>
      </c>
    </row>
    <row r="19" spans="1:27" x14ac:dyDescent="0.25">
      <c r="A19" s="10" t="s">
        <v>1254</v>
      </c>
      <c r="B19" s="10" t="s">
        <v>362</v>
      </c>
      <c r="C19" s="14">
        <f>_xll.BDH("BLUE US Equity","PROF_MARGIN","FQ4 2018","FQ4 2018","Currency=USD","Period=FQ","BEST_FPERIOD_OVERRIDE=FQ","FILING_STATUS=MR","FA_ADJUSTED=GAAP","Sort=A","Dates=H","DateFormat=P","Fill=—","Direction=H","UseDPDF=Y")</f>
        <v>-774.4271</v>
      </c>
      <c r="D19" s="14">
        <f>_xll.BDH("BLUE US Equity","PROF_MARGIN","FQ1 2019","FQ1 2019","Currency=USD","Period=FQ","BEST_FPERIOD_OVERRIDE=FQ","FILING_STATUS=MR","FA_ADJUSTED=GAAP","Sort=A","Dates=H","DateFormat=P","Fill=—","Direction=H","UseDPDF=Y")</f>
        <v>-1318.6271999999999</v>
      </c>
      <c r="E19" s="14">
        <f>_xll.BDH("BLUE US Equity","PROF_MARGIN","FQ2 2019","FQ2 2019","Currency=USD","Period=FQ","BEST_FPERIOD_OVERRIDE=FQ","FILING_STATUS=MR","FA_ADJUSTED=GAAP","Sort=A","Dates=H","DateFormat=P","Fill=—","Direction=H","UseDPDF=Y")</f>
        <v>-1472.4880000000001</v>
      </c>
      <c r="F19" s="14">
        <f>_xll.BDH("BLUE US Equity","PROF_MARGIN","FQ3 2019","FQ3 2019","Currency=USD","Period=FQ","BEST_FPERIOD_OVERRIDE=FQ","FILING_STATUS=MR","FA_ADJUSTED=GAAP","Sort=A","Dates=H","DateFormat=P","Fill=—","Direction=H","UseDPDF=Y")</f>
        <v>-2312.3793000000001</v>
      </c>
      <c r="G19" s="14">
        <f>_xll.BDH("BLUE US Equity","PROF_MARGIN","FQ4 2019","FQ4 2019","Currency=USD","Period=FQ","BEST_FPERIOD_OVERRIDE=FQ","FILING_STATUS=MR","FA_ADJUSTED=GAAP","Sort=A","Dates=H","DateFormat=P","Fill=—","Direction=H","UseDPDF=Y")</f>
        <v>-2234.1401999999998</v>
      </c>
      <c r="H19" s="14">
        <f>_xll.BDH("BLUE US Equity","PROF_MARGIN","FQ1 2020","FQ1 2020","Currency=USD","Period=FQ","BEST_FPERIOD_OVERRIDE=FQ","FILING_STATUS=MR","FA_ADJUSTED=GAAP","Sort=A","Dates=H","DateFormat=P","Fill=—","Direction=H","UseDPDF=Y")</f>
        <v>-926.73009999999999</v>
      </c>
      <c r="I19" s="14">
        <f>_xll.BDH("BLUE US Equity","PROF_MARGIN","FQ2 2020","FQ2 2020","Currency=USD","Period=FQ","BEST_FPERIOD_OVERRIDE=FQ","FILING_STATUS=MR","FA_ADJUSTED=GAAP","Sort=A","Dates=H","DateFormat=P","Fill=—","Direction=H","UseDPDF=Y")</f>
        <v>-10.792400000000001</v>
      </c>
      <c r="J19" s="14">
        <f>_xll.BDH("BLUE US Equity","PROF_MARGIN","FQ3 2020","FQ3 2020","Currency=USD","Period=FQ","BEST_FPERIOD_OVERRIDE=FQ","FILING_STATUS=MR","FA_ADJUSTED=GAAP","Sort=A","Dates=H","DateFormat=P","Fill=—","Direction=H","UseDPDF=Y")</f>
        <v>-1010.455</v>
      </c>
      <c r="K19" s="14" t="str">
        <f>_xll.BDH("BLUE US Equity","PROF_MARGIN","FQ4 2020","FQ4 2020","Currency=USD","Period=FQ","BEST_FPERIOD_OVERRIDE=FQ","FILING_STATUS=MR","FA_ADJUSTED=GAAP","Sort=A","Dates=H","DateFormat=P","Fill=—","Direction=H","UseDPDF=Y")</f>
        <v>—</v>
      </c>
      <c r="L19" s="14">
        <f>_xll.BDH("BLUE US Equity","PROF_MARGIN","FQ1 2021","FQ1 2021","Currency=USD","Period=FQ","BEST_FPERIOD_OVERRIDE=FQ","FILING_STATUS=MR","FA_ADJUSTED=GAAP","Sort=A","Dates=H","DateFormat=P","Fill=—","Direction=H","UseDPDF=Y")</f>
        <v>-23021.0291</v>
      </c>
      <c r="M19" s="14">
        <f>_xll.BDH("BLUE US Equity","PROF_MARGIN","FQ2 2021","FQ2 2021","Currency=USD","Period=FQ","BEST_FPERIOD_OVERRIDE=FQ","FILING_STATUS=MR","FA_ADJUSTED=GAAP","Sort=A","Dates=H","DateFormat=P","Fill=—","Direction=H","UseDPDF=Y")</f>
        <v>-3234.7698</v>
      </c>
      <c r="N19" s="14">
        <f>_xll.BDH("BLUE US Equity","PROF_MARGIN","FQ3 2021","FQ3 2021","Currency=USD","Period=FQ","BEST_FPERIOD_OVERRIDE=FQ","FILING_STATUS=MR","FA_ADJUSTED=GAAP","Sort=A","Dates=H","DateFormat=P","Fill=—","Direction=H","UseDPDF=Y")</f>
        <v>-21277.330699999999</v>
      </c>
      <c r="O19" s="14">
        <f>_xll.BDH("BLUE US Equity","PROF_MARGIN","FQ4 2021","FQ4 2021","Currency=USD","Period=FQ","BEST_FPERIOD_OVERRIDE=FQ","FILING_STATUS=MR","FA_ADJUSTED=GAAP","Sort=A","Dates=H","DateFormat=P","Fill=—","Direction=H","UseDPDF=Y")</f>
        <v>-9654.5455000000002</v>
      </c>
      <c r="P19" s="14">
        <f>_xll.BDH("BLUE US Equity","PROF_MARGIN","FQ1 2022","FQ1 2022","Currency=USD","Period=FQ","BEST_FPERIOD_OVERRIDE=FQ","FILING_STATUS=MR","FA_ADJUSTED=GAAP","Sort=A","Dates=H","DateFormat=P","Fill=—","Direction=H","UseDPDF=Y")</f>
        <v>-6280.3085000000001</v>
      </c>
      <c r="Q19" s="14">
        <f>_xll.BDH("BLUE US Equity","PROF_MARGIN","FQ2 2022","FQ2 2022","Currency=USD","Period=FQ","BEST_FPERIOD_OVERRIDE=FQ","FILING_STATUS=MR","FA_ADJUSTED=GAAP","Sort=A","Dates=H","DateFormat=P","Fill=—","Direction=H","UseDPDF=Y")</f>
        <v>-6592.3634000000002</v>
      </c>
      <c r="R19" s="14">
        <f>_xll.BDH("BLUE US Equity","PROF_MARGIN","FQ3 2022","FQ3 2022","Currency=USD","Period=FQ","BEST_FPERIOD_OVERRIDE=FQ","FILING_STATUS=MR","FA_ADJUSTED=GAAP","Sort=A","Dates=H","DateFormat=P","Fill=—","Direction=H","UseDPDF=Y")</f>
        <v>-107774.6479</v>
      </c>
      <c r="S19" s="14">
        <f>_xll.BDH("BLUE US Equity","PROF_MARGIN","FQ4 2022","FQ4 2022","Currency=USD","Period=FQ","BEST_FPERIOD_OVERRIDE=FQ","FILING_STATUS=MR","FA_ADJUSTED=GAAP","Sort=A","Dates=H","DateFormat=P","Fill=—","Direction=H","UseDPDF=Y")</f>
        <v>110432.25810000001</v>
      </c>
      <c r="T19" s="14">
        <f>_xll.BDH("BLUE US Equity","PROF_MARGIN","FQ1 2023","FQ1 2023","Currency=USD","Period=FQ","BEST_FPERIOD_OVERRIDE=FQ","FILING_STATUS=MR","FA_ADJUSTED=GAAP","Sort=A","Dates=H","DateFormat=P","Fill=—","Direction=H","UseDPDF=Y")</f>
        <v>795.04409999999996</v>
      </c>
      <c r="U19" s="14">
        <f>_xll.BDH("BLUE US Equity","PROF_MARGIN","FQ2 2023","FQ2 2023","Currency=USD","Period=FQ","BEST_FPERIOD_OVERRIDE=FQ","FILING_STATUS=MR","FA_ADJUSTED=GAAP","Sort=A","Dates=H","DateFormat=P","Fill=—","Direction=H","UseDPDF=Y")</f>
        <v>-911.30619999999999</v>
      </c>
      <c r="V19" s="14">
        <f>_xll.BDH("BLUE US Equity","PROF_MARGIN","FQ3 2023","FQ3 2023","Currency=USD","Period=FQ","BEST_FPERIOD_OVERRIDE=FQ","FILING_STATUS=MR","FA_ADJUSTED=GAAP","Sort=A","Dates=H","DateFormat=P","Fill=—","Direction=H","UseDPDF=Y")</f>
        <v>-703.93799999999999</v>
      </c>
      <c r="W19" s="14">
        <f>_xll.BDH("BLUE US Equity","PROF_MARGIN","FQ4 2023","FQ4 2023","Currency=USD","Period=FQ","BEST_FPERIOD_OVERRIDE=FQ","FILING_STATUS=MR","FA_ADJUSTED=GAAP","Sort=A","Dates=H","DateFormat=P","Fill=—","Direction=H","UseDPDF=Y")</f>
        <v>-1129.8697999999999</v>
      </c>
      <c r="X19" s="14">
        <f>_xll.BDH("BLUE US Equity","PROF_MARGIN","FQ1 2024","FQ1 2024","Currency=USD","Period=FQ","BEST_FPERIOD_OVERRIDE=FQ","FILING_STATUS=MR","FA_ADJUSTED=GAAP","Sort=A","Dates=H","DateFormat=P","Fill=—","Direction=H","UseDPDF=Y")</f>
        <v>-375.83589999999998</v>
      </c>
      <c r="Y19" s="14">
        <f>_xll.BDH("BLUE US Equity","PROF_MARGIN","FQ2 2024","FQ2 2024","Currency=USD","Period=FQ","BEST_FPERIOD_OVERRIDE=FQ","FILING_STATUS=MR","FA_ADJUSTED=GAAP","Sort=A","Dates=H","DateFormat=P","Fill=—","Direction=H","UseDPDF=Y")</f>
        <v>-505.51519999999999</v>
      </c>
      <c r="Z19" s="14">
        <f>_xll.BDH("BLUE US Equity","PROF_MARGIN","FQ3 2024","FQ3 2024","Currency=USD","Period=FQ","BEST_FPERIOD_OVERRIDE=FQ","FILING_STATUS=MR","FA_ADJUSTED=GAAP","Sort=A","Dates=H","DateFormat=P","Fill=—","Direction=H","UseDPDF=Y")</f>
        <v>-573.01170000000002</v>
      </c>
      <c r="AA19" s="14">
        <f>_xll.BDH("BLUE US Equity","PROF_MARGIN","FQ4 2024","FQ4 2024","Currency=USD","Period=FQ","BEST_FPERIOD_OVERRIDE=FQ","FILING_STATUS=MR","FA_ADJUSTED=GAAP","Sort=A","Dates=H","DateFormat=P","Fill=—","Direction=H","UseDPDF=Y")</f>
        <v>-74.530799999999999</v>
      </c>
    </row>
    <row r="20" spans="1:27" x14ac:dyDescent="0.25">
      <c r="A20" s="10" t="s">
        <v>1255</v>
      </c>
      <c r="B20" s="10" t="s">
        <v>1256</v>
      </c>
      <c r="C20" s="14">
        <f>_xll.BDH("BLUE US Equity","NET_INCOME_TO_COMMON_MARGIN","FQ4 2018","FQ4 2018","Currency=USD","Period=FQ","BEST_FPERIOD_OVERRIDE=FQ","FILING_STATUS=MR","FA_ADJUSTED=GAAP","Sort=A","Dates=H","DateFormat=P","Fill=—","Direction=H","UseDPDF=Y")</f>
        <v>-774.4271</v>
      </c>
      <c r="D20" s="14">
        <f>_xll.BDH("BLUE US Equity","NET_INCOME_TO_COMMON_MARGIN","FQ1 2019","FQ1 2019","Currency=USD","Period=FQ","BEST_FPERIOD_OVERRIDE=FQ","FILING_STATUS=MR","FA_ADJUSTED=GAAP","Sort=A","Dates=H","DateFormat=P","Fill=—","Direction=H","UseDPDF=Y")</f>
        <v>-1318.6271999999999</v>
      </c>
      <c r="E20" s="14">
        <f>_xll.BDH("BLUE US Equity","NET_INCOME_TO_COMMON_MARGIN","FQ2 2019","FQ2 2019","Currency=USD","Period=FQ","BEST_FPERIOD_OVERRIDE=FQ","FILING_STATUS=MR","FA_ADJUSTED=GAAP","Sort=A","Dates=H","DateFormat=P","Fill=—","Direction=H","UseDPDF=Y")</f>
        <v>-1472.4880000000001</v>
      </c>
      <c r="F20" s="14">
        <f>_xll.BDH("BLUE US Equity","NET_INCOME_TO_COMMON_MARGIN","FQ3 2019","FQ3 2019","Currency=USD","Period=FQ","BEST_FPERIOD_OVERRIDE=FQ","FILING_STATUS=MR","FA_ADJUSTED=GAAP","Sort=A","Dates=H","DateFormat=P","Fill=—","Direction=H","UseDPDF=Y")</f>
        <v>-2312.3793000000001</v>
      </c>
      <c r="G20" s="14">
        <f>_xll.BDH("BLUE US Equity","NET_INCOME_TO_COMMON_MARGIN","FQ4 2019","FQ4 2019","Currency=USD","Period=FQ","BEST_FPERIOD_OVERRIDE=FQ","FILING_STATUS=MR","FA_ADJUSTED=GAAP","Sort=A","Dates=H","DateFormat=P","Fill=—","Direction=H","UseDPDF=Y")</f>
        <v>-2234.1401999999998</v>
      </c>
      <c r="H20" s="14">
        <f>_xll.BDH("BLUE US Equity","NET_INCOME_TO_COMMON_MARGIN","FQ1 2020","FQ1 2020","Currency=USD","Period=FQ","BEST_FPERIOD_OVERRIDE=FQ","FILING_STATUS=MR","FA_ADJUSTED=GAAP","Sort=A","Dates=H","DateFormat=P","Fill=—","Direction=H","UseDPDF=Y")</f>
        <v>-926.73009999999999</v>
      </c>
      <c r="I20" s="14">
        <f>_xll.BDH("BLUE US Equity","NET_INCOME_TO_COMMON_MARGIN","FQ2 2020","FQ2 2020","Currency=USD","Period=FQ","BEST_FPERIOD_OVERRIDE=FQ","FILING_STATUS=MR","FA_ADJUSTED=GAAP","Sort=A","Dates=H","DateFormat=P","Fill=—","Direction=H","UseDPDF=Y")</f>
        <v>-10.792400000000001</v>
      </c>
      <c r="J20" s="14">
        <f>_xll.BDH("BLUE US Equity","NET_INCOME_TO_COMMON_MARGIN","FQ3 2020","FQ3 2020","Currency=USD","Period=FQ","BEST_FPERIOD_OVERRIDE=FQ","FILING_STATUS=MR","FA_ADJUSTED=GAAP","Sort=A","Dates=H","DateFormat=P","Fill=—","Direction=H","UseDPDF=Y")</f>
        <v>-1010.455</v>
      </c>
      <c r="K20" s="14" t="str">
        <f>_xll.BDH("BLUE US Equity","NET_INCOME_TO_COMMON_MARGIN","FQ4 2020","FQ4 2020","Currency=USD","Period=FQ","BEST_FPERIOD_OVERRIDE=FQ","FILING_STATUS=MR","FA_ADJUSTED=GAAP","Sort=A","Dates=H","DateFormat=P","Fill=—","Direction=H","UseDPDF=Y")</f>
        <v>—</v>
      </c>
      <c r="L20" s="14">
        <f>_xll.BDH("BLUE US Equity","NET_INCOME_TO_COMMON_MARGIN","FQ1 2021","FQ1 2021","Currency=USD","Period=FQ","BEST_FPERIOD_OVERRIDE=FQ","FILING_STATUS=MR","FA_ADJUSTED=GAAP","Sort=A","Dates=H","DateFormat=P","Fill=—","Direction=H","UseDPDF=Y")</f>
        <v>-23021.0291</v>
      </c>
      <c r="M20" s="14">
        <f>_xll.BDH("BLUE US Equity","NET_INCOME_TO_COMMON_MARGIN","FQ2 2021","FQ2 2021","Currency=USD","Period=FQ","BEST_FPERIOD_OVERRIDE=FQ","FILING_STATUS=MR","FA_ADJUSTED=GAAP","Sort=A","Dates=H","DateFormat=P","Fill=—","Direction=H","UseDPDF=Y")</f>
        <v>-3234.7698</v>
      </c>
      <c r="N20" s="14">
        <f>_xll.BDH("BLUE US Equity","NET_INCOME_TO_COMMON_MARGIN","FQ3 2021","FQ3 2021","Currency=USD","Period=FQ","BEST_FPERIOD_OVERRIDE=FQ","FILING_STATUS=MR","FA_ADJUSTED=GAAP","Sort=A","Dates=H","DateFormat=P","Fill=—","Direction=H","UseDPDF=Y")</f>
        <v>-21277.330699999999</v>
      </c>
      <c r="O20" s="14">
        <f>_xll.BDH("BLUE US Equity","NET_INCOME_TO_COMMON_MARGIN","FQ4 2021","FQ4 2021","Currency=USD","Period=FQ","BEST_FPERIOD_OVERRIDE=FQ","FILING_STATUS=MR","FA_ADJUSTED=GAAP","Sort=A","Dates=H","DateFormat=P","Fill=—","Direction=H","UseDPDF=Y")</f>
        <v>-9654.5455000000002</v>
      </c>
      <c r="P20" s="14">
        <f>_xll.BDH("BLUE US Equity","NET_INCOME_TO_COMMON_MARGIN","FQ1 2022","FQ1 2022","Currency=USD","Period=FQ","BEST_FPERIOD_OVERRIDE=FQ","FILING_STATUS=MR","FA_ADJUSTED=GAAP","Sort=A","Dates=H","DateFormat=P","Fill=—","Direction=H","UseDPDF=Y")</f>
        <v>-6280.3085000000001</v>
      </c>
      <c r="Q20" s="14">
        <f>_xll.BDH("BLUE US Equity","NET_INCOME_TO_COMMON_MARGIN","FQ2 2022","FQ2 2022","Currency=USD","Period=FQ","BEST_FPERIOD_OVERRIDE=FQ","FILING_STATUS=MR","FA_ADJUSTED=GAAP","Sort=A","Dates=H","DateFormat=P","Fill=—","Direction=H","UseDPDF=Y")</f>
        <v>-6592.3634000000002</v>
      </c>
      <c r="R20" s="14">
        <f>_xll.BDH("BLUE US Equity","NET_INCOME_TO_COMMON_MARGIN","FQ3 2022","FQ3 2022","Currency=USD","Period=FQ","BEST_FPERIOD_OVERRIDE=FQ","FILING_STATUS=MR","FA_ADJUSTED=GAAP","Sort=A","Dates=H","DateFormat=P","Fill=—","Direction=H","UseDPDF=Y")</f>
        <v>-107774.6479</v>
      </c>
      <c r="S20" s="14">
        <f>_xll.BDH("BLUE US Equity","NET_INCOME_TO_COMMON_MARGIN","FQ4 2022","FQ4 2022","Currency=USD","Period=FQ","BEST_FPERIOD_OVERRIDE=FQ","FILING_STATUS=MR","FA_ADJUSTED=GAAP","Sort=A","Dates=H","DateFormat=P","Fill=—","Direction=H","UseDPDF=Y")</f>
        <v>110432.25810000001</v>
      </c>
      <c r="T20" s="14">
        <f>_xll.BDH("BLUE US Equity","NET_INCOME_TO_COMMON_MARGIN","FQ1 2023","FQ1 2023","Currency=USD","Period=FQ","BEST_FPERIOD_OVERRIDE=FQ","FILING_STATUS=MR","FA_ADJUSTED=GAAP","Sort=A","Dates=H","DateFormat=P","Fill=—","Direction=H","UseDPDF=Y")</f>
        <v>795.04409999999996</v>
      </c>
      <c r="U20" s="14">
        <f>_xll.BDH("BLUE US Equity","NET_INCOME_TO_COMMON_MARGIN","FQ2 2023","FQ2 2023","Currency=USD","Period=FQ","BEST_FPERIOD_OVERRIDE=FQ","FILING_STATUS=MR","FA_ADJUSTED=GAAP","Sort=A","Dates=H","DateFormat=P","Fill=—","Direction=H","UseDPDF=Y")</f>
        <v>-911.30619999999999</v>
      </c>
      <c r="V20" s="14">
        <f>_xll.BDH("BLUE US Equity","NET_INCOME_TO_COMMON_MARGIN","FQ3 2023","FQ3 2023","Currency=USD","Period=FQ","BEST_FPERIOD_OVERRIDE=FQ","FILING_STATUS=MR","FA_ADJUSTED=GAAP","Sort=A","Dates=H","DateFormat=P","Fill=—","Direction=H","UseDPDF=Y")</f>
        <v>-703.93799999999999</v>
      </c>
      <c r="W20" s="14">
        <f>_xll.BDH("BLUE US Equity","NET_INCOME_TO_COMMON_MARGIN","FQ4 2023","FQ4 2023","Currency=USD","Period=FQ","BEST_FPERIOD_OVERRIDE=FQ","FILING_STATUS=MR","FA_ADJUSTED=GAAP","Sort=A","Dates=H","DateFormat=P","Fill=—","Direction=H","UseDPDF=Y")</f>
        <v>-1129.8697999999999</v>
      </c>
      <c r="X20" s="14">
        <f>_xll.BDH("BLUE US Equity","NET_INCOME_TO_COMMON_MARGIN","FQ1 2024","FQ1 2024","Currency=USD","Period=FQ","BEST_FPERIOD_OVERRIDE=FQ","FILING_STATUS=MR","FA_ADJUSTED=GAAP","Sort=A","Dates=H","DateFormat=P","Fill=—","Direction=H","UseDPDF=Y")</f>
        <v>-375.83589999999998</v>
      </c>
      <c r="Y20" s="14">
        <f>_xll.BDH("BLUE US Equity","NET_INCOME_TO_COMMON_MARGIN","FQ2 2024","FQ2 2024","Currency=USD","Period=FQ","BEST_FPERIOD_OVERRIDE=FQ","FILING_STATUS=MR","FA_ADJUSTED=GAAP","Sort=A","Dates=H","DateFormat=P","Fill=—","Direction=H","UseDPDF=Y")</f>
        <v>-505.51519999999999</v>
      </c>
      <c r="Z20" s="14">
        <f>_xll.BDH("BLUE US Equity","NET_INCOME_TO_COMMON_MARGIN","FQ3 2024","FQ3 2024","Currency=USD","Period=FQ","BEST_FPERIOD_OVERRIDE=FQ","FILING_STATUS=MR","FA_ADJUSTED=GAAP","Sort=A","Dates=H","DateFormat=P","Fill=—","Direction=H","UseDPDF=Y")</f>
        <v>-573.01170000000002</v>
      </c>
      <c r="AA20" s="14">
        <f>_xll.BDH("BLUE US Equity","NET_INCOME_TO_COMMON_MARGIN","FQ4 2024","FQ4 2024","Currency=USD","Period=FQ","BEST_FPERIOD_OVERRIDE=FQ","FILING_STATUS=MR","FA_ADJUSTED=GAAP","Sort=A","Dates=H","DateFormat=P","Fill=—","Direction=H","UseDPDF=Y")</f>
        <v>-74.530799999999999</v>
      </c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 t="s">
        <v>1257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0" t="s">
        <v>1258</v>
      </c>
      <c r="B23" s="10" t="s">
        <v>1259</v>
      </c>
      <c r="C23" s="14" t="str">
        <f>_xll.BDH("BLUE US Equity","EFF_TAX_RATE","FQ4 2018","FQ4 2018","Currency=USD","Period=FQ","BEST_FPERIOD_OVERRIDE=FQ","FILING_STATUS=MR","FA_ADJUSTED=GAAP","Sort=A","Dates=H","DateFormat=P","Fill=—","Direction=H","UseDPDF=Y")</f>
        <v>—</v>
      </c>
      <c r="D23" s="14" t="str">
        <f>_xll.BDH("BLUE US Equity","EFF_TAX_RATE","FQ1 2019","FQ1 2019","Currency=USD","Period=FQ","BEST_FPERIOD_OVERRIDE=FQ","FILING_STATUS=MR","FA_ADJUSTED=GAAP","Sort=A","Dates=H","DateFormat=P","Fill=—","Direction=H","UseDPDF=Y")</f>
        <v>—</v>
      </c>
      <c r="E23" s="14" t="str">
        <f>_xll.BDH("BLUE US Equity","EFF_TAX_RATE","FQ2 2019","FQ2 2019","Currency=USD","Period=FQ","BEST_FPERIOD_OVERRIDE=FQ","FILING_STATUS=MR","FA_ADJUSTED=GAAP","Sort=A","Dates=H","DateFormat=P","Fill=—","Direction=H","UseDPDF=Y")</f>
        <v>—</v>
      </c>
      <c r="F23" s="14" t="str">
        <f>_xll.BDH("BLUE US Equity","EFF_TAX_RATE","FQ3 2019","FQ3 2019","Currency=USD","Period=FQ","BEST_FPERIOD_OVERRIDE=FQ","FILING_STATUS=MR","FA_ADJUSTED=GAAP","Sort=A","Dates=H","DateFormat=P","Fill=—","Direction=H","UseDPDF=Y")</f>
        <v>—</v>
      </c>
      <c r="G23" s="14" t="str">
        <f>_xll.BDH("BLUE US Equity","EFF_TAX_RATE","FQ4 2019","FQ4 2019","Currency=USD","Period=FQ","BEST_FPERIOD_OVERRIDE=FQ","FILING_STATUS=MR","FA_ADJUSTED=GAAP","Sort=A","Dates=H","DateFormat=P","Fill=—","Direction=H","UseDPDF=Y")</f>
        <v>—</v>
      </c>
      <c r="H23" s="14" t="str">
        <f>_xll.BDH("BLUE US Equity","EFF_TAX_RATE","FQ1 2020","FQ1 2020","Currency=USD","Period=FQ","BEST_FPERIOD_OVERRIDE=FQ","FILING_STATUS=MR","FA_ADJUSTED=GAAP","Sort=A","Dates=H","DateFormat=P","Fill=—","Direction=H","UseDPDF=Y")</f>
        <v>—</v>
      </c>
      <c r="I23" s="14" t="str">
        <f>_xll.BDH("BLUE US Equity","EFF_TAX_RATE","FQ2 2020","FQ2 2020","Currency=USD","Period=FQ","BEST_FPERIOD_OVERRIDE=FQ","FILING_STATUS=MR","FA_ADJUSTED=GAAP","Sort=A","Dates=H","DateFormat=P","Fill=—","Direction=H","UseDPDF=Y")</f>
        <v>—</v>
      </c>
      <c r="J23" s="14" t="str">
        <f>_xll.BDH("BLUE US Equity","EFF_TAX_RATE","FQ3 2020","FQ3 2020","Currency=USD","Period=FQ","BEST_FPERIOD_OVERRIDE=FQ","FILING_STATUS=MR","FA_ADJUSTED=GAAP","Sort=A","Dates=H","DateFormat=P","Fill=—","Direction=H","UseDPDF=Y")</f>
        <v>—</v>
      </c>
      <c r="K23" s="14" t="str">
        <f>_xll.BDH("BLUE US Equity","EFF_TAX_RATE","FQ4 2020","FQ4 2020","Currency=USD","Period=FQ","BEST_FPERIOD_OVERRIDE=FQ","FILING_STATUS=MR","FA_ADJUSTED=GAAP","Sort=A","Dates=H","DateFormat=P","Fill=—","Direction=H","UseDPDF=Y")</f>
        <v>—</v>
      </c>
      <c r="L23" s="14" t="str">
        <f>_xll.BDH("BLUE US Equity","EFF_TAX_RATE","FQ1 2021","FQ1 2021","Currency=USD","Period=FQ","BEST_FPERIOD_OVERRIDE=FQ","FILING_STATUS=MR","FA_ADJUSTED=GAAP","Sort=A","Dates=H","DateFormat=P","Fill=—","Direction=H","UseDPDF=Y")</f>
        <v>—</v>
      </c>
      <c r="M23" s="14" t="str">
        <f>_xll.BDH("BLUE US Equity","EFF_TAX_RATE","FQ2 2021","FQ2 2021","Currency=USD","Period=FQ","BEST_FPERIOD_OVERRIDE=FQ","FILING_STATUS=MR","FA_ADJUSTED=GAAP","Sort=A","Dates=H","DateFormat=P","Fill=—","Direction=H","UseDPDF=Y")</f>
        <v>—</v>
      </c>
      <c r="N23" s="14" t="str">
        <f>_xll.BDH("BLUE US Equity","EFF_TAX_RATE","FQ3 2021","FQ3 2021","Currency=USD","Period=FQ","BEST_FPERIOD_OVERRIDE=FQ","FILING_STATUS=MR","FA_ADJUSTED=GAAP","Sort=A","Dates=H","DateFormat=P","Fill=—","Direction=H","UseDPDF=Y")</f>
        <v>—</v>
      </c>
      <c r="O23" s="14" t="str">
        <f>_xll.BDH("BLUE US Equity","EFF_TAX_RATE","FQ4 2021","FQ4 2021","Currency=USD","Period=FQ","BEST_FPERIOD_OVERRIDE=FQ","FILING_STATUS=MR","FA_ADJUSTED=GAAP","Sort=A","Dates=H","DateFormat=P","Fill=—","Direction=H","UseDPDF=Y")</f>
        <v>—</v>
      </c>
      <c r="P23" s="14" t="str">
        <f>_xll.BDH("BLUE US Equity","EFF_TAX_RATE","FQ1 2022","FQ1 2022","Currency=USD","Period=FQ","BEST_FPERIOD_OVERRIDE=FQ","FILING_STATUS=MR","FA_ADJUSTED=GAAP","Sort=A","Dates=H","DateFormat=P","Fill=—","Direction=H","UseDPDF=Y")</f>
        <v>—</v>
      </c>
      <c r="Q23" s="14" t="str">
        <f>_xll.BDH("BLUE US Equity","EFF_TAX_RATE","FQ2 2022","FQ2 2022","Currency=USD","Period=FQ","BEST_FPERIOD_OVERRIDE=FQ","FILING_STATUS=MR","FA_ADJUSTED=GAAP","Sort=A","Dates=H","DateFormat=P","Fill=—","Direction=H","UseDPDF=Y")</f>
        <v>—</v>
      </c>
      <c r="R23" s="14" t="str">
        <f>_xll.BDH("BLUE US Equity","EFF_TAX_RATE","FQ3 2022","FQ3 2022","Currency=USD","Period=FQ","BEST_FPERIOD_OVERRIDE=FQ","FILING_STATUS=MR","FA_ADJUSTED=GAAP","Sort=A","Dates=H","DateFormat=P","Fill=—","Direction=H","UseDPDF=Y")</f>
        <v>—</v>
      </c>
      <c r="S23" s="14">
        <f>_xll.BDH("BLUE US Equity","EFF_TAX_RATE","FQ4 2022","FQ4 2022","Currency=USD","Period=FQ","BEST_FPERIOD_OVERRIDE=FQ","FILING_STATUS=MR","FA_ADJUSTED=GAAP","Sort=A","Dates=H","DateFormat=P","Fill=—","Direction=H","UseDPDF=Y")</f>
        <v>0.16039999999999999</v>
      </c>
      <c r="T23" s="14">
        <f>_xll.BDH("BLUE US Equity","EFF_TAX_RATE","FQ1 2023","FQ1 2023","Currency=USD","Period=FQ","BEST_FPERIOD_OVERRIDE=FQ","FILING_STATUS=MR","FA_ADJUSTED=GAAP","Sort=A","Dates=H","DateFormat=P","Fill=—","Direction=H","UseDPDF=Y")</f>
        <v>0</v>
      </c>
      <c r="U23" s="14" t="str">
        <f>_xll.BDH("BLUE US Equity","EFF_TAX_RATE","FQ2 2023","FQ2 2023","Currency=USD","Period=FQ","BEST_FPERIOD_OVERRIDE=FQ","FILING_STATUS=MR","FA_ADJUSTED=GAAP","Sort=A","Dates=H","DateFormat=P","Fill=—","Direction=H","UseDPDF=Y")</f>
        <v>—</v>
      </c>
      <c r="V23" s="14" t="str">
        <f>_xll.BDH("BLUE US Equity","EFF_TAX_RATE","FQ3 2023","FQ3 2023","Currency=USD","Period=FQ","BEST_FPERIOD_OVERRIDE=FQ","FILING_STATUS=MR","FA_ADJUSTED=GAAP","Sort=A","Dates=H","DateFormat=P","Fill=—","Direction=H","UseDPDF=Y")</f>
        <v>—</v>
      </c>
      <c r="W23" s="14" t="str">
        <f>_xll.BDH("BLUE US Equity","EFF_TAX_RATE","FQ4 2023","FQ4 2023","Currency=USD","Period=FQ","BEST_FPERIOD_OVERRIDE=FQ","FILING_STATUS=MR","FA_ADJUSTED=GAAP","Sort=A","Dates=H","DateFormat=P","Fill=—","Direction=H","UseDPDF=Y")</f>
        <v>—</v>
      </c>
      <c r="X23" s="14" t="str">
        <f>_xll.BDH("BLUE US Equity","EFF_TAX_RATE","FQ1 2024","FQ1 2024","Currency=USD","Period=FQ","BEST_FPERIOD_OVERRIDE=FQ","FILING_STATUS=MR","FA_ADJUSTED=GAAP","Sort=A","Dates=H","DateFormat=P","Fill=—","Direction=H","UseDPDF=Y")</f>
        <v>—</v>
      </c>
      <c r="Y23" s="14" t="str">
        <f>_xll.BDH("BLUE US Equity","EFF_TAX_RATE","FQ2 2024","FQ2 2024","Currency=USD","Period=FQ","BEST_FPERIOD_OVERRIDE=FQ","FILING_STATUS=MR","FA_ADJUSTED=GAAP","Sort=A","Dates=H","DateFormat=P","Fill=—","Direction=H","UseDPDF=Y")</f>
        <v>—</v>
      </c>
      <c r="Z23" s="14" t="str">
        <f>_xll.BDH("BLUE US Equity","EFF_TAX_RATE","FQ3 2024","FQ3 2024","Currency=USD","Period=FQ","BEST_FPERIOD_OVERRIDE=FQ","FILING_STATUS=MR","FA_ADJUSTED=GAAP","Sort=A","Dates=H","DateFormat=P","Fill=—","Direction=H","UseDPDF=Y")</f>
        <v>—</v>
      </c>
      <c r="AA23" s="14" t="str">
        <f>_xll.BDH("BLUE US Equity","EFF_TAX_RATE","FQ4 2024","FQ4 2024","Currency=USD","Period=FQ","BEST_FPERIOD_OVERRIDE=FQ","FILING_STATUS=MR","FA_ADJUSTED=GAAP","Sort=A","Dates=H","DateFormat=P","Fill=—","Direction=H","UseDPDF=Y")</f>
        <v>—</v>
      </c>
    </row>
    <row r="24" spans="1:27" x14ac:dyDescent="0.25">
      <c r="A24" s="10" t="s">
        <v>1260</v>
      </c>
      <c r="B24" s="10" t="s">
        <v>1261</v>
      </c>
      <c r="C24" s="14" t="str">
        <f>_xll.BDH("BLUE US Equity","DVD_PAYOUT_RATIO","FQ4 2018","FQ4 2018","Currency=USD","Period=FQ","BEST_FPERIOD_OVERRIDE=FQ","FILING_STATUS=MR","FA_ADJUSTED=GAAP","Sort=A","Dates=H","DateFormat=P","Fill=—","Direction=H","UseDPDF=Y")</f>
        <v>—</v>
      </c>
      <c r="D24" s="14" t="str">
        <f>_xll.BDH("BLUE US Equity","DVD_PAYOUT_RATIO","FQ1 2019","FQ1 2019","Currency=USD","Period=FQ","BEST_FPERIOD_OVERRIDE=FQ","FILING_STATUS=MR","FA_ADJUSTED=GAAP","Sort=A","Dates=H","DateFormat=P","Fill=—","Direction=H","UseDPDF=Y")</f>
        <v>—</v>
      </c>
      <c r="E24" s="14" t="str">
        <f>_xll.BDH("BLUE US Equity","DVD_PAYOUT_RATIO","FQ2 2019","FQ2 2019","Currency=USD","Period=FQ","BEST_FPERIOD_OVERRIDE=FQ","FILING_STATUS=MR","FA_ADJUSTED=GAAP","Sort=A","Dates=H","DateFormat=P","Fill=—","Direction=H","UseDPDF=Y")</f>
        <v>—</v>
      </c>
      <c r="F24" s="14" t="str">
        <f>_xll.BDH("BLUE US Equity","DVD_PAYOUT_RATIO","FQ3 2019","FQ3 2019","Currency=USD","Period=FQ","BEST_FPERIOD_OVERRIDE=FQ","FILING_STATUS=MR","FA_ADJUSTED=GAAP","Sort=A","Dates=H","DateFormat=P","Fill=—","Direction=H","UseDPDF=Y")</f>
        <v>—</v>
      </c>
      <c r="G24" s="14" t="str">
        <f>_xll.BDH("BLUE US Equity","DVD_PAYOUT_RATIO","FQ4 2019","FQ4 2019","Currency=USD","Period=FQ","BEST_FPERIOD_OVERRIDE=FQ","FILING_STATUS=MR","FA_ADJUSTED=GAAP","Sort=A","Dates=H","DateFormat=P","Fill=—","Direction=H","UseDPDF=Y")</f>
        <v>—</v>
      </c>
      <c r="H24" s="14" t="str">
        <f>_xll.BDH("BLUE US Equity","DVD_PAYOUT_RATIO","FQ1 2020","FQ1 2020","Currency=USD","Period=FQ","BEST_FPERIOD_OVERRIDE=FQ","FILING_STATUS=MR","FA_ADJUSTED=GAAP","Sort=A","Dates=H","DateFormat=P","Fill=—","Direction=H","UseDPDF=Y")</f>
        <v>—</v>
      </c>
      <c r="I24" s="14" t="str">
        <f>_xll.BDH("BLUE US Equity","DVD_PAYOUT_RATIO","FQ2 2020","FQ2 2020","Currency=USD","Period=FQ","BEST_FPERIOD_OVERRIDE=FQ","FILING_STATUS=MR","FA_ADJUSTED=GAAP","Sort=A","Dates=H","DateFormat=P","Fill=—","Direction=H","UseDPDF=Y")</f>
        <v>—</v>
      </c>
      <c r="J24" s="14" t="str">
        <f>_xll.BDH("BLUE US Equity","DVD_PAYOUT_RATIO","FQ3 2020","FQ3 2020","Currency=USD","Period=FQ","BEST_FPERIOD_OVERRIDE=FQ","FILING_STATUS=MR","FA_ADJUSTED=GAAP","Sort=A","Dates=H","DateFormat=P","Fill=—","Direction=H","UseDPDF=Y")</f>
        <v>—</v>
      </c>
      <c r="K24" s="14" t="str">
        <f>_xll.BDH("BLUE US Equity","DVD_PAYOUT_RATIO","FQ4 2020","FQ4 2020","Currency=USD","Period=FQ","BEST_FPERIOD_OVERRIDE=FQ","FILING_STATUS=MR","FA_ADJUSTED=GAAP","Sort=A","Dates=H","DateFormat=P","Fill=—","Direction=H","UseDPDF=Y")</f>
        <v>—</v>
      </c>
      <c r="L24" s="14" t="str">
        <f>_xll.BDH("BLUE US Equity","DVD_PAYOUT_RATIO","FQ1 2021","FQ1 2021","Currency=USD","Period=FQ","BEST_FPERIOD_OVERRIDE=FQ","FILING_STATUS=MR","FA_ADJUSTED=GAAP","Sort=A","Dates=H","DateFormat=P","Fill=—","Direction=H","UseDPDF=Y")</f>
        <v>—</v>
      </c>
      <c r="M24" s="14" t="str">
        <f>_xll.BDH("BLUE US Equity","DVD_PAYOUT_RATIO","FQ2 2021","FQ2 2021","Currency=USD","Period=FQ","BEST_FPERIOD_OVERRIDE=FQ","FILING_STATUS=MR","FA_ADJUSTED=GAAP","Sort=A","Dates=H","DateFormat=P","Fill=—","Direction=H","UseDPDF=Y")</f>
        <v>—</v>
      </c>
      <c r="N24" s="14" t="str">
        <f>_xll.BDH("BLUE US Equity","DVD_PAYOUT_RATIO","FQ3 2021","FQ3 2021","Currency=USD","Period=FQ","BEST_FPERIOD_OVERRIDE=FQ","FILING_STATUS=MR","FA_ADJUSTED=GAAP","Sort=A","Dates=H","DateFormat=P","Fill=—","Direction=H","UseDPDF=Y")</f>
        <v>—</v>
      </c>
      <c r="O24" s="14" t="str">
        <f>_xll.BDH("BLUE US Equity","DVD_PAYOUT_RATIO","FQ4 2021","FQ4 2021","Currency=USD","Period=FQ","BEST_FPERIOD_OVERRIDE=FQ","FILING_STATUS=MR","FA_ADJUSTED=GAAP","Sort=A","Dates=H","DateFormat=P","Fill=—","Direction=H","UseDPDF=Y")</f>
        <v>—</v>
      </c>
      <c r="P24" s="14" t="str">
        <f>_xll.BDH("BLUE US Equity","DVD_PAYOUT_RATIO","FQ1 2022","FQ1 2022","Currency=USD","Period=FQ","BEST_FPERIOD_OVERRIDE=FQ","FILING_STATUS=MR","FA_ADJUSTED=GAAP","Sort=A","Dates=H","DateFormat=P","Fill=—","Direction=H","UseDPDF=Y")</f>
        <v>—</v>
      </c>
      <c r="Q24" s="14" t="str">
        <f>_xll.BDH("BLUE US Equity","DVD_PAYOUT_RATIO","FQ2 2022","FQ2 2022","Currency=USD","Period=FQ","BEST_FPERIOD_OVERRIDE=FQ","FILING_STATUS=MR","FA_ADJUSTED=GAAP","Sort=A","Dates=H","DateFormat=P","Fill=—","Direction=H","UseDPDF=Y")</f>
        <v>—</v>
      </c>
      <c r="R24" s="14" t="str">
        <f>_xll.BDH("BLUE US Equity","DVD_PAYOUT_RATIO","FQ3 2022","FQ3 2022","Currency=USD","Period=FQ","BEST_FPERIOD_OVERRIDE=FQ","FILING_STATUS=MR","FA_ADJUSTED=GAAP","Sort=A","Dates=H","DateFormat=P","Fill=—","Direction=H","UseDPDF=Y")</f>
        <v>—</v>
      </c>
      <c r="S24" s="14">
        <f>_xll.BDH("BLUE US Equity","DVD_PAYOUT_RATIO","FQ4 2022","FQ4 2022","Currency=USD","Period=FQ","BEST_FPERIOD_OVERRIDE=FQ","FILING_STATUS=MR","FA_ADJUSTED=GAAP","Sort=A","Dates=H","DateFormat=P","Fill=—","Direction=H","UseDPDF=Y")</f>
        <v>0</v>
      </c>
      <c r="T24" s="14">
        <f>_xll.BDH("BLUE US Equity","DVD_PAYOUT_RATIO","FQ1 2023","FQ1 2023","Currency=USD","Period=FQ","BEST_FPERIOD_OVERRIDE=FQ","FILING_STATUS=MR","FA_ADJUSTED=GAAP","Sort=A","Dates=H","DateFormat=P","Fill=—","Direction=H","UseDPDF=Y")</f>
        <v>0</v>
      </c>
      <c r="U24" s="14" t="str">
        <f>_xll.BDH("BLUE US Equity","DVD_PAYOUT_RATIO","FQ2 2023","FQ2 2023","Currency=USD","Period=FQ","BEST_FPERIOD_OVERRIDE=FQ","FILING_STATUS=MR","FA_ADJUSTED=GAAP","Sort=A","Dates=H","DateFormat=P","Fill=—","Direction=H","UseDPDF=Y")</f>
        <v>—</v>
      </c>
      <c r="V24" s="14" t="str">
        <f>_xll.BDH("BLUE US Equity","DVD_PAYOUT_RATIO","FQ3 2023","FQ3 2023","Currency=USD","Period=FQ","BEST_FPERIOD_OVERRIDE=FQ","FILING_STATUS=MR","FA_ADJUSTED=GAAP","Sort=A","Dates=H","DateFormat=P","Fill=—","Direction=H","UseDPDF=Y")</f>
        <v>—</v>
      </c>
      <c r="W24" s="14" t="str">
        <f>_xll.BDH("BLUE US Equity","DVD_PAYOUT_RATIO","FQ4 2023","FQ4 2023","Currency=USD","Period=FQ","BEST_FPERIOD_OVERRIDE=FQ","FILING_STATUS=MR","FA_ADJUSTED=GAAP","Sort=A","Dates=H","DateFormat=P","Fill=—","Direction=H","UseDPDF=Y")</f>
        <v>—</v>
      </c>
      <c r="X24" s="14" t="str">
        <f>_xll.BDH("BLUE US Equity","DVD_PAYOUT_RATIO","FQ1 2024","FQ1 2024","Currency=USD","Period=FQ","BEST_FPERIOD_OVERRIDE=FQ","FILING_STATUS=MR","FA_ADJUSTED=GAAP","Sort=A","Dates=H","DateFormat=P","Fill=—","Direction=H","UseDPDF=Y")</f>
        <v>—</v>
      </c>
      <c r="Y24" s="14" t="str">
        <f>_xll.BDH("BLUE US Equity","DVD_PAYOUT_RATIO","FQ2 2024","FQ2 2024","Currency=USD","Period=FQ","BEST_FPERIOD_OVERRIDE=FQ","FILING_STATUS=MR","FA_ADJUSTED=GAAP","Sort=A","Dates=H","DateFormat=P","Fill=—","Direction=H","UseDPDF=Y")</f>
        <v>—</v>
      </c>
      <c r="Z24" s="14" t="str">
        <f>_xll.BDH("BLUE US Equity","DVD_PAYOUT_RATIO","FQ3 2024","FQ3 2024","Currency=USD","Period=FQ","BEST_FPERIOD_OVERRIDE=FQ","FILING_STATUS=MR","FA_ADJUSTED=GAAP","Sort=A","Dates=H","DateFormat=P","Fill=—","Direction=H","UseDPDF=Y")</f>
        <v>—</v>
      </c>
      <c r="AA24" s="14" t="str">
        <f>_xll.BDH("BLUE US Equity","DVD_PAYOUT_RATIO","FQ4 2024","FQ4 2024","Currency=USD","Period=FQ","BEST_FPERIOD_OVERRIDE=FQ","FILING_STATUS=MR","FA_ADJUSTED=GAAP","Sort=A","Dates=H","DateFormat=P","Fill=—","Direction=H","UseDPDF=Y")</f>
        <v>—</v>
      </c>
    </row>
    <row r="25" spans="1:27" x14ac:dyDescent="0.25">
      <c r="A25" s="10" t="s">
        <v>1262</v>
      </c>
      <c r="B25" s="10" t="s">
        <v>1263</v>
      </c>
      <c r="C25" s="14" t="str">
        <f>_xll.BDH("BLUE US Equity","SUSTAIN_GROWTH_RT","FQ4 2018","FQ4 2018","Currency=USD","Period=FQ","BEST_FPERIOD_OVERRIDE=FQ","FILING_STATUS=MR","FA_ADJUSTED=GAAP","Sort=A","Dates=H","DateFormat=P","Fill=—","Direction=H","UseDPDF=Y")</f>
        <v>—</v>
      </c>
      <c r="D25" s="14" t="str">
        <f>_xll.BDH("BLUE US Equity","SUSTAIN_GROWTH_RT","FQ1 2019","FQ1 2019","Currency=USD","Period=FQ","BEST_FPERIOD_OVERRIDE=FQ","FILING_STATUS=MR","FA_ADJUSTED=GAAP","Sort=A","Dates=H","DateFormat=P","Fill=—","Direction=H","UseDPDF=Y")</f>
        <v>—</v>
      </c>
      <c r="E25" s="14" t="str">
        <f>_xll.BDH("BLUE US Equity","SUSTAIN_GROWTH_RT","FQ2 2019","FQ2 2019","Currency=USD","Period=FQ","BEST_FPERIOD_OVERRIDE=FQ","FILING_STATUS=MR","FA_ADJUSTED=GAAP","Sort=A","Dates=H","DateFormat=P","Fill=—","Direction=H","UseDPDF=Y")</f>
        <v>—</v>
      </c>
      <c r="F25" s="14" t="str">
        <f>_xll.BDH("BLUE US Equity","SUSTAIN_GROWTH_RT","FQ3 2019","FQ3 2019","Currency=USD","Period=FQ","BEST_FPERIOD_OVERRIDE=FQ","FILING_STATUS=MR","FA_ADJUSTED=GAAP","Sort=A","Dates=H","DateFormat=P","Fill=—","Direction=H","UseDPDF=Y")</f>
        <v>—</v>
      </c>
      <c r="G25" s="14" t="str">
        <f>_xll.BDH("BLUE US Equity","SUSTAIN_GROWTH_RT","FQ4 2019","FQ4 2019","Currency=USD","Period=FQ","BEST_FPERIOD_OVERRIDE=FQ","FILING_STATUS=MR","FA_ADJUSTED=GAAP","Sort=A","Dates=H","DateFormat=P","Fill=—","Direction=H","UseDPDF=Y")</f>
        <v>—</v>
      </c>
      <c r="H25" s="14" t="str">
        <f>_xll.BDH("BLUE US Equity","SUSTAIN_GROWTH_RT","FQ1 2020","FQ1 2020","Currency=USD","Period=FQ","BEST_FPERIOD_OVERRIDE=FQ","FILING_STATUS=MR","FA_ADJUSTED=GAAP","Sort=A","Dates=H","DateFormat=P","Fill=—","Direction=H","UseDPDF=Y")</f>
        <v>—</v>
      </c>
      <c r="I25" s="14" t="str">
        <f>_xll.BDH("BLUE US Equity","SUSTAIN_GROWTH_RT","FQ2 2020","FQ2 2020","Currency=USD","Period=FQ","BEST_FPERIOD_OVERRIDE=FQ","FILING_STATUS=MR","FA_ADJUSTED=GAAP","Sort=A","Dates=H","DateFormat=P","Fill=—","Direction=H","UseDPDF=Y")</f>
        <v>—</v>
      </c>
      <c r="J25" s="14" t="str">
        <f>_xll.BDH("BLUE US Equity","SUSTAIN_GROWTH_RT","FQ3 2020","FQ3 2020","Currency=USD","Period=FQ","BEST_FPERIOD_OVERRIDE=FQ","FILING_STATUS=MR","FA_ADJUSTED=GAAP","Sort=A","Dates=H","DateFormat=P","Fill=—","Direction=H","UseDPDF=Y")</f>
        <v>—</v>
      </c>
      <c r="K25" s="14" t="str">
        <f>_xll.BDH("BLUE US Equity","SUSTAIN_GROWTH_RT","FQ4 2020","FQ4 2020","Currency=USD","Period=FQ","BEST_FPERIOD_OVERRIDE=FQ","FILING_STATUS=MR","FA_ADJUSTED=GAAP","Sort=A","Dates=H","DateFormat=P","Fill=—","Direction=H","UseDPDF=Y")</f>
        <v>—</v>
      </c>
      <c r="L25" s="14" t="str">
        <f>_xll.BDH("BLUE US Equity","SUSTAIN_GROWTH_RT","FQ1 2021","FQ1 2021","Currency=USD","Period=FQ","BEST_FPERIOD_OVERRIDE=FQ","FILING_STATUS=MR","FA_ADJUSTED=GAAP","Sort=A","Dates=H","DateFormat=P","Fill=—","Direction=H","UseDPDF=Y")</f>
        <v>—</v>
      </c>
      <c r="M25" s="14" t="str">
        <f>_xll.BDH("BLUE US Equity","SUSTAIN_GROWTH_RT","FQ2 2021","FQ2 2021","Currency=USD","Period=FQ","BEST_FPERIOD_OVERRIDE=FQ","FILING_STATUS=MR","FA_ADJUSTED=GAAP","Sort=A","Dates=H","DateFormat=P","Fill=—","Direction=H","UseDPDF=Y")</f>
        <v>—</v>
      </c>
      <c r="N25" s="14" t="str">
        <f>_xll.BDH("BLUE US Equity","SUSTAIN_GROWTH_RT","FQ3 2021","FQ3 2021","Currency=USD","Period=FQ","BEST_FPERIOD_OVERRIDE=FQ","FILING_STATUS=MR","FA_ADJUSTED=GAAP","Sort=A","Dates=H","DateFormat=P","Fill=—","Direction=H","UseDPDF=Y")</f>
        <v>—</v>
      </c>
      <c r="O25" s="14" t="str">
        <f>_xll.BDH("BLUE US Equity","SUSTAIN_GROWTH_RT","FQ4 2021","FQ4 2021","Currency=USD","Period=FQ","BEST_FPERIOD_OVERRIDE=FQ","FILING_STATUS=MR","FA_ADJUSTED=GAAP","Sort=A","Dates=H","DateFormat=P","Fill=—","Direction=H","UseDPDF=Y")</f>
        <v>—</v>
      </c>
      <c r="P25" s="14" t="str">
        <f>_xll.BDH("BLUE US Equity","SUSTAIN_GROWTH_RT","FQ1 2022","FQ1 2022","Currency=USD","Period=FQ","BEST_FPERIOD_OVERRIDE=FQ","FILING_STATUS=MR","FA_ADJUSTED=GAAP","Sort=A","Dates=H","DateFormat=P","Fill=—","Direction=H","UseDPDF=Y")</f>
        <v>—</v>
      </c>
      <c r="Q25" s="14" t="str">
        <f>_xll.BDH("BLUE US Equity","SUSTAIN_GROWTH_RT","FQ2 2022","FQ2 2022","Currency=USD","Period=FQ","BEST_FPERIOD_OVERRIDE=FQ","FILING_STATUS=MR","FA_ADJUSTED=GAAP","Sort=A","Dates=H","DateFormat=P","Fill=—","Direction=H","UseDPDF=Y")</f>
        <v>—</v>
      </c>
      <c r="R25" s="14" t="str">
        <f>_xll.BDH("BLUE US Equity","SUSTAIN_GROWTH_RT","FQ3 2022","FQ3 2022","Currency=USD","Period=FQ","BEST_FPERIOD_OVERRIDE=FQ","FILING_STATUS=MR","FA_ADJUSTED=GAAP","Sort=A","Dates=H","DateFormat=P","Fill=—","Direction=H","UseDPDF=Y")</f>
        <v>—</v>
      </c>
      <c r="S25" s="14">
        <f>_xll.BDH("BLUE US Equity","SUSTAIN_GROWTH_RT","FQ4 2022","FQ4 2022","Currency=USD","Period=FQ","BEST_FPERIOD_OVERRIDE=FQ","FILING_STATUS=MR","FA_ADJUSTED=GAAP","Sort=A","Dates=H","DateFormat=P","Fill=—","Direction=H","UseDPDF=Y")</f>
        <v>-90.577100000000002</v>
      </c>
      <c r="T25" s="14">
        <f>_xll.BDH("BLUE US Equity","SUSTAIN_GROWTH_RT","FQ1 2023","FQ1 2023","Currency=USD","Period=FQ","BEST_FPERIOD_OVERRIDE=FQ","FILING_STATUS=MR","FA_ADJUSTED=GAAP","Sort=A","Dates=H","DateFormat=P","Fill=—","Direction=H","UseDPDF=Y")</f>
        <v>-28.886800000000001</v>
      </c>
      <c r="U25" s="14" t="str">
        <f>_xll.BDH("BLUE US Equity","SUSTAIN_GROWTH_RT","FQ2 2023","FQ2 2023","Currency=USD","Period=FQ","BEST_FPERIOD_OVERRIDE=FQ","FILING_STATUS=MR","FA_ADJUSTED=GAAP","Sort=A","Dates=H","DateFormat=P","Fill=—","Direction=H","UseDPDF=Y")</f>
        <v>—</v>
      </c>
      <c r="V25" s="14" t="str">
        <f>_xll.BDH("BLUE US Equity","SUSTAIN_GROWTH_RT","FQ3 2023","FQ3 2023","Currency=USD","Period=FQ","BEST_FPERIOD_OVERRIDE=FQ","FILING_STATUS=MR","FA_ADJUSTED=GAAP","Sort=A","Dates=H","DateFormat=P","Fill=—","Direction=H","UseDPDF=Y")</f>
        <v>—</v>
      </c>
      <c r="W25" s="14" t="str">
        <f>_xll.BDH("BLUE US Equity","SUSTAIN_GROWTH_RT","FQ4 2023","FQ4 2023","Currency=USD","Period=FQ","BEST_FPERIOD_OVERRIDE=FQ","FILING_STATUS=MR","FA_ADJUSTED=GAAP","Sort=A","Dates=H","DateFormat=P","Fill=—","Direction=H","UseDPDF=Y")</f>
        <v>—</v>
      </c>
      <c r="X25" s="14" t="str">
        <f>_xll.BDH("BLUE US Equity","SUSTAIN_GROWTH_RT","FQ1 2024","FQ1 2024","Currency=USD","Period=FQ","BEST_FPERIOD_OVERRIDE=FQ","FILING_STATUS=MR","FA_ADJUSTED=GAAP","Sort=A","Dates=H","DateFormat=P","Fill=—","Direction=H","UseDPDF=Y")</f>
        <v>—</v>
      </c>
      <c r="Y25" s="14" t="str">
        <f>_xll.BDH("BLUE US Equity","SUSTAIN_GROWTH_RT","FQ2 2024","FQ2 2024","Currency=USD","Period=FQ","BEST_FPERIOD_OVERRIDE=FQ","FILING_STATUS=MR","FA_ADJUSTED=GAAP","Sort=A","Dates=H","DateFormat=P","Fill=—","Direction=H","UseDPDF=Y")</f>
        <v>—</v>
      </c>
      <c r="Z25" s="14" t="str">
        <f>_xll.BDH("BLUE US Equity","SUSTAIN_GROWTH_RT","FQ3 2024","FQ3 2024","Currency=USD","Period=FQ","BEST_FPERIOD_OVERRIDE=FQ","FILING_STATUS=MR","FA_ADJUSTED=GAAP","Sort=A","Dates=H","DateFormat=P","Fill=—","Direction=H","UseDPDF=Y")</f>
        <v>—</v>
      </c>
      <c r="AA25" s="14" t="str">
        <f>_xll.BDH("BLUE US Equity","SUSTAIN_GROWTH_RT","FQ4 2024","FQ4 2024","Currency=USD","Period=FQ","BEST_FPERIOD_OVERRIDE=FQ","FILING_STATUS=MR","FA_ADJUSTED=GAAP","Sort=A","Dates=H","DateFormat=P","Fill=—","Direction=H","UseDPDF=Y")</f>
        <v>—</v>
      </c>
    </row>
    <row r="26" spans="1:27" x14ac:dyDescent="0.25">
      <c r="A26" s="7" t="s">
        <v>90</v>
      </c>
      <c r="B26" s="7"/>
      <c r="C26" s="7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7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1264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1265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0</v>
      </c>
      <c r="B7" s="10" t="s">
        <v>72</v>
      </c>
      <c r="C7" s="14">
        <f>_xll.BDH("BLUE US Equity","SALES_GROWTH","FQ4 2018","FQ4 2018","Currency=USD","Period=FQ","BEST_FPERIOD_OVERRIDE=FQ","FILING_STATUS=MR","FA_ADJUSTED=GAAP","Sort=A","Dates=H","DateFormat=P","Fill=—","Direction=H","UseDPDF=Y")</f>
        <v>361.68430000000001</v>
      </c>
      <c r="D7" s="14">
        <f>_xll.BDH("BLUE US Equity","SALES_GROWTH","FQ1 2019","FQ1 2019","Currency=USD","Period=FQ","BEST_FPERIOD_OVERRIDE=FQ","FILING_STATUS=MR","FA_ADJUSTED=GAAP","Sort=A","Dates=H","DateFormat=P","Fill=—","Direction=H","UseDPDF=Y")</f>
        <v>-21.8462</v>
      </c>
      <c r="E7" s="14">
        <f>_xll.BDH("BLUE US Equity","SALES_GROWTH","FQ2 2019","FQ2 2019","Currency=USD","Period=FQ","BEST_FPERIOD_OVERRIDE=FQ","FILING_STATUS=MR","FA_ADJUSTED=GAAP","Sort=A","Dates=H","DateFormat=P","Fill=—","Direction=H","UseDPDF=Y")</f>
        <v>69.354200000000006</v>
      </c>
      <c r="F7" s="14">
        <f>_xll.BDH("BLUE US Equity","SALES_GROWTH","FQ3 2019","FQ3 2019","Currency=USD","Period=FQ","BEST_FPERIOD_OVERRIDE=FQ","FILING_STATUS=MR","FA_ADJUSTED=GAAP","Sort=A","Dates=H","DateFormat=P","Fill=—","Direction=H","UseDPDF=Y")</f>
        <v>-22.709900000000001</v>
      </c>
      <c r="G7" s="14">
        <f>_xll.BDH("BLUE US Equity","SALES_GROWTH","FQ4 2019","FQ4 2019","Currency=USD","Period=FQ","BEST_FPERIOD_OVERRIDE=FQ","FILING_STATUS=MR","FA_ADJUSTED=GAAP","Sort=A","Dates=H","DateFormat=P","Fill=—","Direction=H","UseDPDF=Y")</f>
        <v>-48.0486</v>
      </c>
      <c r="H7" s="14">
        <f>_xll.BDH("BLUE US Equity","SALES_GROWTH","FQ1 2020","FQ1 2020","Currency=USD","Period=FQ","BEST_FPERIOD_OVERRIDE=FQ","FILING_STATUS=MR","FA_ADJUSTED=GAAP","Sort=A","Dates=H","DateFormat=P","Fill=—","Direction=H","UseDPDF=Y")</f>
        <v>75.310699999999997</v>
      </c>
      <c r="I7" s="14">
        <f>_xll.BDH("BLUE US Equity","SALES_GROWTH","FQ2 2020","FQ2 2020","Currency=USD","Period=FQ","BEST_FPERIOD_OVERRIDE=FQ","FILING_STATUS=MR","FA_ADJUSTED=GAAP","Sort=A","Dates=H","DateFormat=P","Fill=—","Direction=H","UseDPDF=Y")</f>
        <v>1395.8634</v>
      </c>
      <c r="J7" s="14">
        <f>_xll.BDH("BLUE US Equity","SALES_GROWTH","FQ3 2020","FQ3 2020","Currency=USD","Period=FQ","BEST_FPERIOD_OVERRIDE=FQ","FILING_STATUS=MR","FA_ADJUSTED=GAAP","Sort=A","Dates=H","DateFormat=P","Fill=—","Direction=H","UseDPDF=Y")</f>
        <v>116.3075</v>
      </c>
      <c r="K7" s="14" t="str">
        <f>_xll.BDH("BLUE US Equity","SALES_GROWTH","FQ4 2020","FQ4 2020","Currency=USD","Period=FQ","BEST_FPERIOD_OVERRIDE=FQ","FILING_STATUS=MR","FA_ADJUSTED=GAAP","Sort=A","Dates=H","DateFormat=P","Fill=—","Direction=H","UseDPDF=Y")</f>
        <v>—</v>
      </c>
      <c r="L7" s="14">
        <f>_xll.BDH("BLUE US Equity","SALES_GROWTH","FQ1 2021","FQ1 2021","Currency=USD","Period=FQ","BEST_FPERIOD_OVERRIDE=FQ","FILING_STATUS=MR","FA_ADJUSTED=GAAP","Sort=A","Dates=H","DateFormat=P","Fill=—","Direction=H","UseDPDF=Y")</f>
        <v>-95.910899999999998</v>
      </c>
      <c r="M7" s="14">
        <f>_xll.BDH("BLUE US Equity","SALES_GROWTH","FQ2 2021","FQ2 2021","Currency=USD","Period=FQ","BEST_FPERIOD_OVERRIDE=FQ","FILING_STATUS=MR","FA_ADJUSTED=GAAP","Sort=A","Dates=H","DateFormat=P","Fill=—","Direction=H","UseDPDF=Y")</f>
        <v>-96.243099999999998</v>
      </c>
      <c r="N7" s="14">
        <f>_xll.BDH("BLUE US Equity","SALES_GROWTH","FQ3 2021","FQ3 2021","Currency=USD","Period=FQ","BEST_FPERIOD_OVERRIDE=FQ","FILING_STATUS=MR","FA_ADJUSTED=GAAP","Sort=A","Dates=H","DateFormat=P","Fill=—","Direction=H","UseDPDF=Y")</f>
        <v>-94.712800000000001</v>
      </c>
      <c r="O7" s="14" t="str">
        <f>_xll.BDH("BLUE US Equity","SALES_GROWTH","FQ4 2021","FQ4 2021","Currency=USD","Period=FQ","BEST_FPERIOD_OVERRIDE=FQ","FILING_STATUS=MR","FA_ADJUSTED=GAAP","Sort=A","Dates=H","DateFormat=P","Fill=—","Direction=H","UseDPDF=Y")</f>
        <v>—</v>
      </c>
      <c r="P7" s="14">
        <f>_xll.BDH("BLUE US Equity","SALES_GROWTH","FQ1 2022","FQ1 2022","Currency=USD","Period=FQ","BEST_FPERIOD_OVERRIDE=FQ","FILING_STATUS=MR","FA_ADJUSTED=GAAP","Sort=A","Dates=H","DateFormat=P","Fill=—","Direction=H","UseDPDF=Y")</f>
        <v>117.5615</v>
      </c>
      <c r="Q7" s="14">
        <f>_xll.BDH("BLUE US Equity","SALES_GROWTH","FQ2 2022","FQ2 2022","Currency=USD","Period=FQ","BEST_FPERIOD_OVERRIDE=FQ","FILING_STATUS=MR","FA_ADJUSTED=GAAP","Sort=A","Dates=H","DateFormat=P","Fill=—","Direction=H","UseDPDF=Y")</f>
        <v>-79.6708</v>
      </c>
      <c r="R7" s="14">
        <f>_xll.BDH("BLUE US Equity","SALES_GROWTH","FQ3 2022","FQ3 2022","Currency=USD","Period=FQ","BEST_FPERIOD_OVERRIDE=FQ","FILING_STATUS=MR","FA_ADJUSTED=GAAP","Sort=A","Dates=H","DateFormat=P","Fill=—","Direction=H","UseDPDF=Y")</f>
        <v>-93.032399999999996</v>
      </c>
      <c r="S7" s="14">
        <f>_xll.BDH("BLUE US Equity","SALES_GROWTH","FQ4 2022","FQ4 2022","Currency=USD","Period=FQ","BEST_FPERIOD_OVERRIDE=FQ","FILING_STATUS=MR","FA_ADJUSTED=GAAP","Sort=A","Dates=H","DateFormat=P","Fill=—","Direction=H","UseDPDF=Y")</f>
        <v>-96.139499999999998</v>
      </c>
      <c r="T7" s="14">
        <f>_xll.BDH("BLUE US Equity","SALES_GROWTH","FQ1 2023","FQ1 2023","Currency=USD","Period=FQ","BEST_FPERIOD_OVERRIDE=FQ","FILING_STATUS=MR","FA_ADJUSTED=GAAP","Sort=A","Dates=H","DateFormat=P","Fill=—","Direction=H","UseDPDF=Y")</f>
        <v>22.416499999999999</v>
      </c>
      <c r="U7" s="14">
        <f>_xll.BDH("BLUE US Equity","SALES_GROWTH","FQ2 2023","FQ2 2023","Currency=USD","Period=FQ","BEST_FPERIOD_OVERRIDE=FQ","FILING_STATUS=MR","FA_ADJUSTED=GAAP","Sort=A","Dates=H","DateFormat=P","Fill=—","Direction=H","UseDPDF=Y")</f>
        <v>353.58789999999999</v>
      </c>
      <c r="V7" s="14">
        <f>_xll.BDH("BLUE US Equity","SALES_GROWTH","FQ3 2023","FQ3 2023","Currency=USD","Period=FQ","BEST_FPERIOD_OVERRIDE=FQ","FILING_STATUS=MR","FA_ADJUSTED=GAAP","Sort=A","Dates=H","DateFormat=P","Fill=—","Direction=H","UseDPDF=Y")</f>
        <v>17353.521100000002</v>
      </c>
      <c r="W7" s="14">
        <f>_xll.BDH("BLUE US Equity","SALES_GROWTH","FQ4 2023","FQ4 2023","Currency=USD","Period=FQ","BEST_FPERIOD_OVERRIDE=FQ","FILING_STATUS=MR","FA_ADJUSTED=GAAP","Sort=A","Dates=H","DateFormat=P","Fill=—","Direction=H","UseDPDF=Y")</f>
        <v>12535.483899999999</v>
      </c>
      <c r="X7" s="14">
        <f>_xll.BDH("BLUE US Equity","SALES_GROWTH","FQ1 2024","FQ1 2024","Currency=USD","Period=FQ","BEST_FPERIOD_OVERRIDE=FQ","FILING_STATUS=MR","FA_ADJUSTED=GAAP","Sort=A","Dates=H","DateFormat=P","Fill=—","Direction=H","UseDPDF=Y")</f>
        <v>680.05039999999997</v>
      </c>
      <c r="Y7" s="14">
        <f>_xll.BDH("BLUE US Equity","SALES_GROWTH","FQ2 2024","FQ2 2024","Currency=USD","Period=FQ","BEST_FPERIOD_OVERRIDE=FQ","FILING_STATUS=MR","FA_ADJUSTED=GAAP","Sort=A","Dates=H","DateFormat=P","Fill=—","Direction=H","UseDPDF=Y")</f>
        <v>133.6865</v>
      </c>
      <c r="Z7" s="14">
        <f>_xll.BDH("BLUE US Equity","SALES_GROWTH","FQ3 2024","FQ3 2024","Currency=USD","Period=FQ","BEST_FPERIOD_OVERRIDE=FQ","FILING_STATUS=MR","FA_ADJUSTED=GAAP","Sort=A","Dates=H","DateFormat=P","Fill=—","Direction=H","UseDPDF=Y")</f>
        <v>-14.364100000000001</v>
      </c>
      <c r="AA7" s="14">
        <f>_xll.BDH("BLUE US Equity","SALES_GROWTH","FQ4 2024","FQ4 2024","Currency=USD","Period=FQ","BEST_FPERIOD_OVERRIDE=FQ","FILING_STATUS=MR","FA_ADJUSTED=GAAP","Sort=A","Dates=H","DateFormat=P","Fill=—","Direction=H","UseDPDF=Y")</f>
        <v>391.71559999999999</v>
      </c>
    </row>
    <row r="8" spans="1:27" x14ac:dyDescent="0.25">
      <c r="A8" s="10" t="s">
        <v>78</v>
      </c>
      <c r="B8" s="10" t="s">
        <v>1266</v>
      </c>
      <c r="C8" s="14">
        <f>_xll.BDH("BLUE US Equity","EBITDA_GROWTH","FQ4 2018","FQ4 2018","Currency=USD","Period=FQ","BEST_FPERIOD_OVERRIDE=FQ","FILING_STATUS=MR","FA_ADJUSTED=GAAP","Sort=A","Dates=H","DateFormat=P","Fill=—","Direction=H","UseDPDF=Y")</f>
        <v>-34.722799999999999</v>
      </c>
      <c r="D8" s="14">
        <f>_xll.BDH("BLUE US Equity","EBITDA_GROWTH","FQ1 2019","FQ1 2019","Currency=USD","Period=FQ","BEST_FPERIOD_OVERRIDE=FQ","FILING_STATUS=MR","FA_ADJUSTED=GAAP","Sort=A","Dates=H","DateFormat=P","Fill=—","Direction=H","UseDPDF=Y")</f>
        <v>-41.114800000000002</v>
      </c>
      <c r="E8" s="14">
        <f>_xll.BDH("BLUE US Equity","EBITDA_GROWTH","FQ2 2019","FQ2 2019","Currency=USD","Period=FQ","BEST_FPERIOD_OVERRIDE=FQ","FILING_STATUS=MR","FA_ADJUSTED=GAAP","Sort=A","Dates=H","DateFormat=P","Fill=—","Direction=H","UseDPDF=Y")</f>
        <v>-31.364999999999998</v>
      </c>
      <c r="F8" s="14">
        <f>_xll.BDH("BLUE US Equity","EBITDA_GROWTH","FQ3 2019","FQ3 2019","Currency=USD","Period=FQ","BEST_FPERIOD_OVERRIDE=FQ","FILING_STATUS=MR","FA_ADJUSTED=GAAP","Sort=A","Dates=H","DateFormat=P","Fill=—","Direction=H","UseDPDF=Y")</f>
        <v>-35.5015</v>
      </c>
      <c r="G8" s="14">
        <f>_xll.BDH("BLUE US Equity","EBITDA_GROWTH","FQ4 2019","FQ4 2019","Currency=USD","Period=FQ","BEST_FPERIOD_OVERRIDE=FQ","FILING_STATUS=MR","FA_ADJUSTED=GAAP","Sort=A","Dates=H","DateFormat=P","Fill=—","Direction=H","UseDPDF=Y")</f>
        <v>-41.964100000000002</v>
      </c>
      <c r="H8" s="14">
        <f>_xll.BDH("BLUE US Equity","EBITDA_GROWTH","FQ1 2020","FQ1 2020","Currency=USD","Period=FQ","BEST_FPERIOD_OVERRIDE=FQ","FILING_STATUS=MR","FA_ADJUSTED=GAAP","Sort=A","Dates=H","DateFormat=P","Fill=—","Direction=H","UseDPDF=Y")</f>
        <v>-24.9434</v>
      </c>
      <c r="I8" s="14">
        <f>_xll.BDH("BLUE US Equity","EBITDA_GROWTH","FQ2 2020","FQ2 2020","Currency=USD","Period=FQ","BEST_FPERIOD_OVERRIDE=FQ","FILING_STATUS=MR","FA_ADJUSTED=GAAP","Sort=A","Dates=H","DateFormat=P","Fill=—","Direction=H","UseDPDF=Y")</f>
        <v>88.7239</v>
      </c>
      <c r="J8" s="14">
        <f>_xll.BDH("BLUE US Equity","EBITDA_GROWTH","FQ3 2020","FQ3 2020","Currency=USD","Period=FQ","BEST_FPERIOD_OVERRIDE=FQ","FILING_STATUS=MR","FA_ADJUSTED=GAAP","Sort=A","Dates=H","DateFormat=P","Fill=—","Direction=H","UseDPDF=Y")</f>
        <v>6.2327000000000004</v>
      </c>
      <c r="K8" s="14">
        <f>_xll.BDH("BLUE US Equity","EBITDA_GROWTH","FQ4 2020","FQ4 2020","Currency=USD","Period=FQ","BEST_FPERIOD_OVERRIDE=FQ","FILING_STATUS=MR","FA_ADJUSTED=GAAP","Sort=A","Dates=H","DateFormat=P","Fill=—","Direction=H","UseDPDF=Y")</f>
        <v>37.881700000000002</v>
      </c>
      <c r="L8" s="14">
        <f>_xll.BDH("BLUE US Equity","EBITDA_GROWTH","FQ1 2021","FQ1 2021","Currency=USD","Period=FQ","BEST_FPERIOD_OVERRIDE=FQ","FILING_STATUS=MR","FA_ADJUSTED=GAAP","Sort=A","Dates=H","DateFormat=P","Fill=—","Direction=H","UseDPDF=Y")</f>
        <v>29.1173</v>
      </c>
      <c r="M8" s="14">
        <f>_xll.BDH("BLUE US Equity","EBITDA_GROWTH","FQ2 2021","FQ2 2021","Currency=USD","Period=FQ","BEST_FPERIOD_OVERRIDE=FQ","FILING_STATUS=MR","FA_ADJUSTED=GAAP","Sort=A","Dates=H","DateFormat=P","Fill=—","Direction=H","UseDPDF=Y")</f>
        <v>-997.66300000000001</v>
      </c>
      <c r="N8" s="14">
        <f>_xll.BDH("BLUE US Equity","EBITDA_GROWTH","FQ3 2021","FQ3 2021","Currency=USD","Period=FQ","BEST_FPERIOD_OVERRIDE=FQ","FILING_STATUS=MR","FA_ADJUSTED=GAAP","Sort=A","Dates=H","DateFormat=P","Fill=—","Direction=H","UseDPDF=Y")</f>
        <v>19.6372</v>
      </c>
      <c r="O8" s="14">
        <f>_xll.BDH("BLUE US Equity","EBITDA_GROWTH","FQ4 2021","FQ4 2021","Currency=USD","Period=FQ","BEST_FPERIOD_OVERRIDE=FQ","FILING_STATUS=MR","FA_ADJUSTED=GAAP","Sort=A","Dates=H","DateFormat=P","Fill=—","Direction=H","UseDPDF=Y")</f>
        <v>0.78569999999999995</v>
      </c>
      <c r="P8" s="14">
        <f>_xll.BDH("BLUE US Equity","EBITDA_GROWTH","FQ1 2022","FQ1 2022","Currency=USD","Period=FQ","BEST_FPERIOD_OVERRIDE=FQ","FILING_STATUS=MR","FA_ADJUSTED=GAAP","Sort=A","Dates=H","DateFormat=P","Fill=—","Direction=H","UseDPDF=Y")</f>
        <v>15.2074</v>
      </c>
      <c r="Q8" s="14">
        <f>_xll.BDH("BLUE US Equity","EBITDA_GROWTH","FQ2 2022","FQ2 2022","Currency=USD","Period=FQ","BEST_FPERIOD_OVERRIDE=FQ","FILING_STATUS=MR","FA_ADJUSTED=GAAP","Sort=A","Dates=H","DateFormat=P","Fill=—","Direction=H","UseDPDF=Y")</f>
        <v>54.84</v>
      </c>
      <c r="R8" s="14">
        <f>_xll.BDH("BLUE US Equity","EBITDA_GROWTH","FQ3 2022","FQ3 2022","Currency=USD","Period=FQ","BEST_FPERIOD_OVERRIDE=FQ","FILING_STATUS=MR","FA_ADJUSTED=GAAP","Sort=A","Dates=H","DateFormat=P","Fill=—","Direction=H","UseDPDF=Y")</f>
        <v>43.829900000000002</v>
      </c>
      <c r="S8" s="14" t="str">
        <f>_xll.BDH("BLUE US Equity","EBITDA_GROWTH","FQ4 2022","FQ4 2022","Currency=USD","Period=FQ","BEST_FPERIOD_OVERRIDE=FQ","FILING_STATUS=MR","FA_ADJUSTED=GAAP","Sort=A","Dates=H","DateFormat=P","Fill=—","Direction=H","UseDPDF=Y")</f>
        <v>—</v>
      </c>
      <c r="T8" s="14" t="str">
        <f>_xll.BDH("BLUE US Equity","EBITDA_GROWTH","FQ1 2023","FQ1 2023","Currency=USD","Period=FQ","BEST_FPERIOD_OVERRIDE=FQ","FILING_STATUS=MR","FA_ADJUSTED=GAAP","Sort=A","Dates=H","DateFormat=P","Fill=—","Direction=H","UseDPDF=Y")</f>
        <v>—</v>
      </c>
      <c r="U8" s="14">
        <f>_xll.BDH("BLUE US Equity","EBITDA_GROWTH","FQ2 2023","FQ2 2023","Currency=USD","Period=FQ","BEST_FPERIOD_OVERRIDE=FQ","FILING_STATUS=MR","FA_ADJUSTED=GAAP","Sort=A","Dates=H","DateFormat=P","Fill=—","Direction=H","UseDPDF=Y")</f>
        <v>39.143500000000003</v>
      </c>
      <c r="V8" s="14">
        <f>_xll.BDH("BLUE US Equity","EBITDA_GROWTH","FQ3 2023","FQ3 2023","Currency=USD","Period=FQ","BEST_FPERIOD_OVERRIDE=FQ","FILING_STATUS=MR","FA_ADJUSTED=GAAP","Sort=A","Dates=H","DateFormat=P","Fill=—","Direction=H","UseDPDF=Y")</f>
        <v>-4.1657999999999999</v>
      </c>
      <c r="W8" s="14" t="str">
        <f>_xll.BDH("BLUE US Equity","EBITDA_GROWTH","FQ4 2023","FQ4 2023","Currency=USD","Period=FQ","BEST_FPERIOD_OVERRIDE=FQ","FILING_STATUS=MR","FA_ADJUSTED=GAAP","Sort=A","Dates=H","DateFormat=P","Fill=—","Direction=H","UseDPDF=Y")</f>
        <v>—</v>
      </c>
      <c r="X8" s="14" t="str">
        <f>_xll.BDH("BLUE US Equity","EBITDA_GROWTH","FQ1 2024","FQ1 2024","Currency=USD","Period=FQ","BEST_FPERIOD_OVERRIDE=FQ","FILING_STATUS=MR","FA_ADJUSTED=GAAP","Sort=A","Dates=H","DateFormat=P","Fill=—","Direction=H","UseDPDF=Y")</f>
        <v>—</v>
      </c>
      <c r="Y8" s="14">
        <f>_xll.BDH("BLUE US Equity","EBITDA_GROWTH","FQ2 2024","FQ2 2024","Currency=USD","Period=FQ","BEST_FPERIOD_OVERRIDE=FQ","FILING_STATUS=MR","FA_ADJUSTED=GAAP","Sort=A","Dates=H","DateFormat=P","Fill=—","Direction=H","UseDPDF=Y")</f>
        <v>-12.546900000000001</v>
      </c>
      <c r="Z8" s="14">
        <f>_xll.BDH("BLUE US Equity","EBITDA_GROWTH","FQ3 2024","FQ3 2024","Currency=USD","Period=FQ","BEST_FPERIOD_OVERRIDE=FQ","FILING_STATUS=MR","FA_ADJUSTED=GAAP","Sort=A","Dates=H","DateFormat=P","Fill=—","Direction=H","UseDPDF=Y")</f>
        <v>40.628300000000003</v>
      </c>
      <c r="AA8" s="14">
        <f>_xll.BDH("BLUE US Equity","EBITDA_GROWTH","FQ4 2024","FQ4 2024","Currency=USD","Period=FQ","BEST_FPERIOD_OVERRIDE=FQ","FILING_STATUS=MR","FA_ADJUSTED=GAAP","Sort=A","Dates=H","DateFormat=P","Fill=—","Direction=H","UseDPDF=Y")</f>
        <v>48.671300000000002</v>
      </c>
    </row>
    <row r="9" spans="1:27" x14ac:dyDescent="0.25">
      <c r="A9" s="10" t="s">
        <v>98</v>
      </c>
      <c r="B9" s="10" t="s">
        <v>1267</v>
      </c>
      <c r="C9" s="14">
        <f>_xll.BDH("BLUE US Equity","OPER_INC_GROWTH","FQ4 2018","FQ4 2018","Currency=USD","Period=FQ","BEST_FPERIOD_OVERRIDE=FQ","FILING_STATUS=MR","FA_ADJUSTED=GAAP","Sort=A","Dates=H","DateFormat=P","Fill=—","Direction=H","UseDPDF=Y")</f>
        <v>-34.416600000000003</v>
      </c>
      <c r="D9" s="14">
        <f>_xll.BDH("BLUE US Equity","OPER_INC_GROWTH","FQ1 2019","FQ1 2019","Currency=USD","Period=FQ","BEST_FPERIOD_OVERRIDE=FQ","FILING_STATUS=MR","FA_ADJUSTED=GAAP","Sort=A","Dates=H","DateFormat=P","Fill=—","Direction=H","UseDPDF=Y")</f>
        <v>-46.768000000000001</v>
      </c>
      <c r="E9" s="14">
        <f>_xll.BDH("BLUE US Equity","OPER_INC_GROWTH","FQ2 2019","FQ2 2019","Currency=USD","Period=FQ","BEST_FPERIOD_OVERRIDE=FQ","FILING_STATUS=MR","FA_ADJUSTED=GAAP","Sort=A","Dates=H","DateFormat=P","Fill=—","Direction=H","UseDPDF=Y")</f>
        <v>-36.395000000000003</v>
      </c>
      <c r="F9" s="14">
        <f>_xll.BDH("BLUE US Equity","OPER_INC_GROWTH","FQ3 2019","FQ3 2019","Currency=USD","Period=FQ","BEST_FPERIOD_OVERRIDE=FQ","FILING_STATUS=MR","FA_ADJUSTED=GAAP","Sort=A","Dates=H","DateFormat=P","Fill=—","Direction=H","UseDPDF=Y")</f>
        <v>-40.446800000000003</v>
      </c>
      <c r="G9" s="14">
        <f>_xll.BDH("BLUE US Equity","OPER_INC_GROWTH","FQ4 2019","FQ4 2019","Currency=USD","Period=FQ","BEST_FPERIOD_OVERRIDE=FQ","FILING_STATUS=MR","FA_ADJUSTED=GAAP","Sort=A","Dates=H","DateFormat=P","Fill=—","Direction=H","UseDPDF=Y")</f>
        <v>-46.873399999999997</v>
      </c>
      <c r="H9" s="14">
        <f>_xll.BDH("BLUE US Equity","OPER_INC_GROWTH","FQ1 2020","FQ1 2020","Currency=USD","Period=FQ","BEST_FPERIOD_OVERRIDE=FQ","FILING_STATUS=MR","FA_ADJUSTED=GAAP","Sort=A","Dates=H","DateFormat=P","Fill=—","Direction=H","UseDPDF=Y")</f>
        <v>-18.841100000000001</v>
      </c>
      <c r="I9" s="14">
        <f>_xll.BDH("BLUE US Equity","OPER_INC_GROWTH","FQ2 2020","FQ2 2020","Currency=USD","Period=FQ","BEST_FPERIOD_OVERRIDE=FQ","FILING_STATUS=MR","FA_ADJUSTED=GAAP","Sort=A","Dates=H","DateFormat=P","Fill=—","Direction=H","UseDPDF=Y")</f>
        <v>87.200400000000002</v>
      </c>
      <c r="J9" s="14">
        <f>_xll.BDH("BLUE US Equity","OPER_INC_GROWTH","FQ3 2020","FQ3 2020","Currency=USD","Period=FQ","BEST_FPERIOD_OVERRIDE=FQ","FILING_STATUS=MR","FA_ADJUSTED=GAAP","Sort=A","Dates=H","DateFormat=P","Fill=—","Direction=H","UseDPDF=Y")</f>
        <v>9.8481000000000005</v>
      </c>
      <c r="K9" s="14">
        <f>_xll.BDH("BLUE US Equity","OPER_INC_GROWTH","FQ4 2020","FQ4 2020","Currency=USD","Period=FQ","BEST_FPERIOD_OVERRIDE=FQ","FILING_STATUS=MR","FA_ADJUSTED=GAAP","Sort=A","Dates=H","DateFormat=P","Fill=—","Direction=H","UseDPDF=Y")</f>
        <v>39.537300000000002</v>
      </c>
      <c r="L9" s="14">
        <f>_xll.BDH("BLUE US Equity","OPER_INC_GROWTH","FQ1 2021","FQ1 2021","Currency=USD","Period=FQ","BEST_FPERIOD_OVERRIDE=FQ","FILING_STATUS=MR","FA_ADJUSTED=GAAP","Sort=A","Dates=H","DateFormat=P","Fill=—","Direction=H","UseDPDF=Y")</f>
        <v>28.1829</v>
      </c>
      <c r="M9" s="14">
        <f>_xll.BDH("BLUE US Equity","OPER_INC_GROWTH","FQ2 2021","FQ2 2021","Currency=USD","Period=FQ","BEST_FPERIOD_OVERRIDE=FQ","FILING_STATUS=MR","FA_ADJUSTED=GAAP","Sort=A","Dates=H","DateFormat=P","Fill=—","Direction=H","UseDPDF=Y")</f>
        <v>-828.2636</v>
      </c>
      <c r="N9" s="14">
        <f>_xll.BDH("BLUE US Equity","OPER_INC_GROWTH","FQ3 2021","FQ3 2021","Currency=USD","Period=FQ","BEST_FPERIOD_OVERRIDE=FQ","FILING_STATUS=MR","FA_ADJUSTED=GAAP","Sort=A","Dates=H","DateFormat=P","Fill=—","Direction=H","UseDPDF=Y")</f>
        <v>18.579899999999999</v>
      </c>
      <c r="O9" s="14">
        <f>_xll.BDH("BLUE US Equity","OPER_INC_GROWTH","FQ4 2021","FQ4 2021","Currency=USD","Period=FQ","BEST_FPERIOD_OVERRIDE=FQ","FILING_STATUS=MR","FA_ADJUSTED=GAAP","Sort=A","Dates=H","DateFormat=P","Fill=—","Direction=H","UseDPDF=Y")</f>
        <v>2.6688000000000001</v>
      </c>
      <c r="P9" s="14">
        <f>_xll.BDH("BLUE US Equity","OPER_INC_GROWTH","FQ1 2022","FQ1 2022","Currency=USD","Period=FQ","BEST_FPERIOD_OVERRIDE=FQ","FILING_STATUS=MR","FA_ADJUSTED=GAAP","Sort=A","Dates=H","DateFormat=P","Fill=—","Direction=H","UseDPDF=Y")</f>
        <v>17.624300000000002</v>
      </c>
      <c r="Q9" s="14">
        <f>_xll.BDH("BLUE US Equity","OPER_INC_GROWTH","FQ2 2022","FQ2 2022","Currency=USD","Period=FQ","BEST_FPERIOD_OVERRIDE=FQ","FILING_STATUS=MR","FA_ADJUSTED=GAAP","Sort=A","Dates=H","DateFormat=P","Fill=—","Direction=H","UseDPDF=Y")</f>
        <v>55.405700000000003</v>
      </c>
      <c r="R9" s="14">
        <f>_xll.BDH("BLUE US Equity","OPER_INC_GROWTH","FQ3 2022","FQ3 2022","Currency=USD","Period=FQ","BEST_FPERIOD_OVERRIDE=FQ","FILING_STATUS=MR","FA_ADJUSTED=GAAP","Sort=A","Dates=H","DateFormat=P","Fill=—","Direction=H","UseDPDF=Y")</f>
        <v>45.107399999999998</v>
      </c>
      <c r="S9" s="14" t="str">
        <f>_xll.BDH("BLUE US Equity","OPER_INC_GROWTH","FQ4 2022","FQ4 2022","Currency=USD","Period=FQ","BEST_FPERIOD_OVERRIDE=FQ","FILING_STATUS=MR","FA_ADJUSTED=GAAP","Sort=A","Dates=H","DateFormat=P","Fill=—","Direction=H","UseDPDF=Y")</f>
        <v>—</v>
      </c>
      <c r="T9" s="14" t="str">
        <f>_xll.BDH("BLUE US Equity","OPER_INC_GROWTH","FQ1 2023","FQ1 2023","Currency=USD","Period=FQ","BEST_FPERIOD_OVERRIDE=FQ","FILING_STATUS=MR","FA_ADJUSTED=GAAP","Sort=A","Dates=H","DateFormat=P","Fill=—","Direction=H","UseDPDF=Y")</f>
        <v>—</v>
      </c>
      <c r="U9" s="14">
        <f>_xll.BDH("BLUE US Equity","OPER_INC_GROWTH","FQ2 2023","FQ2 2023","Currency=USD","Period=FQ","BEST_FPERIOD_OVERRIDE=FQ","FILING_STATUS=MR","FA_ADJUSTED=GAAP","Sort=A","Dates=H","DateFormat=P","Fill=—","Direction=H","UseDPDF=Y")</f>
        <v>33.224400000000003</v>
      </c>
      <c r="V9" s="14">
        <f>_xll.BDH("BLUE US Equity","OPER_INC_GROWTH","FQ3 2023","FQ3 2023","Currency=USD","Period=FQ","BEST_FPERIOD_OVERRIDE=FQ","FILING_STATUS=MR","FA_ADJUSTED=GAAP","Sort=A","Dates=H","DateFormat=P","Fill=—","Direction=H","UseDPDF=Y")</f>
        <v>-13.24</v>
      </c>
      <c r="W9" s="14" t="str">
        <f>_xll.BDH("BLUE US Equity","OPER_INC_GROWTH","FQ4 2023","FQ4 2023","Currency=USD","Period=FQ","BEST_FPERIOD_OVERRIDE=FQ","FILING_STATUS=MR","FA_ADJUSTED=GAAP","Sort=A","Dates=H","DateFormat=P","Fill=—","Direction=H","UseDPDF=Y")</f>
        <v>—</v>
      </c>
      <c r="X9" s="14" t="str">
        <f>_xll.BDH("BLUE US Equity","OPER_INC_GROWTH","FQ1 2024","FQ1 2024","Currency=USD","Period=FQ","BEST_FPERIOD_OVERRIDE=FQ","FILING_STATUS=MR","FA_ADJUSTED=GAAP","Sort=A","Dates=H","DateFormat=P","Fill=—","Direction=H","UseDPDF=Y")</f>
        <v>—</v>
      </c>
      <c r="Y9" s="14">
        <f>_xll.BDH("BLUE US Equity","OPER_INC_GROWTH","FQ2 2024","FQ2 2024","Currency=USD","Period=FQ","BEST_FPERIOD_OVERRIDE=FQ","FILING_STATUS=MR","FA_ADJUSTED=GAAP","Sort=A","Dates=H","DateFormat=P","Fill=—","Direction=H","UseDPDF=Y")</f>
        <v>-23.251100000000001</v>
      </c>
      <c r="Z9" s="14">
        <f>_xll.BDH("BLUE US Equity","OPER_INC_GROWTH","FQ3 2024","FQ3 2024","Currency=USD","Period=FQ","BEST_FPERIOD_OVERRIDE=FQ","FILING_STATUS=MR","FA_ADJUSTED=GAAP","Sort=A","Dates=H","DateFormat=P","Fill=—","Direction=H","UseDPDF=Y")</f>
        <v>30.2971</v>
      </c>
      <c r="AA9" s="14">
        <f>_xll.BDH("BLUE US Equity","OPER_INC_GROWTH","FQ4 2024","FQ4 2024","Currency=USD","Period=FQ","BEST_FPERIOD_OVERRIDE=FQ","FILING_STATUS=MR","FA_ADJUSTED=GAAP","Sort=A","Dates=H","DateFormat=P","Fill=—","Direction=H","UseDPDF=Y")</f>
        <v>55.901000000000003</v>
      </c>
    </row>
    <row r="10" spans="1:27" x14ac:dyDescent="0.25">
      <c r="A10" s="10" t="s">
        <v>100</v>
      </c>
      <c r="B10" s="10" t="s">
        <v>1268</v>
      </c>
      <c r="C10" s="14">
        <f>_xll.BDH("BLUE US Equity","EARN_FOR_COM_GROWTH","FQ4 2018","FQ4 2018","Currency=USD","Period=FQ","BEST_FPERIOD_OVERRIDE=FQ","FILING_STATUS=MR","FA_ADJUSTED=GAAP","Sort=A","Dates=H","DateFormat=P","Fill=—","Direction=H","UseDPDF=Y")</f>
        <v>-27.122399999999999</v>
      </c>
      <c r="D10" s="14">
        <f>_xll.BDH("BLUE US Equity","EARN_FOR_COM_GROWTH","FQ1 2019","FQ1 2019","Currency=USD","Period=FQ","BEST_FPERIOD_OVERRIDE=FQ","FILING_STATUS=MR","FA_ADJUSTED=GAAP","Sort=A","Dates=H","DateFormat=P","Fill=—","Direction=H","UseDPDF=Y")</f>
        <v>-42.84</v>
      </c>
      <c r="E10" s="14">
        <f>_xll.BDH("BLUE US Equity","EARN_FOR_COM_GROWTH","FQ2 2019","FQ2 2019","Currency=USD","Period=FQ","BEST_FPERIOD_OVERRIDE=FQ","FILING_STATUS=MR","FA_ADJUSTED=GAAP","Sort=A","Dates=H","DateFormat=P","Fill=—","Direction=H","UseDPDF=Y")</f>
        <v>-34.100900000000003</v>
      </c>
      <c r="F10" s="14">
        <f>_xll.BDH("BLUE US Equity","EARN_FOR_COM_GROWTH","FQ3 2019","FQ3 2019","Currency=USD","Period=FQ","BEST_FPERIOD_OVERRIDE=FQ","FILING_STATUS=MR","FA_ADJUSTED=GAAP","Sort=A","Dates=H","DateFormat=P","Fill=—","Direction=H","UseDPDF=Y")</f>
        <v>-41.622900000000001</v>
      </c>
      <c r="G10" s="14">
        <f>_xll.BDH("BLUE US Equity","EARN_FOR_COM_GROWTH","FQ4 2019","FQ4 2019","Currency=USD","Period=FQ","BEST_FPERIOD_OVERRIDE=FQ","FILING_STATUS=MR","FA_ADJUSTED=GAAP","Sort=A","Dates=H","DateFormat=P","Fill=—","Direction=H","UseDPDF=Y")</f>
        <v>-49.874200000000002</v>
      </c>
      <c r="H10" s="14">
        <f>_xll.BDH("BLUE US Equity","EARN_FOR_COM_GROWTH","FQ1 2020","FQ1 2020","Currency=USD","Period=FQ","BEST_FPERIOD_OVERRIDE=FQ","FILING_STATUS=MR","FA_ADJUSTED=GAAP","Sort=A","Dates=H","DateFormat=P","Fill=—","Direction=H","UseDPDF=Y")</f>
        <v>-23.208200000000001</v>
      </c>
      <c r="I10" s="14">
        <f>_xll.BDH("BLUE US Equity","EARN_FOR_COM_GROWTH","FQ2 2020","FQ2 2020","Currency=USD","Period=FQ","BEST_FPERIOD_OVERRIDE=FQ","FILING_STATUS=MR","FA_ADJUSTED=GAAP","Sort=A","Dates=H","DateFormat=P","Fill=—","Direction=H","UseDPDF=Y")</f>
        <v>89.036299999999997</v>
      </c>
      <c r="J10" s="14">
        <f>_xll.BDH("BLUE US Equity","EARN_FOR_COM_GROWTH","FQ3 2020","FQ3 2020","Currency=USD","Period=FQ","BEST_FPERIOD_OVERRIDE=FQ","FILING_STATUS=MR","FA_ADJUSTED=GAAP","Sort=A","Dates=H","DateFormat=P","Fill=—","Direction=H","UseDPDF=Y")</f>
        <v>5.4786999999999999</v>
      </c>
      <c r="K10" s="14">
        <f>_xll.BDH("BLUE US Equity","EARN_FOR_COM_GROWTH","FQ4 2020","FQ4 2020","Currency=USD","Period=FQ","BEST_FPERIOD_OVERRIDE=FQ","FILING_STATUS=MR","FA_ADJUSTED=GAAP","Sort=A","Dates=H","DateFormat=P","Fill=—","Direction=H","UseDPDF=Y")</f>
        <v>10.5097</v>
      </c>
      <c r="L10" s="14">
        <f>_xll.BDH("BLUE US Equity","EARN_FOR_COM_GROWTH","FQ1 2021","FQ1 2021","Currency=USD","Period=FQ","BEST_FPERIOD_OVERRIDE=FQ","FILING_STATUS=MR","FA_ADJUSTED=GAAP","Sort=A","Dates=H","DateFormat=P","Fill=—","Direction=H","UseDPDF=Y")</f>
        <v>-1.5779000000000001</v>
      </c>
      <c r="M10" s="14">
        <f>_xll.BDH("BLUE US Equity","EARN_FOR_COM_GROWTH","FQ2 2021","FQ2 2021","Currency=USD","Period=FQ","BEST_FPERIOD_OVERRIDE=FQ","FILING_STATUS=MR","FA_ADJUSTED=GAAP","Sort=A","Dates=H","DateFormat=P","Fill=—","Direction=H","UseDPDF=Y")</f>
        <v>-1026.0283999999999</v>
      </c>
      <c r="N10" s="14">
        <f>_xll.BDH("BLUE US Equity","EARN_FOR_COM_GROWTH","FQ3 2021","FQ3 2021","Currency=USD","Period=FQ","BEST_FPERIOD_OVERRIDE=FQ","FILING_STATUS=MR","FA_ADJUSTED=GAAP","Sort=A","Dates=H","DateFormat=P","Fill=—","Direction=H","UseDPDF=Y")</f>
        <v>-11.333299999999999</v>
      </c>
      <c r="O10" s="14">
        <f>_xll.BDH("BLUE US Equity","EARN_FOR_COM_GROWTH","FQ4 2021","FQ4 2021","Currency=USD","Period=FQ","BEST_FPERIOD_OVERRIDE=FQ","FILING_STATUS=MR","FA_ADJUSTED=GAAP","Sort=A","Dates=H","DateFormat=P","Fill=—","Direction=H","UseDPDF=Y")</f>
        <v>22.4251</v>
      </c>
      <c r="P10" s="14">
        <f>_xll.BDH("BLUE US Equity","EARN_FOR_COM_GROWTH","FQ1 2022","FQ1 2022","Currency=USD","Period=FQ","BEST_FPERIOD_OVERRIDE=FQ","FILING_STATUS=MR","FA_ADJUSTED=GAAP","Sort=A","Dates=H","DateFormat=P","Fill=—","Direction=H","UseDPDF=Y")</f>
        <v>40.647599999999997</v>
      </c>
      <c r="Q10" s="14">
        <f>_xll.BDH("BLUE US Equity","EARN_FOR_COM_GROWTH","FQ2 2022","FQ2 2022","Currency=USD","Period=FQ","BEST_FPERIOD_OVERRIDE=FQ","FILING_STATUS=MR","FA_ADJUSTED=GAAP","Sort=A","Dates=H","DateFormat=P","Fill=—","Direction=H","UseDPDF=Y")</f>
        <v>58.569600000000001</v>
      </c>
      <c r="R10" s="14">
        <f>_xll.BDH("BLUE US Equity","EARN_FOR_COM_GROWTH","FQ3 2022","FQ3 2022","Currency=USD","Period=FQ","BEST_FPERIOD_OVERRIDE=FQ","FILING_STATUS=MR","FA_ADJUSTED=GAAP","Sort=A","Dates=H","DateFormat=P","Fill=—","Direction=H","UseDPDF=Y")</f>
        <v>64.707400000000007</v>
      </c>
      <c r="S10" s="14" t="str">
        <f>_xll.BDH("BLUE US Equity","EARN_FOR_COM_GROWTH","FQ4 2022","FQ4 2022","Currency=USD","Period=FQ","BEST_FPERIOD_OVERRIDE=FQ","FILING_STATUS=MR","FA_ADJUSTED=GAAP","Sort=A","Dates=H","DateFormat=P","Fill=—","Direction=H","UseDPDF=Y")</f>
        <v>—</v>
      </c>
      <c r="T10" s="14" t="str">
        <f>_xll.BDH("BLUE US Equity","EARN_FOR_COM_GROWTH","FQ1 2023","FQ1 2023","Currency=USD","Period=FQ","BEST_FPERIOD_OVERRIDE=FQ","FILING_STATUS=MR","FA_ADJUSTED=GAAP","Sort=A","Dates=H","DateFormat=P","Fill=—","Direction=H","UseDPDF=Y")</f>
        <v>—</v>
      </c>
      <c r="U10" s="14">
        <f>_xll.BDH("BLUE US Equity","EARN_FOR_COM_GROWTH","FQ2 2023","FQ2 2023","Currency=USD","Period=FQ","BEST_FPERIOD_OVERRIDE=FQ","FILING_STATUS=MR","FA_ADJUSTED=GAAP","Sort=A","Dates=H","DateFormat=P","Fill=—","Direction=H","UseDPDF=Y")</f>
        <v>37.297499999999999</v>
      </c>
      <c r="V10" s="14">
        <f>_xll.BDH("BLUE US Equity","EARN_FOR_COM_GROWTH","FQ3 2023","FQ3 2023","Currency=USD","Period=FQ","BEST_FPERIOD_OVERRIDE=FQ","FILING_STATUS=MR","FA_ADJUSTED=GAAP","Sort=A","Dates=H","DateFormat=P","Fill=—","Direction=H","UseDPDF=Y")</f>
        <v>-13.999000000000001</v>
      </c>
      <c r="W10" s="14" t="str">
        <f>_xll.BDH("BLUE US Equity","EARN_FOR_COM_GROWTH","FQ4 2023","FQ4 2023","Currency=USD","Period=FQ","BEST_FPERIOD_OVERRIDE=FQ","FILING_STATUS=MR","FA_ADJUSTED=GAAP","Sort=A","Dates=H","DateFormat=P","Fill=—","Direction=H","UseDPDF=Y")</f>
        <v>—</v>
      </c>
      <c r="X10" s="14" t="str">
        <f>_xll.BDH("BLUE US Equity","EARN_FOR_COM_GROWTH","FQ1 2024","FQ1 2024","Currency=USD","Period=FQ","BEST_FPERIOD_OVERRIDE=FQ","FILING_STATUS=MR","FA_ADJUSTED=GAAP","Sort=A","Dates=H","DateFormat=P","Fill=—","Direction=H","UseDPDF=Y")</f>
        <v>—</v>
      </c>
      <c r="Y10" s="14">
        <f>_xll.BDH("BLUE US Equity","EARN_FOR_COM_GROWTH","FQ2 2024","FQ2 2024","Currency=USD","Period=FQ","BEST_FPERIOD_OVERRIDE=FQ","FILING_STATUS=MR","FA_ADJUSTED=GAAP","Sort=A","Dates=H","DateFormat=P","Fill=—","Direction=H","UseDPDF=Y")</f>
        <v>-29.6294</v>
      </c>
      <c r="Z10" s="14">
        <f>_xll.BDH("BLUE US Equity","EARN_FOR_COM_GROWTH","FQ3 2024","FQ3 2024","Currency=USD","Period=FQ","BEST_FPERIOD_OVERRIDE=FQ","FILING_STATUS=MR","FA_ADJUSTED=GAAP","Sort=A","Dates=H","DateFormat=P","Fill=—","Direction=H","UseDPDF=Y")</f>
        <v>30.291599999999999</v>
      </c>
      <c r="AA10" s="14">
        <f>_xll.BDH("BLUE US Equity","EARN_FOR_COM_GROWTH","FQ4 2024","FQ4 2024","Currency=USD","Period=FQ","BEST_FPERIOD_OVERRIDE=FQ","FILING_STATUS=MR","FA_ADJUSTED=GAAP","Sort=A","Dates=H","DateFormat=P","Fill=—","Direction=H","UseDPDF=Y")</f>
        <v>67.564499999999995</v>
      </c>
    </row>
    <row r="11" spans="1:27" x14ac:dyDescent="0.25">
      <c r="A11" s="10" t="s">
        <v>1269</v>
      </c>
      <c r="B11" s="10" t="s">
        <v>83</v>
      </c>
      <c r="C11" s="14">
        <f>_xll.BDH("BLUE US Equity","DILUTED_EPS_AFT_XO_ITEMS_GROWTH","FQ4 2018","FQ4 2018","Currency=USD","Period=FQ","BEST_FPERIOD_OVERRIDE=FQ","FILING_STATUS=MR","FA_ADJUSTED=GAAP","Sort=A","Dates=H","DateFormat=P","Fill=—","Direction=H","UseDPDF=Y")</f>
        <v>-7.9364999999999997</v>
      </c>
      <c r="D11" s="14">
        <f>_xll.BDH("BLUE US Equity","DILUTED_EPS_AFT_XO_ITEMS_GROWTH","FQ1 2019","FQ1 2019","Currency=USD","Period=FQ","BEST_FPERIOD_OVERRIDE=FQ","FILING_STATUS=MR","FA_ADJUSTED=GAAP","Sort=A","Dates=H","DateFormat=P","Fill=—","Direction=H","UseDPDF=Y")</f>
        <v>-29.437200000000001</v>
      </c>
      <c r="E11" s="14">
        <f>_xll.BDH("BLUE US Equity","DILUTED_EPS_AFT_XO_ITEMS_GROWTH","FQ2 2019","FQ2 2019","Currency=USD","Period=FQ","BEST_FPERIOD_OVERRIDE=FQ","FILING_STATUS=MR","FA_ADJUSTED=GAAP","Sort=A","Dates=H","DateFormat=P","Fill=—","Direction=H","UseDPDF=Y")</f>
        <v>-21.993099999999998</v>
      </c>
      <c r="F11" s="14">
        <f>_xll.BDH("BLUE US Equity","DILUTED_EPS_AFT_XO_ITEMS_GROWTH","FQ3 2019","FQ3 2019","Currency=USD","Period=FQ","BEST_FPERIOD_OVERRIDE=FQ","FILING_STATUS=MR","FA_ADJUSTED=GAAP","Sort=A","Dates=H","DateFormat=P","Fill=—","Direction=H","UseDPDF=Y")</f>
        <v>-36.630000000000003</v>
      </c>
      <c r="G11" s="14">
        <f>_xll.BDH("BLUE US Equity","DILUTED_EPS_AFT_XO_ITEMS_GROWTH","FQ4 2019","FQ4 2019","Currency=USD","Period=FQ","BEST_FPERIOD_OVERRIDE=FQ","FILING_STATUS=MR","FA_ADJUSTED=GAAP","Sort=A","Dates=H","DateFormat=P","Fill=—","Direction=H","UseDPDF=Y")</f>
        <v>-48.529400000000003</v>
      </c>
      <c r="H11" s="14">
        <f>_xll.BDH("BLUE US Equity","DILUTED_EPS_AFT_XO_ITEMS_GROWTH","FQ1 2020","FQ1 2020","Currency=USD","Period=FQ","BEST_FPERIOD_OVERRIDE=FQ","FILING_STATUS=MR","FA_ADJUSTED=GAAP","Sort=A","Dates=H","DateFormat=P","Fill=—","Direction=H","UseDPDF=Y")</f>
        <v>-21.739100000000001</v>
      </c>
      <c r="I11" s="14">
        <f>_xll.BDH("BLUE US Equity","DILUTED_EPS_AFT_XO_ITEMS_GROWTH","FQ2 2020","FQ2 2020","Currency=USD","Period=FQ","BEST_FPERIOD_OVERRIDE=FQ","FILING_STATUS=MR","FA_ADJUSTED=GAAP","Sort=A","Dates=H","DateFormat=P","Fill=—","Direction=H","UseDPDF=Y")</f>
        <v>89.859200000000001</v>
      </c>
      <c r="J11" s="14">
        <f>_xll.BDH("BLUE US Equity","DILUTED_EPS_AFT_XO_ITEMS_GROWTH","FQ3 2020","FQ3 2020","Currency=USD","Period=FQ","BEST_FPERIOD_OVERRIDE=FQ","FILING_STATUS=MR","FA_ADJUSTED=GAAP","Sort=A","Dates=H","DateFormat=P","Fill=—","Direction=H","UseDPDF=Y")</f>
        <v>21.179600000000001</v>
      </c>
      <c r="K11" s="14">
        <f>_xll.BDH("BLUE US Equity","DILUTED_EPS_AFT_XO_ITEMS_GROWTH","FQ4 2020","FQ4 2020","Currency=USD","Period=FQ","BEST_FPERIOD_OVERRIDE=FQ","FILING_STATUS=MR","FA_ADJUSTED=GAAP","Sort=A","Dates=H","DateFormat=P","Fill=—","Direction=H","UseDPDF=Y")</f>
        <v>25.495000000000001</v>
      </c>
      <c r="L11" s="14">
        <f>_xll.BDH("BLUE US Equity","DILUTED_EPS_AFT_XO_ITEMS_GROWTH","FQ1 2021","FQ1 2021","Currency=USD","Period=FQ","BEST_FPERIOD_OVERRIDE=FQ","FILING_STATUS=MR","FA_ADJUSTED=GAAP","Sort=A","Dates=H","DateFormat=P","Fill=—","Direction=H","UseDPDF=Y")</f>
        <v>15.6593</v>
      </c>
      <c r="M11" s="14">
        <f>_xll.BDH("BLUE US Equity","DILUTED_EPS_AFT_XO_ITEMS_GROWTH","FQ2 2021","FQ2 2021","Currency=USD","Period=FQ","BEST_FPERIOD_OVERRIDE=FQ","FILING_STATUS=MR","FA_ADJUSTED=GAAP","Sort=A","Dates=H","DateFormat=P","Fill=—","Direction=H","UseDPDF=Y")</f>
        <v>-894.44439999999997</v>
      </c>
      <c r="N11" s="14">
        <f>_xll.BDH("BLUE US Equity","DILUTED_EPS_AFT_XO_ITEMS_GROWTH","FQ3 2021","FQ3 2021","Currency=USD","Period=FQ","BEST_FPERIOD_OVERRIDE=FQ","FILING_STATUS=MR","FA_ADJUSTED=GAAP","Sort=A","Dates=H","DateFormat=P","Fill=—","Direction=H","UseDPDF=Y")</f>
        <v>-7.4829999999999997</v>
      </c>
      <c r="O11" s="14">
        <f>_xll.BDH("BLUE US Equity","DILUTED_EPS_AFT_XO_ITEMS_GROWTH","FQ4 2021","FQ4 2021","Currency=USD","Period=FQ","BEST_FPERIOD_OVERRIDE=FQ","FILING_STATUS=MR","FA_ADJUSTED=GAAP","Sort=A","Dates=H","DateFormat=P","Fill=—","Direction=H","UseDPDF=Y")</f>
        <v>28.903700000000001</v>
      </c>
      <c r="P11" s="14">
        <f>_xll.BDH("BLUE US Equity","DILUTED_EPS_AFT_XO_ITEMS_GROWTH","FQ1 2022","FQ1 2022","Currency=USD","Period=FQ","BEST_FPERIOD_OVERRIDE=FQ","FILING_STATUS=MR","FA_ADJUSTED=GAAP","Sort=A","Dates=H","DateFormat=P","Fill=—","Direction=H","UseDPDF=Y")</f>
        <v>45.9283</v>
      </c>
      <c r="Q11" s="14">
        <f>_xll.BDH("BLUE US Equity","DILUTED_EPS_AFT_XO_ITEMS_GROWTH","FQ2 2022","FQ2 2022","Currency=USD","Period=FQ","BEST_FPERIOD_OVERRIDE=FQ","FILING_STATUS=MR","FA_ADJUSTED=GAAP","Sort=A","Dates=H","DateFormat=P","Fill=—","Direction=H","UseDPDF=Y")</f>
        <v>62.011200000000002</v>
      </c>
      <c r="R11" s="14">
        <f>_xll.BDH("BLUE US Equity","DILUTED_EPS_AFT_XO_ITEMS_GROWTH","FQ3 2022","FQ3 2022","Currency=USD","Period=FQ","BEST_FPERIOD_OVERRIDE=FQ","FILING_STATUS=MR","FA_ADJUSTED=GAAP","Sort=A","Dates=H","DateFormat=P","Fill=—","Direction=H","UseDPDF=Y")</f>
        <v>70.253200000000007</v>
      </c>
      <c r="S11" s="14" t="str">
        <f>_xll.BDH("BLUE US Equity","DILUTED_EPS_AFT_XO_ITEMS_GROWTH","FQ4 2022","FQ4 2022","Currency=USD","Period=FQ","BEST_FPERIOD_OVERRIDE=FQ","FILING_STATUS=MR","FA_ADJUSTED=GAAP","Sort=A","Dates=H","DateFormat=P","Fill=—","Direction=H","UseDPDF=Y")</f>
        <v>—</v>
      </c>
      <c r="T11" s="14" t="str">
        <f>_xll.BDH("BLUE US Equity","DILUTED_EPS_AFT_XO_ITEMS_GROWTH","FQ1 2023","FQ1 2023","Currency=USD","Period=FQ","BEST_FPERIOD_OVERRIDE=FQ","FILING_STATUS=MR","FA_ADJUSTED=GAAP","Sort=A","Dates=H","DateFormat=P","Fill=—","Direction=H","UseDPDF=Y")</f>
        <v>—</v>
      </c>
      <c r="U11" s="14">
        <f>_xll.BDH("BLUE US Equity","DILUTED_EPS_AFT_XO_ITEMS_GROWTH","FQ2 2023","FQ2 2023","Currency=USD","Period=FQ","BEST_FPERIOD_OVERRIDE=FQ","FILING_STATUS=MR","FA_ADJUSTED=GAAP","Sort=A","Dates=H","DateFormat=P","Fill=—","Direction=H","UseDPDF=Y")</f>
        <v>57.352899999999998</v>
      </c>
      <c r="V11" s="14">
        <f>_xll.BDH("BLUE US Equity","DILUTED_EPS_AFT_XO_ITEMS_GROWTH","FQ3 2023","FQ3 2023","Currency=USD","Period=FQ","BEST_FPERIOD_OVERRIDE=FQ","FILING_STATUS=MR","FA_ADJUSTED=GAAP","Sort=A","Dates=H","DateFormat=P","Fill=—","Direction=H","UseDPDF=Y")</f>
        <v>14.893599999999999</v>
      </c>
      <c r="W11" s="14" t="str">
        <f>_xll.BDH("BLUE US Equity","DILUTED_EPS_AFT_XO_ITEMS_GROWTH","FQ4 2023","FQ4 2023","Currency=USD","Period=FQ","BEST_FPERIOD_OVERRIDE=FQ","FILING_STATUS=MR","FA_ADJUSTED=GAAP","Sort=A","Dates=H","DateFormat=P","Fill=—","Direction=H","UseDPDF=Y")</f>
        <v>—</v>
      </c>
      <c r="X11" s="14" t="str">
        <f>_xll.BDH("BLUE US Equity","DILUTED_EPS_AFT_XO_ITEMS_GROWTH","FQ1 2024","FQ1 2024","Currency=USD","Period=FQ","BEST_FPERIOD_OVERRIDE=FQ","FILING_STATUS=MR","FA_ADJUSTED=GAAP","Sort=A","Dates=H","DateFormat=P","Fill=—","Direction=H","UseDPDF=Y")</f>
        <v>—</v>
      </c>
      <c r="Y11" s="14">
        <f>_xll.BDH("BLUE US Equity","DILUTED_EPS_AFT_XO_ITEMS_GROWTH","FQ2 2024","FQ2 2024","Currency=USD","Period=FQ","BEST_FPERIOD_OVERRIDE=FQ","FILING_STATUS=MR","FA_ADJUSTED=GAAP","Sort=A","Dates=H","DateFormat=P","Fill=—","Direction=H","UseDPDF=Y")</f>
        <v>27.586200000000002</v>
      </c>
      <c r="Z11" s="14">
        <f>_xll.BDH("BLUE US Equity","DILUTED_EPS_AFT_XO_ITEMS_GROWTH","FQ3 2024","FQ3 2024","Currency=USD","Period=FQ","BEST_FPERIOD_OVERRIDE=FQ","FILING_STATUS=MR","FA_ADJUSTED=GAAP","Sort=A","Dates=H","DateFormat=P","Fill=—","Direction=H","UseDPDF=Y")</f>
        <v>61.25</v>
      </c>
      <c r="AA11" s="14">
        <f>_xll.BDH("BLUE US Equity","DILUTED_EPS_AFT_XO_ITEMS_GROWTH","FQ4 2024","FQ4 2024","Currency=USD","Period=FQ","BEST_FPERIOD_OVERRIDE=FQ","FILING_STATUS=MR","FA_ADJUSTED=GAAP","Sort=A","Dates=H","DateFormat=P","Fill=—","Direction=H","UseDPDF=Y")</f>
        <v>80.189700000000002</v>
      </c>
    </row>
    <row r="12" spans="1:27" x14ac:dyDescent="0.25">
      <c r="A12" s="10" t="s">
        <v>1270</v>
      </c>
      <c r="B12" s="10" t="s">
        <v>1271</v>
      </c>
      <c r="C12" s="14">
        <f>_xll.BDH("BLUE US Equity","DILUTED_EPS_BEF_XO_ITEMS_GROWTH","FQ4 2018","FQ4 2018","Currency=USD","Period=FQ","BEST_FPERIOD_OVERRIDE=FQ","FILING_STATUS=MR","Sort=A","Dates=H","DateFormat=P","Fill=—","Direction=H","UseDPDF=Y")</f>
        <v>-7.9364999999999997</v>
      </c>
      <c r="D12" s="14">
        <f>_xll.BDH("BLUE US Equity","DILUTED_EPS_BEF_XO_ITEMS_GROWTH","FQ1 2019","FQ1 2019","Currency=USD","Period=FQ","BEST_FPERIOD_OVERRIDE=FQ","FILING_STATUS=MR","Sort=A","Dates=H","DateFormat=P","Fill=—","Direction=H","UseDPDF=Y")</f>
        <v>-29.437200000000001</v>
      </c>
      <c r="E12" s="14">
        <f>_xll.BDH("BLUE US Equity","DILUTED_EPS_BEF_XO_ITEMS_GROWTH","FQ2 2019","FQ2 2019","Currency=USD","Period=FQ","BEST_FPERIOD_OVERRIDE=FQ","FILING_STATUS=MR","Sort=A","Dates=H","DateFormat=P","Fill=—","Direction=H","UseDPDF=Y")</f>
        <v>-21.993099999999998</v>
      </c>
      <c r="F12" s="14">
        <f>_xll.BDH("BLUE US Equity","DILUTED_EPS_BEF_XO_ITEMS_GROWTH","FQ3 2019","FQ3 2019","Currency=USD","Period=FQ","BEST_FPERIOD_OVERRIDE=FQ","FILING_STATUS=MR","Sort=A","Dates=H","DateFormat=P","Fill=—","Direction=H","UseDPDF=Y")</f>
        <v>-36.630000000000003</v>
      </c>
      <c r="G12" s="14">
        <f>_xll.BDH("BLUE US Equity","DILUTED_EPS_BEF_XO_ITEMS_GROWTH","FQ4 2019","FQ4 2019","Currency=USD","Period=FQ","BEST_FPERIOD_OVERRIDE=FQ","FILING_STATUS=MR","Sort=A","Dates=H","DateFormat=P","Fill=—","Direction=H","UseDPDF=Y")</f>
        <v>-48.529400000000003</v>
      </c>
      <c r="H12" s="14">
        <f>_xll.BDH("BLUE US Equity","DILUTED_EPS_BEF_XO_ITEMS_GROWTH","FQ1 2020","FQ1 2020","Currency=USD","Period=FQ","BEST_FPERIOD_OVERRIDE=FQ","FILING_STATUS=MR","Sort=A","Dates=H","DateFormat=P","Fill=—","Direction=H","UseDPDF=Y")</f>
        <v>-21.739100000000001</v>
      </c>
      <c r="I12" s="14">
        <f>_xll.BDH("BLUE US Equity","DILUTED_EPS_BEF_XO_ITEMS_GROWTH","FQ2 2020","FQ2 2020","Currency=USD","Period=FQ","BEST_FPERIOD_OVERRIDE=FQ","FILING_STATUS=MR","Sort=A","Dates=H","DateFormat=P","Fill=—","Direction=H","UseDPDF=Y")</f>
        <v>89.859200000000001</v>
      </c>
      <c r="J12" s="14">
        <f>_xll.BDH("BLUE US Equity","DILUTED_EPS_BEF_XO_ITEMS_GROWTH","FQ3 2020","FQ3 2020","Currency=USD","Period=FQ","BEST_FPERIOD_OVERRIDE=FQ","FILING_STATUS=MR","Sort=A","Dates=H","DateFormat=P","Fill=—","Direction=H","UseDPDF=Y")</f>
        <v>21.179600000000001</v>
      </c>
      <c r="K12" s="14">
        <f>_xll.BDH("BLUE US Equity","DILUTED_EPS_BEF_XO_ITEMS_GROWTH","FQ4 2020","FQ4 2020","Currency=USD","Period=FQ","BEST_FPERIOD_OVERRIDE=FQ","FILING_STATUS=MR","Sort=A","Dates=H","DateFormat=P","Fill=—","Direction=H","UseDPDF=Y")</f>
        <v>49.257399999999997</v>
      </c>
      <c r="L12" s="14">
        <f>_xll.BDH("BLUE US Equity","DILUTED_EPS_BEF_XO_ITEMS_GROWTH","FQ1 2021","FQ1 2021","Currency=USD","Period=FQ","BEST_FPERIOD_OVERRIDE=FQ","FILING_STATUS=MR","Sort=A","Dates=H","DateFormat=P","Fill=—","Direction=H","UseDPDF=Y")</f>
        <v>50.274700000000003</v>
      </c>
      <c r="M12" s="14">
        <f>_xll.BDH("BLUE US Equity","DILUTED_EPS_BEF_XO_ITEMS_GROWTH","FQ2 2021","FQ2 2021","Currency=USD","Period=FQ","BEST_FPERIOD_OVERRIDE=FQ","FILING_STATUS=MR","Sort=A","Dates=H","DateFormat=P","Fill=—","Direction=H","UseDPDF=Y")</f>
        <v>-894.44439999999997</v>
      </c>
      <c r="N12" s="14">
        <f>_xll.BDH("BLUE US Equity","DILUTED_EPS_BEF_XO_ITEMS_GROWTH","FQ3 2021","FQ3 2021","Currency=USD","Period=FQ","BEST_FPERIOD_OVERRIDE=FQ","FILING_STATUS=MR","Sort=A","Dates=H","DateFormat=P","Fill=—","Direction=H","UseDPDF=Y")</f>
        <v>24.149699999999999</v>
      </c>
      <c r="O12" s="14">
        <f>_xll.BDH("BLUE US Equity","DILUTED_EPS_BEF_XO_ITEMS_GROWTH","FQ4 2021","FQ4 2021","Currency=USD","Period=FQ","BEST_FPERIOD_OVERRIDE=FQ","FILING_STATUS=MR","Sort=A","Dates=H","DateFormat=P","Fill=—","Direction=H","UseDPDF=Y")</f>
        <v>10.7317</v>
      </c>
      <c r="P12" s="14">
        <f>_xll.BDH("BLUE US Equity","DILUTED_EPS_BEF_XO_ITEMS_GROWTH","FQ1 2022","FQ1 2022","Currency=USD","Period=FQ","BEST_FPERIOD_OVERRIDE=FQ","FILING_STATUS=MR","Sort=A","Dates=H","DateFormat=P","Fill=—","Direction=H","UseDPDF=Y")</f>
        <v>8.2873000000000001</v>
      </c>
      <c r="Q12" s="14">
        <f>_xll.BDH("BLUE US Equity","DILUTED_EPS_BEF_XO_ITEMS_GROWTH","FQ2 2022","FQ2 2022","Currency=USD","Period=FQ","BEST_FPERIOD_OVERRIDE=FQ","FILING_STATUS=MR","Sort=A","Dates=H","DateFormat=P","Fill=—","Direction=H","UseDPDF=Y")</f>
        <v>62.011200000000002</v>
      </c>
      <c r="R12" s="14">
        <f>_xll.BDH("BLUE US Equity","DILUTED_EPS_BEF_XO_ITEMS_GROWTH","FQ3 2022","FQ3 2022","Currency=USD","Period=FQ","BEST_FPERIOD_OVERRIDE=FQ","FILING_STATUS=MR","Sort=A","Dates=H","DateFormat=P","Fill=—","Direction=H","UseDPDF=Y")</f>
        <v>57.847499999999997</v>
      </c>
      <c r="S12" s="14" t="str">
        <f>_xll.BDH("BLUE US Equity","DILUTED_EPS_BEF_XO_ITEMS_GROWTH","FQ4 2022","FQ4 2022","Currency=USD","Period=FQ","BEST_FPERIOD_OVERRIDE=FQ","FILING_STATUS=MR","Sort=A","Dates=H","DateFormat=P","Fill=—","Direction=H","UseDPDF=Y")</f>
        <v>—</v>
      </c>
      <c r="T12" s="14" t="str">
        <f>_xll.BDH("BLUE US Equity","DILUTED_EPS_BEF_XO_ITEMS_GROWTH","FQ1 2023","FQ1 2023","Currency=USD","Period=FQ","BEST_FPERIOD_OVERRIDE=FQ","FILING_STATUS=MR","Sort=A","Dates=H","DateFormat=P","Fill=—","Direction=H","UseDPDF=Y")</f>
        <v>—</v>
      </c>
      <c r="U12" s="14">
        <f>_xll.BDH("BLUE US Equity","DILUTED_EPS_BEF_XO_ITEMS_GROWTH","FQ2 2023","FQ2 2023","Currency=USD","Period=FQ","BEST_FPERIOD_OVERRIDE=FQ","FILING_STATUS=MR","Sort=A","Dates=H","DateFormat=P","Fill=—","Direction=H","UseDPDF=Y")</f>
        <v>57.352899999999998</v>
      </c>
      <c r="V12" s="14">
        <f>_xll.BDH("BLUE US Equity","DILUTED_EPS_BEF_XO_ITEMS_GROWTH","FQ3 2023","FQ3 2023","Currency=USD","Period=FQ","BEST_FPERIOD_OVERRIDE=FQ","FILING_STATUS=MR","Sort=A","Dates=H","DateFormat=P","Fill=—","Direction=H","UseDPDF=Y")</f>
        <v>14.893599999999999</v>
      </c>
      <c r="W12" s="14" t="str">
        <f>_xll.BDH("BLUE US Equity","DILUTED_EPS_BEF_XO_ITEMS_GROWTH","FQ4 2023","FQ4 2023","Currency=USD","Period=FQ","BEST_FPERIOD_OVERRIDE=FQ","FILING_STATUS=MR","Sort=A","Dates=H","DateFormat=P","Fill=—","Direction=H","UseDPDF=Y")</f>
        <v>—</v>
      </c>
      <c r="X12" s="14" t="str">
        <f>_xll.BDH("BLUE US Equity","DILUTED_EPS_BEF_XO_ITEMS_GROWTH","FQ1 2024","FQ1 2024","Currency=USD","Period=FQ","BEST_FPERIOD_OVERRIDE=FQ","FILING_STATUS=MR","Sort=A","Dates=H","DateFormat=P","Fill=—","Direction=H","UseDPDF=Y")</f>
        <v>—</v>
      </c>
      <c r="Y12" s="14">
        <f>_xll.BDH("BLUE US Equity","DILUTED_EPS_BEF_XO_ITEMS_GROWTH","FQ2 2024","FQ2 2024","Currency=USD","Period=FQ","BEST_FPERIOD_OVERRIDE=FQ","FILING_STATUS=MR","Sort=A","Dates=H","DateFormat=P","Fill=—","Direction=H","UseDPDF=Y")</f>
        <v>27.586200000000002</v>
      </c>
      <c r="Z12" s="14">
        <f>_xll.BDH("BLUE US Equity","DILUTED_EPS_BEF_XO_ITEMS_GROWTH","FQ3 2024","FQ3 2024","Currency=USD","Period=FQ","BEST_FPERIOD_OVERRIDE=FQ","FILING_STATUS=MR","Sort=A","Dates=H","DateFormat=P","Fill=—","Direction=H","UseDPDF=Y")</f>
        <v>61.25</v>
      </c>
      <c r="AA12" s="14">
        <f>_xll.BDH("BLUE US Equity","DILUTED_EPS_BEF_XO_ITEMS_GROWTH","FQ4 2024","FQ4 2024","Currency=USD","Period=FQ","BEST_FPERIOD_OVERRIDE=FQ","FILING_STATUS=MR","Sort=A","Dates=H","DateFormat=P","Fill=—","Direction=H","UseDPDF=Y")</f>
        <v>80.189700000000002</v>
      </c>
    </row>
    <row r="13" spans="1:27" x14ac:dyDescent="0.25">
      <c r="A13" s="10" t="s">
        <v>1272</v>
      </c>
      <c r="B13" s="10" t="s">
        <v>1273</v>
      </c>
      <c r="C13" s="14">
        <f>_xll.BDH("BLUE US Equity","RR_DIL_EPS_CONT_OPS_GROWTH","FQ4 2018","FQ4 2018","Currency=USD","Period=FQ","BEST_FPERIOD_OVERRIDE=FQ","FILING_STATUS=MR","Sort=A","Dates=H","DateFormat=P","Fill=—","Direction=H","UseDPDF=Y")</f>
        <v>-6.4221000000000004</v>
      </c>
      <c r="D13" s="14">
        <f>_xll.BDH("BLUE US Equity","RR_DIL_EPS_CONT_OPS_GROWTH","FQ1 2019","FQ1 2019","Currency=USD","Period=FQ","BEST_FPERIOD_OVERRIDE=FQ","FILING_STATUS=MR","Sort=A","Dates=H","DateFormat=P","Fill=—","Direction=H","UseDPDF=Y")</f>
        <v>-29.8261</v>
      </c>
      <c r="E13" s="14">
        <f>_xll.BDH("BLUE US Equity","RR_DIL_EPS_CONT_OPS_GROWTH","FQ2 2019","FQ2 2019","Currency=USD","Period=FQ","BEST_FPERIOD_OVERRIDE=FQ","FILING_STATUS=MR","Sort=A","Dates=H","DateFormat=P","Fill=—","Direction=H","UseDPDF=Y")</f>
        <v>-22.0184</v>
      </c>
      <c r="F13" s="14">
        <f>_xll.BDH("BLUE US Equity","RR_DIL_EPS_CONT_OPS_GROWTH","FQ3 2019","FQ3 2019","Currency=USD","Period=FQ","BEST_FPERIOD_OVERRIDE=FQ","FILING_STATUS=MR","Sort=A","Dates=H","DateFormat=P","Fill=—","Direction=H","UseDPDF=Y")</f>
        <v>-36.2134</v>
      </c>
      <c r="G13" s="14">
        <f>_xll.BDH("BLUE US Equity","RR_DIL_EPS_CONT_OPS_GROWTH","FQ4 2019","FQ4 2019","Currency=USD","Period=FQ","BEST_FPERIOD_OVERRIDE=FQ","FILING_STATUS=MR","Sort=A","Dates=H","DateFormat=P","Fill=—","Direction=H","UseDPDF=Y")</f>
        <v>-49.275100000000002</v>
      </c>
      <c r="H13" s="14">
        <f>_xll.BDH("BLUE US Equity","RR_DIL_EPS_CONT_OPS_GROWTH","FQ1 2020","FQ1 2020","Currency=USD","Period=FQ","BEST_FPERIOD_OVERRIDE=FQ","FILING_STATUS=MR","Sort=A","Dates=H","DateFormat=P","Fill=—","Direction=H","UseDPDF=Y")</f>
        <v>-23.456900000000001</v>
      </c>
      <c r="I13" s="14">
        <f>_xll.BDH("BLUE US Equity","RR_DIL_EPS_CONT_OPS_GROWTH","FQ2 2020","FQ2 2020","Currency=USD","Period=FQ","BEST_FPERIOD_OVERRIDE=FQ","FILING_STATUS=MR","Sort=A","Dates=H","DateFormat=P","Fill=—","Direction=H","UseDPDF=Y")</f>
        <v>89.239900000000006</v>
      </c>
      <c r="J13" s="14">
        <f>_xll.BDH("BLUE US Equity","RR_DIL_EPS_CONT_OPS_GROWTH","FQ3 2020","FQ3 2020","Currency=USD","Period=FQ","BEST_FPERIOD_OVERRIDE=FQ","FILING_STATUS=MR","Sort=A","Dates=H","DateFormat=P","Fill=—","Direction=H","UseDPDF=Y")</f>
        <v>20.671199999999999</v>
      </c>
      <c r="K13" s="14">
        <f>_xll.BDH("BLUE US Equity","RR_DIL_EPS_CONT_OPS_GROWTH","FQ4 2020","FQ4 2020","Currency=USD","Period=FQ","BEST_FPERIOD_OVERRIDE=FQ","FILING_STATUS=MR","Sort=A","Dates=H","DateFormat=P","Fill=—","Direction=H","UseDPDF=Y")</f>
        <v>48.998800000000003</v>
      </c>
      <c r="L13" s="14">
        <f>_xll.BDH("BLUE US Equity","RR_DIL_EPS_CONT_OPS_GROWTH","FQ1 2021","FQ1 2021","Currency=USD","Period=FQ","BEST_FPERIOD_OVERRIDE=FQ","FILING_STATUS=MR","Sort=A","Dates=H","DateFormat=P","Fill=—","Direction=H","UseDPDF=Y")</f>
        <v>41.867699999999999</v>
      </c>
      <c r="M13" s="14">
        <f>_xll.BDH("BLUE US Equity","RR_DIL_EPS_CONT_OPS_GROWTH","FQ2 2021","FQ2 2021","Currency=USD","Period=FQ","BEST_FPERIOD_OVERRIDE=FQ","FILING_STATUS=MR","Sort=A","Dates=H","DateFormat=P","Fill=—","Direction=H","UseDPDF=Y")</f>
        <v>-838.26570000000004</v>
      </c>
      <c r="N13" s="14">
        <f>_xll.BDH("BLUE US Equity","RR_DIL_EPS_CONT_OPS_GROWTH","FQ3 2021","FQ3 2021","Currency=USD","Period=FQ","BEST_FPERIOD_OVERRIDE=FQ","FILING_STATUS=MR","Sort=A","Dates=H","DateFormat=P","Fill=—","Direction=H","UseDPDF=Y")</f>
        <v>21.051100000000002</v>
      </c>
      <c r="O13" s="14">
        <f>_xll.BDH("BLUE US Equity","RR_DIL_EPS_CONT_OPS_GROWTH","FQ4 2021","FQ4 2021","Currency=USD","Period=FQ","BEST_FPERIOD_OVERRIDE=FQ","FILING_STATUS=MR","Sort=A","Dates=H","DateFormat=P","Fill=—","Direction=H","UseDPDF=Y")</f>
        <v>11.222899999999999</v>
      </c>
      <c r="P13" s="14">
        <f>_xll.BDH("BLUE US Equity","RR_DIL_EPS_CONT_OPS_GROWTH","FQ1 2022","FQ1 2022","Currency=USD","Period=FQ","BEST_FPERIOD_OVERRIDE=FQ","FILING_STATUS=MR","Sort=A","Dates=H","DateFormat=P","Fill=—","Direction=H","UseDPDF=Y")</f>
        <v>23.8445</v>
      </c>
      <c r="Q13" s="14">
        <f>_xll.BDH("BLUE US Equity","RR_DIL_EPS_CONT_OPS_GROWTH","FQ2 2022","FQ2 2022","Currency=USD","Period=FQ","BEST_FPERIOD_OVERRIDE=FQ","FILING_STATUS=MR","Sort=A","Dates=H","DateFormat=P","Fill=—","Direction=H","UseDPDF=Y")</f>
        <v>64.193899999999999</v>
      </c>
      <c r="R13" s="14">
        <f>_xll.BDH("BLUE US Equity","RR_DIL_EPS_CONT_OPS_GROWTH","FQ3 2022","FQ3 2022","Currency=USD","Period=FQ","BEST_FPERIOD_OVERRIDE=FQ","FILING_STATUS=MR","Sort=A","Dates=H","DateFormat=P","Fill=—","Direction=H","UseDPDF=Y")</f>
        <v>60.2348</v>
      </c>
      <c r="S13" s="14">
        <f>_xll.BDH("BLUE US Equity","RR_DIL_EPS_CONT_OPS_GROWTH","FQ4 2022","FQ4 2022","Currency=USD","Period=FQ","BEST_FPERIOD_OVERRIDE=FQ","FILING_STATUS=MR","Sort=A","Dates=H","DateFormat=P","Fill=—","Direction=H","UseDPDF=Y")</f>
        <v>89.012600000000006</v>
      </c>
      <c r="T13" s="14">
        <f>_xll.BDH("BLUE US Equity","RR_DIL_EPS_CONT_OPS_GROWTH","FQ1 2023","FQ1 2023","Currency=USD","Period=FQ","BEST_FPERIOD_OVERRIDE=FQ","FILING_STATUS=MR","Sort=A","Dates=H","DateFormat=P","Fill=—","Direction=H","UseDPDF=Y")</f>
        <v>67.505399999999995</v>
      </c>
      <c r="U13" s="14">
        <f>_xll.BDH("BLUE US Equity","RR_DIL_EPS_CONT_OPS_GROWTH","FQ2 2023","FQ2 2023","Currency=USD","Period=FQ","BEST_FPERIOD_OVERRIDE=FQ","FILING_STATUS=MR","Sort=A","Dates=H","DateFormat=P","Fill=—","Direction=H","UseDPDF=Y")</f>
        <v>54.764800000000001</v>
      </c>
      <c r="V13" s="14">
        <f>_xll.BDH("BLUE US Equity","RR_DIL_EPS_CONT_OPS_GROWTH","FQ3 2023","FQ3 2023","Currency=USD","Period=FQ","BEST_FPERIOD_OVERRIDE=FQ","FILING_STATUS=MR","Sort=A","Dates=H","DateFormat=P","Fill=—","Direction=H","UseDPDF=Y")</f>
        <v>13.6151</v>
      </c>
      <c r="W13" s="14">
        <f>_xll.BDH("BLUE US Equity","RR_DIL_EPS_CONT_OPS_GROWTH","FQ4 2023","FQ4 2023","Currency=USD","Period=FQ","BEST_FPERIOD_OVERRIDE=FQ","FILING_STATUS=MR","Sort=A","Dates=H","DateFormat=P","Fill=—","Direction=H","UseDPDF=Y")</f>
        <v>-273.23869999999999</v>
      </c>
      <c r="X13" s="14">
        <f>_xll.BDH("BLUE US Equity","RR_DIL_EPS_CONT_OPS_GROWTH","FQ1 2024","FQ1 2024","Currency=USD","Period=FQ","BEST_FPERIOD_OVERRIDE=FQ","FILING_STATUS=MR","Sort=A","Dates=H","DateFormat=P","Fill=—","Direction=H","UseDPDF=Y")</f>
        <v>32.1616</v>
      </c>
      <c r="Y13" s="14">
        <f>_xll.BDH("BLUE US Equity","RR_DIL_EPS_CONT_OPS_GROWTH","FQ2 2024","FQ2 2024","Currency=USD","Period=FQ","BEST_FPERIOD_OVERRIDE=FQ","FILING_STATUS=MR","Sort=A","Dates=H","DateFormat=P","Fill=—","Direction=H","UseDPDF=Y")</f>
        <v>27.586200000000002</v>
      </c>
      <c r="Z13" s="14">
        <f>_xll.BDH("BLUE US Equity","RR_DIL_EPS_CONT_OPS_GROWTH","FQ3 2024","FQ3 2024","Currency=USD","Period=FQ","BEST_FPERIOD_OVERRIDE=FQ","FILING_STATUS=MR","Sort=A","Dates=H","DateFormat=P","Fill=—","Direction=H","UseDPDF=Y")</f>
        <v>62.229599999999998</v>
      </c>
      <c r="AA13" s="14">
        <f>_xll.BDH("BLUE US Equity","RR_DIL_EPS_CONT_OPS_GROWTH","FQ4 2024","FQ4 2024","Currency=USD","Period=FQ","BEST_FPERIOD_OVERRIDE=FQ","FILING_STATUS=MR","Sort=A","Dates=H","DateFormat=P","Fill=—","Direction=H","UseDPDF=Y")</f>
        <v>80.162999999999997</v>
      </c>
    </row>
    <row r="14" spans="1:27" x14ac:dyDescent="0.25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0" t="s">
        <v>1274</v>
      </c>
      <c r="B15" s="10" t="s">
        <v>1275</v>
      </c>
      <c r="C15" s="14" t="str">
        <f>_xll.BDH("BLUE US Equity","INVENTORY_GROWTH","FQ4 2018","FQ4 2018","Currency=USD","Period=FQ","BEST_FPERIOD_OVERRIDE=FQ","FILING_STATUS=MR","Sort=A","Dates=H","DateFormat=P","Fill=—","Direction=H","UseDPDF=Y")</f>
        <v>—</v>
      </c>
      <c r="D15" s="14" t="str">
        <f>_xll.BDH("BLUE US Equity","INVENTORY_GROWTH","FQ1 2019","FQ1 2019","Currency=USD","Period=FQ","BEST_FPERIOD_OVERRIDE=FQ","FILING_STATUS=MR","Sort=A","Dates=H","DateFormat=P","Fill=—","Direction=H","UseDPDF=Y")</f>
        <v>—</v>
      </c>
      <c r="E15" s="14" t="str">
        <f>_xll.BDH("BLUE US Equity","INVENTORY_GROWTH","FQ2 2019","FQ2 2019","Currency=USD","Period=FQ","BEST_FPERIOD_OVERRIDE=FQ","FILING_STATUS=MR","Sort=A","Dates=H","DateFormat=P","Fill=—","Direction=H","UseDPDF=Y")</f>
        <v>—</v>
      </c>
      <c r="F15" s="14" t="str">
        <f>_xll.BDH("BLUE US Equity","INVENTORY_GROWTH","FQ3 2019","FQ3 2019","Currency=USD","Period=FQ","BEST_FPERIOD_OVERRIDE=FQ","FILING_STATUS=MR","Sort=A","Dates=H","DateFormat=P","Fill=—","Direction=H","UseDPDF=Y")</f>
        <v>—</v>
      </c>
      <c r="G15" s="14" t="str">
        <f>_xll.BDH("BLUE US Equity","INVENTORY_GROWTH","FQ4 2019","FQ4 2019","Currency=USD","Period=FQ","BEST_FPERIOD_OVERRIDE=FQ","FILING_STATUS=MR","Sort=A","Dates=H","DateFormat=P","Fill=—","Direction=H","UseDPDF=Y")</f>
        <v>—</v>
      </c>
      <c r="H15" s="14" t="str">
        <f>_xll.BDH("BLUE US Equity","INVENTORY_GROWTH","FQ1 2020","FQ1 2020","Currency=USD","Period=FQ","BEST_FPERIOD_OVERRIDE=FQ","FILING_STATUS=MR","Sort=A","Dates=H","DateFormat=P","Fill=—","Direction=H","UseDPDF=Y")</f>
        <v>—</v>
      </c>
      <c r="I15" s="14" t="str">
        <f>_xll.BDH("BLUE US Equity","INVENTORY_GROWTH","FQ2 2020","FQ2 2020","Currency=USD","Period=FQ","BEST_FPERIOD_OVERRIDE=FQ","FILING_STATUS=MR","Sort=A","Dates=H","DateFormat=P","Fill=—","Direction=H","UseDPDF=Y")</f>
        <v>—</v>
      </c>
      <c r="J15" s="14" t="str">
        <f>_xll.BDH("BLUE US Equity","INVENTORY_GROWTH","FQ3 2020","FQ3 2020","Currency=USD","Period=FQ","BEST_FPERIOD_OVERRIDE=FQ","FILING_STATUS=MR","Sort=A","Dates=H","DateFormat=P","Fill=—","Direction=H","UseDPDF=Y")</f>
        <v>—</v>
      </c>
      <c r="K15" s="14" t="str">
        <f>_xll.BDH("BLUE US Equity","INVENTORY_GROWTH","FQ4 2020","FQ4 2020","Currency=USD","Period=FQ","BEST_FPERIOD_OVERRIDE=FQ","FILING_STATUS=MR","Sort=A","Dates=H","DateFormat=P","Fill=—","Direction=H","UseDPDF=Y")</f>
        <v>—</v>
      </c>
      <c r="L15" s="14" t="str">
        <f>_xll.BDH("BLUE US Equity","INVENTORY_GROWTH","FQ1 2021","FQ1 2021","Currency=USD","Period=FQ","BEST_FPERIOD_OVERRIDE=FQ","FILING_STATUS=MR","Sort=A","Dates=H","DateFormat=P","Fill=—","Direction=H","UseDPDF=Y")</f>
        <v>—</v>
      </c>
      <c r="M15" s="14" t="str">
        <f>_xll.BDH("BLUE US Equity","INVENTORY_GROWTH","FQ2 2021","FQ2 2021","Currency=USD","Period=FQ","BEST_FPERIOD_OVERRIDE=FQ","FILING_STATUS=MR","Sort=A","Dates=H","DateFormat=P","Fill=—","Direction=H","UseDPDF=Y")</f>
        <v>—</v>
      </c>
      <c r="N15" s="14" t="str">
        <f>_xll.BDH("BLUE US Equity","INVENTORY_GROWTH","FQ3 2021","FQ3 2021","Currency=USD","Period=FQ","BEST_FPERIOD_OVERRIDE=FQ","FILING_STATUS=MR","Sort=A","Dates=H","DateFormat=P","Fill=—","Direction=H","UseDPDF=Y")</f>
        <v>—</v>
      </c>
      <c r="O15" s="14" t="str">
        <f>_xll.BDH("BLUE US Equity","INVENTORY_GROWTH","FQ4 2021","FQ4 2021","Currency=USD","Period=FQ","BEST_FPERIOD_OVERRIDE=FQ","FILING_STATUS=MR","Sort=A","Dates=H","DateFormat=P","Fill=—","Direction=H","UseDPDF=Y")</f>
        <v>—</v>
      </c>
      <c r="P15" s="14" t="str">
        <f>_xll.BDH("BLUE US Equity","INVENTORY_GROWTH","FQ1 2022","FQ1 2022","Currency=USD","Period=FQ","BEST_FPERIOD_OVERRIDE=FQ","FILING_STATUS=MR","Sort=A","Dates=H","DateFormat=P","Fill=—","Direction=H","UseDPDF=Y")</f>
        <v>—</v>
      </c>
      <c r="Q15" s="14" t="str">
        <f>_xll.BDH("BLUE US Equity","INVENTORY_GROWTH","FQ2 2022","FQ2 2022","Currency=USD","Period=FQ","BEST_FPERIOD_OVERRIDE=FQ","FILING_STATUS=MR","Sort=A","Dates=H","DateFormat=P","Fill=—","Direction=H","UseDPDF=Y")</f>
        <v>—</v>
      </c>
      <c r="R15" s="14" t="str">
        <f>_xll.BDH("BLUE US Equity","INVENTORY_GROWTH","FQ3 2022","FQ3 2022","Currency=USD","Period=FQ","BEST_FPERIOD_OVERRIDE=FQ","FILING_STATUS=MR","Sort=A","Dates=H","DateFormat=P","Fill=—","Direction=H","UseDPDF=Y")</f>
        <v>—</v>
      </c>
      <c r="S15" s="14" t="str">
        <f>_xll.BDH("BLUE US Equity","INVENTORY_GROWTH","FQ4 2022","FQ4 2022","Currency=USD","Period=FQ","BEST_FPERIOD_OVERRIDE=FQ","FILING_STATUS=MR","Sort=A","Dates=H","DateFormat=P","Fill=—","Direction=H","UseDPDF=Y")</f>
        <v>—</v>
      </c>
      <c r="T15" s="14" t="str">
        <f>_xll.BDH("BLUE US Equity","INVENTORY_GROWTH","FQ1 2023","FQ1 2023","Currency=USD","Period=FQ","BEST_FPERIOD_OVERRIDE=FQ","FILING_STATUS=MR","Sort=A","Dates=H","DateFormat=P","Fill=—","Direction=H","UseDPDF=Y")</f>
        <v>—</v>
      </c>
      <c r="U15" s="14" t="str">
        <f>_xll.BDH("BLUE US Equity","INVENTORY_GROWTH","FQ2 2023","FQ2 2023","Currency=USD","Period=FQ","BEST_FPERIOD_OVERRIDE=FQ","FILING_STATUS=MR","Sort=A","Dates=H","DateFormat=P","Fill=—","Direction=H","UseDPDF=Y")</f>
        <v>—</v>
      </c>
      <c r="V15" s="14" t="str">
        <f>_xll.BDH("BLUE US Equity","INVENTORY_GROWTH","FQ3 2023","FQ3 2023","Currency=USD","Period=FQ","BEST_FPERIOD_OVERRIDE=FQ","FILING_STATUS=MR","Sort=A","Dates=H","DateFormat=P","Fill=—","Direction=H","UseDPDF=Y")</f>
        <v>—</v>
      </c>
      <c r="W15" s="14" t="str">
        <f>_xll.BDH("BLUE US Equity","INVENTORY_GROWTH","FQ4 2023","FQ4 2023","Currency=USD","Period=FQ","BEST_FPERIOD_OVERRIDE=FQ","FILING_STATUS=MR","Sort=A","Dates=H","DateFormat=P","Fill=—","Direction=H","UseDPDF=Y")</f>
        <v>—</v>
      </c>
      <c r="X15" s="14">
        <f>_xll.BDH("BLUE US Equity","INVENTORY_GROWTH","FQ1 2024","FQ1 2024","Currency=USD","Period=FQ","BEST_FPERIOD_OVERRIDE=FQ","FILING_STATUS=MR","Sort=A","Dates=H","DateFormat=P","Fill=—","Direction=H","UseDPDF=Y")</f>
        <v>695.61559999999997</v>
      </c>
      <c r="Y15" s="14">
        <f>_xll.BDH("BLUE US Equity","INVENTORY_GROWTH","FQ2 2024","FQ2 2024","Currency=USD","Period=FQ","BEST_FPERIOD_OVERRIDE=FQ","FILING_STATUS=MR","Sort=A","Dates=H","DateFormat=P","Fill=—","Direction=H","UseDPDF=Y")</f>
        <v>144.31899999999999</v>
      </c>
      <c r="Z15" s="14">
        <f>_xll.BDH("BLUE US Equity","INVENTORY_GROWTH","FQ3 2024","FQ3 2024","Currency=USD","Period=FQ","BEST_FPERIOD_OVERRIDE=FQ","FILING_STATUS=MR","Sort=A","Dates=H","DateFormat=P","Fill=—","Direction=H","UseDPDF=Y")</f>
        <v>157.2559</v>
      </c>
      <c r="AA15" s="14">
        <f>_xll.BDH("BLUE US Equity","INVENTORY_GROWTH","FQ4 2024","FQ4 2024","Currency=USD","Period=FQ","BEST_FPERIOD_OVERRIDE=FQ","FILING_STATUS=MR","Sort=A","Dates=H","DateFormat=P","Fill=—","Direction=H","UseDPDF=Y")</f>
        <v>183.68170000000001</v>
      </c>
    </row>
    <row r="16" spans="1:27" x14ac:dyDescent="0.25">
      <c r="A16" s="10" t="s">
        <v>1276</v>
      </c>
      <c r="B16" s="10" t="s">
        <v>1277</v>
      </c>
      <c r="C16" s="14">
        <f>_xll.BDH("BLUE US Equity","NET_FIXED_ASSETS_1_YEAR_GROWTH","FQ4 2018","FQ4 2018","Currency=USD","Period=FQ","BEST_FPERIOD_OVERRIDE=FQ","FILING_STATUS=MR","Sort=A","Dates=H","DateFormat=P","Fill=—","Direction=H","UseDPDF=Y")</f>
        <v>23.554400000000001</v>
      </c>
      <c r="D16" s="14">
        <f>_xll.BDH("BLUE US Equity","NET_FIXED_ASSETS_1_YEAR_GROWTH","FQ1 2019","FQ1 2019","Currency=USD","Period=FQ","BEST_FPERIOD_OVERRIDE=FQ","FILING_STATUS=MR","Sort=A","Dates=H","DateFormat=P","Fill=—","Direction=H","UseDPDF=Y")</f>
        <v>46.231200000000001</v>
      </c>
      <c r="E16" s="14">
        <f>_xll.BDH("BLUE US Equity","NET_FIXED_ASSETS_1_YEAR_GROWTH","FQ2 2019","FQ2 2019","Currency=USD","Period=FQ","BEST_FPERIOD_OVERRIDE=FQ","FILING_STATUS=MR","Sort=A","Dates=H","DateFormat=P","Fill=—","Direction=H","UseDPDF=Y")</f>
        <v>46.020099999999999</v>
      </c>
      <c r="F16" s="14">
        <f>_xll.BDH("BLUE US Equity","NET_FIXED_ASSETS_1_YEAR_GROWTH","FQ3 2019","FQ3 2019","Currency=USD","Period=FQ","BEST_FPERIOD_OVERRIDE=FQ","FILING_STATUS=MR","Sort=A","Dates=H","DateFormat=P","Fill=—","Direction=H","UseDPDF=Y")</f>
        <v>44.144799999999996</v>
      </c>
      <c r="G16" s="14">
        <f>_xll.BDH("BLUE US Equity","NET_FIXED_ASSETS_1_YEAR_GROWTH","FQ4 2019","FQ4 2019","Currency=USD","Period=FQ","BEST_FPERIOD_OVERRIDE=FQ","FILING_STATUS=MR","Sort=A","Dates=H","DateFormat=P","Fill=—","Direction=H","UseDPDF=Y")</f>
        <v>36.671100000000003</v>
      </c>
      <c r="H16" s="14">
        <f>_xll.BDH("BLUE US Equity","NET_FIXED_ASSETS_1_YEAR_GROWTH","FQ1 2020","FQ1 2020","Currency=USD","Period=FQ","BEST_FPERIOD_OVERRIDE=FQ","FILING_STATUS=MR","Sort=A","Dates=H","DateFormat=P","Fill=—","Direction=H","UseDPDF=Y")</f>
        <v>16.6554</v>
      </c>
      <c r="I16" s="14">
        <f>_xll.BDH("BLUE US Equity","NET_FIXED_ASSETS_1_YEAR_GROWTH","FQ2 2020","FQ2 2020","Currency=USD","Period=FQ","BEST_FPERIOD_OVERRIDE=FQ","FILING_STATUS=MR","Sort=A","Dates=H","DateFormat=P","Fill=—","Direction=H","UseDPDF=Y")</f>
        <v>7.7241</v>
      </c>
      <c r="J16" s="14">
        <f>_xll.BDH("BLUE US Equity","NET_FIXED_ASSETS_1_YEAR_GROWTH","FQ3 2020","FQ3 2020","Currency=USD","Period=FQ","BEST_FPERIOD_OVERRIDE=FQ","FILING_STATUS=MR","Sort=A","Dates=H","DateFormat=P","Fill=—","Direction=H","UseDPDF=Y")</f>
        <v>3.1194999999999999</v>
      </c>
      <c r="K16" s="14">
        <f>_xll.BDH("BLUE US Equity","NET_FIXED_ASSETS_1_YEAR_GROWTH","FQ4 2020","FQ4 2020","Currency=USD","Period=FQ","BEST_FPERIOD_OVERRIDE=FQ","FILING_STATUS=MR","Sort=A","Dates=H","DateFormat=P","Fill=—","Direction=H","UseDPDF=Y")</f>
        <v>-74.801000000000002</v>
      </c>
      <c r="L16" s="14">
        <f>_xll.BDH("BLUE US Equity","NET_FIXED_ASSETS_1_YEAR_GROWTH","FQ1 2021","FQ1 2021","Currency=USD","Period=FQ","BEST_FPERIOD_OVERRIDE=FQ","FILING_STATUS=MR","Sort=A","Dates=H","DateFormat=P","Fill=—","Direction=H","UseDPDF=Y")</f>
        <v>4.2420999999999998</v>
      </c>
      <c r="M16" s="14">
        <f>_xll.BDH("BLUE US Equity","NET_FIXED_ASSETS_1_YEAR_GROWTH","FQ2 2021","FQ2 2021","Currency=USD","Period=FQ","BEST_FPERIOD_OVERRIDE=FQ","FILING_STATUS=MR","Sort=A","Dates=H","DateFormat=P","Fill=—","Direction=H","UseDPDF=Y")</f>
        <v>1.4420999999999999</v>
      </c>
      <c r="N16" s="14">
        <f>_xll.BDH("BLUE US Equity","NET_FIXED_ASSETS_1_YEAR_GROWTH","FQ3 2021","FQ3 2021","Currency=USD","Period=FQ","BEST_FPERIOD_OVERRIDE=FQ","FILING_STATUS=MR","Sort=A","Dates=H","DateFormat=P","Fill=—","Direction=H","UseDPDF=Y")</f>
        <v>-36.388199999999998</v>
      </c>
      <c r="O16" s="14">
        <f>_xll.BDH("BLUE US Equity","NET_FIXED_ASSETS_1_YEAR_GROWTH","FQ4 2021","FQ4 2021","Currency=USD","Period=FQ","BEST_FPERIOD_OVERRIDE=FQ","FILING_STATUS=MR","Sort=A","Dates=H","DateFormat=P","Fill=—","Direction=H","UseDPDF=Y")</f>
        <v>19.193300000000001</v>
      </c>
      <c r="P16" s="14">
        <f>_xll.BDH("BLUE US Equity","NET_FIXED_ASSETS_1_YEAR_GROWTH","FQ1 2022","FQ1 2022","Currency=USD","Period=FQ","BEST_FPERIOD_OVERRIDE=FQ","FILING_STATUS=MR","Sort=A","Dates=H","DateFormat=P","Fill=—","Direction=H","UseDPDF=Y")</f>
        <v>-66.095299999999995</v>
      </c>
      <c r="Q16" s="14">
        <f>_xll.BDH("BLUE US Equity","NET_FIXED_ASSETS_1_YEAR_GROWTH","FQ2 2022","FQ2 2022","Currency=USD","Period=FQ","BEST_FPERIOD_OVERRIDE=FQ","FILING_STATUS=MR","Sort=A","Dates=H","DateFormat=P","Fill=—","Direction=H","UseDPDF=Y")</f>
        <v>-12.1539</v>
      </c>
      <c r="R16" s="14">
        <f>_xll.BDH("BLUE US Equity","NET_FIXED_ASSETS_1_YEAR_GROWTH","FQ3 2022","FQ3 2022","Currency=USD","Period=FQ","BEST_FPERIOD_OVERRIDE=FQ","FILING_STATUS=MR","Sort=A","Dates=H","DateFormat=P","Fill=—","Direction=H","UseDPDF=Y")</f>
        <v>36.351599999999998</v>
      </c>
      <c r="S16" s="14">
        <f>_xll.BDH("BLUE US Equity","NET_FIXED_ASSETS_1_YEAR_GROWTH","FQ4 2022","FQ4 2022","Currency=USD","Period=FQ","BEST_FPERIOD_OVERRIDE=FQ","FILING_STATUS=MR","Sort=A","Dates=H","DateFormat=P","Fill=—","Direction=H","UseDPDF=Y")</f>
        <v>194.87049999999999</v>
      </c>
      <c r="T16" s="14">
        <f>_xll.BDH("BLUE US Equity","NET_FIXED_ASSETS_1_YEAR_GROWTH","FQ1 2023","FQ1 2023","Currency=USD","Period=FQ","BEST_FPERIOD_OVERRIDE=FQ","FILING_STATUS=MR","Sort=A","Dates=H","DateFormat=P","Fill=—","Direction=H","UseDPDF=Y")</f>
        <v>126.4832</v>
      </c>
      <c r="U16" s="14">
        <f>_xll.BDH("BLUE US Equity","NET_FIXED_ASSETS_1_YEAR_GROWTH","FQ2 2023","FQ2 2023","Currency=USD","Period=FQ","BEST_FPERIOD_OVERRIDE=FQ","FILING_STATUS=MR","Sort=A","Dates=H","DateFormat=P","Fill=—","Direction=H","UseDPDF=Y")</f>
        <v>1.8806</v>
      </c>
      <c r="V16" s="14">
        <f>_xll.BDH("BLUE US Equity","NET_FIXED_ASSETS_1_YEAR_GROWTH","FQ3 2023","FQ3 2023","Currency=USD","Period=FQ","BEST_FPERIOD_OVERRIDE=FQ","FILING_STATUS=MR","Sort=A","Dates=H","DateFormat=P","Fill=—","Direction=H","UseDPDF=Y")</f>
        <v>1.4888999999999999</v>
      </c>
      <c r="W16" s="14">
        <f>_xll.BDH("BLUE US Equity","NET_FIXED_ASSETS_1_YEAR_GROWTH","FQ4 2023","FQ4 2023","Currency=USD","Period=FQ","BEST_FPERIOD_OVERRIDE=FQ","FILING_STATUS=MR","Sort=A","Dates=H","DateFormat=P","Fill=—","Direction=H","UseDPDF=Y")</f>
        <v>-10.5426</v>
      </c>
      <c r="X16" s="14">
        <f>_xll.BDH("BLUE US Equity","NET_FIXED_ASSETS_1_YEAR_GROWTH","FQ1 2024","FQ1 2024","Currency=USD","Period=FQ","BEST_FPERIOD_OVERRIDE=FQ","FILING_STATUS=MR","Sort=A","Dates=H","DateFormat=P","Fill=—","Direction=H","UseDPDF=Y")</f>
        <v>2.4039999999999999</v>
      </c>
      <c r="Y16" s="14">
        <f>_xll.BDH("BLUE US Equity","NET_FIXED_ASSETS_1_YEAR_GROWTH","FQ2 2024","FQ2 2024","Currency=USD","Period=FQ","BEST_FPERIOD_OVERRIDE=FQ","FILING_STATUS=MR","Sort=A","Dates=H","DateFormat=P","Fill=—","Direction=H","UseDPDF=Y")</f>
        <v>-14.4099</v>
      </c>
      <c r="Z16" s="14">
        <f>_xll.BDH("BLUE US Equity","NET_FIXED_ASSETS_1_YEAR_GROWTH","FQ3 2024","FQ3 2024","Currency=USD","Period=FQ","BEST_FPERIOD_OVERRIDE=FQ","FILING_STATUS=MR","Sort=A","Dates=H","DateFormat=P","Fill=—","Direction=H","UseDPDF=Y")</f>
        <v>-19.363399999999999</v>
      </c>
      <c r="AA16" s="14">
        <f>_xll.BDH("BLUE US Equity","NET_FIXED_ASSETS_1_YEAR_GROWTH","FQ4 2024","FQ4 2024","Currency=USD","Period=FQ","BEST_FPERIOD_OVERRIDE=FQ","FILING_STATUS=MR","Sort=A","Dates=H","DateFormat=P","Fill=—","Direction=H","UseDPDF=Y")</f>
        <v>-10.9785</v>
      </c>
    </row>
    <row r="17" spans="1:27" x14ac:dyDescent="0.25">
      <c r="A17" s="10" t="s">
        <v>112</v>
      </c>
      <c r="B17" s="10" t="s">
        <v>1278</v>
      </c>
      <c r="C17" s="14">
        <f>_xll.BDH("BLUE US Equity","ASSET_GROWTH","FQ4 2018","FQ4 2018","Currency=USD","Period=FQ","BEST_FPERIOD_OVERRIDE=FQ","FILING_STATUS=MR","Sort=A","Dates=H","DateFormat=P","Fill=—","Direction=H","UseDPDF=Y")</f>
        <v>18.0092</v>
      </c>
      <c r="D17" s="14">
        <f>_xll.BDH("BLUE US Equity","ASSET_GROWTH","FQ1 2019","FQ1 2019","Currency=USD","Period=FQ","BEST_FPERIOD_OVERRIDE=FQ","FILING_STATUS=MR","Sort=A","Dates=H","DateFormat=P","Fill=—","Direction=H","UseDPDF=Y")</f>
        <v>14.56</v>
      </c>
      <c r="E17" s="14">
        <f>_xll.BDH("BLUE US Equity","ASSET_GROWTH","FQ2 2019","FQ2 2019","Currency=USD","Period=FQ","BEST_FPERIOD_OVERRIDE=FQ","FILING_STATUS=MR","Sort=A","Dates=H","DateFormat=P","Fill=—","Direction=H","UseDPDF=Y")</f>
        <v>14.864100000000001</v>
      </c>
      <c r="F17" s="14">
        <f>_xll.BDH("BLUE US Equity","ASSET_GROWTH","FQ3 2019","FQ3 2019","Currency=USD","Period=FQ","BEST_FPERIOD_OVERRIDE=FQ","FILING_STATUS=MR","Sort=A","Dates=H","DateFormat=P","Fill=—","Direction=H","UseDPDF=Y")</f>
        <v>-19.5413</v>
      </c>
      <c r="G17" s="14">
        <f>_xll.BDH("BLUE US Equity","ASSET_GROWTH","FQ4 2019","FQ4 2019","Currency=USD","Period=FQ","BEST_FPERIOD_OVERRIDE=FQ","FILING_STATUS=MR","Sort=A","Dates=H","DateFormat=P","Fill=—","Direction=H","UseDPDF=Y")</f>
        <v>-22.980599999999999</v>
      </c>
      <c r="H17" s="14">
        <f>_xll.BDH("BLUE US Equity","ASSET_GROWTH","FQ1 2020","FQ1 2020","Currency=USD","Period=FQ","BEST_FPERIOD_OVERRIDE=FQ","FILING_STATUS=MR","Sort=A","Dates=H","DateFormat=P","Fill=—","Direction=H","UseDPDF=Y")</f>
        <v>-28.500299999999999</v>
      </c>
      <c r="I17" s="14">
        <f>_xll.BDH("BLUE US Equity","ASSET_GROWTH","FQ2 2020","FQ2 2020","Currency=USD","Period=FQ","BEST_FPERIOD_OVERRIDE=FQ","FILING_STATUS=MR","Sort=A","Dates=H","DateFormat=P","Fill=—","Direction=H","UseDPDF=Y")</f>
        <v>4.1736000000000004</v>
      </c>
      <c r="J17" s="14">
        <f>_xll.BDH("BLUE US Equity","ASSET_GROWTH","FQ3 2020","FQ3 2020","Currency=USD","Period=FQ","BEST_FPERIOD_OVERRIDE=FQ","FILING_STATUS=MR","Sort=A","Dates=H","DateFormat=P","Fill=—","Direction=H","UseDPDF=Y")</f>
        <v>2.8149999999999999</v>
      </c>
      <c r="K17" s="14">
        <f>_xll.BDH("BLUE US Equity","ASSET_GROWTH","FQ4 2020","FQ4 2020","Currency=USD","Period=FQ","BEST_FPERIOD_OVERRIDE=FQ","FILING_STATUS=MR","Sort=A","Dates=H","DateFormat=P","Fill=—","Direction=H","UseDPDF=Y")</f>
        <v>3.1160999999999999</v>
      </c>
      <c r="L17" s="14">
        <f>_xll.BDH("BLUE US Equity","ASSET_GROWTH","FQ1 2021","FQ1 2021","Currency=USD","Period=FQ","BEST_FPERIOD_OVERRIDE=FQ","FILING_STATUS=MR","Sort=A","Dates=H","DateFormat=P","Fill=—","Direction=H","UseDPDF=Y")</f>
        <v>7.0743999999999998</v>
      </c>
      <c r="M17" s="14">
        <f>_xll.BDH("BLUE US Equity","ASSET_GROWTH","FQ2 2021","FQ2 2021","Currency=USD","Period=FQ","BEST_FPERIOD_OVERRIDE=FQ","FILING_STATUS=MR","Sort=A","Dates=H","DateFormat=P","Fill=—","Direction=H","UseDPDF=Y")</f>
        <v>-30.995999999999999</v>
      </c>
      <c r="N17" s="14">
        <f>_xll.BDH("BLUE US Equity","ASSET_GROWTH","FQ3 2021","FQ3 2021","Currency=USD","Period=FQ","BEST_FPERIOD_OVERRIDE=FQ","FILING_STATUS=MR","Sort=A","Dates=H","DateFormat=P","Fill=—","Direction=H","UseDPDF=Y")</f>
        <v>-31.140799999999999</v>
      </c>
      <c r="O17" s="14">
        <f>_xll.BDH("BLUE US Equity","ASSET_GROWTH","FQ4 2021","FQ4 2021","Currency=USD","Period=FQ","BEST_FPERIOD_OVERRIDE=FQ","FILING_STATUS=MR","Sort=A","Dates=H","DateFormat=P","Fill=—","Direction=H","UseDPDF=Y")</f>
        <v>-66.664199999999994</v>
      </c>
      <c r="P17" s="14">
        <f>_xll.BDH("BLUE US Equity","ASSET_GROWTH","FQ1 2022","FQ1 2022","Currency=USD","Period=FQ","BEST_FPERIOD_OVERRIDE=FQ","FILING_STATUS=MR","Sort=A","Dates=H","DateFormat=P","Fill=—","Direction=H","UseDPDF=Y")</f>
        <v>-70.006900000000002</v>
      </c>
      <c r="Q17" s="14">
        <f>_xll.BDH("BLUE US Equity","ASSET_GROWTH","FQ2 2022","FQ2 2022","Currency=USD","Period=FQ","BEST_FPERIOD_OVERRIDE=FQ","FILING_STATUS=MR","Sort=A","Dates=H","DateFormat=P","Fill=—","Direction=H","UseDPDF=Y")</f>
        <v>-60.563200000000002</v>
      </c>
      <c r="R17" s="14">
        <f>_xll.BDH("BLUE US Equity","ASSET_GROWTH","FQ3 2022","FQ3 2022","Currency=USD","Period=FQ","BEST_FPERIOD_OVERRIDE=FQ","FILING_STATUS=MR","Sort=A","Dates=H","DateFormat=P","Fill=—","Direction=H","UseDPDF=Y")</f>
        <v>-61.176400000000001</v>
      </c>
      <c r="S17" s="14">
        <f>_xll.BDH("BLUE US Equity","ASSET_GROWTH","FQ4 2022","FQ4 2022","Currency=USD","Period=FQ","BEST_FPERIOD_OVERRIDE=FQ","FILING_STATUS=MR","Sort=A","Dates=H","DateFormat=P","Fill=—","Direction=H","UseDPDF=Y")</f>
        <v>-4.0385999999999997</v>
      </c>
      <c r="T17" s="14">
        <f>_xll.BDH("BLUE US Equity","ASSET_GROWTH","FQ1 2023","FQ1 2023","Currency=USD","Period=FQ","BEST_FPERIOD_OVERRIDE=FQ","FILING_STATUS=MR","Sort=A","Dates=H","DateFormat=P","Fill=—","Direction=H","UseDPDF=Y")</f>
        <v>41.066400000000002</v>
      </c>
      <c r="U17" s="14">
        <f>_xll.BDH("BLUE US Equity","ASSET_GROWTH","FQ2 2023","FQ2 2023","Currency=USD","Period=FQ","BEST_FPERIOD_OVERRIDE=FQ","FILING_STATUS=MR","Sort=A","Dates=H","DateFormat=P","Fill=—","Direction=H","UseDPDF=Y")</f>
        <v>15.655900000000001</v>
      </c>
      <c r="V17" s="14">
        <f>_xll.BDH("BLUE US Equity","ASSET_GROWTH","FQ3 2023","FQ3 2023","Currency=USD","Period=FQ","BEST_FPERIOD_OVERRIDE=FQ","FILING_STATUS=MR","Sort=A","Dates=H","DateFormat=P","Fill=—","Direction=H","UseDPDF=Y")</f>
        <v>17.979299999999999</v>
      </c>
      <c r="W17" s="14">
        <f>_xll.BDH("BLUE US Equity","ASSET_GROWTH","FQ4 2023","FQ4 2023","Currency=USD","Period=FQ","BEST_FPERIOD_OVERRIDE=FQ","FILING_STATUS=MR","Sort=A","Dates=H","DateFormat=P","Fill=—","Direction=H","UseDPDF=Y")</f>
        <v>8.6601999999999997</v>
      </c>
      <c r="X17" s="14">
        <f>_xll.BDH("BLUE US Equity","ASSET_GROWTH","FQ1 2024","FQ1 2024","Currency=USD","Period=FQ","BEST_FPERIOD_OVERRIDE=FQ","FILING_STATUS=MR","Sort=A","Dates=H","DateFormat=P","Fill=—","Direction=H","UseDPDF=Y")</f>
        <v>-8.8422000000000001</v>
      </c>
      <c r="Y17" s="14">
        <f>_xll.BDH("BLUE US Equity","ASSET_GROWTH","FQ2 2024","FQ2 2024","Currency=USD","Period=FQ","BEST_FPERIOD_OVERRIDE=FQ","FILING_STATUS=MR","Sort=A","Dates=H","DateFormat=P","Fill=—","Direction=H","UseDPDF=Y")</f>
        <v>-17.817499999999999</v>
      </c>
      <c r="Z17" s="14">
        <f>_xll.BDH("BLUE US Equity","ASSET_GROWTH","FQ3 2024","FQ3 2024","Currency=USD","Period=FQ","BEST_FPERIOD_OVERRIDE=FQ","FILING_STATUS=MR","Sort=A","Dates=H","DateFormat=P","Fill=—","Direction=H","UseDPDF=Y")</f>
        <v>-24.209599999999998</v>
      </c>
      <c r="AA17" s="14">
        <f>_xll.BDH("BLUE US Equity","ASSET_GROWTH","FQ4 2024","FQ4 2024","Currency=USD","Period=FQ","BEST_FPERIOD_OVERRIDE=FQ","FILING_STATUS=MR","Sort=A","Dates=H","DateFormat=P","Fill=—","Direction=H","UseDPDF=Y")</f>
        <v>-25.668399999999998</v>
      </c>
    </row>
    <row r="18" spans="1:27" x14ac:dyDescent="0.25">
      <c r="A18" s="10" t="s">
        <v>1279</v>
      </c>
      <c r="B18" s="10" t="s">
        <v>1280</v>
      </c>
      <c r="C18" s="14">
        <f>_xll.BDH("BLUE US Equity","MODIFIED_WORK_CAP_GROWTH","FQ4 2018","FQ4 2018","Currency=USD","Period=FQ","BEST_FPERIOD_OVERRIDE=FQ","FILING_STATUS=MR","Sort=A","Dates=H","DateFormat=P","Fill=—","Direction=H","UseDPDF=Y")</f>
        <v>-38.514699999999998</v>
      </c>
      <c r="D18" s="14">
        <f>_xll.BDH("BLUE US Equity","MODIFIED_WORK_CAP_GROWTH","FQ1 2019","FQ1 2019","Currency=USD","Period=FQ","BEST_FPERIOD_OVERRIDE=FQ","FILING_STATUS=MR","Sort=A","Dates=H","DateFormat=P","Fill=—","Direction=H","UseDPDF=Y")</f>
        <v>-151.42169999999999</v>
      </c>
      <c r="E18" s="14">
        <f>_xll.BDH("BLUE US Equity","MODIFIED_WORK_CAP_GROWTH","FQ2 2019","FQ2 2019","Currency=USD","Period=FQ","BEST_FPERIOD_OVERRIDE=FQ","FILING_STATUS=MR","Sort=A","Dates=H","DateFormat=P","Fill=—","Direction=H","UseDPDF=Y")</f>
        <v>-64.239500000000007</v>
      </c>
      <c r="F18" s="14">
        <f>_xll.BDH("BLUE US Equity","MODIFIED_WORK_CAP_GROWTH","FQ3 2019","FQ3 2019","Currency=USD","Period=FQ","BEST_FPERIOD_OVERRIDE=FQ","FILING_STATUS=MR","Sort=A","Dates=H","DateFormat=P","Fill=—","Direction=H","UseDPDF=Y")</f>
        <v>-224.8313</v>
      </c>
      <c r="G18" s="14">
        <f>_xll.BDH("BLUE US Equity","MODIFIED_WORK_CAP_GROWTH","FQ4 2019","FQ4 2019","Currency=USD","Period=FQ","BEST_FPERIOD_OVERRIDE=FQ","FILING_STATUS=MR","Sort=A","Dates=H","DateFormat=P","Fill=—","Direction=H","UseDPDF=Y")</f>
        <v>-141.125</v>
      </c>
      <c r="H18" s="14">
        <f>_xll.BDH("BLUE US Equity","MODIFIED_WORK_CAP_GROWTH","FQ1 2020","FQ1 2020","Currency=USD","Period=FQ","BEST_FPERIOD_OVERRIDE=FQ","FILING_STATUS=MR","Sort=A","Dates=H","DateFormat=P","Fill=—","Direction=H","UseDPDF=Y")</f>
        <v>-0.94569999999999999</v>
      </c>
      <c r="I18" s="14">
        <f>_xll.BDH("BLUE US Equity","MODIFIED_WORK_CAP_GROWTH","FQ2 2020","FQ2 2020","Currency=USD","Period=FQ","BEST_FPERIOD_OVERRIDE=FQ","FILING_STATUS=MR","Sort=A","Dates=H","DateFormat=P","Fill=—","Direction=H","UseDPDF=Y")</f>
        <v>11.1243</v>
      </c>
      <c r="J18" s="14">
        <f>_xll.BDH("BLUE US Equity","MODIFIED_WORK_CAP_GROWTH","FQ3 2020","FQ3 2020","Currency=USD","Period=FQ","BEST_FPERIOD_OVERRIDE=FQ","FILING_STATUS=MR","Sort=A","Dates=H","DateFormat=P","Fill=—","Direction=H","UseDPDF=Y")</f>
        <v>39.559199999999997</v>
      </c>
      <c r="K18" s="14">
        <f>_xll.BDH("BLUE US Equity","MODIFIED_WORK_CAP_GROWTH","FQ4 2020","FQ4 2020","Currency=USD","Period=FQ","BEST_FPERIOD_OVERRIDE=FQ","FILING_STATUS=MR","Sort=A","Dates=H","DateFormat=P","Fill=—","Direction=H","UseDPDF=Y")</f>
        <v>92.759600000000006</v>
      </c>
      <c r="L18" s="14">
        <f>_xll.BDH("BLUE US Equity","MODIFIED_WORK_CAP_GROWTH","FQ1 2021","FQ1 2021","Currency=USD","Period=FQ","BEST_FPERIOD_OVERRIDE=FQ","FILING_STATUS=MR","Sort=A","Dates=H","DateFormat=P","Fill=—","Direction=H","UseDPDF=Y")</f>
        <v>92.947199999999995</v>
      </c>
      <c r="M18" s="14">
        <f>_xll.BDH("BLUE US Equity","MODIFIED_WORK_CAP_GROWTH","FQ2 2021","FQ2 2021","Currency=USD","Period=FQ","BEST_FPERIOD_OVERRIDE=FQ","FILING_STATUS=MR","Sort=A","Dates=H","DateFormat=P","Fill=—","Direction=H","UseDPDF=Y")</f>
        <v>1.4858</v>
      </c>
      <c r="N18" s="14">
        <f>_xll.BDH("BLUE US Equity","MODIFIED_WORK_CAP_GROWTH","FQ3 2021","FQ3 2021","Currency=USD","Period=FQ","BEST_FPERIOD_OVERRIDE=FQ","FILING_STATUS=MR","Sort=A","Dates=H","DateFormat=P","Fill=—","Direction=H","UseDPDF=Y")</f>
        <v>17.412800000000001</v>
      </c>
      <c r="O18" s="14">
        <f>_xll.BDH("BLUE US Equity","MODIFIED_WORK_CAP_GROWTH","FQ4 2021","FQ4 2021","Currency=USD","Period=FQ","BEST_FPERIOD_OVERRIDE=FQ","FILING_STATUS=MR","Sort=A","Dates=H","DateFormat=P","Fill=—","Direction=H","UseDPDF=Y")</f>
        <v>-731.44880000000001</v>
      </c>
      <c r="P18" s="14">
        <f>_xll.BDH("BLUE US Equity","MODIFIED_WORK_CAP_GROWTH","FQ1 2022","FQ1 2022","Currency=USD","Period=FQ","BEST_FPERIOD_OVERRIDE=FQ","FILING_STATUS=MR","Sort=A","Dates=H","DateFormat=P","Fill=—","Direction=H","UseDPDF=Y")</f>
        <v>-1216.7673</v>
      </c>
      <c r="Q18" s="14">
        <f>_xll.BDH("BLUE US Equity","MODIFIED_WORK_CAP_GROWTH","FQ2 2022","FQ2 2022","Currency=USD","Period=FQ","BEST_FPERIOD_OVERRIDE=FQ","FILING_STATUS=MR","Sort=A","Dates=H","DateFormat=P","Fill=—","Direction=H","UseDPDF=Y")</f>
        <v>3.5941000000000001</v>
      </c>
      <c r="R18" s="14">
        <f>_xll.BDH("BLUE US Equity","MODIFIED_WORK_CAP_GROWTH","FQ3 2022","FQ3 2022","Currency=USD","Period=FQ","BEST_FPERIOD_OVERRIDE=FQ","FILING_STATUS=MR","Sort=A","Dates=H","DateFormat=P","Fill=—","Direction=H","UseDPDF=Y")</f>
        <v>10.907999999999999</v>
      </c>
      <c r="S18" s="14">
        <f>_xll.BDH("BLUE US Equity","MODIFIED_WORK_CAP_GROWTH","FQ4 2022","FQ4 2022","Currency=USD","Period=FQ","BEST_FPERIOD_OVERRIDE=FQ","FILING_STATUS=MR","Sort=A","Dates=H","DateFormat=P","Fill=—","Direction=H","UseDPDF=Y")</f>
        <v>42.5608</v>
      </c>
      <c r="T18" s="14">
        <f>_xll.BDH("BLUE US Equity","MODIFIED_WORK_CAP_GROWTH","FQ1 2023","FQ1 2023","Currency=USD","Period=FQ","BEST_FPERIOD_OVERRIDE=FQ","FILING_STATUS=MR","Sort=A","Dates=H","DateFormat=P","Fill=—","Direction=H","UseDPDF=Y")</f>
        <v>45.587299999999999</v>
      </c>
      <c r="U18" s="14" t="str">
        <f>_xll.BDH("BLUE US Equity","MODIFIED_WORK_CAP_GROWTH","FQ2 2023","FQ2 2023","Currency=USD","Period=FQ","BEST_FPERIOD_OVERRIDE=FQ","FILING_STATUS=MR","Sort=A","Dates=H","DateFormat=P","Fill=—","Direction=H","UseDPDF=Y")</f>
        <v>—</v>
      </c>
      <c r="V18" s="14" t="str">
        <f>_xll.BDH("BLUE US Equity","MODIFIED_WORK_CAP_GROWTH","FQ3 2023","FQ3 2023","Currency=USD","Period=FQ","BEST_FPERIOD_OVERRIDE=FQ","FILING_STATUS=MR","Sort=A","Dates=H","DateFormat=P","Fill=—","Direction=H","UseDPDF=Y")</f>
        <v>—</v>
      </c>
      <c r="W18" s="14" t="str">
        <f>_xll.BDH("BLUE US Equity","MODIFIED_WORK_CAP_GROWTH","FQ4 2023","FQ4 2023","Currency=USD","Period=FQ","BEST_FPERIOD_OVERRIDE=FQ","FILING_STATUS=MR","Sort=A","Dates=H","DateFormat=P","Fill=—","Direction=H","UseDPDF=Y")</f>
        <v>—</v>
      </c>
      <c r="X18" s="14" t="str">
        <f>_xll.BDH("BLUE US Equity","MODIFIED_WORK_CAP_GROWTH","FQ1 2024","FQ1 2024","Currency=USD","Period=FQ","BEST_FPERIOD_OVERRIDE=FQ","FILING_STATUS=MR","Sort=A","Dates=H","DateFormat=P","Fill=—","Direction=H","UseDPDF=Y")</f>
        <v>—</v>
      </c>
      <c r="Y18" s="14">
        <f>_xll.BDH("BLUE US Equity","MODIFIED_WORK_CAP_GROWTH","FQ2 2024","FQ2 2024","Currency=USD","Period=FQ","BEST_FPERIOD_OVERRIDE=FQ","FILING_STATUS=MR","Sort=A","Dates=H","DateFormat=P","Fill=—","Direction=H","UseDPDF=Y")</f>
        <v>-0.32750000000000001</v>
      </c>
      <c r="Z18" s="14">
        <f>_xll.BDH("BLUE US Equity","MODIFIED_WORK_CAP_GROWTH","FQ3 2024","FQ3 2024","Currency=USD","Period=FQ","BEST_FPERIOD_OVERRIDE=FQ","FILING_STATUS=MR","Sort=A","Dates=H","DateFormat=P","Fill=—","Direction=H","UseDPDF=Y")</f>
        <v>22.166899999999998</v>
      </c>
      <c r="AA18" s="14">
        <f>_xll.BDH("BLUE US Equity","MODIFIED_WORK_CAP_GROWTH","FQ4 2024","FQ4 2024","Currency=USD","Period=FQ","BEST_FPERIOD_OVERRIDE=FQ","FILING_STATUS=MR","Sort=A","Dates=H","DateFormat=P","Fill=—","Direction=H","UseDPDF=Y")</f>
        <v>594.43560000000002</v>
      </c>
    </row>
    <row r="19" spans="1:27" x14ac:dyDescent="0.25">
      <c r="A19" s="10" t="s">
        <v>1281</v>
      </c>
      <c r="B19" s="10" t="s">
        <v>1282</v>
      </c>
      <c r="C19" s="14">
        <f>_xll.BDH("BLUE US Equity","WORK_CAP_GROWTH","FQ4 2018","FQ4 2018","Currency=USD","Period=FQ","BEST_FPERIOD_OVERRIDE=FQ","FILING_STATUS=MR","Sort=A","Dates=H","DateFormat=P","Fill=—","Direction=H","UseDPDF=Y")</f>
        <v>3.7002999999999999</v>
      </c>
      <c r="D19" s="14">
        <f>_xll.BDH("BLUE US Equity","WORK_CAP_GROWTH","FQ1 2019","FQ1 2019","Currency=USD","Period=FQ","BEST_FPERIOD_OVERRIDE=FQ","FILING_STATUS=MR","Sort=A","Dates=H","DateFormat=P","Fill=—","Direction=H","UseDPDF=Y")</f>
        <v>15.3348</v>
      </c>
      <c r="E19" s="14">
        <f>_xll.BDH("BLUE US Equity","WORK_CAP_GROWTH","FQ2 2019","FQ2 2019","Currency=USD","Period=FQ","BEST_FPERIOD_OVERRIDE=FQ","FILING_STATUS=MR","Sort=A","Dates=H","DateFormat=P","Fill=—","Direction=H","UseDPDF=Y")</f>
        <v>15.077500000000001</v>
      </c>
      <c r="F19" s="14">
        <f>_xll.BDH("BLUE US Equity","WORK_CAP_GROWTH","FQ3 2019","FQ3 2019","Currency=USD","Period=FQ","BEST_FPERIOD_OVERRIDE=FQ","FILING_STATUS=MR","Sort=A","Dates=H","DateFormat=P","Fill=—","Direction=H","UseDPDF=Y")</f>
        <v>-35.747100000000003</v>
      </c>
      <c r="G19" s="14">
        <f>_xll.BDH("BLUE US Equity","WORK_CAP_GROWTH","FQ4 2019","FQ4 2019","Currency=USD","Period=FQ","BEST_FPERIOD_OVERRIDE=FQ","FILING_STATUS=MR","Sort=A","Dates=H","DateFormat=P","Fill=—","Direction=H","UseDPDF=Y")</f>
        <v>-27.029800000000002</v>
      </c>
      <c r="H19" s="14">
        <f>_xll.BDH("BLUE US Equity","WORK_CAP_GROWTH","FQ1 2020","FQ1 2020","Currency=USD","Period=FQ","BEST_FPERIOD_OVERRIDE=FQ","FILING_STATUS=MR","Sort=A","Dates=H","DateFormat=P","Fill=—","Direction=H","UseDPDF=Y")</f>
        <v>-35.7286</v>
      </c>
      <c r="I19" s="14">
        <f>_xll.BDH("BLUE US Equity","WORK_CAP_GROWTH","FQ2 2020","FQ2 2020","Currency=USD","Period=FQ","BEST_FPERIOD_OVERRIDE=FQ","FILING_STATUS=MR","Sort=A","Dates=H","DateFormat=P","Fill=—","Direction=H","UseDPDF=Y")</f>
        <v>24.378699999999998</v>
      </c>
      <c r="J19" s="14">
        <f>_xll.BDH("BLUE US Equity","WORK_CAP_GROWTH","FQ3 2020","FQ3 2020","Currency=USD","Period=FQ","BEST_FPERIOD_OVERRIDE=FQ","FILING_STATUS=MR","Sort=A","Dates=H","DateFormat=P","Fill=—","Direction=H","UseDPDF=Y")</f>
        <v>7.0591999999999997</v>
      </c>
      <c r="K19" s="14">
        <f>_xll.BDH("BLUE US Equity","WORK_CAP_GROWTH","FQ4 2020","FQ4 2020","Currency=USD","Period=FQ","BEST_FPERIOD_OVERRIDE=FQ","FILING_STATUS=MR","Sort=A","Dates=H","DateFormat=P","Fill=—","Direction=H","UseDPDF=Y")</f>
        <v>8.9764999999999997</v>
      </c>
      <c r="L19" s="14">
        <f>_xll.BDH("BLUE US Equity","WORK_CAP_GROWTH","FQ1 2021","FQ1 2021","Currency=USD","Period=FQ","BEST_FPERIOD_OVERRIDE=FQ","FILING_STATUS=MR","Sort=A","Dates=H","DateFormat=P","Fill=—","Direction=H","UseDPDF=Y")</f>
        <v>13.8147</v>
      </c>
      <c r="M19" s="14">
        <f>_xll.BDH("BLUE US Equity","WORK_CAP_GROWTH","FQ2 2021","FQ2 2021","Currency=USD","Period=FQ","BEST_FPERIOD_OVERRIDE=FQ","FILING_STATUS=MR","Sort=A","Dates=H","DateFormat=P","Fill=—","Direction=H","UseDPDF=Y")</f>
        <v>-53.697800000000001</v>
      </c>
      <c r="N19" s="14">
        <f>_xll.BDH("BLUE US Equity","WORK_CAP_GROWTH","FQ3 2021","FQ3 2021","Currency=USD","Period=FQ","BEST_FPERIOD_OVERRIDE=FQ","FILING_STATUS=MR","Sort=A","Dates=H","DateFormat=P","Fill=—","Direction=H","UseDPDF=Y")</f>
        <v>-48.392499999999998</v>
      </c>
      <c r="O19" s="14">
        <f>_xll.BDH("BLUE US Equity","WORK_CAP_GROWTH","FQ4 2021","FQ4 2021","Currency=USD","Period=FQ","BEST_FPERIOD_OVERRIDE=FQ","FILING_STATUS=MR","Sort=A","Dates=H","DateFormat=P","Fill=—","Direction=H","UseDPDF=Y")</f>
        <v>-81.864000000000004</v>
      </c>
      <c r="P19" s="14">
        <f>_xll.BDH("BLUE US Equity","WORK_CAP_GROWTH","FQ1 2022","FQ1 2022","Currency=USD","Period=FQ","BEST_FPERIOD_OVERRIDE=FQ","FILING_STATUS=MR","Sort=A","Dates=H","DateFormat=P","Fill=—","Direction=H","UseDPDF=Y")</f>
        <v>-87.430199999999999</v>
      </c>
      <c r="Q19" s="14">
        <f>_xll.BDH("BLUE US Equity","WORK_CAP_GROWTH","FQ2 2022","FQ2 2022","Currency=USD","Period=FQ","BEST_FPERIOD_OVERRIDE=FQ","FILING_STATUS=MR","Sort=A","Dates=H","DateFormat=P","Fill=—","Direction=H","UseDPDF=Y")</f>
        <v>-97.164100000000005</v>
      </c>
      <c r="R19" s="14">
        <f>_xll.BDH("BLUE US Equity","WORK_CAP_GROWTH","FQ3 2022","FQ3 2022","Currency=USD","Period=FQ","BEST_FPERIOD_OVERRIDE=FQ","FILING_STATUS=MR","Sort=A","Dates=H","DateFormat=P","Fill=—","Direction=H","UseDPDF=Y")</f>
        <v>-94.041499999999999</v>
      </c>
      <c r="S19" s="14">
        <f>_xll.BDH("BLUE US Equity","WORK_CAP_GROWTH","FQ4 2022","FQ4 2022","Currency=USD","Period=FQ","BEST_FPERIOD_OVERRIDE=FQ","FILING_STATUS=MR","Sort=A","Dates=H","DateFormat=P","Fill=—","Direction=H","UseDPDF=Y")</f>
        <v>-74.394499999999994</v>
      </c>
      <c r="T19" s="14">
        <f>_xll.BDH("BLUE US Equity","WORK_CAP_GROWTH","FQ1 2023","FQ1 2023","Currency=USD","Period=FQ","BEST_FPERIOD_OVERRIDE=FQ","FILING_STATUS=MR","Sort=A","Dates=H","DateFormat=P","Fill=—","Direction=H","UseDPDF=Y")</f>
        <v>109.8978</v>
      </c>
      <c r="U19" s="14">
        <f>_xll.BDH("BLUE US Equity","WORK_CAP_GROWTH","FQ2 2023","FQ2 2023","Currency=USD","Period=FQ","BEST_FPERIOD_OVERRIDE=FQ","FILING_STATUS=MR","Sort=A","Dates=H","DateFormat=P","Fill=—","Direction=H","UseDPDF=Y")</f>
        <v>722.50360000000001</v>
      </c>
      <c r="V19" s="14">
        <f>_xll.BDH("BLUE US Equity","WORK_CAP_GROWTH","FQ3 2023","FQ3 2023","Currency=USD","Period=FQ","BEST_FPERIOD_OVERRIDE=FQ","FILING_STATUS=MR","Sort=A","Dates=H","DateFormat=P","Fill=—","Direction=H","UseDPDF=Y")</f>
        <v>161.3954</v>
      </c>
      <c r="W19" s="14">
        <f>_xll.BDH("BLUE US Equity","WORK_CAP_GROWTH","FQ4 2023","FQ4 2023","Currency=USD","Period=FQ","BEST_FPERIOD_OVERRIDE=FQ","FILING_STATUS=MR","Sort=A","Dates=H","DateFormat=P","Fill=—","Direction=H","UseDPDF=Y")</f>
        <v>73.583299999999994</v>
      </c>
      <c r="X19" s="14" t="str">
        <f>_xll.BDH("BLUE US Equity","WORK_CAP_GROWTH","FQ1 2024","FQ1 2024","Currency=USD","Period=FQ","BEST_FPERIOD_OVERRIDE=FQ","FILING_STATUS=MR","Sort=A","Dates=H","DateFormat=P","Fill=—","Direction=H","UseDPDF=Y")</f>
        <v>—</v>
      </c>
      <c r="Y19" s="14" t="str">
        <f>_xll.BDH("BLUE US Equity","WORK_CAP_GROWTH","FQ2 2024","FQ2 2024","Currency=USD","Period=FQ","BEST_FPERIOD_OVERRIDE=FQ","FILING_STATUS=MR","Sort=A","Dates=H","DateFormat=P","Fill=—","Direction=H","UseDPDF=Y")</f>
        <v>—</v>
      </c>
      <c r="Z19" s="14" t="str">
        <f>_xll.BDH("BLUE US Equity","WORK_CAP_GROWTH","FQ3 2024","FQ3 2024","Currency=USD","Period=FQ","BEST_FPERIOD_OVERRIDE=FQ","FILING_STATUS=MR","Sort=A","Dates=H","DateFormat=P","Fill=—","Direction=H","UseDPDF=Y")</f>
        <v>—</v>
      </c>
      <c r="AA19" s="14" t="str">
        <f>_xll.BDH("BLUE US Equity","WORK_CAP_GROWTH","FQ4 2024","FQ4 2024","Currency=USD","Period=FQ","BEST_FPERIOD_OVERRIDE=FQ","FILING_STATUS=MR","Sort=A","Dates=H","DateFormat=P","Fill=—","Direction=H","UseDPDF=Y")</f>
        <v>—</v>
      </c>
    </row>
    <row r="20" spans="1:27" x14ac:dyDescent="0.25">
      <c r="A20" s="10" t="s">
        <v>1283</v>
      </c>
      <c r="B20" s="10" t="s">
        <v>1284</v>
      </c>
      <c r="C20" s="14">
        <f>_xll.BDH("BLUE US Equity","EMPL_GROWTH","FQ4 2018","FQ4 2018","Currency=USD","Period=FQ","BEST_FPERIOD_OVERRIDE=FQ","FILING_STATUS=MR","Sort=A","Dates=H","DateFormat=P","Fill=—","Direction=H","UseDPDF=Y")</f>
        <v>59.499000000000002</v>
      </c>
      <c r="D20" s="14" t="str">
        <f>_xll.BDH("BLUE US Equity","EMPL_GROWTH","FQ1 2019","FQ1 2019","Currency=USD","Period=FQ","BEST_FPERIOD_OVERRIDE=FQ","FILING_STATUS=MR","Sort=A","Dates=H","DateFormat=P","Fill=—","Direction=H","UseDPDF=Y")</f>
        <v>—</v>
      </c>
      <c r="E20" s="14" t="str">
        <f>_xll.BDH("BLUE US Equity","EMPL_GROWTH","FQ2 2019","FQ2 2019","Currency=USD","Period=FQ","BEST_FPERIOD_OVERRIDE=FQ","FILING_STATUS=MR","Sort=A","Dates=H","DateFormat=P","Fill=—","Direction=H","UseDPDF=Y")</f>
        <v>—</v>
      </c>
      <c r="F20" s="14" t="str">
        <f>_xll.BDH("BLUE US Equity","EMPL_GROWTH","FQ3 2019","FQ3 2019","Currency=USD","Period=FQ","BEST_FPERIOD_OVERRIDE=FQ","FILING_STATUS=MR","Sort=A","Dates=H","DateFormat=P","Fill=—","Direction=H","UseDPDF=Y")</f>
        <v>—</v>
      </c>
      <c r="G20" s="14">
        <f>_xll.BDH("BLUE US Equity","EMPL_GROWTH","FQ4 2019","FQ4 2019","Currency=USD","Period=FQ","BEST_FPERIOD_OVERRIDE=FQ","FILING_STATUS=MR","Sort=A","Dates=H","DateFormat=P","Fill=—","Direction=H","UseDPDF=Y")</f>
        <v>32.460700000000003</v>
      </c>
      <c r="H20" s="14" t="str">
        <f>_xll.BDH("BLUE US Equity","EMPL_GROWTH","FQ1 2020","FQ1 2020","Currency=USD","Period=FQ","BEST_FPERIOD_OVERRIDE=FQ","FILING_STATUS=MR","Sort=A","Dates=H","DateFormat=P","Fill=—","Direction=H","UseDPDF=Y")</f>
        <v>—</v>
      </c>
      <c r="I20" s="14" t="str">
        <f>_xll.BDH("BLUE US Equity","EMPL_GROWTH","FQ2 2020","FQ2 2020","Currency=USD","Period=FQ","BEST_FPERIOD_OVERRIDE=FQ","FILING_STATUS=MR","Sort=A","Dates=H","DateFormat=P","Fill=—","Direction=H","UseDPDF=Y")</f>
        <v>—</v>
      </c>
      <c r="J20" s="14" t="str">
        <f>_xll.BDH("BLUE US Equity","EMPL_GROWTH","FQ3 2020","FQ3 2020","Currency=USD","Period=FQ","BEST_FPERIOD_OVERRIDE=FQ","FILING_STATUS=MR","Sort=A","Dates=H","DateFormat=P","Fill=—","Direction=H","UseDPDF=Y")</f>
        <v>—</v>
      </c>
      <c r="K20" s="14">
        <f>_xll.BDH("BLUE US Equity","EMPL_GROWTH","FQ4 2020","FQ4 2020","Currency=USD","Period=FQ","BEST_FPERIOD_OVERRIDE=FQ","FILING_STATUS=MR","Sort=A","Dates=H","DateFormat=P","Fill=—","Direction=H","UseDPDF=Y")</f>
        <v>19.861699999999999</v>
      </c>
      <c r="L20" s="14" t="str">
        <f>_xll.BDH("BLUE US Equity","EMPL_GROWTH","FQ1 2021","FQ1 2021","Currency=USD","Period=FQ","BEST_FPERIOD_OVERRIDE=FQ","FILING_STATUS=MR","Sort=A","Dates=H","DateFormat=P","Fill=—","Direction=H","UseDPDF=Y")</f>
        <v>—</v>
      </c>
      <c r="M20" s="14" t="str">
        <f>_xll.BDH("BLUE US Equity","EMPL_GROWTH","FQ2 2021","FQ2 2021","Currency=USD","Period=FQ","BEST_FPERIOD_OVERRIDE=FQ","FILING_STATUS=MR","Sort=A","Dates=H","DateFormat=P","Fill=—","Direction=H","UseDPDF=Y")</f>
        <v>—</v>
      </c>
      <c r="N20" s="14" t="str">
        <f>_xll.BDH("BLUE US Equity","EMPL_GROWTH","FQ3 2021","FQ3 2021","Currency=USD","Period=FQ","BEST_FPERIOD_OVERRIDE=FQ","FILING_STATUS=MR","Sort=A","Dates=H","DateFormat=P","Fill=—","Direction=H","UseDPDF=Y")</f>
        <v>—</v>
      </c>
      <c r="O20" s="14">
        <f>_xll.BDH("BLUE US Equity","EMPL_GROWTH","FQ4 2021","FQ4 2021","Currency=USD","Period=FQ","BEST_FPERIOD_OVERRIDE=FQ","FILING_STATUS=MR","Sort=A","Dates=H","DateFormat=P","Fill=—","Direction=H","UseDPDF=Y")</f>
        <v>-57.295999999999999</v>
      </c>
      <c r="P20" s="14" t="str">
        <f>_xll.BDH("BLUE US Equity","EMPL_GROWTH","FQ1 2022","FQ1 2022","Currency=USD","Period=FQ","BEST_FPERIOD_OVERRIDE=FQ","FILING_STATUS=MR","Sort=A","Dates=H","DateFormat=P","Fill=—","Direction=H","UseDPDF=Y")</f>
        <v>—</v>
      </c>
      <c r="Q20" s="14" t="str">
        <f>_xll.BDH("BLUE US Equity","EMPL_GROWTH","FQ2 2022","FQ2 2022","Currency=USD","Period=FQ","BEST_FPERIOD_OVERRIDE=FQ","FILING_STATUS=MR","Sort=A","Dates=H","DateFormat=P","Fill=—","Direction=H","UseDPDF=Y")</f>
        <v>—</v>
      </c>
      <c r="R20" s="14" t="str">
        <f>_xll.BDH("BLUE US Equity","EMPL_GROWTH","FQ3 2022","FQ3 2022","Currency=USD","Period=FQ","BEST_FPERIOD_OVERRIDE=FQ","FILING_STATUS=MR","Sort=A","Dates=H","DateFormat=P","Fill=—","Direction=H","UseDPDF=Y")</f>
        <v>—</v>
      </c>
      <c r="S20" s="14">
        <f>_xll.BDH("BLUE US Equity","EMPL_GROWTH","FQ4 2022","FQ4 2022","Currency=USD","Period=FQ","BEST_FPERIOD_OVERRIDE=FQ","FILING_STATUS=MR","Sort=A","Dates=H","DateFormat=P","Fill=—","Direction=H","UseDPDF=Y")</f>
        <v>-37.644799999999996</v>
      </c>
      <c r="T20" s="14" t="str">
        <f>_xll.BDH("BLUE US Equity","EMPL_GROWTH","FQ1 2023","FQ1 2023","Currency=USD","Period=FQ","BEST_FPERIOD_OVERRIDE=FQ","FILING_STATUS=MR","Sort=A","Dates=H","DateFormat=P","Fill=—","Direction=H","UseDPDF=Y")</f>
        <v>—</v>
      </c>
      <c r="U20" s="14" t="str">
        <f>_xll.BDH("BLUE US Equity","EMPL_GROWTH","FQ2 2023","FQ2 2023","Currency=USD","Period=FQ","BEST_FPERIOD_OVERRIDE=FQ","FILING_STATUS=MR","Sort=A","Dates=H","DateFormat=P","Fill=—","Direction=H","UseDPDF=Y")</f>
        <v>—</v>
      </c>
      <c r="V20" s="14" t="str">
        <f>_xll.BDH("BLUE US Equity","EMPL_GROWTH","FQ3 2023","FQ3 2023","Currency=USD","Period=FQ","BEST_FPERIOD_OVERRIDE=FQ","FILING_STATUS=MR","Sort=A","Dates=H","DateFormat=P","Fill=—","Direction=H","UseDPDF=Y")</f>
        <v>—</v>
      </c>
      <c r="W20" s="14">
        <f>_xll.BDH("BLUE US Equity","EMPL_GROWTH","FQ4 2023","FQ4 2023","Currency=USD","Period=FQ","BEST_FPERIOD_OVERRIDE=FQ","FILING_STATUS=MR","Sort=A","Dates=H","DateFormat=P","Fill=—","Direction=H","UseDPDF=Y")</f>
        <v>16.0991</v>
      </c>
      <c r="X20" s="14" t="str">
        <f>_xll.BDH("BLUE US Equity","EMPL_GROWTH","FQ1 2024","FQ1 2024","Currency=USD","Period=FQ","BEST_FPERIOD_OVERRIDE=FQ","FILING_STATUS=MR","Sort=A","Dates=H","DateFormat=P","Fill=—","Direction=H","UseDPDF=Y")</f>
        <v>—</v>
      </c>
      <c r="Y20" s="14" t="str">
        <f>_xll.BDH("BLUE US Equity","EMPL_GROWTH","FQ2 2024","FQ2 2024","Currency=USD","Period=FQ","BEST_FPERIOD_OVERRIDE=FQ","FILING_STATUS=MR","Sort=A","Dates=H","DateFormat=P","Fill=—","Direction=H","UseDPDF=Y")</f>
        <v>—</v>
      </c>
      <c r="Z20" s="14" t="str">
        <f>_xll.BDH("BLUE US Equity","EMPL_GROWTH","FQ3 2024","FQ3 2024","Currency=USD","Period=FQ","BEST_FPERIOD_OVERRIDE=FQ","FILING_STATUS=MR","Sort=A","Dates=H","DateFormat=P","Fill=—","Direction=H","UseDPDF=Y")</f>
        <v>—</v>
      </c>
      <c r="AA20" s="14">
        <f>_xll.BDH("BLUE US Equity","EMPL_GROWTH","FQ4 2024","FQ4 2024","Currency=USD","Period=FQ","BEST_FPERIOD_OVERRIDE=FQ","FILING_STATUS=MR","Sort=A","Dates=H","DateFormat=P","Fill=—","Direction=H","UseDPDF=Y")</f>
        <v>-33.866700000000002</v>
      </c>
    </row>
    <row r="21" spans="1:27" x14ac:dyDescent="0.25">
      <c r="A21" s="10" t="s">
        <v>1285</v>
      </c>
      <c r="B21" s="10" t="s">
        <v>1286</v>
      </c>
      <c r="C21" s="14">
        <f>_xll.BDH("BLUE US Equity","ACCOUNTS_PAYABLE_GROWTH_1YR","FQ4 2018","FQ4 2018","Currency=USD","Period=FQ","BEST_FPERIOD_OVERRIDE=FQ","FILING_STATUS=MR","Sort=A","Dates=H","DateFormat=P","Fill=—","Direction=H","UseDPDF=Y")</f>
        <v>38.514699999999998</v>
      </c>
      <c r="D21" s="14">
        <f>_xll.BDH("BLUE US Equity","ACCOUNTS_PAYABLE_GROWTH_1YR","FQ1 2019","FQ1 2019","Currency=USD","Period=FQ","BEST_FPERIOD_OVERRIDE=FQ","FILING_STATUS=MR","Sort=A","Dates=H","DateFormat=P","Fill=—","Direction=H","UseDPDF=Y")</f>
        <v>151.42169999999999</v>
      </c>
      <c r="E21" s="14">
        <f>_xll.BDH("BLUE US Equity","ACCOUNTS_PAYABLE_GROWTH_1YR","FQ2 2019","FQ2 2019","Currency=USD","Period=FQ","BEST_FPERIOD_OVERRIDE=FQ","FILING_STATUS=MR","Sort=A","Dates=H","DateFormat=P","Fill=—","Direction=H","UseDPDF=Y")</f>
        <v>64.239500000000007</v>
      </c>
      <c r="F21" s="14">
        <f>_xll.BDH("BLUE US Equity","ACCOUNTS_PAYABLE_GROWTH_1YR","FQ3 2019","FQ3 2019","Currency=USD","Period=FQ","BEST_FPERIOD_OVERRIDE=FQ","FILING_STATUS=MR","Sort=A","Dates=H","DateFormat=P","Fill=—","Direction=H","UseDPDF=Y")</f>
        <v>224.8313</v>
      </c>
      <c r="G21" s="14">
        <f>_xll.BDH("BLUE US Equity","ACCOUNTS_PAYABLE_GROWTH_1YR","FQ4 2019","FQ4 2019","Currency=USD","Period=FQ","BEST_FPERIOD_OVERRIDE=FQ","FILING_STATUS=MR","Sort=A","Dates=H","DateFormat=P","Fill=—","Direction=H","UseDPDF=Y")</f>
        <v>141.125</v>
      </c>
      <c r="H21" s="14">
        <f>_xll.BDH("BLUE US Equity","ACCOUNTS_PAYABLE_GROWTH_1YR","FQ1 2020","FQ1 2020","Currency=USD","Period=FQ","BEST_FPERIOD_OVERRIDE=FQ","FILING_STATUS=MR","Sort=A","Dates=H","DateFormat=P","Fill=—","Direction=H","UseDPDF=Y")</f>
        <v>0.94569999999999999</v>
      </c>
      <c r="I21" s="14">
        <f>_xll.BDH("BLUE US Equity","ACCOUNTS_PAYABLE_GROWTH_1YR","FQ2 2020","FQ2 2020","Currency=USD","Period=FQ","BEST_FPERIOD_OVERRIDE=FQ","FILING_STATUS=MR","Sort=A","Dates=H","DateFormat=P","Fill=—","Direction=H","UseDPDF=Y")</f>
        <v>-11.1243</v>
      </c>
      <c r="J21" s="14">
        <f>_xll.BDH("BLUE US Equity","ACCOUNTS_PAYABLE_GROWTH_1YR","FQ3 2020","FQ3 2020","Currency=USD","Period=FQ","BEST_FPERIOD_OVERRIDE=FQ","FILING_STATUS=MR","Sort=A","Dates=H","DateFormat=P","Fill=—","Direction=H","UseDPDF=Y")</f>
        <v>-39.559199999999997</v>
      </c>
      <c r="K21" s="14">
        <f>_xll.BDH("BLUE US Equity","ACCOUNTS_PAYABLE_GROWTH_1YR","FQ4 2020","FQ4 2020","Currency=USD","Period=FQ","BEST_FPERIOD_OVERRIDE=FQ","FILING_STATUS=MR","Sort=A","Dates=H","DateFormat=P","Fill=—","Direction=H","UseDPDF=Y")</f>
        <v>-67.877700000000004</v>
      </c>
      <c r="L21" s="14">
        <f>_xll.BDH("BLUE US Equity","ACCOUNTS_PAYABLE_GROWTH_1YR","FQ1 2021","FQ1 2021","Currency=USD","Period=FQ","BEST_FPERIOD_OVERRIDE=FQ","FILING_STATUS=MR","Sort=A","Dates=H","DateFormat=P","Fill=—","Direction=H","UseDPDF=Y")</f>
        <v>-33.724200000000003</v>
      </c>
      <c r="M21" s="14">
        <f>_xll.BDH("BLUE US Equity","ACCOUNTS_PAYABLE_GROWTH_1YR","FQ2 2021","FQ2 2021","Currency=USD","Period=FQ","BEST_FPERIOD_OVERRIDE=FQ","FILING_STATUS=MR","Sort=A","Dates=H","DateFormat=P","Fill=—","Direction=H","UseDPDF=Y")</f>
        <v>50.085900000000002</v>
      </c>
      <c r="N21" s="14">
        <f>_xll.BDH("BLUE US Equity","ACCOUNTS_PAYABLE_GROWTH_1YR","FQ3 2021","FQ3 2021","Currency=USD","Period=FQ","BEST_FPERIOD_OVERRIDE=FQ","FILING_STATUS=MR","Sort=A","Dates=H","DateFormat=P","Fill=—","Direction=H","UseDPDF=Y")</f>
        <v>-14.386200000000001</v>
      </c>
      <c r="O21" s="14">
        <f>_xll.BDH("BLUE US Equity","ACCOUNTS_PAYABLE_GROWTH_1YR","FQ4 2021","FQ4 2021","Currency=USD","Period=FQ","BEST_FPERIOD_OVERRIDE=FQ","FILING_STATUS=MR","Sort=A","Dates=H","DateFormat=P","Fill=—","Direction=H","UseDPDF=Y")</f>
        <v>87.408600000000007</v>
      </c>
      <c r="P21" s="14">
        <f>_xll.BDH("BLUE US Equity","ACCOUNTS_PAYABLE_GROWTH_1YR","FQ1 2022","FQ1 2022","Currency=USD","Period=FQ","BEST_FPERIOD_OVERRIDE=FQ","FILING_STATUS=MR","Sort=A","Dates=H","DateFormat=P","Fill=—","Direction=H","UseDPDF=Y")</f>
        <v>40.124600000000001</v>
      </c>
      <c r="Q21" s="14">
        <f>_xll.BDH("BLUE US Equity","ACCOUNTS_PAYABLE_GROWTH_1YR","FQ2 2022","FQ2 2022","Currency=USD","Period=FQ","BEST_FPERIOD_OVERRIDE=FQ","FILING_STATUS=MR","Sort=A","Dates=H","DateFormat=P","Fill=—","Direction=H","UseDPDF=Y")</f>
        <v>-36.720599999999997</v>
      </c>
      <c r="R21" s="14">
        <f>_xll.BDH("BLUE US Equity","ACCOUNTS_PAYABLE_GROWTH_1YR","FQ3 2022","FQ3 2022","Currency=USD","Period=FQ","BEST_FPERIOD_OVERRIDE=FQ","FILING_STATUS=MR","Sort=A","Dates=H","DateFormat=P","Fill=—","Direction=H","UseDPDF=Y")</f>
        <v>-14.057600000000001</v>
      </c>
      <c r="S21" s="14">
        <f>_xll.BDH("BLUE US Equity","ACCOUNTS_PAYABLE_GROWTH_1YR","FQ4 2022","FQ4 2022","Currency=USD","Period=FQ","BEST_FPERIOD_OVERRIDE=FQ","FILING_STATUS=MR","Sort=A","Dates=H","DateFormat=P","Fill=—","Direction=H","UseDPDF=Y")</f>
        <v>-42.5608</v>
      </c>
      <c r="T21" s="14">
        <f>_xll.BDH("BLUE US Equity","ACCOUNTS_PAYABLE_GROWTH_1YR","FQ1 2023","FQ1 2023","Currency=USD","Period=FQ","BEST_FPERIOD_OVERRIDE=FQ","FILING_STATUS=MR","Sort=A","Dates=H","DateFormat=P","Fill=—","Direction=H","UseDPDF=Y")</f>
        <v>-32.151699999999998</v>
      </c>
      <c r="U21" s="14">
        <f>_xll.BDH("BLUE US Equity","ACCOUNTS_PAYABLE_GROWTH_1YR","FQ2 2023","FQ2 2023","Currency=USD","Period=FQ","BEST_FPERIOD_OVERRIDE=FQ","FILING_STATUS=MR","Sort=A","Dates=H","DateFormat=P","Fill=—","Direction=H","UseDPDF=Y")</f>
        <v>-56.187399999999997</v>
      </c>
      <c r="V21" s="14">
        <f>_xll.BDH("BLUE US Equity","ACCOUNTS_PAYABLE_GROWTH_1YR","FQ3 2023","FQ3 2023","Currency=USD","Period=FQ","BEST_FPERIOD_OVERRIDE=FQ","FILING_STATUS=MR","Sort=A","Dates=H","DateFormat=P","Fill=—","Direction=H","UseDPDF=Y")</f>
        <v>6.6051000000000002</v>
      </c>
      <c r="W21" s="14">
        <f>_xll.BDH("BLUE US Equity","ACCOUNTS_PAYABLE_GROWTH_1YR","FQ4 2023","FQ4 2023","Currency=USD","Period=FQ","BEST_FPERIOD_OVERRIDE=FQ","FILING_STATUS=MR","Sort=A","Dates=H","DateFormat=P","Fill=—","Direction=H","UseDPDF=Y")</f>
        <v>24.423200000000001</v>
      </c>
      <c r="X21" s="14">
        <f>_xll.BDH("BLUE US Equity","ACCOUNTS_PAYABLE_GROWTH_1YR","FQ1 2024","FQ1 2024","Currency=USD","Period=FQ","BEST_FPERIOD_OVERRIDE=FQ","FILING_STATUS=MR","Sort=A","Dates=H","DateFormat=P","Fill=—","Direction=H","UseDPDF=Y")</f>
        <v>0.79020000000000001</v>
      </c>
      <c r="Y21" s="14">
        <f>_xll.BDH("BLUE US Equity","ACCOUNTS_PAYABLE_GROWTH_1YR","FQ2 2024","FQ2 2024","Currency=USD","Period=FQ","BEST_FPERIOD_OVERRIDE=FQ","FILING_STATUS=MR","Sort=A","Dates=H","DateFormat=P","Fill=—","Direction=H","UseDPDF=Y")</f>
        <v>180.80590000000001</v>
      </c>
      <c r="Z21" s="14">
        <f>_xll.BDH("BLUE US Equity","ACCOUNTS_PAYABLE_GROWTH_1YR","FQ3 2024","FQ3 2024","Currency=USD","Period=FQ","BEST_FPERIOD_OVERRIDE=FQ","FILING_STATUS=MR","Sort=A","Dates=H","DateFormat=P","Fill=—","Direction=H","UseDPDF=Y")</f>
        <v>23.317499999999999</v>
      </c>
      <c r="AA21" s="14">
        <f>_xll.BDH("BLUE US Equity","ACCOUNTS_PAYABLE_GROWTH_1YR","FQ4 2024","FQ4 2024","Currency=USD","Period=FQ","BEST_FPERIOD_OVERRIDE=FQ","FILING_STATUS=MR","Sort=A","Dates=H","DateFormat=P","Fill=—","Direction=H","UseDPDF=Y")</f>
        <v>85.511899999999997</v>
      </c>
    </row>
    <row r="22" spans="1:27" x14ac:dyDescent="0.25">
      <c r="A22" s="10" t="s">
        <v>1287</v>
      </c>
      <c r="B22" s="10" t="s">
        <v>1288</v>
      </c>
      <c r="C22" s="14" t="str">
        <f>_xll.BDH("BLUE US Equity","SHORT_TERM_DEBT_1_YEAR_GROWTH","FQ4 2018","FQ4 2018","Currency=USD","Period=FQ","BEST_FPERIOD_OVERRIDE=FQ","FILING_STATUS=MR","Sort=A","Dates=H","DateFormat=P","Fill=—","Direction=H","UseDPDF=Y")</f>
        <v>—</v>
      </c>
      <c r="D22" s="14" t="str">
        <f>_xll.BDH("BLUE US Equity","SHORT_TERM_DEBT_1_YEAR_GROWTH","FQ1 2019","FQ1 2019","Currency=USD","Period=FQ","BEST_FPERIOD_OVERRIDE=FQ","FILING_STATUS=MR","Sort=A","Dates=H","DateFormat=P","Fill=—","Direction=H","UseDPDF=Y")</f>
        <v>—</v>
      </c>
      <c r="E22" s="14" t="str">
        <f>_xll.BDH("BLUE US Equity","SHORT_TERM_DEBT_1_YEAR_GROWTH","FQ2 2019","FQ2 2019","Currency=USD","Period=FQ","BEST_FPERIOD_OVERRIDE=FQ","FILING_STATUS=MR","Sort=A","Dates=H","DateFormat=P","Fill=—","Direction=H","UseDPDF=Y")</f>
        <v>—</v>
      </c>
      <c r="F22" s="14" t="str">
        <f>_xll.BDH("BLUE US Equity","SHORT_TERM_DEBT_1_YEAR_GROWTH","FQ3 2019","FQ3 2019","Currency=USD","Period=FQ","BEST_FPERIOD_OVERRIDE=FQ","FILING_STATUS=MR","Sort=A","Dates=H","DateFormat=P","Fill=—","Direction=H","UseDPDF=Y")</f>
        <v>—</v>
      </c>
      <c r="G22" s="14" t="str">
        <f>_xll.BDH("BLUE US Equity","SHORT_TERM_DEBT_1_YEAR_GROWTH","FQ4 2019","FQ4 2019","Currency=USD","Period=FQ","BEST_FPERIOD_OVERRIDE=FQ","FILING_STATUS=MR","Sort=A","Dates=H","DateFormat=P","Fill=—","Direction=H","UseDPDF=Y")</f>
        <v>—</v>
      </c>
      <c r="H22" s="14">
        <f>_xll.BDH("BLUE US Equity","SHORT_TERM_DEBT_1_YEAR_GROWTH","FQ1 2020","FQ1 2020","Currency=USD","Period=FQ","BEST_FPERIOD_OVERRIDE=FQ","FILING_STATUS=MR","Sort=A","Dates=H","DateFormat=P","Fill=—","Direction=H","UseDPDF=Y")</f>
        <v>16.019600000000001</v>
      </c>
      <c r="I22" s="14">
        <f>_xll.BDH("BLUE US Equity","SHORT_TERM_DEBT_1_YEAR_GROWTH","FQ2 2020","FQ2 2020","Currency=USD","Period=FQ","BEST_FPERIOD_OVERRIDE=FQ","FILING_STATUS=MR","Sort=A","Dates=H","DateFormat=P","Fill=—","Direction=H","UseDPDF=Y")</f>
        <v>11.0375</v>
      </c>
      <c r="J22" s="14">
        <f>_xll.BDH("BLUE US Equity","SHORT_TERM_DEBT_1_YEAR_GROWTH","FQ3 2020","FQ3 2020","Currency=USD","Period=FQ","BEST_FPERIOD_OVERRIDE=FQ","FILING_STATUS=MR","Sort=A","Dates=H","DateFormat=P","Fill=—","Direction=H","UseDPDF=Y")</f>
        <v>11.474600000000001</v>
      </c>
      <c r="K22" s="14">
        <f>_xll.BDH("BLUE US Equity","SHORT_TERM_DEBT_1_YEAR_GROWTH","FQ4 2020","FQ4 2020","Currency=USD","Period=FQ","BEST_FPERIOD_OVERRIDE=FQ","FILING_STATUS=MR","Sort=A","Dates=H","DateFormat=P","Fill=—","Direction=H","UseDPDF=Y")</f>
        <v>-51.866199999999999</v>
      </c>
      <c r="L22" s="14">
        <f>_xll.BDH("BLUE US Equity","SHORT_TERM_DEBT_1_YEAR_GROWTH","FQ1 2021","FQ1 2021","Currency=USD","Period=FQ","BEST_FPERIOD_OVERRIDE=FQ","FILING_STATUS=MR","Sort=A","Dates=H","DateFormat=P","Fill=—","Direction=H","UseDPDF=Y")</f>
        <v>37.698700000000002</v>
      </c>
      <c r="M22" s="14">
        <f>_xll.BDH("BLUE US Equity","SHORT_TERM_DEBT_1_YEAR_GROWTH","FQ2 2021","FQ2 2021","Currency=USD","Period=FQ","BEST_FPERIOD_OVERRIDE=FQ","FILING_STATUS=MR","Sort=A","Dates=H","DateFormat=P","Fill=—","Direction=H","UseDPDF=Y")</f>
        <v>36.812199999999997</v>
      </c>
      <c r="N22" s="14">
        <f>_xll.BDH("BLUE US Equity","SHORT_TERM_DEBT_1_YEAR_GROWTH","FQ3 2021","FQ3 2021","Currency=USD","Period=FQ","BEST_FPERIOD_OVERRIDE=FQ","FILING_STATUS=MR","Sort=A","Dates=H","DateFormat=P","Fill=—","Direction=H","UseDPDF=Y")</f>
        <v>32.509700000000002</v>
      </c>
      <c r="O22" s="14">
        <f>_xll.BDH("BLUE US Equity","SHORT_TERM_DEBT_1_YEAR_GROWTH","FQ4 2021","FQ4 2021","Currency=USD","Period=FQ","BEST_FPERIOD_OVERRIDE=FQ","FILING_STATUS=MR","Sort=A","Dates=H","DateFormat=P","Fill=—","Direction=H","UseDPDF=Y")</f>
        <v>138.4101</v>
      </c>
      <c r="P22" s="14">
        <f>_xll.BDH("BLUE US Equity","SHORT_TERM_DEBT_1_YEAR_GROWTH","FQ1 2022","FQ1 2022","Currency=USD","Period=FQ","BEST_FPERIOD_OVERRIDE=FQ","FILING_STATUS=MR","Sort=A","Dates=H","DateFormat=P","Fill=—","Direction=H","UseDPDF=Y")</f>
        <v>-9.0974000000000004</v>
      </c>
      <c r="Q22" s="14">
        <f>_xll.BDH("BLUE US Equity","SHORT_TERM_DEBT_1_YEAR_GROWTH","FQ2 2022","FQ2 2022","Currency=USD","Period=FQ","BEST_FPERIOD_OVERRIDE=FQ","FILING_STATUS=MR","Sort=A","Dates=H","DateFormat=P","Fill=—","Direction=H","UseDPDF=Y")</f>
        <v>68.983900000000006</v>
      </c>
      <c r="R22" s="14">
        <f>_xll.BDH("BLUE US Equity","SHORT_TERM_DEBT_1_YEAR_GROWTH","FQ3 2022","FQ3 2022","Currency=USD","Period=FQ","BEST_FPERIOD_OVERRIDE=FQ","FILING_STATUS=MR","Sort=A","Dates=H","DateFormat=P","Fill=—","Direction=H","UseDPDF=Y")</f>
        <v>48.741599999999998</v>
      </c>
      <c r="S22" s="14">
        <f>_xll.BDH("BLUE US Equity","SHORT_TERM_DEBT_1_YEAR_GROWTH","FQ4 2022","FQ4 2022","Currency=USD","Period=FQ","BEST_FPERIOD_OVERRIDE=FQ","FILING_STATUS=MR","Sort=A","Dates=H","DateFormat=P","Fill=—","Direction=H","UseDPDF=Y")</f>
        <v>281.16789999999997</v>
      </c>
      <c r="T22" s="14">
        <f>_xll.BDH("BLUE US Equity","SHORT_TERM_DEBT_1_YEAR_GROWTH","FQ1 2023","FQ1 2023","Currency=USD","Period=FQ","BEST_FPERIOD_OVERRIDE=FQ","FILING_STATUS=MR","Sort=A","Dates=H","DateFormat=P","Fill=—","Direction=H","UseDPDF=Y")</f>
        <v>101.50530000000001</v>
      </c>
      <c r="U22" s="14">
        <f>_xll.BDH("BLUE US Equity","SHORT_TERM_DEBT_1_YEAR_GROWTH","FQ2 2023","FQ2 2023","Currency=USD","Period=FQ","BEST_FPERIOD_OVERRIDE=FQ","FILING_STATUS=MR","Sort=A","Dates=H","DateFormat=P","Fill=—","Direction=H","UseDPDF=Y")</f>
        <v>39.5182</v>
      </c>
      <c r="V22" s="14">
        <f>_xll.BDH("BLUE US Equity","SHORT_TERM_DEBT_1_YEAR_GROWTH","FQ3 2023","FQ3 2023","Currency=USD","Period=FQ","BEST_FPERIOD_OVERRIDE=FQ","FILING_STATUS=MR","Sort=A","Dates=H","DateFormat=P","Fill=—","Direction=H","UseDPDF=Y")</f>
        <v>63.695700000000002</v>
      </c>
      <c r="W22" s="14">
        <f>_xll.BDH("BLUE US Equity","SHORT_TERM_DEBT_1_YEAR_GROWTH","FQ4 2023","FQ4 2023","Currency=USD","Period=FQ","BEST_FPERIOD_OVERRIDE=FQ","FILING_STATUS=MR","Sort=A","Dates=H","DateFormat=P","Fill=—","Direction=H","UseDPDF=Y")</f>
        <v>20.0107</v>
      </c>
      <c r="X22" s="14">
        <f>_xll.BDH("BLUE US Equity","SHORT_TERM_DEBT_1_YEAR_GROWTH","FQ1 2024","FQ1 2024","Currency=USD","Period=FQ","BEST_FPERIOD_OVERRIDE=FQ","FILING_STATUS=MR","Sort=A","Dates=H","DateFormat=P","Fill=—","Direction=H","UseDPDF=Y")</f>
        <v>303.80130000000003</v>
      </c>
      <c r="Y22" s="14">
        <f>_xll.BDH("BLUE US Equity","SHORT_TERM_DEBT_1_YEAR_GROWTH","FQ2 2024","FQ2 2024","Currency=USD","Period=FQ","BEST_FPERIOD_OVERRIDE=FQ","FILING_STATUS=MR","Sort=A","Dates=H","DateFormat=P","Fill=—","Direction=H","UseDPDF=Y")</f>
        <v>190.31970000000001</v>
      </c>
      <c r="Z22" s="14">
        <f>_xll.BDH("BLUE US Equity","SHORT_TERM_DEBT_1_YEAR_GROWTH","FQ3 2024","FQ3 2024","Currency=USD","Period=FQ","BEST_FPERIOD_OVERRIDE=FQ","FILING_STATUS=MR","Sort=A","Dates=H","DateFormat=P","Fill=—","Direction=H","UseDPDF=Y")</f>
        <v>166.8545</v>
      </c>
      <c r="AA22" s="14">
        <f>_xll.BDH("BLUE US Equity","SHORT_TERM_DEBT_1_YEAR_GROWTH","FQ4 2024","FQ4 2024","Currency=USD","Period=FQ","BEST_FPERIOD_OVERRIDE=FQ","FILING_STATUS=MR","Sort=A","Dates=H","DateFormat=P","Fill=—","Direction=H","UseDPDF=Y")</f>
        <v>75.164100000000005</v>
      </c>
    </row>
    <row r="23" spans="1:27" x14ac:dyDescent="0.25">
      <c r="A23" s="10" t="s">
        <v>1289</v>
      </c>
      <c r="B23" s="10" t="s">
        <v>1290</v>
      </c>
      <c r="C23" s="14">
        <f>_xll.BDH("BLUE US Equity","TOTAL_DEBT_1_YEAR_GROWTH","FQ4 2018","FQ4 2018","Currency=USD","Period=FQ","BEST_FPERIOD_OVERRIDE=FQ","FILING_STATUS=MR","Sort=A","Dates=H","DateFormat=P","Fill=—","Direction=H","UseDPDF=Y")</f>
        <v>-0.92410000000000003</v>
      </c>
      <c r="D23" s="14">
        <f>_xll.BDH("BLUE US Equity","TOTAL_DEBT_1_YEAR_GROWTH","FQ1 2019","FQ1 2019","Currency=USD","Period=FQ","BEST_FPERIOD_OVERRIDE=FQ","FILING_STATUS=MR","Sort=A","Dates=H","DateFormat=P","Fill=—","Direction=H","UseDPDF=Y")</f>
        <v>20.201899999999998</v>
      </c>
      <c r="E23" s="14">
        <f>_xll.BDH("BLUE US Equity","TOTAL_DEBT_1_YEAR_GROWTH","FQ2 2019","FQ2 2019","Currency=USD","Period=FQ","BEST_FPERIOD_OVERRIDE=FQ","FILING_STATUS=MR","Sort=A","Dates=H","DateFormat=P","Fill=—","Direction=H","UseDPDF=Y")</f>
        <v>26.033899999999999</v>
      </c>
      <c r="F23" s="14">
        <f>_xll.BDH("BLUE US Equity","TOTAL_DEBT_1_YEAR_GROWTH","FQ3 2019","FQ3 2019","Currency=USD","Period=FQ","BEST_FPERIOD_OVERRIDE=FQ","FILING_STATUS=MR","Sort=A","Dates=H","DateFormat=P","Fill=—","Direction=H","UseDPDF=Y")</f>
        <v>27.479900000000001</v>
      </c>
      <c r="G23" s="14">
        <f>_xll.BDH("BLUE US Equity","TOTAL_DEBT_1_YEAR_GROWTH","FQ4 2019","FQ4 2019","Currency=USD","Period=FQ","BEST_FPERIOD_OVERRIDE=FQ","FILING_STATUS=MR","Sort=A","Dates=H","DateFormat=P","Fill=—","Direction=H","UseDPDF=Y")</f>
        <v>24.5684</v>
      </c>
      <c r="H23" s="14">
        <f>_xll.BDH("BLUE US Equity","TOTAL_DEBT_1_YEAR_GROWTH","FQ1 2020","FQ1 2020","Currency=USD","Period=FQ","BEST_FPERIOD_OVERRIDE=FQ","FILING_STATUS=MR","Sort=A","Dates=H","DateFormat=P","Fill=—","Direction=H","UseDPDF=Y")</f>
        <v>7.8464</v>
      </c>
      <c r="I23" s="14">
        <f>_xll.BDH("BLUE US Equity","TOTAL_DEBT_1_YEAR_GROWTH","FQ2 2020","FQ2 2020","Currency=USD","Period=FQ","BEST_FPERIOD_OVERRIDE=FQ","FILING_STATUS=MR","Sort=A","Dates=H","DateFormat=P","Fill=—","Direction=H","UseDPDF=Y")</f>
        <v>0.66779999999999995</v>
      </c>
      <c r="J23" s="14">
        <f>_xll.BDH("BLUE US Equity","TOTAL_DEBT_1_YEAR_GROWTH","FQ3 2020","FQ3 2020","Currency=USD","Period=FQ","BEST_FPERIOD_OVERRIDE=FQ","FILING_STATUS=MR","Sort=A","Dates=H","DateFormat=P","Fill=—","Direction=H","UseDPDF=Y")</f>
        <v>-0.33879999999999999</v>
      </c>
      <c r="K23" s="14">
        <f>_xll.BDH("BLUE US Equity","TOTAL_DEBT_1_YEAR_GROWTH","FQ4 2020","FQ4 2020","Currency=USD","Period=FQ","BEST_FPERIOD_OVERRIDE=FQ","FILING_STATUS=MR","Sort=A","Dates=H","DateFormat=P","Fill=—","Direction=H","UseDPDF=Y")</f>
        <v>-65.747399999999999</v>
      </c>
      <c r="L23" s="14">
        <f>_xll.BDH("BLUE US Equity","TOTAL_DEBT_1_YEAR_GROWTH","FQ1 2021","FQ1 2021","Currency=USD","Period=FQ","BEST_FPERIOD_OVERRIDE=FQ","FILING_STATUS=MR","Sort=A","Dates=H","DateFormat=P","Fill=—","Direction=H","UseDPDF=Y")</f>
        <v>2.7069000000000001</v>
      </c>
      <c r="M23" s="14">
        <f>_xll.BDH("BLUE US Equity","TOTAL_DEBT_1_YEAR_GROWTH","FQ2 2021","FQ2 2021","Currency=USD","Period=FQ","BEST_FPERIOD_OVERRIDE=FQ","FILING_STATUS=MR","Sort=A","Dates=H","DateFormat=P","Fill=—","Direction=H","UseDPDF=Y")</f>
        <v>1.5768</v>
      </c>
      <c r="N23" s="14">
        <f>_xll.BDH("BLUE US Equity","TOTAL_DEBT_1_YEAR_GROWTH","FQ3 2021","FQ3 2021","Currency=USD","Period=FQ","BEST_FPERIOD_OVERRIDE=FQ","FILING_STATUS=MR","Sort=A","Dates=H","DateFormat=P","Fill=—","Direction=H","UseDPDF=Y")</f>
        <v>-7.0284000000000004</v>
      </c>
      <c r="O23" s="14">
        <f>_xll.BDH("BLUE US Equity","TOTAL_DEBT_1_YEAR_GROWTH","FQ4 2021","FQ4 2021","Currency=USD","Period=FQ","BEST_FPERIOD_OVERRIDE=FQ","FILING_STATUS=MR","Sort=A","Dates=H","DateFormat=P","Fill=—","Direction=H","UseDPDF=Y")</f>
        <v>36.940899999999999</v>
      </c>
      <c r="P23" s="14">
        <f>_xll.BDH("BLUE US Equity","TOTAL_DEBT_1_YEAR_GROWTH","FQ1 2022","FQ1 2022","Currency=USD","Period=FQ","BEST_FPERIOD_OVERRIDE=FQ","FILING_STATUS=MR","Sort=A","Dates=H","DateFormat=P","Fill=—","Direction=H","UseDPDF=Y")</f>
        <v>-46.3767</v>
      </c>
      <c r="Q23" s="14">
        <f>_xll.BDH("BLUE US Equity","TOTAL_DEBT_1_YEAR_GROWTH","FQ2 2022","FQ2 2022","Currency=USD","Period=FQ","BEST_FPERIOD_OVERRIDE=FQ","FILING_STATUS=MR","Sort=A","Dates=H","DateFormat=P","Fill=—","Direction=H","UseDPDF=Y")</f>
        <v>47.515099999999997</v>
      </c>
      <c r="R23" s="14">
        <f>_xll.BDH("BLUE US Equity","TOTAL_DEBT_1_YEAR_GROWTH","FQ3 2022","FQ3 2022","Currency=USD","Period=FQ","BEST_FPERIOD_OVERRIDE=FQ","FILING_STATUS=MR","Sort=A","Dates=H","DateFormat=P","Fill=—","Direction=H","UseDPDF=Y")</f>
        <v>53.2288</v>
      </c>
      <c r="S23" s="14">
        <f>_xll.BDH("BLUE US Equity","TOTAL_DEBT_1_YEAR_GROWTH","FQ4 2022","FQ4 2022","Currency=USD","Period=FQ","BEST_FPERIOD_OVERRIDE=FQ","FILING_STATUS=MR","Sort=A","Dates=H","DateFormat=P","Fill=—","Direction=H","UseDPDF=Y")</f>
        <v>309.73610000000002</v>
      </c>
      <c r="T23" s="14">
        <f>_xll.BDH("BLUE US Equity","TOTAL_DEBT_1_YEAR_GROWTH","FQ1 2023","FQ1 2023","Currency=USD","Period=FQ","BEST_FPERIOD_OVERRIDE=FQ","FILING_STATUS=MR","Sort=A","Dates=H","DateFormat=P","Fill=—","Direction=H","UseDPDF=Y")</f>
        <v>147.76140000000001</v>
      </c>
      <c r="U23" s="14">
        <f>_xll.BDH("BLUE US Equity","TOTAL_DEBT_1_YEAR_GROWTH","FQ2 2023","FQ2 2023","Currency=USD","Period=FQ","BEST_FPERIOD_OVERRIDE=FQ","FILING_STATUS=MR","Sort=A","Dates=H","DateFormat=P","Fill=—","Direction=H","UseDPDF=Y")</f>
        <v>4.7408000000000001</v>
      </c>
      <c r="V23" s="14">
        <f>_xll.BDH("BLUE US Equity","TOTAL_DEBT_1_YEAR_GROWTH","FQ3 2023","FQ3 2023","Currency=USD","Period=FQ","BEST_FPERIOD_OVERRIDE=FQ","FILING_STATUS=MR","Sort=A","Dates=H","DateFormat=P","Fill=—","Direction=H","UseDPDF=Y")</f>
        <v>9.1635000000000009</v>
      </c>
      <c r="W23" s="14">
        <f>_xll.BDH("BLUE US Equity","TOTAL_DEBT_1_YEAR_GROWTH","FQ4 2023","FQ4 2023","Currency=USD","Period=FQ","BEST_FPERIOD_OVERRIDE=FQ","FILING_STATUS=MR","Sort=A","Dates=H","DateFormat=P","Fill=—","Direction=H","UseDPDF=Y")</f>
        <v>-10.007099999999999</v>
      </c>
      <c r="X23" s="14">
        <f>_xll.BDH("BLUE US Equity","TOTAL_DEBT_1_YEAR_GROWTH","FQ1 2024","FQ1 2024","Currency=USD","Period=FQ","BEST_FPERIOD_OVERRIDE=FQ","FILING_STATUS=MR","Sort=A","Dates=H","DateFormat=P","Fill=—","Direction=H","UseDPDF=Y")</f>
        <v>51.565399999999997</v>
      </c>
      <c r="Y23" s="14">
        <f>_xll.BDH("BLUE US Equity","TOTAL_DEBT_1_YEAR_GROWTH","FQ2 2024","FQ2 2024","Currency=USD","Period=FQ","BEST_FPERIOD_OVERRIDE=FQ","FILING_STATUS=MR","Sort=A","Dates=H","DateFormat=P","Fill=—","Direction=H","UseDPDF=Y")</f>
        <v>27.2319</v>
      </c>
      <c r="Z23" s="14">
        <f>_xll.BDH("BLUE US Equity","TOTAL_DEBT_1_YEAR_GROWTH","FQ3 2024","FQ3 2024","Currency=USD","Period=FQ","BEST_FPERIOD_OVERRIDE=FQ","FILING_STATUS=MR","Sort=A","Dates=H","DateFormat=P","Fill=—","Direction=H","UseDPDF=Y")</f>
        <v>20.1892</v>
      </c>
      <c r="AA23" s="14">
        <f>_xll.BDH("BLUE US Equity","TOTAL_DEBT_1_YEAR_GROWTH","FQ4 2024","FQ4 2024","Currency=USD","Period=FQ","BEST_FPERIOD_OVERRIDE=FQ","FILING_STATUS=MR","Sort=A","Dates=H","DateFormat=P","Fill=—","Direction=H","UseDPDF=Y")</f>
        <v>7.4295999999999998</v>
      </c>
    </row>
    <row r="24" spans="1:27" x14ac:dyDescent="0.25">
      <c r="A24" s="10" t="s">
        <v>118</v>
      </c>
      <c r="B24" s="10" t="s">
        <v>1291</v>
      </c>
      <c r="C24" s="14">
        <f>_xll.BDH("BLUE US Equity","TOTAL_EQUITY_1_YEAR_GROWTH","FQ4 2018","FQ4 2018","Currency=USD","Period=FQ","BEST_FPERIOD_OVERRIDE=FQ","FILING_STATUS=MR","Sort=A","Dates=H","DateFormat=P","Fill=—","Direction=H","UseDPDF=Y")</f>
        <v>16.116399999999999</v>
      </c>
      <c r="D24" s="14">
        <f>_xll.BDH("BLUE US Equity","TOTAL_EQUITY_1_YEAR_GROWTH","FQ1 2019","FQ1 2019","Currency=USD","Period=FQ","BEST_FPERIOD_OVERRIDE=FQ","FILING_STATUS=MR","Sort=A","Dates=H","DateFormat=P","Fill=—","Direction=H","UseDPDF=Y")</f>
        <v>12.8581</v>
      </c>
      <c r="E24" s="14">
        <f>_xll.BDH("BLUE US Equity","TOTAL_EQUITY_1_YEAR_GROWTH","FQ2 2019","FQ2 2019","Currency=USD","Period=FQ","BEST_FPERIOD_OVERRIDE=FQ","FILING_STATUS=MR","Sort=A","Dates=H","DateFormat=P","Fill=—","Direction=H","UseDPDF=Y")</f>
        <v>12.27</v>
      </c>
      <c r="F24" s="14">
        <f>_xll.BDH("BLUE US Equity","TOTAL_EQUITY_1_YEAR_GROWTH","FQ3 2019","FQ3 2019","Currency=USD","Period=FQ","BEST_FPERIOD_OVERRIDE=FQ","FILING_STATUS=MR","Sort=A","Dates=H","DateFormat=P","Fill=—","Direction=H","UseDPDF=Y")</f>
        <v>-26.4436</v>
      </c>
      <c r="G24" s="14">
        <f>_xll.BDH("BLUE US Equity","TOTAL_EQUITY_1_YEAR_GROWTH","FQ4 2019","FQ4 2019","Currency=USD","Period=FQ","BEST_FPERIOD_OVERRIDE=FQ","FILING_STATUS=MR","Sort=A","Dates=H","DateFormat=P","Fill=—","Direction=H","UseDPDF=Y")</f>
        <v>-31.833100000000002</v>
      </c>
      <c r="H24" s="14">
        <f>_xll.BDH("BLUE US Equity","TOTAL_EQUITY_1_YEAR_GROWTH","FQ1 2020","FQ1 2020","Currency=USD","Period=FQ","BEST_FPERIOD_OVERRIDE=FQ","FILING_STATUS=MR","Sort=A","Dates=H","DateFormat=P","Fill=—","Direction=H","UseDPDF=Y")</f>
        <v>-36.773699999999998</v>
      </c>
      <c r="I24" s="14">
        <f>_xll.BDH("BLUE US Equity","TOTAL_EQUITY_1_YEAR_GROWTH","FQ2 2020","FQ2 2020","Currency=USD","Period=FQ","BEST_FPERIOD_OVERRIDE=FQ","FILING_STATUS=MR","Sort=A","Dates=H","DateFormat=P","Fill=—","Direction=H","UseDPDF=Y")</f>
        <v>2.7900999999999998</v>
      </c>
      <c r="J24" s="14">
        <f>_xll.BDH("BLUE US Equity","TOTAL_EQUITY_1_YEAR_GROWTH","FQ3 2020","FQ3 2020","Currency=USD","Period=FQ","BEST_FPERIOD_OVERRIDE=FQ","FILING_STATUS=MR","Sort=A","Dates=H","DateFormat=P","Fill=—","Direction=H","UseDPDF=Y")</f>
        <v>3.4864999999999999</v>
      </c>
      <c r="K24" s="14">
        <f>_xll.BDH("BLUE US Equity","TOTAL_EQUITY_1_YEAR_GROWTH","FQ4 2020","FQ4 2020","Currency=USD","Period=FQ","BEST_FPERIOD_OVERRIDE=FQ","FILING_STATUS=MR","Sort=A","Dates=H","DateFormat=P","Fill=—","Direction=H","UseDPDF=Y")</f>
        <v>5.4523999999999999</v>
      </c>
      <c r="L24" s="14">
        <f>_xll.BDH("BLUE US Equity","TOTAL_EQUITY_1_YEAR_GROWTH","FQ1 2021","FQ1 2021","Currency=USD","Period=FQ","BEST_FPERIOD_OVERRIDE=FQ","FILING_STATUS=MR","Sort=A","Dates=H","DateFormat=P","Fill=—","Direction=H","UseDPDF=Y")</f>
        <v>7.1311999999999998</v>
      </c>
      <c r="M24" s="14">
        <f>_xll.BDH("BLUE US Equity","TOTAL_EQUITY_1_YEAR_GROWTH","FQ2 2021","FQ2 2021","Currency=USD","Period=FQ","BEST_FPERIOD_OVERRIDE=FQ","FILING_STATUS=MR","Sort=A","Dates=H","DateFormat=P","Fill=—","Direction=H","UseDPDF=Y")</f>
        <v>-41.465899999999998</v>
      </c>
      <c r="N24" s="14">
        <f>_xll.BDH("BLUE US Equity","TOTAL_EQUITY_1_YEAR_GROWTH","FQ3 2021","FQ3 2021","Currency=USD","Period=FQ","BEST_FPERIOD_OVERRIDE=FQ","FILING_STATUS=MR","Sort=A","Dates=H","DateFormat=P","Fill=—","Direction=H","UseDPDF=Y")</f>
        <v>-42.842100000000002</v>
      </c>
      <c r="O24" s="14">
        <f>_xll.BDH("BLUE US Equity","TOTAL_EQUITY_1_YEAR_GROWTH","FQ4 2021","FQ4 2021","Currency=USD","Period=FQ","BEST_FPERIOD_OVERRIDE=FQ","FILING_STATUS=MR","Sort=A","Dates=H","DateFormat=P","Fill=—","Direction=H","UseDPDF=Y")</f>
        <v>-72.379199999999997</v>
      </c>
      <c r="P24" s="14">
        <f>_xll.BDH("BLUE US Equity","TOTAL_EQUITY_1_YEAR_GROWTH","FQ1 2022","FQ1 2022","Currency=USD","Period=FQ","BEST_FPERIOD_OVERRIDE=FQ","FILING_STATUS=MR","Sort=A","Dates=H","DateFormat=P","Fill=—","Direction=H","UseDPDF=Y")</f>
        <v>-78.067800000000005</v>
      </c>
      <c r="Q24" s="14">
        <f>_xll.BDH("BLUE US Equity","TOTAL_EQUITY_1_YEAR_GROWTH","FQ2 2022","FQ2 2022","Currency=USD","Period=FQ","BEST_FPERIOD_OVERRIDE=FQ","FILING_STATUS=MR","Sort=A","Dates=H","DateFormat=P","Fill=—","Direction=H","UseDPDF=Y")</f>
        <v>-81.706000000000003</v>
      </c>
      <c r="R24" s="14">
        <f>_xll.BDH("BLUE US Equity","TOTAL_EQUITY_1_YEAR_GROWTH","FQ3 2022","FQ3 2022","Currency=USD","Period=FQ","BEST_FPERIOD_OVERRIDE=FQ","FILING_STATUS=MR","Sort=A","Dates=H","DateFormat=P","Fill=—","Direction=H","UseDPDF=Y")</f>
        <v>-81.751599999999996</v>
      </c>
      <c r="S24" s="14">
        <f>_xll.BDH("BLUE US Equity","TOTAL_EQUITY_1_YEAR_GROWTH","FQ4 2022","FQ4 2022","Currency=USD","Period=FQ","BEST_FPERIOD_OVERRIDE=FQ","FILING_STATUS=MR","Sort=A","Dates=H","DateFormat=P","Fill=—","Direction=H","UseDPDF=Y")</f>
        <v>-64.108699999999999</v>
      </c>
      <c r="T24" s="14">
        <f>_xll.BDH("BLUE US Equity","TOTAL_EQUITY_1_YEAR_GROWTH","FQ1 2023","FQ1 2023","Currency=USD","Period=FQ","BEST_FPERIOD_OVERRIDE=FQ","FILING_STATUS=MR","Sort=A","Dates=H","DateFormat=P","Fill=—","Direction=H","UseDPDF=Y")</f>
        <v>34.749400000000001</v>
      </c>
      <c r="U24" s="14">
        <f>_xll.BDH("BLUE US Equity","TOTAL_EQUITY_1_YEAR_GROWTH","FQ2 2023","FQ2 2023","Currency=USD","Period=FQ","BEST_FPERIOD_OVERRIDE=FQ","FILING_STATUS=MR","Sort=A","Dates=H","DateFormat=P","Fill=—","Direction=H","UseDPDF=Y")</f>
        <v>60.462699999999998</v>
      </c>
      <c r="V24" s="14">
        <f>_xll.BDH("BLUE US Equity","TOTAL_EQUITY_1_YEAR_GROWTH","FQ3 2023","FQ3 2023","Currency=USD","Period=FQ","BEST_FPERIOD_OVERRIDE=FQ","FILING_STATUS=MR","Sort=A","Dates=H","DateFormat=P","Fill=—","Direction=H","UseDPDF=Y")</f>
        <v>40.085700000000003</v>
      </c>
      <c r="W24" s="14">
        <f>_xll.BDH("BLUE US Equity","TOTAL_EQUITY_1_YEAR_GROWTH","FQ4 2023","FQ4 2023","Currency=USD","Period=FQ","BEST_FPERIOD_OVERRIDE=FQ","FILING_STATUS=MR","Sort=A","Dates=H","DateFormat=P","Fill=—","Direction=H","UseDPDF=Y")</f>
        <v>44.817</v>
      </c>
      <c r="X24" s="14">
        <f>_xll.BDH("BLUE US Equity","TOTAL_EQUITY_1_YEAR_GROWTH","FQ1 2024","FQ1 2024","Currency=USD","Period=FQ","BEST_FPERIOD_OVERRIDE=FQ","FILING_STATUS=MR","Sort=A","Dates=H","DateFormat=P","Fill=—","Direction=H","UseDPDF=Y")</f>
        <v>-63.058599999999998</v>
      </c>
      <c r="Y24" s="14">
        <f>_xll.BDH("BLUE US Equity","TOTAL_EQUITY_1_YEAR_GROWTH","FQ2 2024","FQ2 2024","Currency=USD","Period=FQ","BEST_FPERIOD_OVERRIDE=FQ","FILING_STATUS=MR","Sort=A","Dates=H","DateFormat=P","Fill=—","Direction=H","UseDPDF=Y")</f>
        <v>-81.668700000000001</v>
      </c>
      <c r="Z24" s="14" t="str">
        <f>_xll.BDH("BLUE US Equity","TOTAL_EQUITY_1_YEAR_GROWTH","FQ3 2024","FQ3 2024","Currency=USD","Period=FQ","BEST_FPERIOD_OVERRIDE=FQ","FILING_STATUS=MR","Sort=A","Dates=H","DateFormat=P","Fill=—","Direction=H","UseDPDF=Y")</f>
        <v>—</v>
      </c>
      <c r="AA24" s="14" t="str">
        <f>_xll.BDH("BLUE US Equity","TOTAL_EQUITY_1_YEAR_GROWTH","FQ4 2024","FQ4 2024","Currency=USD","Period=FQ","BEST_FPERIOD_OVERRIDE=FQ","FILING_STATUS=MR","Sort=A","Dates=H","DateFormat=P","Fill=—","Direction=H","UseDPDF=Y")</f>
        <v>—</v>
      </c>
    </row>
    <row r="25" spans="1:27" x14ac:dyDescent="0.25">
      <c r="A25" s="10" t="s">
        <v>1292</v>
      </c>
      <c r="B25" s="10" t="s">
        <v>1293</v>
      </c>
      <c r="C25" s="14">
        <f>_xll.BDH("BLUE US Equity","GROWTH_IN_CAP","FQ4 2018","FQ4 2018","Currency=USD","Period=FQ","BEST_FPERIOD_OVERRIDE=FQ","FILING_STATUS=MR","Sort=A","Dates=H","DateFormat=P","Fill=—","Direction=H","UseDPDF=Y")</f>
        <v>14.6334</v>
      </c>
      <c r="D25" s="14">
        <f>_xll.BDH("BLUE US Equity","GROWTH_IN_CAP","FQ1 2019","FQ1 2019","Currency=USD","Period=FQ","BEST_FPERIOD_OVERRIDE=FQ","FILING_STATUS=MR","Sort=A","Dates=H","DateFormat=P","Fill=—","Direction=H","UseDPDF=Y")</f>
        <v>13.5161</v>
      </c>
      <c r="E25" s="14">
        <f>_xll.BDH("BLUE US Equity","GROWTH_IN_CAP","FQ2 2019","FQ2 2019","Currency=USD","Period=FQ","BEST_FPERIOD_OVERRIDE=FQ","FILING_STATUS=MR","Sort=A","Dates=H","DateFormat=P","Fill=—","Direction=H","UseDPDF=Y")</f>
        <v>13.5861</v>
      </c>
      <c r="F25" s="14">
        <f>_xll.BDH("BLUE US Equity","GROWTH_IN_CAP","FQ3 2019","FQ3 2019","Currency=USD","Period=FQ","BEST_FPERIOD_OVERRIDE=FQ","FILING_STATUS=MR","Sort=A","Dates=H","DateFormat=P","Fill=—","Direction=H","UseDPDF=Y")</f>
        <v>-22.596299999999999</v>
      </c>
      <c r="G25" s="14">
        <f>_xll.BDH("BLUE US Equity","GROWTH_IN_CAP","FQ4 2019","FQ4 2019","Currency=USD","Period=FQ","BEST_FPERIOD_OVERRIDE=FQ","FILING_STATUS=MR","Sort=A","Dates=H","DateFormat=P","Fill=—","Direction=H","UseDPDF=Y")</f>
        <v>-27.590900000000001</v>
      </c>
      <c r="H25" s="14">
        <f>_xll.BDH("BLUE US Equity","GROWTH_IN_CAP","FQ1 2020","FQ1 2020","Currency=USD","Period=FQ","BEST_FPERIOD_OVERRIDE=FQ","FILING_STATUS=MR","Sort=A","Dates=H","DateFormat=P","Fill=—","Direction=H","UseDPDF=Y")</f>
        <v>-32.54</v>
      </c>
      <c r="I25" s="14">
        <f>_xll.BDH("BLUE US Equity","GROWTH_IN_CAP","FQ2 2020","FQ2 2020","Currency=USD","Period=FQ","BEST_FPERIOD_OVERRIDE=FQ","FILING_STATUS=MR","Sort=A","Dates=H","DateFormat=P","Fill=—","Direction=H","UseDPDF=Y")</f>
        <v>2.5649999999999999</v>
      </c>
      <c r="J25" s="14">
        <f>_xll.BDH("BLUE US Equity","GROWTH_IN_CAP","FQ3 2020","FQ3 2020","Currency=USD","Period=FQ","BEST_FPERIOD_OVERRIDE=FQ","FILING_STATUS=MR","Sort=A","Dates=H","DateFormat=P","Fill=—","Direction=H","UseDPDF=Y")</f>
        <v>3.0369999999999999</v>
      </c>
      <c r="K25" s="14">
        <f>_xll.BDH("BLUE US Equity","GROWTH_IN_CAP","FQ4 2020","FQ4 2020","Currency=USD","Period=FQ","BEST_FPERIOD_OVERRIDE=FQ","FILING_STATUS=MR","Sort=A","Dates=H","DateFormat=P","Fill=—","Direction=H","UseDPDF=Y")</f>
        <v>-3.7606000000000002</v>
      </c>
      <c r="L25" s="14">
        <f>_xll.BDH("BLUE US Equity","GROWTH_IN_CAP","FQ1 2021","FQ1 2021","Currency=USD","Period=FQ","BEST_FPERIOD_OVERRIDE=FQ","FILING_STATUS=MR","Sort=A","Dates=H","DateFormat=P","Fill=—","Direction=H","UseDPDF=Y")</f>
        <v>6.4600999999999997</v>
      </c>
      <c r="M25" s="14">
        <f>_xll.BDH("BLUE US Equity","GROWTH_IN_CAP","FQ2 2021","FQ2 2021","Currency=USD","Period=FQ","BEST_FPERIOD_OVERRIDE=FQ","FILING_STATUS=MR","Sort=A","Dates=H","DateFormat=P","Fill=—","Direction=H","UseDPDF=Y")</f>
        <v>-36.983699999999999</v>
      </c>
      <c r="N25" s="14">
        <f>_xll.BDH("BLUE US Equity","GROWTH_IN_CAP","FQ3 2021","FQ3 2021","Currency=USD","Period=FQ","BEST_FPERIOD_OVERRIDE=FQ","FILING_STATUS=MR","Sort=A","Dates=H","DateFormat=P","Fill=—","Direction=H","UseDPDF=Y")</f>
        <v>-38.771700000000003</v>
      </c>
      <c r="O25" s="14">
        <f>_xll.BDH("BLUE US Equity","GROWTH_IN_CAP","FQ4 2021","FQ4 2021","Currency=USD","Period=FQ","BEST_FPERIOD_OVERRIDE=FQ","FILING_STATUS=MR","Sort=A","Dates=H","DateFormat=P","Fill=—","Direction=H","UseDPDF=Y")</f>
        <v>-67.3446</v>
      </c>
      <c r="P25" s="14">
        <f>_xll.BDH("BLUE US Equity","GROWTH_IN_CAP","FQ1 2022","FQ1 2022","Currency=USD","Period=FQ","BEST_FPERIOD_OVERRIDE=FQ","FILING_STATUS=MR","Sort=A","Dates=H","DateFormat=P","Fill=—","Direction=H","UseDPDF=Y")</f>
        <v>-73.430199999999999</v>
      </c>
      <c r="Q25" s="14">
        <f>_xll.BDH("BLUE US Equity","GROWTH_IN_CAP","FQ2 2022","FQ2 2022","Currency=USD","Period=FQ","BEST_FPERIOD_OVERRIDE=FQ","FILING_STATUS=MR","Sort=A","Dates=H","DateFormat=P","Fill=—","Direction=H","UseDPDF=Y")</f>
        <v>-60.015300000000003</v>
      </c>
      <c r="R25" s="14">
        <f>_xll.BDH("BLUE US Equity","GROWTH_IN_CAP","FQ3 2022","FQ3 2022","Currency=USD","Period=FQ","BEST_FPERIOD_OVERRIDE=FQ","FILING_STATUS=MR","Sort=A","Dates=H","DateFormat=P","Fill=—","Direction=H","UseDPDF=Y")</f>
        <v>-58.457099999999997</v>
      </c>
      <c r="S25" s="14">
        <f>_xll.BDH("BLUE US Equity","GROWTH_IN_CAP","FQ4 2022","FQ4 2022","Currency=USD","Period=FQ","BEST_FPERIOD_OVERRIDE=FQ","FILING_STATUS=MR","Sort=A","Dates=H","DateFormat=P","Fill=—","Direction=H","UseDPDF=Y")</f>
        <v>8.0907999999999998</v>
      </c>
      <c r="T25" s="14">
        <f>_xll.BDH("BLUE US Equity","GROWTH_IN_CAP","FQ1 2023","FQ1 2023","Currency=USD","Period=FQ","BEST_FPERIOD_OVERRIDE=FQ","FILING_STATUS=MR","Sort=A","Dates=H","DateFormat=P","Fill=—","Direction=H","UseDPDF=Y")</f>
        <v>68.126400000000004</v>
      </c>
      <c r="U25" s="14">
        <f>_xll.BDH("BLUE US Equity","GROWTH_IN_CAP","FQ2 2023","FQ2 2023","Currency=USD","Period=FQ","BEST_FPERIOD_OVERRIDE=FQ","FILING_STATUS=MR","Sort=A","Dates=H","DateFormat=P","Fill=—","Direction=H","UseDPDF=Y")</f>
        <v>25.9556</v>
      </c>
      <c r="V25" s="14">
        <f>_xll.BDH("BLUE US Equity","GROWTH_IN_CAP","FQ3 2023","FQ3 2023","Currency=USD","Period=FQ","BEST_FPERIOD_OVERRIDE=FQ","FILING_STATUS=MR","Sort=A","Dates=H","DateFormat=P","Fill=—","Direction=H","UseDPDF=Y")</f>
        <v>20.4025</v>
      </c>
      <c r="W25" s="14">
        <f>_xll.BDH("BLUE US Equity","GROWTH_IN_CAP","FQ4 2023","FQ4 2023","Currency=USD","Period=FQ","BEST_FPERIOD_OVERRIDE=FQ","FILING_STATUS=MR","Sort=A","Dates=H","DateFormat=P","Fill=—","Direction=H","UseDPDF=Y")</f>
        <v>4.6814</v>
      </c>
      <c r="X25" s="14">
        <f>_xll.BDH("BLUE US Equity","GROWTH_IN_CAP","FQ1 2024","FQ1 2024","Currency=USD","Period=FQ","BEST_FPERIOD_OVERRIDE=FQ","FILING_STATUS=MR","Sort=A","Dates=H","DateFormat=P","Fill=—","Direction=H","UseDPDF=Y")</f>
        <v>-13.1707</v>
      </c>
      <c r="Y25" s="14">
        <f>_xll.BDH("BLUE US Equity","GROWTH_IN_CAP","FQ2 2024","FQ2 2024","Currency=USD","Period=FQ","BEST_FPERIOD_OVERRIDE=FQ","FILING_STATUS=MR","Sort=A","Dates=H","DateFormat=P","Fill=—","Direction=H","UseDPDF=Y")</f>
        <v>-25.5884</v>
      </c>
      <c r="Z25" s="14">
        <f>_xll.BDH("BLUE US Equity","GROWTH_IN_CAP","FQ3 2024","FQ3 2024","Currency=USD","Period=FQ","BEST_FPERIOD_OVERRIDE=FQ","FILING_STATUS=MR","Sort=A","Dates=H","DateFormat=P","Fill=—","Direction=H","UseDPDF=Y")</f>
        <v>-31.735499999999998</v>
      </c>
      <c r="AA25" s="14">
        <f>_xll.BDH("BLUE US Equity","GROWTH_IN_CAP","FQ4 2024","FQ4 2024","Currency=USD","Period=FQ","BEST_FPERIOD_OVERRIDE=FQ","FILING_STATUS=MR","Sort=A","Dates=H","DateFormat=P","Fill=—","Direction=H","UseDPDF=Y")</f>
        <v>-38.396500000000003</v>
      </c>
    </row>
    <row r="26" spans="1:27" x14ac:dyDescent="0.25">
      <c r="A26" s="10" t="s">
        <v>1294</v>
      </c>
      <c r="B26" s="10" t="s">
        <v>1295</v>
      </c>
      <c r="C26" s="14">
        <f>_xll.BDH("BLUE US Equity","BVPS_GROWTH","FQ4 2018","FQ4 2018","Currency=USD","Period=FQ","BEST_FPERIOD_OVERRIDE=FQ","FILING_STATUS=MR","Sort=A","Dates=H","DateFormat=P","Fill=—","Direction=H","UseDPDF=Y")</f>
        <v>4.8055000000000003</v>
      </c>
      <c r="D26" s="14">
        <f>_xll.BDH("BLUE US Equity","BVPS_GROWTH","FQ1 2019","FQ1 2019","Currency=USD","Period=FQ","BEST_FPERIOD_OVERRIDE=FQ","FILING_STATUS=MR","Sort=A","Dates=H","DateFormat=P","Fill=—","Direction=H","UseDPDF=Y")</f>
        <v>2.6070000000000002</v>
      </c>
      <c r="E26" s="14">
        <f>_xll.BDH("BLUE US Equity","BVPS_GROWTH","FQ2 2019","FQ2 2019","Currency=USD","Period=FQ","BEST_FPERIOD_OVERRIDE=FQ","FILING_STATUS=MR","Sort=A","Dates=H","DateFormat=P","Fill=—","Direction=H","UseDPDF=Y")</f>
        <v>2.0996999999999999</v>
      </c>
      <c r="F26" s="14">
        <f>_xll.BDH("BLUE US Equity","BVPS_GROWTH","FQ3 2019","FQ3 2019","Currency=USD","Period=FQ","BEST_FPERIOD_OVERRIDE=FQ","FILING_STATUS=MR","Sort=A","Dates=H","DateFormat=P","Fill=—","Direction=H","UseDPDF=Y")</f>
        <v>-27.2972</v>
      </c>
      <c r="G26" s="14">
        <f>_xll.BDH("BLUE US Equity","BVPS_GROWTH","FQ4 2019","FQ4 2019","Currency=USD","Period=FQ","BEST_FPERIOD_OVERRIDE=FQ","FILING_STATUS=MR","Sort=A","Dates=H","DateFormat=P","Fill=—","Direction=H","UseDPDF=Y")</f>
        <v>-32.608800000000002</v>
      </c>
      <c r="H26" s="14">
        <f>_xll.BDH("BLUE US Equity","BVPS_GROWTH","FQ1 2020","FQ1 2020","Currency=USD","Period=FQ","BEST_FPERIOD_OVERRIDE=FQ","FILING_STATUS=MR","Sort=A","Dates=H","DateFormat=P","Fill=—","Direction=H","UseDPDF=Y")</f>
        <v>-37.4</v>
      </c>
      <c r="I26" s="14">
        <f>_xll.BDH("BLUE US Equity","BVPS_GROWTH","FQ2 2020","FQ2 2020","Currency=USD","Period=FQ","BEST_FPERIOD_OVERRIDE=FQ","FILING_STATUS=MR","Sort=A","Dates=H","DateFormat=P","Fill=—","Direction=H","UseDPDF=Y")</f>
        <v>-14.241099999999999</v>
      </c>
      <c r="J26" s="14">
        <f>_xll.BDH("BLUE US Equity","BVPS_GROWTH","FQ3 2020","FQ3 2020","Currency=USD","Period=FQ","BEST_FPERIOD_OVERRIDE=FQ","FILING_STATUS=MR","Sort=A","Dates=H","DateFormat=P","Fill=—","Direction=H","UseDPDF=Y")</f>
        <v>-13.7028</v>
      </c>
      <c r="K26" s="14">
        <f>_xll.BDH("BLUE US Equity","BVPS_GROWTH","FQ4 2020","FQ4 2020","Currency=USD","Period=FQ","BEST_FPERIOD_OVERRIDE=FQ","FILING_STATUS=MR","Sort=A","Dates=H","DateFormat=P","Fill=—","Direction=H","UseDPDF=Y")</f>
        <v>-12.110300000000001</v>
      </c>
      <c r="L26" s="14">
        <f>_xll.BDH("BLUE US Equity","BVPS_GROWTH","FQ1 2021","FQ1 2021","Currency=USD","Period=FQ","BEST_FPERIOD_OVERRIDE=FQ","FILING_STATUS=MR","Sort=A","Dates=H","DateFormat=P","Fill=—","Direction=H","UseDPDF=Y")</f>
        <v>-11.6218</v>
      </c>
      <c r="M26" s="14">
        <f>_xll.BDH("BLUE US Equity","BVPS_GROWTH","FQ2 2021","FQ2 2021","Currency=USD","Period=FQ","BEST_FPERIOD_OVERRIDE=FQ","FILING_STATUS=MR","Sort=A","Dates=H","DateFormat=P","Fill=—","Direction=H","UseDPDF=Y")</f>
        <v>-42.640099999999997</v>
      </c>
      <c r="N26" s="14">
        <f>_xll.BDH("BLUE US Equity","BVPS_GROWTH","FQ3 2021","FQ3 2021","Currency=USD","Period=FQ","BEST_FPERIOD_OVERRIDE=FQ","FILING_STATUS=MR","Sort=A","Dates=H","DateFormat=P","Fill=—","Direction=H","UseDPDF=Y")</f>
        <v>-45.906399999999998</v>
      </c>
      <c r="O26" s="14">
        <f>_xll.BDH("BLUE US Equity","BVPS_GROWTH","FQ4 2021","FQ4 2021","Currency=USD","Period=FQ","BEST_FPERIOD_OVERRIDE=FQ","FILING_STATUS=MR","Sort=A","Dates=H","DateFormat=P","Fill=—","Direction=H","UseDPDF=Y")</f>
        <v>-74.198099999999997</v>
      </c>
      <c r="P26" s="14">
        <f>_xll.BDH("BLUE US Equity","BVPS_GROWTH","FQ1 2022","FQ1 2022","Currency=USD","Period=FQ","BEST_FPERIOD_OVERRIDE=FQ","FILING_STATUS=MR","Sort=A","Dates=H","DateFormat=P","Fill=—","Direction=H","UseDPDF=Y")</f>
        <v>-79.300799999999995</v>
      </c>
      <c r="Q26" s="14">
        <f>_xll.BDH("BLUE US Equity","BVPS_GROWTH","FQ2 2022","FQ2 2022","Currency=USD","Period=FQ","BEST_FPERIOD_OVERRIDE=FQ","FILING_STATUS=MR","Sort=A","Dates=H","DateFormat=P","Fill=—","Direction=H","UseDPDF=Y")</f>
        <v>-83.198300000000003</v>
      </c>
      <c r="R26" s="14">
        <f>_xll.BDH("BLUE US Equity","BVPS_GROWTH","FQ3 2022","FQ3 2022","Currency=USD","Period=FQ","BEST_FPERIOD_OVERRIDE=FQ","FILING_STATUS=MR","Sort=A","Dates=H","DateFormat=P","Fill=—","Direction=H","UseDPDF=Y")</f>
        <v>-84.566199999999995</v>
      </c>
      <c r="S26" s="14">
        <f>_xll.BDH("BLUE US Equity","BVPS_GROWTH","FQ4 2022","FQ4 2022","Currency=USD","Period=FQ","BEST_FPERIOD_OVERRIDE=FQ","FILING_STATUS=MR","Sort=A","Dates=H","DateFormat=P","Fill=—","Direction=H","UseDPDF=Y")</f>
        <v>-69.219499999999996</v>
      </c>
      <c r="T26" s="14">
        <f>_xll.BDH("BLUE US Equity","BVPS_GROWTH","FQ1 2023","FQ1 2023","Currency=USD","Period=FQ","BEST_FPERIOD_OVERRIDE=FQ","FILING_STATUS=MR","Sort=A","Dates=H","DateFormat=P","Fill=—","Direction=H","UseDPDF=Y")</f>
        <v>-9.5023999999999997</v>
      </c>
      <c r="U26" s="14">
        <f>_xll.BDH("BLUE US Equity","BVPS_GROWTH","FQ2 2023","FQ2 2023","Currency=USD","Period=FQ","BEST_FPERIOD_OVERRIDE=FQ","FILING_STATUS=MR","Sort=A","Dates=H","DateFormat=P","Fill=—","Direction=H","UseDPDF=Y")</f>
        <v>10.8666</v>
      </c>
      <c r="V26" s="14">
        <f>_xll.BDH("BLUE US Equity","BVPS_GROWTH","FQ3 2023","FQ3 2023","Currency=USD","Period=FQ","BEST_FPERIOD_OVERRIDE=FQ","FILING_STATUS=MR","Sort=A","Dates=H","DateFormat=P","Fill=—","Direction=H","UseDPDF=Y")</f>
        <v>8.4852000000000007</v>
      </c>
      <c r="W26" s="14">
        <f>_xll.BDH("BLUE US Equity","BVPS_GROWTH","FQ4 2023","FQ4 2023","Currency=USD","Period=FQ","BEST_FPERIOD_OVERRIDE=FQ","FILING_STATUS=MR","Sort=A","Dates=H","DateFormat=P","Fill=—","Direction=H","UseDPDF=Y")</f>
        <v>-37.705399999999997</v>
      </c>
      <c r="X26" s="14">
        <f>_xll.BDH("BLUE US Equity","BVPS_GROWTH","FQ1 2024","FQ1 2024","Currency=USD","Period=FQ","BEST_FPERIOD_OVERRIDE=FQ","FILING_STATUS=MR","Sort=A","Dates=H","DateFormat=P","Fill=—","Direction=H","UseDPDF=Y")</f>
        <v>-79.701400000000007</v>
      </c>
      <c r="Y26" s="14">
        <f>_xll.BDH("BLUE US Equity","BVPS_GROWTH","FQ2 2024","FQ2 2024","Currency=USD","Period=FQ","BEST_FPERIOD_OVERRIDE=FQ","FILING_STATUS=MR","Sort=A","Dates=H","DateFormat=P","Fill=—","Direction=H","UseDPDF=Y")</f>
        <v>-89.933499999999995</v>
      </c>
      <c r="Z26" s="14" t="str">
        <f>_xll.BDH("BLUE US Equity","BVPS_GROWTH","FQ3 2024","FQ3 2024","Currency=USD","Period=FQ","BEST_FPERIOD_OVERRIDE=FQ","FILING_STATUS=MR","Sort=A","Dates=H","DateFormat=P","Fill=—","Direction=H","UseDPDF=Y")</f>
        <v>—</v>
      </c>
      <c r="AA26" s="14" t="str">
        <f>_xll.BDH("BLUE US Equity","BVPS_GROWTH","FQ4 2024","FQ4 2024","Currency=USD","Period=FQ","BEST_FPERIOD_OVERRIDE=FQ","FILING_STATUS=MR","Sort=A","Dates=H","DateFormat=P","Fill=—","Direction=H","UseDPDF=Y")</f>
        <v>—</v>
      </c>
    </row>
    <row r="27" spans="1:27" x14ac:dyDescent="0.25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0" t="s">
        <v>124</v>
      </c>
      <c r="B28" s="10" t="s">
        <v>1296</v>
      </c>
      <c r="C28" s="14">
        <f>_xll.BDH("BLUE US Equity","CASH_FLOW_GROWTH","FQ4 2018","FQ4 2018","Currency=USD","Period=FQ","BEST_FPERIOD_OVERRIDE=FQ","FILING_STATUS=MR","Sort=A","Dates=H","DateFormat=P","Fill=—","Direction=H","UseDPDF=Y")</f>
        <v>-36.016300000000001</v>
      </c>
      <c r="D28" s="14">
        <f>_xll.BDH("BLUE US Equity","CASH_FLOW_GROWTH","FQ1 2019","FQ1 2019","Currency=USD","Period=FQ","BEST_FPERIOD_OVERRIDE=FQ","FILING_STATUS=MR","Sort=A","Dates=H","DateFormat=P","Fill=—","Direction=H","UseDPDF=Y")</f>
        <v>-41.656999999999996</v>
      </c>
      <c r="E28" s="14">
        <f>_xll.BDH("BLUE US Equity","CASH_FLOW_GROWTH","FQ2 2019","FQ2 2019","Currency=USD","Period=FQ","BEST_FPERIOD_OVERRIDE=FQ","FILING_STATUS=MR","Sort=A","Dates=H","DateFormat=P","Fill=—","Direction=H","UseDPDF=Y")</f>
        <v>-37.323700000000002</v>
      </c>
      <c r="F28" s="14">
        <f>_xll.BDH("BLUE US Equity","CASH_FLOW_GROWTH","FQ3 2019","FQ3 2019","Currency=USD","Period=FQ","BEST_FPERIOD_OVERRIDE=FQ","FILING_STATUS=MR","Sort=A","Dates=H","DateFormat=P","Fill=—","Direction=H","UseDPDF=Y")</f>
        <v>-52.244399999999999</v>
      </c>
      <c r="G28" s="14">
        <f>_xll.BDH("BLUE US Equity","CASH_FLOW_GROWTH","FQ4 2019","FQ4 2019","Currency=USD","Period=FQ","BEST_FPERIOD_OVERRIDE=FQ","FILING_STATUS=MR","Sort=A","Dates=H","DateFormat=P","Fill=—","Direction=H","UseDPDF=Y")</f>
        <v>-22.5428</v>
      </c>
      <c r="H28" s="14">
        <f>_xll.BDH("BLUE US Equity","CASH_FLOW_GROWTH","FQ1 2020","FQ1 2020","Currency=USD","Period=FQ","BEST_FPERIOD_OVERRIDE=FQ","FILING_STATUS=MR","Sort=A","Dates=H","DateFormat=P","Fill=—","Direction=H","UseDPDF=Y")</f>
        <v>-33.711100000000002</v>
      </c>
      <c r="I28" s="14" t="str">
        <f>_xll.BDH("BLUE US Equity","CASH_FLOW_GROWTH","FQ2 2020","FQ2 2020","Currency=USD","Period=FQ","BEST_FPERIOD_OVERRIDE=FQ","FILING_STATUS=MR","Sort=A","Dates=H","DateFormat=P","Fill=—","Direction=H","UseDPDF=Y")</f>
        <v>—</v>
      </c>
      <c r="J28" s="14">
        <f>_xll.BDH("BLUE US Equity","CASH_FLOW_GROWTH","FQ3 2020","FQ3 2020","Currency=USD","Period=FQ","BEST_FPERIOD_OVERRIDE=FQ","FILING_STATUS=MR","Sort=A","Dates=H","DateFormat=P","Fill=—","Direction=H","UseDPDF=Y")</f>
        <v>-31.221299999999999</v>
      </c>
      <c r="K28" s="14">
        <f>_xll.BDH("BLUE US Equity","CASH_FLOW_GROWTH","FQ4 2020","FQ4 2020","Currency=USD","Period=FQ","BEST_FPERIOD_OVERRIDE=FQ","FILING_STATUS=MR","Sort=A","Dates=H","DateFormat=P","Fill=—","Direction=H","UseDPDF=Y")</f>
        <v>2.3795999999999999</v>
      </c>
      <c r="L28" s="14">
        <f>_xll.BDH("BLUE US Equity","CASH_FLOW_GROWTH","FQ1 2021","FQ1 2021","Currency=USD","Period=FQ","BEST_FPERIOD_OVERRIDE=FQ","FILING_STATUS=MR","Sort=A","Dates=H","DateFormat=P","Fill=—","Direction=H","UseDPDF=Y")</f>
        <v>1.3554999999999999</v>
      </c>
      <c r="M28" s="14" t="str">
        <f>_xll.BDH("BLUE US Equity","CASH_FLOW_GROWTH","FQ2 2021","FQ2 2021","Currency=USD","Period=FQ","BEST_FPERIOD_OVERRIDE=FQ","FILING_STATUS=MR","Sort=A","Dates=H","DateFormat=P","Fill=—","Direction=H","UseDPDF=Y")</f>
        <v>—</v>
      </c>
      <c r="N28" s="14">
        <f>_xll.BDH("BLUE US Equity","CASH_FLOW_GROWTH","FQ3 2021","FQ3 2021","Currency=USD","Period=FQ","BEST_FPERIOD_OVERRIDE=FQ","FILING_STATUS=MR","Sort=A","Dates=H","DateFormat=P","Fill=—","Direction=H","UseDPDF=Y")</f>
        <v>1.2374000000000001</v>
      </c>
      <c r="O28" s="14">
        <f>_xll.BDH("BLUE US Equity","CASH_FLOW_GROWTH","FQ4 2021","FQ4 2021","Currency=USD","Period=FQ","BEST_FPERIOD_OVERRIDE=FQ","FILING_STATUS=MR","Sort=A","Dates=H","DateFormat=P","Fill=—","Direction=H","UseDPDF=Y")</f>
        <v>9.9669000000000008</v>
      </c>
      <c r="P28" s="14">
        <f>_xll.BDH("BLUE US Equity","CASH_FLOW_GROWTH","FQ1 2022","FQ1 2022","Currency=USD","Period=FQ","BEST_FPERIOD_OVERRIDE=FQ","FILING_STATUS=MR","Sort=A","Dates=H","DateFormat=P","Fill=—","Direction=H","UseDPDF=Y")</f>
        <v>38.377099999999999</v>
      </c>
      <c r="Q28" s="14">
        <f>_xll.BDH("BLUE US Equity","CASH_FLOW_GROWTH","FQ2 2022","FQ2 2022","Currency=USD","Period=FQ","BEST_FPERIOD_OVERRIDE=FQ","FILING_STATUS=MR","Sort=A","Dates=H","DateFormat=P","Fill=—","Direction=H","UseDPDF=Y")</f>
        <v>35.215000000000003</v>
      </c>
      <c r="R28" s="14">
        <f>_xll.BDH("BLUE US Equity","CASH_FLOW_GROWTH","FQ3 2022","FQ3 2022","Currency=USD","Period=FQ","BEST_FPERIOD_OVERRIDE=FQ","FILING_STATUS=MR","Sort=A","Dates=H","DateFormat=P","Fill=—","Direction=H","UseDPDF=Y")</f>
        <v>47.579599999999999</v>
      </c>
      <c r="S28" s="14">
        <f>_xll.BDH("BLUE US Equity","CASH_FLOW_GROWTH","FQ4 2022","FQ4 2022","Currency=USD","Period=FQ","BEST_FPERIOD_OVERRIDE=FQ","FILING_STATUS=MR","Sort=A","Dates=H","DateFormat=P","Fill=—","Direction=H","UseDPDF=Y")</f>
        <v>86.016099999999994</v>
      </c>
      <c r="T28" s="14">
        <f>_xll.BDH("BLUE US Equity","CASH_FLOW_GROWTH","FQ1 2023","FQ1 2023","Currency=USD","Period=FQ","BEST_FPERIOD_OVERRIDE=FQ","FILING_STATUS=MR","Sort=A","Dates=H","DateFormat=P","Fill=—","Direction=H","UseDPDF=Y")</f>
        <v>43.048499999999997</v>
      </c>
      <c r="U28" s="14">
        <f>_xll.BDH("BLUE US Equity","CASH_FLOW_GROWTH","FQ2 2023","FQ2 2023","Currency=USD","Period=FQ","BEST_FPERIOD_OVERRIDE=FQ","FILING_STATUS=MR","Sort=A","Dates=H","DateFormat=P","Fill=—","Direction=H","UseDPDF=Y")</f>
        <v>36.941200000000002</v>
      </c>
      <c r="V28" s="14">
        <f>_xll.BDH("BLUE US Equity","CASH_FLOW_GROWTH","FQ3 2023","FQ3 2023","Currency=USD","Period=FQ","BEST_FPERIOD_OVERRIDE=FQ","FILING_STATUS=MR","Sort=A","Dates=H","DateFormat=P","Fill=—","Direction=H","UseDPDF=Y")</f>
        <v>35.020600000000002</v>
      </c>
      <c r="W28" s="14">
        <f>_xll.BDH("BLUE US Equity","CASH_FLOW_GROWTH","FQ4 2023","FQ4 2023","Currency=USD","Period=FQ","BEST_FPERIOD_OVERRIDE=FQ","FILING_STATUS=MR","Sort=A","Dates=H","DateFormat=P","Fill=—","Direction=H","UseDPDF=Y")</f>
        <v>29.182700000000001</v>
      </c>
      <c r="X28" s="14">
        <f>_xll.BDH("BLUE US Equity","CASH_FLOW_GROWTH","FQ1 2024","FQ1 2024","Currency=USD","Period=FQ","BEST_FPERIOD_OVERRIDE=FQ","FILING_STATUS=MR","Sort=A","Dates=H","DateFormat=P","Fill=—","Direction=H","UseDPDF=Y")</f>
        <v>-4.6497999999999999</v>
      </c>
      <c r="Y28" s="14">
        <f>_xll.BDH("BLUE US Equity","CASH_FLOW_GROWTH","FQ2 2024","FQ2 2024","Currency=USD","Period=FQ","BEST_FPERIOD_OVERRIDE=FQ","FILING_STATUS=MR","Sort=A","Dates=H","DateFormat=P","Fill=—","Direction=H","UseDPDF=Y")</f>
        <v>-11.346</v>
      </c>
      <c r="Z28" s="14">
        <f>_xll.BDH("BLUE US Equity","CASH_FLOW_GROWTH","FQ3 2024","FQ3 2024","Currency=USD","Period=FQ","BEST_FPERIOD_OVERRIDE=FQ","FILING_STATUS=MR","Sort=A","Dates=H","DateFormat=P","Fill=—","Direction=H","UseDPDF=Y")</f>
        <v>-37.715499999999999</v>
      </c>
      <c r="AA28" s="14">
        <f>_xll.BDH("BLUE US Equity","CASH_FLOW_GROWTH","FQ4 2024","FQ4 2024","Currency=USD","Period=FQ","BEST_FPERIOD_OVERRIDE=FQ","FILING_STATUS=MR","Sort=A","Dates=H","DateFormat=P","Fill=—","Direction=H","UseDPDF=Y")</f>
        <v>-262.53519999999997</v>
      </c>
    </row>
    <row r="29" spans="1:27" x14ac:dyDescent="0.25">
      <c r="A29" s="10" t="s">
        <v>86</v>
      </c>
      <c r="B29" s="10" t="s">
        <v>1297</v>
      </c>
      <c r="C29" s="14">
        <f>_xll.BDH("BLUE US Equity","TOT_CAP_EXPEND_GROWTH","FQ4 2018","FQ4 2018","Currency=USD","Period=FQ","BEST_FPERIOD_OVERRIDE=FQ","FILING_STATUS=MR","Sort=A","Dates=H","DateFormat=P","Fill=—","Direction=H","UseDPDF=Y")</f>
        <v>-31.544</v>
      </c>
      <c r="D29" s="14">
        <f>_xll.BDH("BLUE US Equity","TOT_CAP_EXPEND_GROWTH","FQ1 2019","FQ1 2019","Currency=USD","Period=FQ","BEST_FPERIOD_OVERRIDE=FQ","FILING_STATUS=MR","Sort=A","Dates=H","DateFormat=P","Fill=—","Direction=H","UseDPDF=Y")</f>
        <v>159.27269999999999</v>
      </c>
      <c r="E29" s="14">
        <f>_xll.BDH("BLUE US Equity","TOT_CAP_EXPEND_GROWTH","FQ2 2019","FQ2 2019","Currency=USD","Period=FQ","BEST_FPERIOD_OVERRIDE=FQ","FILING_STATUS=MR","Sort=A","Dates=H","DateFormat=P","Fill=—","Direction=H","UseDPDF=Y")</f>
        <v>40.545400000000001</v>
      </c>
      <c r="F29" s="14">
        <f>_xll.BDH("BLUE US Equity","TOT_CAP_EXPEND_GROWTH","FQ3 2019","FQ3 2019","Currency=USD","Period=FQ","BEST_FPERIOD_OVERRIDE=FQ","FILING_STATUS=MR","Sort=A","Dates=H","DateFormat=P","Fill=—","Direction=H","UseDPDF=Y")</f>
        <v>-6.5087000000000002</v>
      </c>
      <c r="G29" s="14">
        <f>_xll.BDH("BLUE US Equity","TOT_CAP_EXPEND_GROWTH","FQ4 2019","FQ4 2019","Currency=USD","Period=FQ","BEST_FPERIOD_OVERRIDE=FQ","FILING_STATUS=MR","Sort=A","Dates=H","DateFormat=P","Fill=—","Direction=H","UseDPDF=Y")</f>
        <v>-3.9013</v>
      </c>
      <c r="H29" s="14">
        <f>_xll.BDH("BLUE US Equity","TOT_CAP_EXPEND_GROWTH","FQ1 2020","FQ1 2020","Currency=USD","Period=FQ","BEST_FPERIOD_OVERRIDE=FQ","FILING_STATUS=MR","Sort=A","Dates=H","DateFormat=P","Fill=—","Direction=H","UseDPDF=Y")</f>
        <v>-44.744100000000003</v>
      </c>
      <c r="I29" s="14">
        <f>_xll.BDH("BLUE US Equity","TOT_CAP_EXPEND_GROWTH","FQ2 2020","FQ2 2020","Currency=USD","Period=FQ","BEST_FPERIOD_OVERRIDE=FQ","FILING_STATUS=MR","Sort=A","Dates=H","DateFormat=P","Fill=—","Direction=H","UseDPDF=Y")</f>
        <v>-74.188299999999998</v>
      </c>
      <c r="J29" s="14">
        <f>_xll.BDH("BLUE US Equity","TOT_CAP_EXPEND_GROWTH","FQ3 2020","FQ3 2020","Currency=USD","Period=FQ","BEST_FPERIOD_OVERRIDE=FQ","FILING_STATUS=MR","Sort=A","Dates=H","DateFormat=P","Fill=—","Direction=H","UseDPDF=Y")</f>
        <v>-72.8673</v>
      </c>
      <c r="K29" s="14">
        <f>_xll.BDH("BLUE US Equity","TOT_CAP_EXPEND_GROWTH","FQ4 2020","FQ4 2020","Currency=USD","Period=FQ","BEST_FPERIOD_OVERRIDE=FQ","FILING_STATUS=MR","Sort=A","Dates=H","DateFormat=P","Fill=—","Direction=H","UseDPDF=Y")</f>
        <v>-36.335799999999999</v>
      </c>
      <c r="L29" s="14">
        <f>_xll.BDH("BLUE US Equity","TOT_CAP_EXPEND_GROWTH","FQ1 2021","FQ1 2021","Currency=USD","Period=FQ","BEST_FPERIOD_OVERRIDE=FQ","FILING_STATUS=MR","Sort=A","Dates=H","DateFormat=P","Fill=—","Direction=H","UseDPDF=Y")</f>
        <v>-28.5688</v>
      </c>
      <c r="M29" s="14">
        <f>_xll.BDH("BLUE US Equity","TOT_CAP_EXPEND_GROWTH","FQ2 2021","FQ2 2021","Currency=USD","Period=FQ","BEST_FPERIOD_OVERRIDE=FQ","FILING_STATUS=MR","Sort=A","Dates=H","DateFormat=P","Fill=—","Direction=H","UseDPDF=Y")</f>
        <v>-67.1387</v>
      </c>
      <c r="N29" s="14">
        <f>_xll.BDH("BLUE US Equity","TOT_CAP_EXPEND_GROWTH","FQ3 2021","FQ3 2021","Currency=USD","Period=FQ","BEST_FPERIOD_OVERRIDE=FQ","FILING_STATUS=MR","Sort=A","Dates=H","DateFormat=P","Fill=—","Direction=H","UseDPDF=Y")</f>
        <v>-33.451999999999998</v>
      </c>
      <c r="O29" s="14">
        <f>_xll.BDH("BLUE US Equity","TOT_CAP_EXPEND_GROWTH","FQ4 2021","FQ4 2021","Currency=USD","Period=FQ","BEST_FPERIOD_OVERRIDE=FQ","FILING_STATUS=MR","Sort=A","Dates=H","DateFormat=P","Fill=—","Direction=H","UseDPDF=Y")</f>
        <v>-80.235799999999998</v>
      </c>
      <c r="P29" s="14">
        <f>_xll.BDH("BLUE US Equity","TOT_CAP_EXPEND_GROWTH","FQ1 2022","FQ1 2022","Currency=USD","Period=FQ","BEST_FPERIOD_OVERRIDE=FQ","FILING_STATUS=MR","Sort=A","Dates=H","DateFormat=P","Fill=—","Direction=H","UseDPDF=Y")</f>
        <v>-88.762100000000004</v>
      </c>
      <c r="Q29" s="14">
        <f>_xll.BDH("BLUE US Equity","TOT_CAP_EXPEND_GROWTH","FQ2 2022","FQ2 2022","Currency=USD","Period=FQ","BEST_FPERIOD_OVERRIDE=FQ","FILING_STATUS=MR","Sort=A","Dates=H","DateFormat=P","Fill=—","Direction=H","UseDPDF=Y")</f>
        <v>278.89729999999997</v>
      </c>
      <c r="R29" s="14">
        <f>_xll.BDH("BLUE US Equity","TOT_CAP_EXPEND_GROWTH","FQ3 2022","FQ3 2022","Currency=USD","Period=FQ","BEST_FPERIOD_OVERRIDE=FQ","FILING_STATUS=MR","Sort=A","Dates=H","DateFormat=P","Fill=—","Direction=H","UseDPDF=Y")</f>
        <v>-66.203199999999995</v>
      </c>
      <c r="S29" s="14">
        <f>_xll.BDH("BLUE US Equity","TOT_CAP_EXPEND_GROWTH","FQ4 2022","FQ4 2022","Currency=USD","Period=FQ","BEST_FPERIOD_OVERRIDE=FQ","FILING_STATUS=MR","Sort=A","Dates=H","DateFormat=P","Fill=—","Direction=H","UseDPDF=Y")</f>
        <v>-93.072500000000005</v>
      </c>
      <c r="T29" s="14">
        <f>_xll.BDH("BLUE US Equity","TOT_CAP_EXPEND_GROWTH","FQ1 2023","FQ1 2023","Currency=USD","Period=FQ","BEST_FPERIOD_OVERRIDE=FQ","FILING_STATUS=MR","Sort=A","Dates=H","DateFormat=P","Fill=—","Direction=H","UseDPDF=Y")</f>
        <v>-72.928799999999995</v>
      </c>
      <c r="U29" s="14">
        <f>_xll.BDH("BLUE US Equity","TOT_CAP_EXPEND_GROWTH","FQ2 2023","FQ2 2023","Currency=USD","Period=FQ","BEST_FPERIOD_OVERRIDE=FQ","FILING_STATUS=MR","Sort=A","Dates=H","DateFormat=P","Fill=—","Direction=H","UseDPDF=Y")</f>
        <v>-88.208699999999993</v>
      </c>
      <c r="V29" s="14">
        <f>_xll.BDH("BLUE US Equity","TOT_CAP_EXPEND_GROWTH","FQ3 2023","FQ3 2023","Currency=USD","Period=FQ","BEST_FPERIOD_OVERRIDE=FQ","FILING_STATUS=MR","Sort=A","Dates=H","DateFormat=P","Fill=—","Direction=H","UseDPDF=Y")</f>
        <v>61.234200000000001</v>
      </c>
      <c r="W29" s="14">
        <f>_xll.BDH("BLUE US Equity","TOT_CAP_EXPEND_GROWTH","FQ4 2023","FQ4 2023","Currency=USD","Period=FQ","BEST_FPERIOD_OVERRIDE=FQ","FILING_STATUS=MR","Sort=A","Dates=H","DateFormat=P","Fill=—","Direction=H","UseDPDF=Y")</f>
        <v>1024.0741</v>
      </c>
      <c r="X29" s="14">
        <f>_xll.BDH("BLUE US Equity","TOT_CAP_EXPEND_GROWTH","FQ1 2024","FQ1 2024","Currency=USD","Period=FQ","BEST_FPERIOD_OVERRIDE=FQ","FILING_STATUS=MR","Sort=A","Dates=H","DateFormat=P","Fill=—","Direction=H","UseDPDF=Y")</f>
        <v>665.08619999999996</v>
      </c>
      <c r="Y29" s="14">
        <f>_xll.BDH("BLUE US Equity","TOT_CAP_EXPEND_GROWTH","FQ2 2024","FQ2 2024","Currency=USD","Period=FQ","BEST_FPERIOD_OVERRIDE=FQ","FILING_STATUS=MR","Sort=A","Dates=H","DateFormat=P","Fill=—","Direction=H","UseDPDF=Y")</f>
        <v>-91.631200000000007</v>
      </c>
      <c r="Z29" s="14">
        <f>_xll.BDH("BLUE US Equity","TOT_CAP_EXPEND_GROWTH","FQ3 2024","FQ3 2024","Currency=USD","Period=FQ","BEST_FPERIOD_OVERRIDE=FQ","FILING_STATUS=MR","Sort=A","Dates=H","DateFormat=P","Fill=—","Direction=H","UseDPDF=Y")</f>
        <v>-86.260999999999996</v>
      </c>
      <c r="AA29" s="14">
        <f>_xll.BDH("BLUE US Equity","TOT_CAP_EXPEND_GROWTH","FQ4 2024","FQ4 2024","Currency=USD","Period=FQ","BEST_FPERIOD_OVERRIDE=FQ","FILING_STATUS=MR","Sort=A","Dates=H","DateFormat=P","Fill=—","Direction=H","UseDPDF=Y")</f>
        <v>-60.049399999999999</v>
      </c>
    </row>
    <row r="30" spans="1:27" x14ac:dyDescent="0.25">
      <c r="A30" s="10" t="s">
        <v>1223</v>
      </c>
      <c r="B30" s="10" t="s">
        <v>1298</v>
      </c>
      <c r="C30" s="14" t="str">
        <f>_xll.BDH("BLUE US Equity","NET_CHANGE_IN_CASH_1_YEAR_GROWTH","FQ4 2018","FQ4 2018","Currency=USD","Period=FQ","BEST_FPERIOD_OVERRIDE=FQ","FILING_STATUS=MR","Sort=A","Dates=H","DateFormat=P","Fill=—","Direction=H","UseDPDF=Y")</f>
        <v>—</v>
      </c>
      <c r="D30" s="14">
        <f>_xll.BDH("BLUE US Equity","NET_CHANGE_IN_CASH_1_YEAR_GROWTH","FQ1 2019","FQ1 2019","Currency=USD","Period=FQ","BEST_FPERIOD_OVERRIDE=FQ","FILING_STATUS=MR","Sort=A","Dates=H","DateFormat=P","Fill=—","Direction=H","UseDPDF=Y")</f>
        <v>40.092100000000002</v>
      </c>
      <c r="E30" s="14" t="str">
        <f>_xll.BDH("BLUE US Equity","NET_CHANGE_IN_CASH_1_YEAR_GROWTH","FQ2 2019","FQ2 2019","Currency=USD","Period=FQ","BEST_FPERIOD_OVERRIDE=FQ","FILING_STATUS=MR","Sort=A","Dates=H","DateFormat=P","Fill=—","Direction=H","UseDPDF=Y")</f>
        <v>—</v>
      </c>
      <c r="F30" s="14">
        <f>_xll.BDH("BLUE US Equity","NET_CHANGE_IN_CASH_1_YEAR_GROWTH","FQ3 2019","FQ3 2019","Currency=USD","Period=FQ","BEST_FPERIOD_OVERRIDE=FQ","FILING_STATUS=MR","Sort=A","Dates=H","DateFormat=P","Fill=—","Direction=H","UseDPDF=Y")</f>
        <v>-96.790899999999993</v>
      </c>
      <c r="G30" s="14" t="str">
        <f>_xll.BDH("BLUE US Equity","NET_CHANGE_IN_CASH_1_YEAR_GROWTH","FQ4 2019","FQ4 2019","Currency=USD","Period=FQ","BEST_FPERIOD_OVERRIDE=FQ","FILING_STATUS=MR","Sort=A","Dates=H","DateFormat=P","Fill=—","Direction=H","UseDPDF=Y")</f>
        <v>—</v>
      </c>
      <c r="H30" s="14" t="str">
        <f>_xll.BDH("BLUE US Equity","NET_CHANGE_IN_CASH_1_YEAR_GROWTH","FQ1 2020","FQ1 2020","Currency=USD","Period=FQ","BEST_FPERIOD_OVERRIDE=FQ","FILING_STATUS=MR","Sort=A","Dates=H","DateFormat=P","Fill=—","Direction=H","UseDPDF=Y")</f>
        <v>—</v>
      </c>
      <c r="I30" s="14">
        <f>_xll.BDH("BLUE US Equity","NET_CHANGE_IN_CASH_1_YEAR_GROWTH","FQ2 2020","FQ2 2020","Currency=USD","Period=FQ","BEST_FPERIOD_OVERRIDE=FQ","FILING_STATUS=MR","Sort=A","Dates=H","DateFormat=P","Fill=—","Direction=H","UseDPDF=Y")</f>
        <v>757.85429999999997</v>
      </c>
      <c r="J30" s="14" t="str">
        <f>_xll.BDH("BLUE US Equity","NET_CHANGE_IN_CASH_1_YEAR_GROWTH","FQ3 2020","FQ3 2020","Currency=USD","Period=FQ","BEST_FPERIOD_OVERRIDE=FQ","FILING_STATUS=MR","Sort=A","Dates=H","DateFormat=P","Fill=—","Direction=H","UseDPDF=Y")</f>
        <v>—</v>
      </c>
      <c r="K30" s="14" t="str">
        <f>_xll.BDH("BLUE US Equity","NET_CHANGE_IN_CASH_1_YEAR_GROWTH","FQ4 2020","FQ4 2020","Currency=USD","Period=FQ","BEST_FPERIOD_OVERRIDE=FQ","FILING_STATUS=MR","Sort=A","Dates=H","DateFormat=P","Fill=—","Direction=H","UseDPDF=Y")</f>
        <v>—</v>
      </c>
      <c r="L30" s="14">
        <f>_xll.BDH("BLUE US Equity","NET_CHANGE_IN_CASH_1_YEAR_GROWTH","FQ1 2021","FQ1 2021","Currency=USD","Period=FQ","BEST_FPERIOD_OVERRIDE=FQ","FILING_STATUS=MR","Sort=A","Dates=H","DateFormat=P","Fill=—","Direction=H","UseDPDF=Y")</f>
        <v>527.29660000000001</v>
      </c>
      <c r="M30" s="14" t="str">
        <f>_xll.BDH("BLUE US Equity","NET_CHANGE_IN_CASH_1_YEAR_GROWTH","FQ2 2021","FQ2 2021","Currency=USD","Period=FQ","BEST_FPERIOD_OVERRIDE=FQ","FILING_STATUS=MR","Sort=A","Dates=H","DateFormat=P","Fill=—","Direction=H","UseDPDF=Y")</f>
        <v>—</v>
      </c>
      <c r="N30" s="14" t="str">
        <f>_xll.BDH("BLUE US Equity","NET_CHANGE_IN_CASH_1_YEAR_GROWTH","FQ3 2021","FQ3 2021","Currency=USD","Period=FQ","BEST_FPERIOD_OVERRIDE=FQ","FILING_STATUS=MR","Sort=A","Dates=H","DateFormat=P","Fill=—","Direction=H","UseDPDF=Y")</f>
        <v>—</v>
      </c>
      <c r="O30" s="14">
        <f>_xll.BDH("BLUE US Equity","NET_CHANGE_IN_CASH_1_YEAR_GROWTH","FQ4 2021","FQ4 2021","Currency=USD","Period=FQ","BEST_FPERIOD_OVERRIDE=FQ","FILING_STATUS=MR","Sort=A","Dates=H","DateFormat=P","Fill=—","Direction=H","UseDPDF=Y")</f>
        <v>-5012.3761000000004</v>
      </c>
      <c r="P30" s="14" t="str">
        <f>_xll.BDH("BLUE US Equity","NET_CHANGE_IN_CASH_1_YEAR_GROWTH","FQ1 2022","FQ1 2022","Currency=USD","Period=FQ","BEST_FPERIOD_OVERRIDE=FQ","FILING_STATUS=MR","Sort=A","Dates=H","DateFormat=P","Fill=—","Direction=H","UseDPDF=Y")</f>
        <v>—</v>
      </c>
      <c r="Q30" s="14">
        <f>_xll.BDH("BLUE US Equity","NET_CHANGE_IN_CASH_1_YEAR_GROWTH","FQ2 2022","FQ2 2022","Currency=USD","Period=FQ","BEST_FPERIOD_OVERRIDE=FQ","FILING_STATUS=MR","Sort=A","Dates=H","DateFormat=P","Fill=—","Direction=H","UseDPDF=Y")</f>
        <v>70.962699999999998</v>
      </c>
      <c r="R30" s="14" t="str">
        <f>_xll.BDH("BLUE US Equity","NET_CHANGE_IN_CASH_1_YEAR_GROWTH","FQ3 2022","FQ3 2022","Currency=USD","Period=FQ","BEST_FPERIOD_OVERRIDE=FQ","FILING_STATUS=MR","Sort=A","Dates=H","DateFormat=P","Fill=—","Direction=H","UseDPDF=Y")</f>
        <v>—</v>
      </c>
      <c r="S30" s="14" t="str">
        <f>_xll.BDH("BLUE US Equity","NET_CHANGE_IN_CASH_1_YEAR_GROWTH","FQ4 2022","FQ4 2022","Currency=USD","Period=FQ","BEST_FPERIOD_OVERRIDE=FQ","FILING_STATUS=MR","Sort=A","Dates=H","DateFormat=P","Fill=—","Direction=H","UseDPDF=Y")</f>
        <v>—</v>
      </c>
      <c r="T30" s="14" t="str">
        <f>_xll.BDH("BLUE US Equity","NET_CHANGE_IN_CASH_1_YEAR_GROWTH","FQ1 2023","FQ1 2023","Currency=USD","Period=FQ","BEST_FPERIOD_OVERRIDE=FQ","FILING_STATUS=MR","Sort=A","Dates=H","DateFormat=P","Fill=—","Direction=H","UseDPDF=Y")</f>
        <v>—</v>
      </c>
      <c r="U30" s="14">
        <f>_xll.BDH("BLUE US Equity","NET_CHANGE_IN_CASH_1_YEAR_GROWTH","FQ2 2023","FQ2 2023","Currency=USD","Period=FQ","BEST_FPERIOD_OVERRIDE=FQ","FILING_STATUS=MR","Sort=A","Dates=H","DateFormat=P","Fill=—","Direction=H","UseDPDF=Y")</f>
        <v>-168.6831</v>
      </c>
      <c r="V30" s="14" t="str">
        <f>_xll.BDH("BLUE US Equity","NET_CHANGE_IN_CASH_1_YEAR_GROWTH","FQ3 2023","FQ3 2023","Currency=USD","Period=FQ","BEST_FPERIOD_OVERRIDE=FQ","FILING_STATUS=MR","Sort=A","Dates=H","DateFormat=P","Fill=—","Direction=H","UseDPDF=Y")</f>
        <v>—</v>
      </c>
      <c r="W30" s="14">
        <f>_xll.BDH("BLUE US Equity","NET_CHANGE_IN_CASH_1_YEAR_GROWTH","FQ4 2023","FQ4 2023","Currency=USD","Period=FQ","BEST_FPERIOD_OVERRIDE=FQ","FILING_STATUS=MR","Sort=A","Dates=H","DateFormat=P","Fill=—","Direction=H","UseDPDF=Y")</f>
        <v>20.006799999999998</v>
      </c>
      <c r="X30" s="14" t="str">
        <f>_xll.BDH("BLUE US Equity","NET_CHANGE_IN_CASH_1_YEAR_GROWTH","FQ1 2024","FQ1 2024","Currency=USD","Period=FQ","BEST_FPERIOD_OVERRIDE=FQ","FILING_STATUS=MR","Sort=A","Dates=H","DateFormat=P","Fill=—","Direction=H","UseDPDF=Y")</f>
        <v>—</v>
      </c>
      <c r="Y30" s="14">
        <f>_xll.BDH("BLUE US Equity","NET_CHANGE_IN_CASH_1_YEAR_GROWTH","FQ2 2024","FQ2 2024","Currency=USD","Period=FQ","BEST_FPERIOD_OVERRIDE=FQ","FILING_STATUS=MR","Sort=A","Dates=H","DateFormat=P","Fill=—","Direction=H","UseDPDF=Y")</f>
        <v>-6.7451999999999996</v>
      </c>
      <c r="Z30" s="14" t="str">
        <f>_xll.BDH("BLUE US Equity","NET_CHANGE_IN_CASH_1_YEAR_GROWTH","FQ3 2024","FQ3 2024","Currency=USD","Period=FQ","BEST_FPERIOD_OVERRIDE=FQ","FILING_STATUS=MR","Sort=A","Dates=H","DateFormat=P","Fill=—","Direction=H","UseDPDF=Y")</f>
        <v>—</v>
      </c>
      <c r="AA30" s="14" t="str">
        <f>_xll.BDH("BLUE US Equity","NET_CHANGE_IN_CASH_1_YEAR_GROWTH","FQ4 2024","FQ4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88</v>
      </c>
      <c r="B31" s="10" t="s">
        <v>1299</v>
      </c>
      <c r="C31" s="14">
        <f>_xll.BDH("BLUE US Equity","FREE_CASH_FLOW_1_YEAR_GROWTH","FQ4 2018","FQ4 2018","Currency=USD","Period=FQ","BEST_FPERIOD_OVERRIDE=FQ","FILING_STATUS=MR","Sort=A","Dates=H","DateFormat=P","Fill=—","Direction=H","UseDPDF=Y")</f>
        <v>-24.875499999999999</v>
      </c>
      <c r="D31" s="14">
        <f>_xll.BDH("BLUE US Equity","FREE_CASH_FLOW_1_YEAR_GROWTH","FQ1 2019","FQ1 2019","Currency=USD","Period=FQ","BEST_FPERIOD_OVERRIDE=FQ","FILING_STATUS=MR","Sort=A","Dates=H","DateFormat=P","Fill=—","Direction=H","UseDPDF=Y")</f>
        <v>-49.195</v>
      </c>
      <c r="E31" s="14">
        <f>_xll.BDH("BLUE US Equity","FREE_CASH_FLOW_1_YEAR_GROWTH","FQ2 2019","FQ2 2019","Currency=USD","Period=FQ","BEST_FPERIOD_OVERRIDE=FQ","FILING_STATUS=MR","Sort=A","Dates=H","DateFormat=P","Fill=—","Direction=H","UseDPDF=Y")</f>
        <v>-37.698999999999998</v>
      </c>
      <c r="F31" s="14">
        <f>_xll.BDH("BLUE US Equity","FREE_CASH_FLOW_1_YEAR_GROWTH","FQ3 2019","FQ3 2019","Currency=USD","Period=FQ","BEST_FPERIOD_OVERRIDE=FQ","FILING_STATUS=MR","Sort=A","Dates=H","DateFormat=P","Fill=—","Direction=H","UseDPDF=Y")</f>
        <v>-38.773400000000002</v>
      </c>
      <c r="G31" s="14">
        <f>_xll.BDH("BLUE US Equity","FREE_CASH_FLOW_1_YEAR_GROWTH","FQ4 2019","FQ4 2019","Currency=USD","Period=FQ","BEST_FPERIOD_OVERRIDE=FQ","FILING_STATUS=MR","Sort=A","Dates=H","DateFormat=P","Fill=—","Direction=H","UseDPDF=Y")</f>
        <v>-20.1523</v>
      </c>
      <c r="H31" s="14">
        <f>_xll.BDH("BLUE US Equity","FREE_CASH_FLOW_1_YEAR_GROWTH","FQ1 2020","FQ1 2020","Currency=USD","Period=FQ","BEST_FPERIOD_OVERRIDE=FQ","FILING_STATUS=MR","Sort=A","Dates=H","DateFormat=P","Fill=—","Direction=H","UseDPDF=Y")</f>
        <v>-24.973099999999999</v>
      </c>
      <c r="I31" s="14" t="str">
        <f>_xll.BDH("BLUE US Equity","FREE_CASH_FLOW_1_YEAR_GROWTH","FQ2 2020","FQ2 2020","Currency=USD","Period=FQ","BEST_FPERIOD_OVERRIDE=FQ","FILING_STATUS=MR","Sort=A","Dates=H","DateFormat=P","Fill=—","Direction=H","UseDPDF=Y")</f>
        <v>—</v>
      </c>
      <c r="J31" s="14">
        <f>_xll.BDH("BLUE US Equity","FREE_CASH_FLOW_1_YEAR_GROWTH","FQ3 2020","FQ3 2020","Currency=USD","Period=FQ","BEST_FPERIOD_OVERRIDE=FQ","FILING_STATUS=MR","Sort=A","Dates=H","DateFormat=P","Fill=—","Direction=H","UseDPDF=Y")</f>
        <v>-15.1431</v>
      </c>
      <c r="K31" s="14">
        <f>_xll.BDH("BLUE US Equity","FREE_CASH_FLOW_1_YEAR_GROWTH","FQ4 2020","FQ4 2020","Currency=USD","Period=FQ","BEST_FPERIOD_OVERRIDE=FQ","FILING_STATUS=MR","Sort=A","Dates=H","DateFormat=P","Fill=—","Direction=H","UseDPDF=Y")</f>
        <v>4.8346999999999998</v>
      </c>
      <c r="L31" s="14">
        <f>_xll.BDH("BLUE US Equity","FREE_CASH_FLOW_1_YEAR_GROWTH","FQ1 2021","FQ1 2021","Currency=USD","Period=FQ","BEST_FPERIOD_OVERRIDE=FQ","FILING_STATUS=MR","Sort=A","Dates=H","DateFormat=P","Fill=—","Direction=H","UseDPDF=Y")</f>
        <v>2.6956000000000002</v>
      </c>
      <c r="M31" s="14" t="str">
        <f>_xll.BDH("BLUE US Equity","FREE_CASH_FLOW_1_YEAR_GROWTH","FQ2 2021","FQ2 2021","Currency=USD","Period=FQ","BEST_FPERIOD_OVERRIDE=FQ","FILING_STATUS=MR","Sort=A","Dates=H","DateFormat=P","Fill=—","Direction=H","UseDPDF=Y")</f>
        <v>—</v>
      </c>
      <c r="N31" s="14">
        <f>_xll.BDH("BLUE US Equity","FREE_CASH_FLOW_1_YEAR_GROWTH","FQ3 2021","FQ3 2021","Currency=USD","Period=FQ","BEST_FPERIOD_OVERRIDE=FQ","FILING_STATUS=MR","Sort=A","Dates=H","DateFormat=P","Fill=—","Direction=H","UseDPDF=Y")</f>
        <v>2.41</v>
      </c>
      <c r="O31" s="14">
        <f>_xll.BDH("BLUE US Equity","FREE_CASH_FLOW_1_YEAR_GROWTH","FQ4 2021","FQ4 2021","Currency=USD","Period=FQ","BEST_FPERIOD_OVERRIDE=FQ","FILING_STATUS=MR","Sort=A","Dates=H","DateFormat=P","Fill=—","Direction=H","UseDPDF=Y")</f>
        <v>13.3658</v>
      </c>
      <c r="P31" s="14">
        <f>_xll.BDH("BLUE US Equity","FREE_CASH_FLOW_1_YEAR_GROWTH","FQ1 2022","FQ1 2022","Currency=USD","Period=FQ","BEST_FPERIOD_OVERRIDE=FQ","FILING_STATUS=MR","Sort=A","Dates=H","DateFormat=P","Fill=—","Direction=H","UseDPDF=Y")</f>
        <v>40.198500000000003</v>
      </c>
      <c r="Q31" s="14">
        <f>_xll.BDH("BLUE US Equity","FREE_CASH_FLOW_1_YEAR_GROWTH","FQ2 2022","FQ2 2022","Currency=USD","Period=FQ","BEST_FPERIOD_OVERRIDE=FQ","FILING_STATUS=MR","Sort=A","Dates=H","DateFormat=P","Fill=—","Direction=H","UseDPDF=Y")</f>
        <v>31.848299999999998</v>
      </c>
      <c r="R31" s="14">
        <f>_xll.BDH("BLUE US Equity","FREE_CASH_FLOW_1_YEAR_GROWTH","FQ3 2022","FQ3 2022","Currency=USD","Period=FQ","BEST_FPERIOD_OVERRIDE=FQ","FILING_STATUS=MR","Sort=A","Dates=H","DateFormat=P","Fill=—","Direction=H","UseDPDF=Y")</f>
        <v>48.041899999999998</v>
      </c>
      <c r="S31" s="14">
        <f>_xll.BDH("BLUE US Equity","FREE_CASH_FLOW_1_YEAR_GROWTH","FQ4 2022","FQ4 2022","Currency=USD","Period=FQ","BEST_FPERIOD_OVERRIDE=FQ","FILING_STATUS=MR","Sort=A","Dates=H","DateFormat=P","Fill=—","Direction=H","UseDPDF=Y")</f>
        <v>86.093999999999994</v>
      </c>
      <c r="T31" s="14">
        <f>_xll.BDH("BLUE US Equity","FREE_CASH_FLOW_1_YEAR_GROWTH","FQ1 2023","FQ1 2023","Currency=USD","Period=FQ","BEST_FPERIOD_OVERRIDE=FQ","FILING_STATUS=MR","Sort=A","Dates=H","DateFormat=P","Fill=—","Direction=H","UseDPDF=Y")</f>
        <v>43.251399999999997</v>
      </c>
      <c r="U31" s="14">
        <f>_xll.BDH("BLUE US Equity","FREE_CASH_FLOW_1_YEAR_GROWTH","FQ2 2023","FQ2 2023","Currency=USD","Period=FQ","BEST_FPERIOD_OVERRIDE=FQ","FILING_STATUS=MR","Sort=A","Dates=H","DateFormat=P","Fill=—","Direction=H","UseDPDF=Y")</f>
        <v>39.996200000000002</v>
      </c>
      <c r="V31" s="14">
        <f>_xll.BDH("BLUE US Equity","FREE_CASH_FLOW_1_YEAR_GROWTH","FQ3 2023","FQ3 2023","Currency=USD","Period=FQ","BEST_FPERIOD_OVERRIDE=FQ","FILING_STATUS=MR","Sort=A","Dates=H","DateFormat=P","Fill=—","Direction=H","UseDPDF=Y")</f>
        <v>33.4666</v>
      </c>
      <c r="W31" s="14">
        <f>_xll.BDH("BLUE US Equity","FREE_CASH_FLOW_1_YEAR_GROWTH","FQ4 2023","FQ4 2023","Currency=USD","Period=FQ","BEST_FPERIOD_OVERRIDE=FQ","FILING_STATUS=MR","Sort=A","Dates=H","DateFormat=P","Fill=—","Direction=H","UseDPDF=Y")</f>
        <v>23.392900000000001</v>
      </c>
      <c r="X31" s="14">
        <f>_xll.BDH("BLUE US Equity","FREE_CASH_FLOW_1_YEAR_GROWTH","FQ1 2024","FQ1 2024","Currency=USD","Period=FQ","BEST_FPERIOD_OVERRIDE=FQ","FILING_STATUS=MR","Sort=A","Dates=H","DateFormat=P","Fill=—","Direction=H","UseDPDF=Y")</f>
        <v>-6.7900999999999998</v>
      </c>
      <c r="Y31" s="14">
        <f>_xll.BDH("BLUE US Equity","FREE_CASH_FLOW_1_YEAR_GROWTH","FQ2 2024","FQ2 2024","Currency=USD","Period=FQ","BEST_FPERIOD_OVERRIDE=FQ","FILING_STATUS=MR","Sort=A","Dates=H","DateFormat=P","Fill=—","Direction=H","UseDPDF=Y")</f>
        <v>-10.1402</v>
      </c>
      <c r="Z31" s="14">
        <f>_xll.BDH("BLUE US Equity","FREE_CASH_FLOW_1_YEAR_GROWTH","FQ3 2024","FQ3 2024","Currency=USD","Period=FQ","BEST_FPERIOD_OVERRIDE=FQ","FILING_STATUS=MR","Sort=A","Dates=H","DateFormat=P","Fill=—","Direction=H","UseDPDF=Y")</f>
        <v>-32.864899999999999</v>
      </c>
      <c r="AA31" s="14">
        <f>_xll.BDH("BLUE US Equity","FREE_CASH_FLOW_1_YEAR_GROWTH","FQ4 2024","FQ4 2024","Currency=USD","Period=FQ","BEST_FPERIOD_OVERRIDE=FQ","FILING_STATUS=MR","Sort=A","Dates=H","DateFormat=P","Fill=—","Direction=H","UseDPDF=Y")</f>
        <v>-236.51580000000001</v>
      </c>
    </row>
    <row r="32" spans="1:27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6" t="s">
        <v>1300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0" t="s">
        <v>0</v>
      </c>
      <c r="B34" s="10" t="s">
        <v>1301</v>
      </c>
      <c r="C34" s="14">
        <f>_xll.BDH("BLUE US Equity","GEO_GROW_NET_SALES","FQ4 2018","FQ4 2018","Currency=USD","Period=FQ","BEST_FPERIOD_OVERRIDE=FQ","FILING_STATUS=MR","FA_ADJUSTED=GAAP","Sort=A","Dates=H","DateFormat=P","Fill=—","Direction=H","UseDPDF=Y")</f>
        <v>24.883500000000002</v>
      </c>
      <c r="D34" s="14">
        <f>_xll.BDH("BLUE US Equity","GEO_GROW_NET_SALES","FQ1 2019","FQ1 2019","Currency=USD","Period=FQ","BEST_FPERIOD_OVERRIDE=FQ","FILING_STATUS=MR","FA_ADJUSTED=GAAP","Sort=A","Dates=H","DateFormat=P","Fill=—","Direction=H","UseDPDF=Y")</f>
        <v>14.5067</v>
      </c>
      <c r="E34" s="14">
        <f>_xll.BDH("BLUE US Equity","GEO_GROW_NET_SALES","FQ2 2019","FQ2 2019","Currency=USD","Period=FQ","BEST_FPERIOD_OVERRIDE=FQ","FILING_STATUS=MR","FA_ADJUSTED=GAAP","Sort=A","Dates=H","DateFormat=P","Fill=—","Direction=H","UseDPDF=Y")</f>
        <v>15.9831</v>
      </c>
      <c r="F34" s="14">
        <f>_xll.BDH("BLUE US Equity","GEO_GROW_NET_SALES","FQ3 2019","FQ3 2019","Currency=USD","Period=FQ","BEST_FPERIOD_OVERRIDE=FQ","FILING_STATUS=MR","FA_ADJUSTED=GAAP","Sort=A","Dates=H","DateFormat=P","Fill=—","Direction=H","UseDPDF=Y")</f>
        <v>6.9585999999999997</v>
      </c>
      <c r="G34" s="14">
        <f>_xll.BDH("BLUE US Equity","GEO_GROW_NET_SALES","FQ4 2019","FQ4 2019","Currency=USD","Period=FQ","BEST_FPERIOD_OVERRIDE=FQ","FILING_STATUS=MR","FA_ADJUSTED=GAAP","Sort=A","Dates=H","DateFormat=P","Fill=—","Direction=H","UseDPDF=Y")</f>
        <v>9.3774999999999995</v>
      </c>
      <c r="H34" s="14">
        <f>_xll.BDH("BLUE US Equity","GEO_GROW_NET_SALES","FQ1 2020","FQ1 2020","Currency=USD","Period=FQ","BEST_FPERIOD_OVERRIDE=FQ","FILING_STATUS=MR","FA_ADJUSTED=GAAP","Sort=A","Dates=H","DateFormat=P","Fill=—","Direction=H","UseDPDF=Y")</f>
        <v>28.076499999999999</v>
      </c>
      <c r="I34" s="14">
        <f>_xll.BDH("BLUE US Equity","GEO_GROW_NET_SALES","FQ2 2020","FQ2 2020","Currency=USD","Period=FQ","BEST_FPERIOD_OVERRIDE=FQ","FILING_STATUS=MR","FA_ADJUSTED=GAAP","Sort=A","Dates=H","DateFormat=P","Fill=—","Direction=H","UseDPDF=Y")</f>
        <v>109.4003</v>
      </c>
      <c r="J34" s="14">
        <f>_xll.BDH("BLUE US Equity","GEO_GROW_NET_SALES","FQ3 2020","FQ3 2020","Currency=USD","Period=FQ","BEST_FPERIOD_OVERRIDE=FQ","FILING_STATUS=MR","FA_ADJUSTED=GAAP","Sort=A","Dates=H","DateFormat=P","Fill=—","Direction=H","UseDPDF=Y")</f>
        <v>70.8489</v>
      </c>
      <c r="K34" s="14">
        <f>_xll.BDH("BLUE US Equity","GEO_GROW_NET_SALES","FQ4 2020","FQ4 2020","Currency=USD","Period=FQ","BEST_FPERIOD_OVERRIDE=FQ","FILING_STATUS=MR","FA_ADJUSTED=GAAP","Sort=A","Dates=H","DateFormat=P","Fill=—","Direction=H","UseDPDF=Y")</f>
        <v>-100</v>
      </c>
      <c r="L34" s="14">
        <f>_xll.BDH("BLUE US Equity","GEO_GROW_NET_SALES","FQ1 2021","FQ1 2021","Currency=USD","Period=FQ","BEST_FPERIOD_OVERRIDE=FQ","FILING_STATUS=MR","FA_ADJUSTED=GAAP","Sort=A","Dates=H","DateFormat=P","Fill=—","Direction=H","UseDPDF=Y")</f>
        <v>-9.8206000000000007</v>
      </c>
      <c r="M34" s="14">
        <f>_xll.BDH("BLUE US Equity","GEO_GROW_NET_SALES","FQ2 2021","FQ2 2021","Currency=USD","Period=FQ","BEST_FPERIOD_OVERRIDE=FQ","FILING_STATUS=MR","FA_ADJUSTED=GAAP","Sort=A","Dates=H","DateFormat=P","Fill=—","Direction=H","UseDPDF=Y")</f>
        <v>36.933300000000003</v>
      </c>
      <c r="N34" s="14">
        <f>_xll.BDH("BLUE US Equity","GEO_GROW_NET_SALES","FQ3 2021","FQ3 2021","Currency=USD","Period=FQ","BEST_FPERIOD_OVERRIDE=FQ","FILING_STATUS=MR","FA_ADJUSTED=GAAP","Sort=A","Dates=H","DateFormat=P","Fill=—","Direction=H","UseDPDF=Y")</f>
        <v>-8.0701999999999998</v>
      </c>
      <c r="O34" s="14">
        <f>_xll.BDH("BLUE US Equity","GEO_GROW_NET_SALES","FQ4 2021","FQ4 2021","Currency=USD","Period=FQ","BEST_FPERIOD_OVERRIDE=FQ","FILING_STATUS=MR","FA_ADJUSTED=GAAP","Sort=A","Dates=H","DateFormat=P","Fill=—","Direction=H","UseDPDF=Y")</f>
        <v>0.68640000000000001</v>
      </c>
      <c r="P34" s="14">
        <f>_xll.BDH("BLUE US Equity","GEO_GROW_NET_SALES","FQ1 2022","FQ1 2022","Currency=USD","Period=FQ","BEST_FPERIOD_OVERRIDE=FQ","FILING_STATUS=MR","FA_ADJUSTED=GAAP","Sort=A","Dates=H","DateFormat=P","Fill=—","Direction=H","UseDPDF=Y")</f>
        <v>-22.218900000000001</v>
      </c>
      <c r="Q34" s="14">
        <f>_xll.BDH("BLUE US Equity","GEO_GROW_NET_SALES","FQ2 2022","FQ2 2022","Currency=USD","Period=FQ","BEST_FPERIOD_OVERRIDE=FQ","FILING_STATUS=MR","FA_ADJUSTED=GAAP","Sort=A","Dates=H","DateFormat=P","Fill=—","Direction=H","UseDPDF=Y")</f>
        <v>-38.1008</v>
      </c>
      <c r="R34" s="14">
        <f>_xll.BDH("BLUE US Equity","GEO_GROW_NET_SALES","FQ3 2022","FQ3 2022","Currency=USD","Period=FQ","BEST_FPERIOD_OVERRIDE=FQ","FILING_STATUS=MR","FA_ADJUSTED=GAAP","Sort=A","Dates=H","DateFormat=P","Fill=—","Direction=H","UseDPDF=Y")</f>
        <v>-60.841200000000001</v>
      </c>
      <c r="S34" s="14">
        <f>_xll.BDH("BLUE US Equity","GEO_GROW_NET_SALES","FQ4 2022","FQ4 2022","Currency=USD","Period=FQ","BEST_FPERIOD_OVERRIDE=FQ","FILING_STATUS=MR","FA_ADJUSTED=GAAP","Sort=A","Dates=H","DateFormat=P","Fill=—","Direction=H","UseDPDF=Y")</f>
        <v>-56.898499999999999</v>
      </c>
      <c r="T34" s="14">
        <f>_xll.BDH("BLUE US Equity","GEO_GROW_NET_SALES","FQ1 2023","FQ1 2023","Currency=USD","Period=FQ","BEST_FPERIOD_OVERRIDE=FQ","FILING_STATUS=MR","FA_ADJUSTED=GAAP","Sort=A","Dates=H","DateFormat=P","Fill=—","Direction=H","UseDPDF=Y")</f>
        <v>-31.6464</v>
      </c>
      <c r="U34" s="14">
        <f>_xll.BDH("BLUE US Equity","GEO_GROW_NET_SALES","FQ2 2023","FQ2 2023","Currency=USD","Period=FQ","BEST_FPERIOD_OVERRIDE=FQ","FILING_STATUS=MR","FA_ADJUSTED=GAAP","Sort=A","Dates=H","DateFormat=P","Fill=—","Direction=H","UseDPDF=Y")</f>
        <v>-2.5775999999999999</v>
      </c>
      <c r="V34" s="14">
        <f>_xll.BDH("BLUE US Equity","GEO_GROW_NET_SALES","FQ3 2023","FQ3 2023","Currency=USD","Period=FQ","BEST_FPERIOD_OVERRIDE=FQ","FILING_STATUS=MR","FA_ADJUSTED=GAAP","Sort=A","Dates=H","DateFormat=P","Fill=—","Direction=H","UseDPDF=Y")</f>
        <v>1.4559</v>
      </c>
      <c r="W34" s="14">
        <f>_xll.BDH("BLUE US Equity","GEO_GROW_NET_SALES","FQ4 2023","FQ4 2023","Currency=USD","Period=FQ","BEST_FPERIOD_OVERRIDE=FQ","FILING_STATUS=MR","FA_ADJUSTED=GAAP","Sort=A","Dates=H","DateFormat=P","Fill=—","Direction=H","UseDPDF=Y")</f>
        <v>-16.450800000000001</v>
      </c>
      <c r="X34" s="14">
        <f>_xll.BDH("BLUE US Equity","GEO_GROW_NET_SALES","FQ1 2024","FQ1 2024","Currency=USD","Period=FQ","BEST_FPERIOD_OVERRIDE=FQ","FILING_STATUS=MR","FA_ADJUSTED=GAAP","Sort=A","Dates=H","DateFormat=P","Fill=—","Direction=H","UseDPDF=Y")</f>
        <v>8.2919</v>
      </c>
      <c r="Y34" s="14">
        <f>_xll.BDH("BLUE US Equity","GEO_GROW_NET_SALES","FQ2 2024","FQ2 2024","Currency=USD","Period=FQ","BEST_FPERIOD_OVERRIDE=FQ","FILING_STATUS=MR","FA_ADJUSTED=GAAP","Sort=A","Dates=H","DateFormat=P","Fill=—","Direction=H","UseDPDF=Y")</f>
        <v>3.9026000000000001</v>
      </c>
      <c r="Z34" s="14">
        <f>_xll.BDH("BLUE US Equity","GEO_GROW_NET_SALES","FQ3 2024","FQ3 2024","Currency=USD","Period=FQ","BEST_FPERIOD_OVERRIDE=FQ","FILING_STATUS=MR","FA_ADJUSTED=GAAP","Sort=A","Dates=H","DateFormat=P","Fill=—","Direction=H","UseDPDF=Y")</f>
        <v>3.5581</v>
      </c>
      <c r="AA34" s="14">
        <f>_xll.BDH("BLUE US Equity","GEO_GROW_NET_SALES","FQ4 2024","FQ4 2024","Currency=USD","Period=FQ","BEST_FPERIOD_OVERRIDE=FQ","FILING_STATUS=MR","FA_ADJUSTED=GAAP","Sort=A","Dates=H","DateFormat=P","Fill=—","Direction=H","UseDPDF=Y")</f>
        <v>30.9681</v>
      </c>
    </row>
    <row r="35" spans="1:27" x14ac:dyDescent="0.25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10" t="s">
        <v>1276</v>
      </c>
      <c r="B36" s="10" t="s">
        <v>1302</v>
      </c>
      <c r="C36" s="14">
        <f>_xll.BDH("BLUE US Equity","NET_FIXED_ASSETS_5_YEAR_GROWTH","FQ4 2018","FQ4 2018","Currency=USD","Period=FQ","BEST_FPERIOD_OVERRIDE=FQ","FILING_STATUS=MR","Sort=A","Dates=H","DateFormat=P","Fill=—","Direction=H","UseDPDF=Y")</f>
        <v>86.535600000000002</v>
      </c>
      <c r="D36" s="14">
        <f>_xll.BDH("BLUE US Equity","NET_FIXED_ASSETS_5_YEAR_GROWTH","FQ1 2019","FQ1 2019","Currency=USD","Period=FQ","BEST_FPERIOD_OVERRIDE=FQ","FILING_STATUS=MR","Sort=A","Dates=H","DateFormat=P","Fill=—","Direction=H","UseDPDF=Y")</f>
        <v>90.244299999999996</v>
      </c>
      <c r="E36" s="14">
        <f>_xll.BDH("BLUE US Equity","NET_FIXED_ASSETS_5_YEAR_GROWTH","FQ2 2019","FQ2 2019","Currency=USD","Period=FQ","BEST_FPERIOD_OVERRIDE=FQ","FILING_STATUS=MR","Sort=A","Dates=H","DateFormat=P","Fill=—","Direction=H","UseDPDF=Y")</f>
        <v>90.209900000000005</v>
      </c>
      <c r="F36" s="14">
        <f>_xll.BDH("BLUE US Equity","NET_FIXED_ASSETS_5_YEAR_GROWTH","FQ3 2019","FQ3 2019","Currency=USD","Period=FQ","BEST_FPERIOD_OVERRIDE=FQ","FILING_STATUS=MR","Sort=A","Dates=H","DateFormat=P","Fill=—","Direction=H","UseDPDF=Y")</f>
        <v>86.246899999999997</v>
      </c>
      <c r="G36" s="14">
        <f>_xll.BDH("BLUE US Equity","NET_FIXED_ASSETS_5_YEAR_GROWTH","FQ4 2019","FQ4 2019","Currency=USD","Period=FQ","BEST_FPERIOD_OVERRIDE=FQ","FILING_STATUS=MR","Sort=A","Dates=H","DateFormat=P","Fill=—","Direction=H","UseDPDF=Y")</f>
        <v>84.561300000000003</v>
      </c>
      <c r="H36" s="14">
        <f>_xll.BDH("BLUE US Equity","NET_FIXED_ASSETS_5_YEAR_GROWTH","FQ1 2020","FQ1 2020","Currency=USD","Period=FQ","BEST_FPERIOD_OVERRIDE=FQ","FILING_STATUS=MR","Sort=A","Dates=H","DateFormat=P","Fill=—","Direction=H","UseDPDF=Y")</f>
        <v>83.270600000000002</v>
      </c>
      <c r="I36" s="14">
        <f>_xll.BDH("BLUE US Equity","NET_FIXED_ASSETS_5_YEAR_GROWTH","FQ2 2020","FQ2 2020","Currency=USD","Period=FQ","BEST_FPERIOD_OVERRIDE=FQ","FILING_STATUS=MR","Sort=A","Dates=H","DateFormat=P","Fill=—","Direction=H","UseDPDF=Y")</f>
        <v>82.997900000000001</v>
      </c>
      <c r="J36" s="14">
        <f>_xll.BDH("BLUE US Equity","NET_FIXED_ASSETS_5_YEAR_GROWTH","FQ3 2020","FQ3 2020","Currency=USD","Period=FQ","BEST_FPERIOD_OVERRIDE=FQ","FILING_STATUS=MR","Sort=A","Dates=H","DateFormat=P","Fill=—","Direction=H","UseDPDF=Y")</f>
        <v>41.248100000000001</v>
      </c>
      <c r="K36" s="14">
        <f>_xll.BDH("BLUE US Equity","NET_FIXED_ASSETS_5_YEAR_GROWTH","FQ4 2020","FQ4 2020","Currency=USD","Period=FQ","BEST_FPERIOD_OVERRIDE=FQ","FILING_STATUS=MR","Sort=A","Dates=H","DateFormat=P","Fill=—","Direction=H","UseDPDF=Y")</f>
        <v>0.55589999999999995</v>
      </c>
      <c r="L36" s="14">
        <f>_xll.BDH("BLUE US Equity","NET_FIXED_ASSETS_5_YEAR_GROWTH","FQ1 2021","FQ1 2021","Currency=USD","Period=FQ","BEST_FPERIOD_OVERRIDE=FQ","FILING_STATUS=MR","Sort=A","Dates=H","DateFormat=P","Fill=—","Direction=H","UseDPDF=Y")</f>
        <v>30.314299999999999</v>
      </c>
      <c r="M36" s="14">
        <f>_xll.BDH("BLUE US Equity","NET_FIXED_ASSETS_5_YEAR_GROWTH","FQ2 2021","FQ2 2021","Currency=USD","Period=FQ","BEST_FPERIOD_OVERRIDE=FQ","FILING_STATUS=MR","Sort=A","Dates=H","DateFormat=P","Fill=—","Direction=H","UseDPDF=Y")</f>
        <v>26.195499999999999</v>
      </c>
      <c r="N36" s="14">
        <f>_xll.BDH("BLUE US Equity","NET_FIXED_ASSETS_5_YEAR_GROWTH","FQ3 2021","FQ3 2021","Currency=USD","Period=FQ","BEST_FPERIOD_OVERRIDE=FQ","FILING_STATUS=MR","Sort=A","Dates=H","DateFormat=P","Fill=—","Direction=H","UseDPDF=Y")</f>
        <v>10.818899999999999</v>
      </c>
      <c r="O36" s="14">
        <f>_xll.BDH("BLUE US Equity","NET_FIXED_ASSETS_5_YEAR_GROWTH","FQ4 2021","FQ4 2021","Currency=USD","Period=FQ","BEST_FPERIOD_OVERRIDE=FQ","FILING_STATUS=MR","Sort=A","Dates=H","DateFormat=P","Fill=—","Direction=H","UseDPDF=Y")</f>
        <v>-8.3962000000000003</v>
      </c>
      <c r="P36" s="14">
        <f>_xll.BDH("BLUE US Equity","NET_FIXED_ASSETS_5_YEAR_GROWTH","FQ1 2022","FQ1 2022","Currency=USD","Period=FQ","BEST_FPERIOD_OVERRIDE=FQ","FILING_STATUS=MR","Sort=A","Dates=H","DateFormat=P","Fill=—","Direction=H","UseDPDF=Y")</f>
        <v>-7.4890999999999996</v>
      </c>
      <c r="Q36" s="14">
        <f>_xll.BDH("BLUE US Equity","NET_FIXED_ASSETS_5_YEAR_GROWTH","FQ2 2022","FQ2 2022","Currency=USD","Period=FQ","BEST_FPERIOD_OVERRIDE=FQ","FILING_STATUS=MR","Sort=A","Dates=H","DateFormat=P","Fill=—","Direction=H","UseDPDF=Y")</f>
        <v>11.2385</v>
      </c>
      <c r="R36" s="14">
        <f>_xll.BDH("BLUE US Equity","NET_FIXED_ASSETS_5_YEAR_GROWTH","FQ3 2022","FQ3 2022","Currency=USD","Period=FQ","BEST_FPERIOD_OVERRIDE=FQ","FILING_STATUS=MR","Sort=A","Dates=H","DateFormat=P","Fill=—","Direction=H","UseDPDF=Y")</f>
        <v>10.4848</v>
      </c>
      <c r="S36" s="14">
        <f>_xll.BDH("BLUE US Equity","NET_FIXED_ASSETS_5_YEAR_GROWTH","FQ4 2022","FQ4 2022","Currency=USD","Period=FQ","BEST_FPERIOD_OVERRIDE=FQ","FILING_STATUS=MR","Sort=A","Dates=H","DateFormat=P","Fill=—","Direction=H","UseDPDF=Y")</f>
        <v>8.3827999999999996</v>
      </c>
      <c r="T36" s="14">
        <f>_xll.BDH("BLUE US Equity","NET_FIXED_ASSETS_5_YEAR_GROWTH","FQ1 2023","FQ1 2023","Currency=USD","Period=FQ","BEST_FPERIOD_OVERRIDE=FQ","FILING_STATUS=MR","Sort=A","Dates=H","DateFormat=P","Fill=—","Direction=H","UseDPDF=Y")</f>
        <v>6.4282000000000004</v>
      </c>
      <c r="U36" s="14">
        <f>_xll.BDH("BLUE US Equity","NET_FIXED_ASSETS_5_YEAR_GROWTH","FQ2 2023","FQ2 2023","Currency=USD","Period=FQ","BEST_FPERIOD_OVERRIDE=FQ","FILING_STATUS=MR","Sort=A","Dates=H","DateFormat=P","Fill=—","Direction=H","UseDPDF=Y")</f>
        <v>7.3869999999999996</v>
      </c>
      <c r="V36" s="14">
        <f>_xll.BDH("BLUE US Equity","NET_FIXED_ASSETS_5_YEAR_GROWTH","FQ3 2023","FQ3 2023","Currency=USD","Period=FQ","BEST_FPERIOD_OVERRIDE=FQ","FILING_STATUS=MR","Sort=A","Dates=H","DateFormat=P","Fill=—","Direction=H","UseDPDF=Y")</f>
        <v>5.524</v>
      </c>
      <c r="W36" s="14">
        <f>_xll.BDH("BLUE US Equity","NET_FIXED_ASSETS_5_YEAR_GROWTH","FQ4 2023","FQ4 2023","Currency=USD","Period=FQ","BEST_FPERIOD_OVERRIDE=FQ","FILING_STATUS=MR","Sort=A","Dates=H","DateFormat=P","Fill=—","Direction=H","UseDPDF=Y")</f>
        <v>1.6042000000000001</v>
      </c>
      <c r="X36" s="14">
        <f>_xll.BDH("BLUE US Equity","NET_FIXED_ASSETS_5_YEAR_GROWTH","FQ1 2024","FQ1 2024","Currency=USD","Period=FQ","BEST_FPERIOD_OVERRIDE=FQ","FILING_STATUS=MR","Sort=A","Dates=H","DateFormat=P","Fill=—","Direction=H","UseDPDF=Y")</f>
        <v>-0.89119999999999999</v>
      </c>
      <c r="Y36" s="14">
        <f>_xll.BDH("BLUE US Equity","NET_FIXED_ASSETS_5_YEAR_GROWTH","FQ2 2024","FQ2 2024","Currency=USD","Period=FQ","BEST_FPERIOD_OVERRIDE=FQ","FILING_STATUS=MR","Sort=A","Dates=H","DateFormat=P","Fill=—","Direction=H","UseDPDF=Y")</f>
        <v>-3.4941</v>
      </c>
      <c r="Z36" s="14">
        <f>_xll.BDH("BLUE US Equity","NET_FIXED_ASSETS_5_YEAR_GROWTH","FQ3 2024","FQ3 2024","Currency=USD","Period=FQ","BEST_FPERIOD_OVERRIDE=FQ","FILING_STATUS=MR","Sort=A","Dates=H","DateFormat=P","Fill=—","Direction=H","UseDPDF=Y")</f>
        <v>-6.0498000000000003</v>
      </c>
      <c r="AA36" s="14">
        <f>_xll.BDH("BLUE US Equity","NET_FIXED_ASSETS_5_YEAR_GROWTH","FQ4 2024","FQ4 2024","Currency=USD","Period=FQ","BEST_FPERIOD_OVERRIDE=FQ","FILING_STATUS=MR","Sort=A","Dates=H","DateFormat=P","Fill=—","Direction=H","UseDPDF=Y")</f>
        <v>-6.7443</v>
      </c>
    </row>
    <row r="37" spans="1:27" x14ac:dyDescent="0.25">
      <c r="A37" s="10" t="s">
        <v>112</v>
      </c>
      <c r="B37" s="10" t="s">
        <v>1303</v>
      </c>
      <c r="C37" s="14">
        <f>_xll.BDH("BLUE US Equity","GEO_GROW_TOT_ASSET","FQ4 2018","FQ4 2018","Currency=USD","Period=FQ","BEST_FPERIOD_OVERRIDE=FQ","FILING_STATUS=MR","Sort=A","Dates=H","DateFormat=P","Fill=—","Direction=H","UseDPDF=Y")</f>
        <v>58.474400000000003</v>
      </c>
      <c r="D37" s="14">
        <f>_xll.BDH("BLUE US Equity","GEO_GROW_TOT_ASSET","FQ1 2019","FQ1 2019","Currency=USD","Period=FQ","BEST_FPERIOD_OVERRIDE=FQ","FILING_STATUS=MR","Sort=A","Dates=H","DateFormat=P","Fill=—","Direction=H","UseDPDF=Y")</f>
        <v>59.142299999999999</v>
      </c>
      <c r="E37" s="14">
        <f>_xll.BDH("BLUE US Equity","GEO_GROW_TOT_ASSET","FQ2 2019","FQ2 2019","Currency=USD","Period=FQ","BEST_FPERIOD_OVERRIDE=FQ","FILING_STATUS=MR","Sort=A","Dates=H","DateFormat=P","Fill=—","Direction=H","UseDPDF=Y")</f>
        <v>53.09</v>
      </c>
      <c r="F37" s="14">
        <f>_xll.BDH("BLUE US Equity","GEO_GROW_TOT_ASSET","FQ3 2019","FQ3 2019","Currency=USD","Period=FQ","BEST_FPERIOD_OVERRIDE=FQ","FILING_STATUS=MR","Sort=A","Dates=H","DateFormat=P","Fill=—","Direction=H","UseDPDF=Y")</f>
        <v>41.788400000000003</v>
      </c>
      <c r="G37" s="14">
        <f>_xll.BDH("BLUE US Equity","GEO_GROW_TOT_ASSET","FQ4 2019","FQ4 2019","Currency=USD","Period=FQ","BEST_FPERIOD_OVERRIDE=FQ","FILING_STATUS=MR","Sort=A","Dates=H","DateFormat=P","Fill=—","Direction=H","UseDPDF=Y")</f>
        <v>25.414999999999999</v>
      </c>
      <c r="H37" s="14">
        <f>_xll.BDH("BLUE US Equity","GEO_GROW_TOT_ASSET","FQ1 2020","FQ1 2020","Currency=USD","Period=FQ","BEST_FPERIOD_OVERRIDE=FQ","FILING_STATUS=MR","Sort=A","Dates=H","DateFormat=P","Fill=—","Direction=H","UseDPDF=Y")</f>
        <v>23.4267</v>
      </c>
      <c r="I37" s="14">
        <f>_xll.BDH("BLUE US Equity","GEO_GROW_TOT_ASSET","FQ2 2020","FQ2 2020","Currency=USD","Period=FQ","BEST_FPERIOD_OVERRIDE=FQ","FILING_STATUS=MR","Sort=A","Dates=H","DateFormat=P","Fill=—","Direction=H","UseDPDF=Y")</f>
        <v>16.101500000000001</v>
      </c>
      <c r="J37" s="14">
        <f>_xll.BDH("BLUE US Equity","GEO_GROW_TOT_ASSET","FQ3 2020","FQ3 2020","Currency=USD","Period=FQ","BEST_FPERIOD_OVERRIDE=FQ","FILING_STATUS=MR","Sort=A","Dates=H","DateFormat=P","Fill=—","Direction=H","UseDPDF=Y")</f>
        <v>13.8378</v>
      </c>
      <c r="K37" s="14">
        <f>_xll.BDH("BLUE US Equity","GEO_GROW_TOT_ASSET","FQ4 2020","FQ4 2020","Currency=USD","Period=FQ","BEST_FPERIOD_OVERRIDE=FQ","FILING_STATUS=MR","Sort=A","Dates=H","DateFormat=P","Fill=—","Direction=H","UseDPDF=Y")</f>
        <v>12.1869</v>
      </c>
      <c r="L37" s="14">
        <f>_xll.BDH("BLUE US Equity","GEO_GROW_TOT_ASSET","FQ1 2021","FQ1 2021","Currency=USD","Period=FQ","BEST_FPERIOD_OVERRIDE=FQ","FILING_STATUS=MR","Sort=A","Dates=H","DateFormat=P","Fill=—","Direction=H","UseDPDF=Y")</f>
        <v>10.839399999999999</v>
      </c>
      <c r="M37" s="14">
        <f>_xll.BDH("BLUE US Equity","GEO_GROW_TOT_ASSET","FQ2 2021","FQ2 2021","Currency=USD","Period=FQ","BEST_FPERIOD_OVERRIDE=FQ","FILING_STATUS=MR","Sort=A","Dates=H","DateFormat=P","Fill=—","Direction=H","UseDPDF=Y")</f>
        <v>9.0838999999999999</v>
      </c>
      <c r="N37" s="14">
        <f>_xll.BDH("BLUE US Equity","GEO_GROW_TOT_ASSET","FQ3 2021","FQ3 2021","Currency=USD","Period=FQ","BEST_FPERIOD_OVERRIDE=FQ","FILING_STATUS=MR","Sort=A","Dates=H","DateFormat=P","Fill=—","Direction=H","UseDPDF=Y")</f>
        <v>7.8460999999999999</v>
      </c>
      <c r="O37" s="14">
        <f>_xll.BDH("BLUE US Equity","GEO_GROW_TOT_ASSET","FQ4 2021","FQ4 2021","Currency=USD","Period=FQ","BEST_FPERIOD_OVERRIDE=FQ","FILING_STATUS=MR","Sort=A","Dates=H","DateFormat=P","Fill=—","Direction=H","UseDPDF=Y")</f>
        <v>-11.889099999999999</v>
      </c>
      <c r="P37" s="14">
        <f>_xll.BDH("BLUE US Equity","GEO_GROW_TOT_ASSET","FQ1 2022","FQ1 2022","Currency=USD","Period=FQ","BEST_FPERIOD_OVERRIDE=FQ","FILING_STATUS=MR","Sort=A","Dates=H","DateFormat=P","Fill=—","Direction=H","UseDPDF=Y")</f>
        <v>-14.465</v>
      </c>
      <c r="Q37" s="14">
        <f>_xll.BDH("BLUE US Equity","GEO_GROW_TOT_ASSET","FQ2 2022","FQ2 2022","Currency=USD","Period=FQ","BEST_FPERIOD_OVERRIDE=FQ","FILING_STATUS=MR","Sort=A","Dates=H","DateFormat=P","Fill=—","Direction=H","UseDPDF=Y")</f>
        <v>-17.010899999999999</v>
      </c>
      <c r="R37" s="14">
        <f>_xll.BDH("BLUE US Equity","GEO_GROW_TOT_ASSET","FQ3 2022","FQ3 2022","Currency=USD","Period=FQ","BEST_FPERIOD_OVERRIDE=FQ","FILING_STATUS=MR","Sort=A","Dates=H","DateFormat=P","Fill=—","Direction=H","UseDPDF=Y")</f>
        <v>-18.033799999999999</v>
      </c>
      <c r="S37" s="14">
        <f>_xll.BDH("BLUE US Equity","GEO_GROW_TOT_ASSET","FQ4 2022","FQ4 2022","Currency=USD","Period=FQ","BEST_FPERIOD_OVERRIDE=FQ","FILING_STATUS=MR","Sort=A","Dates=H","DateFormat=P","Fill=—","Direction=H","UseDPDF=Y")</f>
        <v>-21.409500000000001</v>
      </c>
      <c r="T37" s="14">
        <f>_xll.BDH("BLUE US Equity","GEO_GROW_TOT_ASSET","FQ1 2023","FQ1 2023","Currency=USD","Period=FQ","BEST_FPERIOD_OVERRIDE=FQ","FILING_STATUS=MR","Sort=A","Dates=H","DateFormat=P","Fill=—","Direction=H","UseDPDF=Y")</f>
        <v>-17.9849</v>
      </c>
      <c r="U37" s="14">
        <f>_xll.BDH("BLUE US Equity","GEO_GROW_TOT_ASSET","FQ2 2023","FQ2 2023","Currency=USD","Period=FQ","BEST_FPERIOD_OVERRIDE=FQ","FILING_STATUS=MR","Sort=A","Dates=H","DateFormat=P","Fill=—","Direction=H","UseDPDF=Y")</f>
        <v>-17.7422</v>
      </c>
      <c r="V37" s="14">
        <f>_xll.BDH("BLUE US Equity","GEO_GROW_TOT_ASSET","FQ3 2023","FQ3 2023","Currency=USD","Period=FQ","BEST_FPERIOD_OVERRIDE=FQ","FILING_STATUS=MR","Sort=A","Dates=H","DateFormat=P","Fill=—","Direction=H","UseDPDF=Y")</f>
        <v>-23.5639</v>
      </c>
      <c r="W37" s="14">
        <f>_xll.BDH("BLUE US Equity","GEO_GROW_TOT_ASSET","FQ4 2023","FQ4 2023","Currency=USD","Period=FQ","BEST_FPERIOD_OVERRIDE=FQ","FILING_STATUS=MR","Sort=A","Dates=H","DateFormat=P","Fill=—","Direction=H","UseDPDF=Y")</f>
        <v>-22.696200000000001</v>
      </c>
      <c r="X37" s="14">
        <f>_xll.BDH("BLUE US Equity","GEO_GROW_TOT_ASSET","FQ1 2024","FQ1 2024","Currency=USD","Period=FQ","BEST_FPERIOD_OVERRIDE=FQ","FILING_STATUS=MR","Sort=A","Dates=H","DateFormat=P","Fill=—","Direction=H","UseDPDF=Y")</f>
        <v>-21.648800000000001</v>
      </c>
      <c r="Y37" s="14">
        <f>_xll.BDH("BLUE US Equity","GEO_GROW_TOT_ASSET","FQ2 2024","FQ2 2024","Currency=USD","Period=FQ","BEST_FPERIOD_OVERRIDE=FQ","FILING_STATUS=MR","Sort=A","Dates=H","DateFormat=P","Fill=—","Direction=H","UseDPDF=Y")</f>
        <v>-23.069900000000001</v>
      </c>
      <c r="Z37" s="14">
        <f>_xll.BDH("BLUE US Equity","GEO_GROW_TOT_ASSET","FQ3 2024","FQ3 2024","Currency=USD","Period=FQ","BEST_FPERIOD_OVERRIDE=FQ","FILING_STATUS=MR","Sort=A","Dates=H","DateFormat=P","Fill=—","Direction=H","UseDPDF=Y")</f>
        <v>-24.472200000000001</v>
      </c>
      <c r="AA37" s="14">
        <f>_xll.BDH("BLUE US Equity","GEO_GROW_TOT_ASSET","FQ4 2024","FQ4 2024","Currency=USD","Period=FQ","BEST_FPERIOD_OVERRIDE=FQ","FILING_STATUS=MR","Sort=A","Dates=H","DateFormat=P","Fill=—","Direction=H","UseDPDF=Y")</f>
        <v>-23.243400000000001</v>
      </c>
    </row>
    <row r="38" spans="1:27" x14ac:dyDescent="0.25">
      <c r="A38" s="10" t="s">
        <v>1281</v>
      </c>
      <c r="B38" s="10" t="s">
        <v>1304</v>
      </c>
      <c r="C38" s="14">
        <f>_xll.BDH("BLUE US Equity","WORKING_CAPITAL_5_YEAR_GROWTH","FQ4 2018","FQ4 2018","Currency=USD","Period=FQ","BEST_FPERIOD_OVERRIDE=FQ","FILING_STATUS=MR","Sort=A","Dates=H","DateFormat=P","Fill=—","Direction=H","UseDPDF=Y")</f>
        <v>48.349499999999999</v>
      </c>
      <c r="D38" s="14">
        <f>_xll.BDH("BLUE US Equity","WORKING_CAPITAL_5_YEAR_GROWTH","FQ1 2019","FQ1 2019","Currency=USD","Period=FQ","BEST_FPERIOD_OVERRIDE=FQ","FILING_STATUS=MR","Sort=A","Dates=H","DateFormat=P","Fill=—","Direction=H","UseDPDF=Y")</f>
        <v>49.548999999999999</v>
      </c>
      <c r="E38" s="14">
        <f>_xll.BDH("BLUE US Equity","WORKING_CAPITAL_5_YEAR_GROWTH","FQ2 2019","FQ2 2019","Currency=USD","Period=FQ","BEST_FPERIOD_OVERRIDE=FQ","FILING_STATUS=MR","Sort=A","Dates=H","DateFormat=P","Fill=—","Direction=H","UseDPDF=Y")</f>
        <v>51.362099999999998</v>
      </c>
      <c r="F38" s="14">
        <f>_xll.BDH("BLUE US Equity","WORKING_CAPITAL_5_YEAR_GROWTH","FQ3 2019","FQ3 2019","Currency=USD","Period=FQ","BEST_FPERIOD_OVERRIDE=FQ","FILING_STATUS=MR","Sort=A","Dates=H","DateFormat=P","Fill=—","Direction=H","UseDPDF=Y")</f>
        <v>40.8386</v>
      </c>
      <c r="G38" s="14">
        <f>_xll.BDH("BLUE US Equity","WORKING_CAPITAL_5_YEAR_GROWTH","FQ4 2019","FQ4 2019","Currency=USD","Period=FQ","BEST_FPERIOD_OVERRIDE=FQ","FILING_STATUS=MR","Sort=A","Dates=H","DateFormat=P","Fill=—","Direction=H","UseDPDF=Y")</f>
        <v>16.2697</v>
      </c>
      <c r="H38" s="14">
        <f>_xll.BDH("BLUE US Equity","WORKING_CAPITAL_5_YEAR_GROWTH","FQ1 2020","FQ1 2020","Currency=USD","Period=FQ","BEST_FPERIOD_OVERRIDE=FQ","FILING_STATUS=MR","Sort=A","Dates=H","DateFormat=P","Fill=—","Direction=H","UseDPDF=Y")</f>
        <v>21.248000000000001</v>
      </c>
      <c r="I38" s="14">
        <f>_xll.BDH("BLUE US Equity","WORKING_CAPITAL_5_YEAR_GROWTH","FQ2 2020","FQ2 2020","Currency=USD","Period=FQ","BEST_FPERIOD_OVERRIDE=FQ","FILING_STATUS=MR","Sort=A","Dates=H","DateFormat=P","Fill=—","Direction=H","UseDPDF=Y")</f>
        <v>12.4573</v>
      </c>
      <c r="J38" s="14">
        <f>_xll.BDH("BLUE US Equity","WORKING_CAPITAL_5_YEAR_GROWTH","FQ3 2020","FQ3 2020","Currency=USD","Period=FQ","BEST_FPERIOD_OVERRIDE=FQ","FILING_STATUS=MR","Sort=A","Dates=H","DateFormat=P","Fill=—","Direction=H","UseDPDF=Y")</f>
        <v>10.0366</v>
      </c>
      <c r="K38" s="14">
        <f>_xll.BDH("BLUE US Equity","WORKING_CAPITAL_5_YEAR_GROWTH","FQ4 2020","FQ4 2020","Currency=USD","Period=FQ","BEST_FPERIOD_OVERRIDE=FQ","FILING_STATUS=MR","Sort=A","Dates=H","DateFormat=P","Fill=—","Direction=H","UseDPDF=Y")</f>
        <v>15.9138</v>
      </c>
      <c r="L38" s="14">
        <f>_xll.BDH("BLUE US Equity","WORKING_CAPITAL_5_YEAR_GROWTH","FQ1 2021","FQ1 2021","Currency=USD","Period=FQ","BEST_FPERIOD_OVERRIDE=FQ","FILING_STATUS=MR","Sort=A","Dates=H","DateFormat=P","Fill=—","Direction=H","UseDPDF=Y")</f>
        <v>11.291499999999999</v>
      </c>
      <c r="M38" s="14">
        <f>_xll.BDH("BLUE US Equity","WORKING_CAPITAL_5_YEAR_GROWTH","FQ2 2021","FQ2 2021","Currency=USD","Period=FQ","BEST_FPERIOD_OVERRIDE=FQ","FILING_STATUS=MR","Sort=A","Dates=H","DateFormat=P","Fill=—","Direction=H","UseDPDF=Y")</f>
        <v>3.8647999999999998</v>
      </c>
      <c r="N38" s="14">
        <f>_xll.BDH("BLUE US Equity","WORKING_CAPITAL_5_YEAR_GROWTH","FQ3 2021","FQ3 2021","Currency=USD","Period=FQ","BEST_FPERIOD_OVERRIDE=FQ","FILING_STATUS=MR","Sort=A","Dates=H","DateFormat=P","Fill=—","Direction=H","UseDPDF=Y")</f>
        <v>0.8901</v>
      </c>
      <c r="O38" s="14">
        <f>_xll.BDH("BLUE US Equity","WORKING_CAPITAL_5_YEAR_GROWTH","FQ4 2021","FQ4 2021","Currency=USD","Period=FQ","BEST_FPERIOD_OVERRIDE=FQ","FILING_STATUS=MR","Sort=A","Dates=H","DateFormat=P","Fill=—","Direction=H","UseDPDF=Y")</f>
        <v>-22.339500000000001</v>
      </c>
      <c r="P38" s="14">
        <f>_xll.BDH("BLUE US Equity","WORKING_CAPITAL_5_YEAR_GROWTH","FQ1 2022","FQ1 2022","Currency=USD","Period=FQ","BEST_FPERIOD_OVERRIDE=FQ","FILING_STATUS=MR","Sort=A","Dates=H","DateFormat=P","Fill=—","Direction=H","UseDPDF=Y")</f>
        <v>-28.384499999999999</v>
      </c>
      <c r="Q38" s="14">
        <f>_xll.BDH("BLUE US Equity","WORKING_CAPITAL_5_YEAR_GROWTH","FQ2 2022","FQ2 2022","Currency=USD","Period=FQ","BEST_FPERIOD_OVERRIDE=FQ","FILING_STATUS=MR","Sort=A","Dates=H","DateFormat=P","Fill=—","Direction=H","UseDPDF=Y")</f>
        <v>-55.288800000000002</v>
      </c>
      <c r="R38" s="14">
        <f>_xll.BDH("BLUE US Equity","WORKING_CAPITAL_5_YEAR_GROWTH","FQ3 2022","FQ3 2022","Currency=USD","Period=FQ","BEST_FPERIOD_OVERRIDE=FQ","FILING_STATUS=MR","Sort=A","Dates=H","DateFormat=P","Fill=—","Direction=H","UseDPDF=Y")</f>
        <v>-45.196399999999997</v>
      </c>
      <c r="S38" s="14">
        <f>_xll.BDH("BLUE US Equity","WORKING_CAPITAL_5_YEAR_GROWTH","FQ4 2022","FQ4 2022","Currency=USD","Period=FQ","BEST_FPERIOD_OVERRIDE=FQ","FILING_STATUS=MR","Sort=A","Dates=H","DateFormat=P","Fill=—","Direction=H","UseDPDF=Y")</f>
        <v>-47.9253</v>
      </c>
      <c r="T38" s="14">
        <f>_xll.BDH("BLUE US Equity","WORKING_CAPITAL_5_YEAR_GROWTH","FQ1 2023","FQ1 2023","Currency=USD","Period=FQ","BEST_FPERIOD_OVERRIDE=FQ","FILING_STATUS=MR","Sort=A","Dates=H","DateFormat=P","Fill=—","Direction=H","UseDPDF=Y")</f>
        <v>-25.953800000000001</v>
      </c>
      <c r="U38" s="14">
        <f>_xll.BDH("BLUE US Equity","WORKING_CAPITAL_5_YEAR_GROWTH","FQ2 2023","FQ2 2023","Currency=USD","Period=FQ","BEST_FPERIOD_OVERRIDE=FQ","FILING_STATUS=MR","Sort=A","Dates=H","DateFormat=P","Fill=—","Direction=H","UseDPDF=Y")</f>
        <v>-31.161000000000001</v>
      </c>
      <c r="V38" s="14">
        <f>_xll.BDH("BLUE US Equity","WORKING_CAPITAL_5_YEAR_GROWTH","FQ3 2023","FQ3 2023","Currency=USD","Period=FQ","BEST_FPERIOD_OVERRIDE=FQ","FILING_STATUS=MR","Sort=A","Dates=H","DateFormat=P","Fill=—","Direction=H","UseDPDF=Y")</f>
        <v>-43.955599999999997</v>
      </c>
      <c r="W38" s="14">
        <f>_xll.BDH("BLUE US Equity","WORKING_CAPITAL_5_YEAR_GROWTH","FQ4 2023","FQ4 2023","Currency=USD","Period=FQ","BEST_FPERIOD_OVERRIDE=FQ","FILING_STATUS=MR","Sort=A","Dates=H","DateFormat=P","Fill=—","Direction=H","UseDPDF=Y")</f>
        <v>-42.273899999999998</v>
      </c>
      <c r="X38" s="14" t="str">
        <f>_xll.BDH("BLUE US Equity","WORKING_CAPITAL_5_YEAR_GROWTH","FQ1 2024","FQ1 2024","Currency=USD","Period=FQ","BEST_FPERIOD_OVERRIDE=FQ","FILING_STATUS=MR","Sort=A","Dates=H","DateFormat=P","Fill=—","Direction=H","UseDPDF=Y")</f>
        <v>—</v>
      </c>
      <c r="Y38" s="14" t="str">
        <f>_xll.BDH("BLUE US Equity","WORKING_CAPITAL_5_YEAR_GROWTH","FQ2 2024","FQ2 2024","Currency=USD","Period=FQ","BEST_FPERIOD_OVERRIDE=FQ","FILING_STATUS=MR","Sort=A","Dates=H","DateFormat=P","Fill=—","Direction=H","UseDPDF=Y")</f>
        <v>—</v>
      </c>
      <c r="Z38" s="14" t="str">
        <f>_xll.BDH("BLUE US Equity","WORKING_CAPITAL_5_YEAR_GROWTH","FQ3 2024","FQ3 2024","Currency=USD","Period=FQ","BEST_FPERIOD_OVERRIDE=FQ","FILING_STATUS=MR","Sort=A","Dates=H","DateFormat=P","Fill=—","Direction=H","UseDPDF=Y")</f>
        <v>—</v>
      </c>
      <c r="AA38" s="14" t="str">
        <f>_xll.BDH("BLUE US Equity","WORKING_CAPITAL_5_YEAR_GROWTH","FQ4 2024","FQ4 2024","Currency=USD","Period=FQ","BEST_FPERIOD_OVERRIDE=FQ","FILING_STATUS=MR","Sort=A","Dates=H","DateFormat=P","Fill=—","Direction=H","UseDPDF=Y")</f>
        <v>—</v>
      </c>
    </row>
    <row r="39" spans="1:27" x14ac:dyDescent="0.25">
      <c r="A39" s="10" t="s">
        <v>1283</v>
      </c>
      <c r="B39" s="10" t="s">
        <v>1305</v>
      </c>
      <c r="C39" s="14">
        <f>_xll.BDH("BLUE US Equity","EMPLOYEES_5_YEAR_GROWTH","FQ4 2018","FQ4 2018","Currency=USD","Period=FQ","BEST_FPERIOD_OVERRIDE=FQ","FILING_STATUS=MR","Sort=A","Dates=H","DateFormat=P","Fill=—","Direction=H","UseDPDF=Y")</f>
        <v>54.423999999999999</v>
      </c>
      <c r="D39" s="14" t="str">
        <f>_xll.BDH("BLUE US Equity","EMPLOYEES_5_YEAR_GROWTH","FQ1 2019","FQ1 2019","Currency=USD","Period=FQ","BEST_FPERIOD_OVERRIDE=FQ","FILING_STATUS=MR","Sort=A","Dates=H","DateFormat=P","Fill=—","Direction=H","UseDPDF=Y")</f>
        <v>—</v>
      </c>
      <c r="E39" s="14" t="str">
        <f>_xll.BDH("BLUE US Equity","EMPLOYEES_5_YEAR_GROWTH","FQ2 2019","FQ2 2019","Currency=USD","Period=FQ","BEST_FPERIOD_OVERRIDE=FQ","FILING_STATUS=MR","Sort=A","Dates=H","DateFormat=P","Fill=—","Direction=H","UseDPDF=Y")</f>
        <v>—</v>
      </c>
      <c r="F39" s="14" t="str">
        <f>_xll.BDH("BLUE US Equity","EMPLOYEES_5_YEAR_GROWTH","FQ3 2019","FQ3 2019","Currency=USD","Period=FQ","BEST_FPERIOD_OVERRIDE=FQ","FILING_STATUS=MR","Sort=A","Dates=H","DateFormat=P","Fill=—","Direction=H","UseDPDF=Y")</f>
        <v>—</v>
      </c>
      <c r="G39" s="14">
        <f>_xll.BDH("BLUE US Equity","EMPLOYEES_5_YEAR_GROWTH","FQ4 2019","FQ4 2019","Currency=USD","Period=FQ","BEST_FPERIOD_OVERRIDE=FQ","FILING_STATUS=MR","Sort=A","Dates=H","DateFormat=P","Fill=—","Direction=H","UseDPDF=Y")</f>
        <v>47.900199999999998</v>
      </c>
      <c r="H39" s="14" t="str">
        <f>_xll.BDH("BLUE US Equity","EMPLOYEES_5_YEAR_GROWTH","FQ1 2020","FQ1 2020","Currency=USD","Period=FQ","BEST_FPERIOD_OVERRIDE=FQ","FILING_STATUS=MR","Sort=A","Dates=H","DateFormat=P","Fill=—","Direction=H","UseDPDF=Y")</f>
        <v>—</v>
      </c>
      <c r="I39" s="14" t="str">
        <f>_xll.BDH("BLUE US Equity","EMPLOYEES_5_YEAR_GROWTH","FQ2 2020","FQ2 2020","Currency=USD","Period=FQ","BEST_FPERIOD_OVERRIDE=FQ","FILING_STATUS=MR","Sort=A","Dates=H","DateFormat=P","Fill=—","Direction=H","UseDPDF=Y")</f>
        <v>—</v>
      </c>
      <c r="J39" s="14" t="str">
        <f>_xll.BDH("BLUE US Equity","EMPLOYEES_5_YEAR_GROWTH","FQ3 2020","FQ3 2020","Currency=USD","Period=FQ","BEST_FPERIOD_OVERRIDE=FQ","FILING_STATUS=MR","Sort=A","Dates=H","DateFormat=P","Fill=—","Direction=H","UseDPDF=Y")</f>
        <v>—</v>
      </c>
      <c r="K39" s="14">
        <f>_xll.BDH("BLUE US Equity","EMPLOYEES_5_YEAR_GROWTH","FQ4 2020","FQ4 2020","Currency=USD","Period=FQ","BEST_FPERIOD_OVERRIDE=FQ","FILING_STATUS=MR","Sort=A","Dates=H","DateFormat=P","Fill=—","Direction=H","UseDPDF=Y")</f>
        <v>36.711599999999997</v>
      </c>
      <c r="L39" s="14" t="str">
        <f>_xll.BDH("BLUE US Equity","EMPLOYEES_5_YEAR_GROWTH","FQ1 2021","FQ1 2021","Currency=USD","Period=FQ","BEST_FPERIOD_OVERRIDE=FQ","FILING_STATUS=MR","Sort=A","Dates=H","DateFormat=P","Fill=—","Direction=H","UseDPDF=Y")</f>
        <v>—</v>
      </c>
      <c r="M39" s="14" t="str">
        <f>_xll.BDH("BLUE US Equity","EMPLOYEES_5_YEAR_GROWTH","FQ2 2021","FQ2 2021","Currency=USD","Period=FQ","BEST_FPERIOD_OVERRIDE=FQ","FILING_STATUS=MR","Sort=A","Dates=H","DateFormat=P","Fill=—","Direction=H","UseDPDF=Y")</f>
        <v>—</v>
      </c>
      <c r="N39" s="14" t="str">
        <f>_xll.BDH("BLUE US Equity","EMPLOYEES_5_YEAR_GROWTH","FQ3 2021","FQ3 2021","Currency=USD","Period=FQ","BEST_FPERIOD_OVERRIDE=FQ","FILING_STATUS=MR","Sort=A","Dates=H","DateFormat=P","Fill=—","Direction=H","UseDPDF=Y")</f>
        <v>—</v>
      </c>
      <c r="O39" s="14">
        <f>_xll.BDH("BLUE US Equity","EMPLOYEES_5_YEAR_GROWTH","FQ4 2021","FQ4 2021","Currency=USD","Period=FQ","BEST_FPERIOD_OVERRIDE=FQ","FILING_STATUS=MR","Sort=A","Dates=H","DateFormat=P","Fill=—","Direction=H","UseDPDF=Y")</f>
        <v>9.5699000000000005</v>
      </c>
      <c r="P39" s="14" t="str">
        <f>_xll.BDH("BLUE US Equity","EMPLOYEES_5_YEAR_GROWTH","FQ1 2022","FQ1 2022","Currency=USD","Period=FQ","BEST_FPERIOD_OVERRIDE=FQ","FILING_STATUS=MR","Sort=A","Dates=H","DateFormat=P","Fill=—","Direction=H","UseDPDF=Y")</f>
        <v>—</v>
      </c>
      <c r="Q39" s="14" t="str">
        <f>_xll.BDH("BLUE US Equity","EMPLOYEES_5_YEAR_GROWTH","FQ2 2022","FQ2 2022","Currency=USD","Period=FQ","BEST_FPERIOD_OVERRIDE=FQ","FILING_STATUS=MR","Sort=A","Dates=H","DateFormat=P","Fill=—","Direction=H","UseDPDF=Y")</f>
        <v>—</v>
      </c>
      <c r="R39" s="14" t="str">
        <f>_xll.BDH("BLUE US Equity","EMPLOYEES_5_YEAR_GROWTH","FQ3 2022","FQ3 2022","Currency=USD","Period=FQ","BEST_FPERIOD_OVERRIDE=FQ","FILING_STATUS=MR","Sort=A","Dates=H","DateFormat=P","Fill=—","Direction=H","UseDPDF=Y")</f>
        <v>—</v>
      </c>
      <c r="S39" s="14">
        <f>_xll.BDH("BLUE US Equity","EMPLOYEES_5_YEAR_GROWTH","FQ4 2022","FQ4 2022","Currency=USD","Period=FQ","BEST_FPERIOD_OVERRIDE=FQ","FILING_STATUS=MR","Sort=A","Dates=H","DateFormat=P","Fill=—","Direction=H","UseDPDF=Y")</f>
        <v>-7.5784000000000002</v>
      </c>
      <c r="T39" s="14" t="str">
        <f>_xll.BDH("BLUE US Equity","EMPLOYEES_5_YEAR_GROWTH","FQ1 2023","FQ1 2023","Currency=USD","Period=FQ","BEST_FPERIOD_OVERRIDE=FQ","FILING_STATUS=MR","Sort=A","Dates=H","DateFormat=P","Fill=—","Direction=H","UseDPDF=Y")</f>
        <v>—</v>
      </c>
      <c r="U39" s="14" t="str">
        <f>_xll.BDH("BLUE US Equity","EMPLOYEES_5_YEAR_GROWTH","FQ2 2023","FQ2 2023","Currency=USD","Period=FQ","BEST_FPERIOD_OVERRIDE=FQ","FILING_STATUS=MR","Sort=A","Dates=H","DateFormat=P","Fill=—","Direction=H","UseDPDF=Y")</f>
        <v>—</v>
      </c>
      <c r="V39" s="14" t="str">
        <f>_xll.BDH("BLUE US Equity","EMPLOYEES_5_YEAR_GROWTH","FQ3 2023","FQ3 2023","Currency=USD","Period=FQ","BEST_FPERIOD_OVERRIDE=FQ","FILING_STATUS=MR","Sort=A","Dates=H","DateFormat=P","Fill=—","Direction=H","UseDPDF=Y")</f>
        <v>—</v>
      </c>
      <c r="W39" s="14">
        <f>_xll.BDH("BLUE US Equity","EMPLOYEES_5_YEAR_GROWTH","FQ4 2023","FQ4 2023","Currency=USD","Period=FQ","BEST_FPERIOD_OVERRIDE=FQ","FILING_STATUS=MR","Sort=A","Dates=H","DateFormat=P","Fill=—","Direction=H","UseDPDF=Y")</f>
        <v>-13.266400000000001</v>
      </c>
      <c r="X39" s="14" t="str">
        <f>_xll.BDH("BLUE US Equity","EMPLOYEES_5_YEAR_GROWTH","FQ1 2024","FQ1 2024","Currency=USD","Period=FQ","BEST_FPERIOD_OVERRIDE=FQ","FILING_STATUS=MR","Sort=A","Dates=H","DateFormat=P","Fill=—","Direction=H","UseDPDF=Y")</f>
        <v>—</v>
      </c>
      <c r="Y39" s="14" t="str">
        <f>_xll.BDH("BLUE US Equity","EMPLOYEES_5_YEAR_GROWTH","FQ2 2024","FQ2 2024","Currency=USD","Period=FQ","BEST_FPERIOD_OVERRIDE=FQ","FILING_STATUS=MR","Sort=A","Dates=H","DateFormat=P","Fill=—","Direction=H","UseDPDF=Y")</f>
        <v>—</v>
      </c>
      <c r="Z39" s="14" t="str">
        <f>_xll.BDH("BLUE US Equity","EMPLOYEES_5_YEAR_GROWTH","FQ3 2024","FQ3 2024","Currency=USD","Period=FQ","BEST_FPERIOD_OVERRIDE=FQ","FILING_STATUS=MR","Sort=A","Dates=H","DateFormat=P","Fill=—","Direction=H","UseDPDF=Y")</f>
        <v>—</v>
      </c>
      <c r="AA39" s="14">
        <f>_xll.BDH("BLUE US Equity","EMPLOYEES_5_YEAR_GROWTH","FQ4 2024","FQ4 2024","Currency=USD","Period=FQ","BEST_FPERIOD_OVERRIDE=FQ","FILING_STATUS=MR","Sort=A","Dates=H","DateFormat=P","Fill=—","Direction=H","UseDPDF=Y")</f>
        <v>-24.516100000000002</v>
      </c>
    </row>
    <row r="40" spans="1:27" x14ac:dyDescent="0.25">
      <c r="A40" s="10" t="s">
        <v>1285</v>
      </c>
      <c r="B40" s="10" t="s">
        <v>1306</v>
      </c>
      <c r="C40" s="14">
        <f>_xll.BDH("BLUE US Equity","ACCOUNTS_PAYABLE_5_YEAR_GROWTH","FQ4 2018","FQ4 2018","Currency=USD","Period=FQ","BEST_FPERIOD_OVERRIDE=FQ","FILING_STATUS=MR","Sort=A","Dates=H","DateFormat=P","Fill=—","Direction=H","UseDPDF=Y")</f>
        <v>32.543300000000002</v>
      </c>
      <c r="D40" s="14">
        <f>_xll.BDH("BLUE US Equity","ACCOUNTS_PAYABLE_5_YEAR_GROWTH","FQ1 2019","FQ1 2019","Currency=USD","Period=FQ","BEST_FPERIOD_OVERRIDE=FQ","FILING_STATUS=MR","Sort=A","Dates=H","DateFormat=P","Fill=—","Direction=H","UseDPDF=Y")</f>
        <v>63.339500000000001</v>
      </c>
      <c r="E40" s="14">
        <f>_xll.BDH("BLUE US Equity","ACCOUNTS_PAYABLE_5_YEAR_GROWTH","FQ2 2019","FQ2 2019","Currency=USD","Period=FQ","BEST_FPERIOD_OVERRIDE=FQ","FILING_STATUS=MR","Sort=A","Dates=H","DateFormat=P","Fill=—","Direction=H","UseDPDF=Y")</f>
        <v>62.672800000000002</v>
      </c>
      <c r="F40" s="14">
        <f>_xll.BDH("BLUE US Equity","ACCOUNTS_PAYABLE_5_YEAR_GROWTH","FQ3 2019","FQ3 2019","Currency=USD","Period=FQ","BEST_FPERIOD_OVERRIDE=FQ","FILING_STATUS=MR","Sort=A","Dates=H","DateFormat=P","Fill=—","Direction=H","UseDPDF=Y")</f>
        <v>62.983899999999998</v>
      </c>
      <c r="G40" s="14">
        <f>_xll.BDH("BLUE US Equity","ACCOUNTS_PAYABLE_5_YEAR_GROWTH","FQ4 2019","FQ4 2019","Currency=USD","Period=FQ","BEST_FPERIOD_OVERRIDE=FQ","FILING_STATUS=MR","Sort=A","Dates=H","DateFormat=P","Fill=—","Direction=H","UseDPDF=Y")</f>
        <v>70.844700000000003</v>
      </c>
      <c r="H40" s="14">
        <f>_xll.BDH("BLUE US Equity","ACCOUNTS_PAYABLE_5_YEAR_GROWTH","FQ1 2020","FQ1 2020","Currency=USD","Period=FQ","BEST_FPERIOD_OVERRIDE=FQ","FILING_STATUS=MR","Sort=A","Dates=H","DateFormat=P","Fill=—","Direction=H","UseDPDF=Y")</f>
        <v>64.283799999999999</v>
      </c>
      <c r="I40" s="14">
        <f>_xll.BDH("BLUE US Equity","ACCOUNTS_PAYABLE_5_YEAR_GROWTH","FQ2 2020","FQ2 2020","Currency=USD","Period=FQ","BEST_FPERIOD_OVERRIDE=FQ","FILING_STATUS=MR","Sort=A","Dates=H","DateFormat=P","Fill=—","Direction=H","UseDPDF=Y")</f>
        <v>62.103099999999998</v>
      </c>
      <c r="J40" s="14">
        <f>_xll.BDH("BLUE US Equity","ACCOUNTS_PAYABLE_5_YEAR_GROWTH","FQ3 2020","FQ3 2020","Currency=USD","Period=FQ","BEST_FPERIOD_OVERRIDE=FQ","FILING_STATUS=MR","Sort=A","Dates=H","DateFormat=P","Fill=—","Direction=H","UseDPDF=Y")</f>
        <v>48.803800000000003</v>
      </c>
      <c r="K40" s="14">
        <f>_xll.BDH("BLUE US Equity","ACCOUNTS_PAYABLE_5_YEAR_GROWTH","FQ4 2020","FQ4 2020","Currency=USD","Period=FQ","BEST_FPERIOD_OVERRIDE=FQ","FILING_STATUS=MR","Sort=A","Dates=H","DateFormat=P","Fill=—","Direction=H","UseDPDF=Y")</f>
        <v>16.871700000000001</v>
      </c>
      <c r="L40" s="14">
        <f>_xll.BDH("BLUE US Equity","ACCOUNTS_PAYABLE_5_YEAR_GROWTH","FQ1 2021","FQ1 2021","Currency=USD","Period=FQ","BEST_FPERIOD_OVERRIDE=FQ","FILING_STATUS=MR","Sort=A","Dates=H","DateFormat=P","Fill=—","Direction=H","UseDPDF=Y")</f>
        <v>45.188600000000001</v>
      </c>
      <c r="M40" s="14">
        <f>_xll.BDH("BLUE US Equity","ACCOUNTS_PAYABLE_5_YEAR_GROWTH","FQ2 2021","FQ2 2021","Currency=USD","Period=FQ","BEST_FPERIOD_OVERRIDE=FQ","FILING_STATUS=MR","Sort=A","Dates=H","DateFormat=P","Fill=—","Direction=H","UseDPDF=Y")</f>
        <v>75.457700000000003</v>
      </c>
      <c r="N40" s="14">
        <f>_xll.BDH("BLUE US Equity","ACCOUNTS_PAYABLE_5_YEAR_GROWTH","FQ3 2021","FQ3 2021","Currency=USD","Period=FQ","BEST_FPERIOD_OVERRIDE=FQ","FILING_STATUS=MR","Sort=A","Dates=H","DateFormat=P","Fill=—","Direction=H","UseDPDF=Y")</f>
        <v>26.420999999999999</v>
      </c>
      <c r="O40" s="14">
        <f>_xll.BDH("BLUE US Equity","ACCOUNTS_PAYABLE_5_YEAR_GROWTH","FQ4 2021","FQ4 2021","Currency=USD","Period=FQ","BEST_FPERIOD_OVERRIDE=FQ","FILING_STATUS=MR","Sort=A","Dates=H","DateFormat=P","Fill=—","Direction=H","UseDPDF=Y")</f>
        <v>13.628500000000001</v>
      </c>
      <c r="P40" s="14">
        <f>_xll.BDH("BLUE US Equity","ACCOUNTS_PAYABLE_5_YEAR_GROWTH","FQ1 2022","FQ1 2022","Currency=USD","Period=FQ","BEST_FPERIOD_OVERRIDE=FQ","FILING_STATUS=MR","Sort=A","Dates=H","DateFormat=P","Fill=—","Direction=H","UseDPDF=Y")</f>
        <v>26.450500000000002</v>
      </c>
      <c r="Q40" s="14">
        <f>_xll.BDH("BLUE US Equity","ACCOUNTS_PAYABLE_5_YEAR_GROWTH","FQ2 2022","FQ2 2022","Currency=USD","Period=FQ","BEST_FPERIOD_OVERRIDE=FQ","FILING_STATUS=MR","Sort=A","Dates=H","DateFormat=P","Fill=—","Direction=H","UseDPDF=Y")</f>
        <v>11.506600000000001</v>
      </c>
      <c r="R40" s="14">
        <f>_xll.BDH("BLUE US Equity","ACCOUNTS_PAYABLE_5_YEAR_GROWTH","FQ3 2022","FQ3 2022","Currency=USD","Period=FQ","BEST_FPERIOD_OVERRIDE=FQ","FILING_STATUS=MR","Sort=A","Dates=H","DateFormat=P","Fill=—","Direction=H","UseDPDF=Y")</f>
        <v>8.6326999999999998</v>
      </c>
      <c r="S40" s="14">
        <f>_xll.BDH("BLUE US Equity","ACCOUNTS_PAYABLE_5_YEAR_GROWTH","FQ4 2022","FQ4 2022","Currency=USD","Period=FQ","BEST_FPERIOD_OVERRIDE=FQ","FILING_STATUS=MR","Sort=A","Dates=H","DateFormat=P","Fill=—","Direction=H","UseDPDF=Y")</f>
        <v>2.9220999999999999</v>
      </c>
      <c r="T40" s="14">
        <f>_xll.BDH("BLUE US Equity","ACCOUNTS_PAYABLE_5_YEAR_GROWTH","FQ1 2023","FQ1 2023","Currency=USD","Period=FQ","BEST_FPERIOD_OVERRIDE=FQ","FILING_STATUS=MR","Sort=A","Dates=H","DateFormat=P","Fill=—","Direction=H","UseDPDF=Y")</f>
        <v>9.8449000000000009</v>
      </c>
      <c r="U40" s="14">
        <f>_xll.BDH("BLUE US Equity","ACCOUNTS_PAYABLE_5_YEAR_GROWTH","FQ2 2023","FQ2 2023","Currency=USD","Period=FQ","BEST_FPERIOD_OVERRIDE=FQ","FILING_STATUS=MR","Sort=A","Dates=H","DateFormat=P","Fill=—","Direction=H","UseDPDF=Y")</f>
        <v>-9.4908999999999999</v>
      </c>
      <c r="V40" s="14">
        <f>_xll.BDH("BLUE US Equity","ACCOUNTS_PAYABLE_5_YEAR_GROWTH","FQ3 2023","FQ3 2023","Currency=USD","Period=FQ","BEST_FPERIOD_OVERRIDE=FQ","FILING_STATUS=MR","Sort=A","Dates=H","DateFormat=P","Fill=—","Direction=H","UseDPDF=Y")</f>
        <v>9.0192999999999994</v>
      </c>
      <c r="W40" s="14">
        <f>_xll.BDH("BLUE US Equity","ACCOUNTS_PAYABLE_5_YEAR_GROWTH","FQ4 2023","FQ4 2023","Currency=USD","Period=FQ","BEST_FPERIOD_OVERRIDE=FQ","FILING_STATUS=MR","Sort=A","Dates=H","DateFormat=P","Fill=—","Direction=H","UseDPDF=Y")</f>
        <v>0.73719999999999997</v>
      </c>
      <c r="X40" s="14">
        <f>_xll.BDH("BLUE US Equity","ACCOUNTS_PAYABLE_5_YEAR_GROWTH","FQ1 2024","FQ1 2024","Currency=USD","Period=FQ","BEST_FPERIOD_OVERRIDE=FQ","FILING_STATUS=MR","Sort=A","Dates=H","DateFormat=P","Fill=—","Direction=H","UseDPDF=Y")</f>
        <v>-8.5079999999999991</v>
      </c>
      <c r="Y40" s="14">
        <f>_xll.BDH("BLUE US Equity","ACCOUNTS_PAYABLE_5_YEAR_GROWTH","FQ2 2024","FQ2 2024","Currency=USD","Period=FQ","BEST_FPERIOD_OVERRIDE=FQ","FILING_STATUS=MR","Sort=A","Dates=H","DateFormat=P","Fill=—","Direction=H","UseDPDF=Y")</f>
        <v>0.75770000000000004</v>
      </c>
      <c r="Z40" s="14">
        <f>_xll.BDH("BLUE US Equity","ACCOUNTS_PAYABLE_5_YEAR_GROWTH","FQ3 2024","FQ3 2024","Currency=USD","Period=FQ","BEST_FPERIOD_OVERRIDE=FQ","FILING_STATUS=MR","Sort=A","Dates=H","DateFormat=P","Fill=—","Direction=H","UseDPDF=Y")</f>
        <v>-10.1792</v>
      </c>
      <c r="AA40" s="14">
        <f>_xll.BDH("BLUE US Equity","ACCOUNTS_PAYABLE_5_YEAR_GROWTH","FQ4 2024","FQ4 2024","Currency=USD","Period=FQ","BEST_FPERIOD_OVERRIDE=FQ","FILING_STATUS=MR","Sort=A","Dates=H","DateFormat=P","Fill=—","Direction=H","UseDPDF=Y")</f>
        <v>-4.4093</v>
      </c>
    </row>
    <row r="41" spans="1:27" x14ac:dyDescent="0.25">
      <c r="A41" s="10" t="s">
        <v>1287</v>
      </c>
      <c r="B41" s="10" t="s">
        <v>1307</v>
      </c>
      <c r="C41" s="14" t="str">
        <f>_xll.BDH("BLUE US Equity","SHORT_TERM_DEBT_5_YEAR_GROWTH","FQ4 2018","FQ4 2018","Currency=USD","Period=FQ","BEST_FPERIOD_OVERRIDE=FQ","FILING_STATUS=MR","Sort=A","Dates=H","DateFormat=P","Fill=—","Direction=H","UseDPDF=Y")</f>
        <v>—</v>
      </c>
      <c r="D41" s="14" t="str">
        <f>_xll.BDH("BLUE US Equity","SHORT_TERM_DEBT_5_YEAR_GROWTH","FQ1 2019","FQ1 2019","Currency=USD","Period=FQ","BEST_FPERIOD_OVERRIDE=FQ","FILING_STATUS=MR","Sort=A","Dates=H","DateFormat=P","Fill=—","Direction=H","UseDPDF=Y")</f>
        <v>—</v>
      </c>
      <c r="E41" s="14" t="str">
        <f>_xll.BDH("BLUE US Equity","SHORT_TERM_DEBT_5_YEAR_GROWTH","FQ2 2019","FQ2 2019","Currency=USD","Period=FQ","BEST_FPERIOD_OVERRIDE=FQ","FILING_STATUS=MR","Sort=A","Dates=H","DateFormat=P","Fill=—","Direction=H","UseDPDF=Y")</f>
        <v>—</v>
      </c>
      <c r="F41" s="14" t="str">
        <f>_xll.BDH("BLUE US Equity","SHORT_TERM_DEBT_5_YEAR_GROWTH","FQ3 2019","FQ3 2019","Currency=USD","Period=FQ","BEST_FPERIOD_OVERRIDE=FQ","FILING_STATUS=MR","Sort=A","Dates=H","DateFormat=P","Fill=—","Direction=H","UseDPDF=Y")</f>
        <v>—</v>
      </c>
      <c r="G41" s="14" t="str">
        <f>_xll.BDH("BLUE US Equity","SHORT_TERM_DEBT_5_YEAR_GROWTH","FQ4 2019","FQ4 2019","Currency=USD","Period=FQ","BEST_FPERIOD_OVERRIDE=FQ","FILING_STATUS=MR","Sort=A","Dates=H","DateFormat=P","Fill=—","Direction=H","UseDPDF=Y")</f>
        <v>—</v>
      </c>
      <c r="H41" s="14" t="str">
        <f>_xll.BDH("BLUE US Equity","SHORT_TERM_DEBT_5_YEAR_GROWTH","FQ1 2020","FQ1 2020","Currency=USD","Period=FQ","BEST_FPERIOD_OVERRIDE=FQ","FILING_STATUS=MR","Sort=A","Dates=H","DateFormat=P","Fill=—","Direction=H","UseDPDF=Y")</f>
        <v>—</v>
      </c>
      <c r="I41" s="14" t="str">
        <f>_xll.BDH("BLUE US Equity","SHORT_TERM_DEBT_5_YEAR_GROWTH","FQ2 2020","FQ2 2020","Currency=USD","Period=FQ","BEST_FPERIOD_OVERRIDE=FQ","FILING_STATUS=MR","Sort=A","Dates=H","DateFormat=P","Fill=—","Direction=H","UseDPDF=Y")</f>
        <v>—</v>
      </c>
      <c r="J41" s="14" t="str">
        <f>_xll.BDH("BLUE US Equity","SHORT_TERM_DEBT_5_YEAR_GROWTH","FQ3 2020","FQ3 2020","Currency=USD","Period=FQ","BEST_FPERIOD_OVERRIDE=FQ","FILING_STATUS=MR","Sort=A","Dates=H","DateFormat=P","Fill=—","Direction=H","UseDPDF=Y")</f>
        <v>—</v>
      </c>
      <c r="K41" s="14" t="str">
        <f>_xll.BDH("BLUE US Equity","SHORT_TERM_DEBT_5_YEAR_GROWTH","FQ4 2020","FQ4 2020","Currency=USD","Period=FQ","BEST_FPERIOD_OVERRIDE=FQ","FILING_STATUS=MR","Sort=A","Dates=H","DateFormat=P","Fill=—","Direction=H","UseDPDF=Y")</f>
        <v>—</v>
      </c>
      <c r="L41" s="14" t="str">
        <f>_xll.BDH("BLUE US Equity","SHORT_TERM_DEBT_5_YEAR_GROWTH","FQ1 2021","FQ1 2021","Currency=USD","Period=FQ","BEST_FPERIOD_OVERRIDE=FQ","FILING_STATUS=MR","Sort=A","Dates=H","DateFormat=P","Fill=—","Direction=H","UseDPDF=Y")</f>
        <v>—</v>
      </c>
      <c r="M41" s="14" t="str">
        <f>_xll.BDH("BLUE US Equity","SHORT_TERM_DEBT_5_YEAR_GROWTH","FQ2 2021","FQ2 2021","Currency=USD","Period=FQ","BEST_FPERIOD_OVERRIDE=FQ","FILING_STATUS=MR","Sort=A","Dates=H","DateFormat=P","Fill=—","Direction=H","UseDPDF=Y")</f>
        <v>—</v>
      </c>
      <c r="N41" s="14" t="str">
        <f>_xll.BDH("BLUE US Equity","SHORT_TERM_DEBT_5_YEAR_GROWTH","FQ3 2021","FQ3 2021","Currency=USD","Period=FQ","BEST_FPERIOD_OVERRIDE=FQ","FILING_STATUS=MR","Sort=A","Dates=H","DateFormat=P","Fill=—","Direction=H","UseDPDF=Y")</f>
        <v>—</v>
      </c>
      <c r="O41" s="14" t="str">
        <f>_xll.BDH("BLUE US Equity","SHORT_TERM_DEBT_5_YEAR_GROWTH","FQ4 2021","FQ4 2021","Currency=USD","Period=FQ","BEST_FPERIOD_OVERRIDE=FQ","FILING_STATUS=MR","Sort=A","Dates=H","DateFormat=P","Fill=—","Direction=H","UseDPDF=Y")</f>
        <v>—</v>
      </c>
      <c r="P41" s="14" t="str">
        <f>_xll.BDH("BLUE US Equity","SHORT_TERM_DEBT_5_YEAR_GROWTH","FQ1 2022","FQ1 2022","Currency=USD","Period=FQ","BEST_FPERIOD_OVERRIDE=FQ","FILING_STATUS=MR","Sort=A","Dates=H","DateFormat=P","Fill=—","Direction=H","UseDPDF=Y")</f>
        <v>—</v>
      </c>
      <c r="Q41" s="14" t="str">
        <f>_xll.BDH("BLUE US Equity","SHORT_TERM_DEBT_5_YEAR_GROWTH","FQ2 2022","FQ2 2022","Currency=USD","Period=FQ","BEST_FPERIOD_OVERRIDE=FQ","FILING_STATUS=MR","Sort=A","Dates=H","DateFormat=P","Fill=—","Direction=H","UseDPDF=Y")</f>
        <v>—</v>
      </c>
      <c r="R41" s="14" t="str">
        <f>_xll.BDH("BLUE US Equity","SHORT_TERM_DEBT_5_YEAR_GROWTH","FQ3 2022","FQ3 2022","Currency=USD","Period=FQ","BEST_FPERIOD_OVERRIDE=FQ","FILING_STATUS=MR","Sort=A","Dates=H","DateFormat=P","Fill=—","Direction=H","UseDPDF=Y")</f>
        <v>—</v>
      </c>
      <c r="S41" s="14" t="str">
        <f>_xll.BDH("BLUE US Equity","SHORT_TERM_DEBT_5_YEAR_GROWTH","FQ4 2022","FQ4 2022","Currency=USD","Period=FQ","BEST_FPERIOD_OVERRIDE=FQ","FILING_STATUS=MR","Sort=A","Dates=H","DateFormat=P","Fill=—","Direction=H","UseDPDF=Y")</f>
        <v>—</v>
      </c>
      <c r="T41" s="14" t="str">
        <f>_xll.BDH("BLUE US Equity","SHORT_TERM_DEBT_5_YEAR_GROWTH","FQ1 2023","FQ1 2023","Currency=USD","Period=FQ","BEST_FPERIOD_OVERRIDE=FQ","FILING_STATUS=MR","Sort=A","Dates=H","DateFormat=P","Fill=—","Direction=H","UseDPDF=Y")</f>
        <v>—</v>
      </c>
      <c r="U41" s="14" t="str">
        <f>_xll.BDH("BLUE US Equity","SHORT_TERM_DEBT_5_YEAR_GROWTH","FQ2 2023","FQ2 2023","Currency=USD","Period=FQ","BEST_FPERIOD_OVERRIDE=FQ","FILING_STATUS=MR","Sort=A","Dates=H","DateFormat=P","Fill=—","Direction=H","UseDPDF=Y")</f>
        <v>—</v>
      </c>
      <c r="V41" s="14" t="str">
        <f>_xll.BDH("BLUE US Equity","SHORT_TERM_DEBT_5_YEAR_GROWTH","FQ3 2023","FQ3 2023","Currency=USD","Period=FQ","BEST_FPERIOD_OVERRIDE=FQ","FILING_STATUS=MR","Sort=A","Dates=H","DateFormat=P","Fill=—","Direction=H","UseDPDF=Y")</f>
        <v>—</v>
      </c>
      <c r="W41" s="14" t="str">
        <f>_xll.BDH("BLUE US Equity","SHORT_TERM_DEBT_5_YEAR_GROWTH","FQ4 2023","FQ4 2023","Currency=USD","Period=FQ","BEST_FPERIOD_OVERRIDE=FQ","FILING_STATUS=MR","Sort=A","Dates=H","DateFormat=P","Fill=—","Direction=H","UseDPDF=Y")</f>
        <v>—</v>
      </c>
      <c r="X41" s="14">
        <f>_xll.BDH("BLUE US Equity","SHORT_TERM_DEBT_5_YEAR_GROWTH","FQ1 2024","FQ1 2024","Currency=USD","Period=FQ","BEST_FPERIOD_OVERRIDE=FQ","FILING_STATUS=MR","Sort=A","Dates=H","DateFormat=P","Fill=—","Direction=H","UseDPDF=Y")</f>
        <v>63.869599999999998</v>
      </c>
      <c r="Y41" s="14">
        <f>_xll.BDH("BLUE US Equity","SHORT_TERM_DEBT_5_YEAR_GROWTH","FQ2 2024","FQ2 2024","Currency=USD","Period=FQ","BEST_FPERIOD_OVERRIDE=FQ","FILING_STATUS=MR","Sort=A","Dates=H","DateFormat=P","Fill=—","Direction=H","UseDPDF=Y")</f>
        <v>59.731099999999998</v>
      </c>
      <c r="Z41" s="14">
        <f>_xll.BDH("BLUE US Equity","SHORT_TERM_DEBT_5_YEAR_GROWTH","FQ3 2024","FQ3 2024","Currency=USD","Period=FQ","BEST_FPERIOD_OVERRIDE=FQ","FILING_STATUS=MR","Sort=A","Dates=H","DateFormat=P","Fill=—","Direction=H","UseDPDF=Y")</f>
        <v>57.193100000000001</v>
      </c>
      <c r="AA41" s="14">
        <f>_xll.BDH("BLUE US Equity","SHORT_TERM_DEBT_5_YEAR_GROWTH","FQ4 2024","FQ4 2024","Currency=USD","Period=FQ","BEST_FPERIOD_OVERRIDE=FQ","FILING_STATUS=MR","Sort=A","Dates=H","DateFormat=P","Fill=—","Direction=H","UseDPDF=Y")</f>
        <v>55.851599999999998</v>
      </c>
    </row>
    <row r="42" spans="1:27" x14ac:dyDescent="0.25">
      <c r="A42" s="10" t="s">
        <v>1289</v>
      </c>
      <c r="B42" s="10" t="s">
        <v>1308</v>
      </c>
      <c r="C42" s="14" t="str">
        <f>_xll.BDH("BLUE US Equity","TOTAL_DEBT_5_YEAR_GROWTH","FQ4 2018","FQ4 2018","Currency=USD","Period=FQ","BEST_FPERIOD_OVERRIDE=FQ","FILING_STATUS=MR","Sort=A","Dates=H","DateFormat=P","Fill=—","Direction=H","UseDPDF=Y")</f>
        <v>—</v>
      </c>
      <c r="D42" s="14" t="str">
        <f>_xll.BDH("BLUE US Equity","TOTAL_DEBT_5_YEAR_GROWTH","FQ1 2019","FQ1 2019","Currency=USD","Period=FQ","BEST_FPERIOD_OVERRIDE=FQ","FILING_STATUS=MR","Sort=A","Dates=H","DateFormat=P","Fill=—","Direction=H","UseDPDF=Y")</f>
        <v>—</v>
      </c>
      <c r="E42" s="14" t="str">
        <f>_xll.BDH("BLUE US Equity","TOTAL_DEBT_5_YEAR_GROWTH","FQ2 2019","FQ2 2019","Currency=USD","Period=FQ","BEST_FPERIOD_OVERRIDE=FQ","FILING_STATUS=MR","Sort=A","Dates=H","DateFormat=P","Fill=—","Direction=H","UseDPDF=Y")</f>
        <v>—</v>
      </c>
      <c r="F42" s="14" t="str">
        <f>_xll.BDH("BLUE US Equity","TOTAL_DEBT_5_YEAR_GROWTH","FQ3 2019","FQ3 2019","Currency=USD","Period=FQ","BEST_FPERIOD_OVERRIDE=FQ","FILING_STATUS=MR","Sort=A","Dates=H","DateFormat=P","Fill=—","Direction=H","UseDPDF=Y")</f>
        <v>—</v>
      </c>
      <c r="G42" s="14" t="str">
        <f>_xll.BDH("BLUE US Equity","TOTAL_DEBT_5_YEAR_GROWTH","FQ4 2019","FQ4 2019","Currency=USD","Period=FQ","BEST_FPERIOD_OVERRIDE=FQ","FILING_STATUS=MR","Sort=A","Dates=H","DateFormat=P","Fill=—","Direction=H","UseDPDF=Y")</f>
        <v>—</v>
      </c>
      <c r="H42" s="14" t="str">
        <f>_xll.BDH("BLUE US Equity","TOTAL_DEBT_5_YEAR_GROWTH","FQ1 2020","FQ1 2020","Currency=USD","Period=FQ","BEST_FPERIOD_OVERRIDE=FQ","FILING_STATUS=MR","Sort=A","Dates=H","DateFormat=P","Fill=—","Direction=H","UseDPDF=Y")</f>
        <v>—</v>
      </c>
      <c r="I42" s="14" t="str">
        <f>_xll.BDH("BLUE US Equity","TOTAL_DEBT_5_YEAR_GROWTH","FQ2 2020","FQ2 2020","Currency=USD","Period=FQ","BEST_FPERIOD_OVERRIDE=FQ","FILING_STATUS=MR","Sort=A","Dates=H","DateFormat=P","Fill=—","Direction=H","UseDPDF=Y")</f>
        <v>—</v>
      </c>
      <c r="J42" s="14" t="str">
        <f>_xll.BDH("BLUE US Equity","TOTAL_DEBT_5_YEAR_GROWTH","FQ3 2020","FQ3 2020","Currency=USD","Period=FQ","BEST_FPERIOD_OVERRIDE=FQ","FILING_STATUS=MR","Sort=A","Dates=H","DateFormat=P","Fill=—","Direction=H","UseDPDF=Y")</f>
        <v>—</v>
      </c>
      <c r="K42" s="14" t="str">
        <f>_xll.BDH("BLUE US Equity","TOTAL_DEBT_5_YEAR_GROWTH","FQ4 2020","FQ4 2020","Currency=USD","Period=FQ","BEST_FPERIOD_OVERRIDE=FQ","FILING_STATUS=MR","Sort=A","Dates=H","DateFormat=P","Fill=—","Direction=H","UseDPDF=Y")</f>
        <v>—</v>
      </c>
      <c r="L42" s="14" t="str">
        <f>_xll.BDH("BLUE US Equity","TOTAL_DEBT_5_YEAR_GROWTH","FQ1 2021","FQ1 2021","Currency=USD","Period=FQ","BEST_FPERIOD_OVERRIDE=FQ","FILING_STATUS=MR","Sort=A","Dates=H","DateFormat=P","Fill=—","Direction=H","UseDPDF=Y")</f>
        <v>—</v>
      </c>
      <c r="M42" s="14" t="str">
        <f>_xll.BDH("BLUE US Equity","TOTAL_DEBT_5_YEAR_GROWTH","FQ2 2021","FQ2 2021","Currency=USD","Period=FQ","BEST_FPERIOD_OVERRIDE=FQ","FILING_STATUS=MR","Sort=A","Dates=H","DateFormat=P","Fill=—","Direction=H","UseDPDF=Y")</f>
        <v>—</v>
      </c>
      <c r="N42" s="14" t="str">
        <f>_xll.BDH("BLUE US Equity","TOTAL_DEBT_5_YEAR_GROWTH","FQ3 2021","FQ3 2021","Currency=USD","Period=FQ","BEST_FPERIOD_OVERRIDE=FQ","FILING_STATUS=MR","Sort=A","Dates=H","DateFormat=P","Fill=—","Direction=H","UseDPDF=Y")</f>
        <v>—</v>
      </c>
      <c r="O42" s="14" t="str">
        <f>_xll.BDH("BLUE US Equity","TOTAL_DEBT_5_YEAR_GROWTH","FQ4 2021","FQ4 2021","Currency=USD","Period=FQ","BEST_FPERIOD_OVERRIDE=FQ","FILING_STATUS=MR","Sort=A","Dates=H","DateFormat=P","Fill=—","Direction=H","UseDPDF=Y")</f>
        <v>—</v>
      </c>
      <c r="P42" s="14">
        <f>_xll.BDH("BLUE US Equity","TOTAL_DEBT_5_YEAR_GROWTH","FQ1 2022","FQ1 2022","Currency=USD","Period=FQ","BEST_FPERIOD_OVERRIDE=FQ","FILING_STATUS=MR","Sort=A","Dates=H","DateFormat=P","Fill=—","Direction=H","UseDPDF=Y")</f>
        <v>-5.6473000000000004</v>
      </c>
      <c r="Q42" s="14">
        <f>_xll.BDH("BLUE US Equity","TOTAL_DEBT_5_YEAR_GROWTH","FQ2 2022","FQ2 2022","Currency=USD","Period=FQ","BEST_FPERIOD_OVERRIDE=FQ","FILING_STATUS=MR","Sort=A","Dates=H","DateFormat=P","Fill=—","Direction=H","UseDPDF=Y")</f>
        <v>13.7316</v>
      </c>
      <c r="R42" s="14">
        <f>_xll.BDH("BLUE US Equity","TOTAL_DEBT_5_YEAR_GROWTH","FQ3 2022","FQ3 2022","Currency=USD","Period=FQ","BEST_FPERIOD_OVERRIDE=FQ","FILING_STATUS=MR","Sort=A","Dates=H","DateFormat=P","Fill=—","Direction=H","UseDPDF=Y")</f>
        <v>12.521599999999999</v>
      </c>
      <c r="S42" s="14">
        <f>_xll.BDH("BLUE US Equity","TOTAL_DEBT_5_YEAR_GROWTH","FQ4 2022","FQ4 2022","Currency=USD","Period=FQ","BEST_FPERIOD_OVERRIDE=FQ","FILING_STATUS=MR","Sort=A","Dates=H","DateFormat=P","Fill=—","Direction=H","UseDPDF=Y")</f>
        <v>18.856100000000001</v>
      </c>
      <c r="T42" s="14">
        <f>_xll.BDH("BLUE US Equity","TOTAL_DEBT_5_YEAR_GROWTH","FQ1 2023","FQ1 2023","Currency=USD","Period=FQ","BEST_FPERIOD_OVERRIDE=FQ","FILING_STATUS=MR","Sort=A","Dates=H","DateFormat=P","Fill=—","Direction=H","UseDPDF=Y")</f>
        <v>12.083299999999999</v>
      </c>
      <c r="U42" s="14">
        <f>_xll.BDH("BLUE US Equity","TOTAL_DEBT_5_YEAR_GROWTH","FQ2 2023","FQ2 2023","Currency=USD","Period=FQ","BEST_FPERIOD_OVERRIDE=FQ","FILING_STATUS=MR","Sort=A","Dates=H","DateFormat=P","Fill=—","Direction=H","UseDPDF=Y")</f>
        <v>14.7691</v>
      </c>
      <c r="V42" s="14">
        <f>_xll.BDH("BLUE US Equity","TOTAL_DEBT_5_YEAR_GROWTH","FQ3 2023","FQ3 2023","Currency=USD","Period=FQ","BEST_FPERIOD_OVERRIDE=FQ","FILING_STATUS=MR","Sort=A","Dates=H","DateFormat=P","Fill=—","Direction=H","UseDPDF=Y")</f>
        <v>14.5901</v>
      </c>
      <c r="W42" s="14">
        <f>_xll.BDH("BLUE US Equity","TOTAL_DEBT_5_YEAR_GROWTH","FQ4 2023","FQ4 2023","Currency=USD","Period=FQ","BEST_FPERIOD_OVERRIDE=FQ","FILING_STATUS=MR","Sort=A","Dates=H","DateFormat=P","Fill=—","Direction=H","UseDPDF=Y")</f>
        <v>16.592199999999998</v>
      </c>
      <c r="X42" s="14">
        <f>_xll.BDH("BLUE US Equity","TOTAL_DEBT_5_YEAR_GROWTH","FQ1 2024","FQ1 2024","Currency=USD","Period=FQ","BEST_FPERIOD_OVERRIDE=FQ","FILING_STATUS=MR","Sort=A","Dates=H","DateFormat=P","Fill=—","Direction=H","UseDPDF=Y")</f>
        <v>17.402799999999999</v>
      </c>
      <c r="Y42" s="14">
        <f>_xll.BDH("BLUE US Equity","TOTAL_DEBT_5_YEAR_GROWTH","FQ2 2024","FQ2 2024","Currency=USD","Period=FQ","BEST_FPERIOD_OVERRIDE=FQ","FILING_STATUS=MR","Sort=A","Dates=H","DateFormat=P","Fill=—","Direction=H","UseDPDF=Y")</f>
        <v>14.986499999999999</v>
      </c>
      <c r="Z42" s="14">
        <f>_xll.BDH("BLUE US Equity","TOTAL_DEBT_5_YEAR_GROWTH","FQ3 2024","FQ3 2024","Currency=USD","Period=FQ","BEST_FPERIOD_OVERRIDE=FQ","FILING_STATUS=MR","Sort=A","Dates=H","DateFormat=P","Fill=—","Direction=H","UseDPDF=Y")</f>
        <v>13.2484</v>
      </c>
      <c r="AA42" s="14">
        <f>_xll.BDH("BLUE US Equity","TOTAL_DEBT_5_YEAR_GROWTH","FQ4 2024","FQ4 2024","Currency=USD","Period=FQ","BEST_FPERIOD_OVERRIDE=FQ","FILING_STATUS=MR","Sort=A","Dates=H","DateFormat=P","Fill=—","Direction=H","UseDPDF=Y")</f>
        <v>13.1912</v>
      </c>
    </row>
    <row r="43" spans="1:27" x14ac:dyDescent="0.25">
      <c r="A43" s="10" t="s">
        <v>118</v>
      </c>
      <c r="B43" s="10" t="s">
        <v>1309</v>
      </c>
      <c r="C43" s="14">
        <f>_xll.BDH("BLUE US Equity","GEO_GROW_TOT_SHRHLDR_EQY","FQ4 2018","FQ4 2018","Currency=USD","Period=FQ","BEST_FPERIOD_OVERRIDE=FQ","FILING_STATUS=MR","Sort=A","Dates=H","DateFormat=P","Fill=—","Direction=H","UseDPDF=Y")</f>
        <v>65.534000000000006</v>
      </c>
      <c r="D43" s="14">
        <f>_xll.BDH("BLUE US Equity","GEO_GROW_TOT_SHRHLDR_EQY","FQ1 2019","FQ1 2019","Currency=USD","Period=FQ","BEST_FPERIOD_OVERRIDE=FQ","FILING_STATUS=MR","Sort=A","Dates=H","DateFormat=P","Fill=—","Direction=H","UseDPDF=Y")</f>
        <v>65.167900000000003</v>
      </c>
      <c r="E43" s="14">
        <f>_xll.BDH("BLUE US Equity","GEO_GROW_TOT_SHRHLDR_EQY","FQ2 2019","FQ2 2019","Currency=USD","Period=FQ","BEST_FPERIOD_OVERRIDE=FQ","FILING_STATUS=MR","Sort=A","Dates=H","DateFormat=P","Fill=—","Direction=H","UseDPDF=Y")</f>
        <v>58.082099999999997</v>
      </c>
      <c r="F43" s="14">
        <f>_xll.BDH("BLUE US Equity","GEO_GROW_TOT_SHRHLDR_EQY","FQ3 2019","FQ3 2019","Currency=USD","Period=FQ","BEST_FPERIOD_OVERRIDE=FQ","FILING_STATUS=MR","Sort=A","Dates=H","DateFormat=P","Fill=—","Direction=H","UseDPDF=Y")</f>
        <v>41.234200000000001</v>
      </c>
      <c r="G43" s="14">
        <f>_xll.BDH("BLUE US Equity","GEO_GROW_TOT_SHRHLDR_EQY","FQ4 2019","FQ4 2019","Currency=USD","Period=FQ","BEST_FPERIOD_OVERRIDE=FQ","FILING_STATUS=MR","Sort=A","Dates=H","DateFormat=P","Fill=—","Direction=H","UseDPDF=Y")</f>
        <v>21.2044</v>
      </c>
      <c r="H43" s="14">
        <f>_xll.BDH("BLUE US Equity","GEO_GROW_TOT_SHRHLDR_EQY","FQ1 2020","FQ1 2020","Currency=USD","Period=FQ","BEST_FPERIOD_OVERRIDE=FQ","FILING_STATUS=MR","Sort=A","Dates=H","DateFormat=P","Fill=—","Direction=H","UseDPDF=Y")</f>
        <v>18.748999999999999</v>
      </c>
      <c r="I43" s="14">
        <f>_xll.BDH("BLUE US Equity","GEO_GROW_TOT_SHRHLDR_EQY","FQ2 2020","FQ2 2020","Currency=USD","Period=FQ","BEST_FPERIOD_OVERRIDE=FQ","FILING_STATUS=MR","Sort=A","Dates=H","DateFormat=P","Fill=—","Direction=H","UseDPDF=Y")</f>
        <v>12.8514</v>
      </c>
      <c r="J43" s="14">
        <f>_xll.BDH("BLUE US Equity","GEO_GROW_TOT_SHRHLDR_EQY","FQ3 2020","FQ3 2020","Currency=USD","Period=FQ","BEST_FPERIOD_OVERRIDE=FQ","FILING_STATUS=MR","Sort=A","Dates=H","DateFormat=P","Fill=—","Direction=H","UseDPDF=Y")</f>
        <v>11.368</v>
      </c>
      <c r="K43" s="14">
        <f>_xll.BDH("BLUE US Equity","GEO_GROW_TOT_SHRHLDR_EQY","FQ4 2020","FQ4 2020","Currency=USD","Period=FQ","BEST_FPERIOD_OVERRIDE=FQ","FILING_STATUS=MR","Sort=A","Dates=H","DateFormat=P","Fill=—","Direction=H","UseDPDF=Y")</f>
        <v>9.7632999999999992</v>
      </c>
      <c r="L43" s="14">
        <f>_xll.BDH("BLUE US Equity","GEO_GROW_TOT_SHRHLDR_EQY","FQ1 2021","FQ1 2021","Currency=USD","Period=FQ","BEST_FPERIOD_OVERRIDE=FQ","FILING_STATUS=MR","Sort=A","Dates=H","DateFormat=P","Fill=—","Direction=H","UseDPDF=Y")</f>
        <v>8.2775999999999996</v>
      </c>
      <c r="M43" s="14">
        <f>_xll.BDH("BLUE US Equity","GEO_GROW_TOT_SHRHLDR_EQY","FQ2 2021","FQ2 2021","Currency=USD","Period=FQ","BEST_FPERIOD_OVERRIDE=FQ","FILING_STATUS=MR","Sort=A","Dates=H","DateFormat=P","Fill=—","Direction=H","UseDPDF=Y")</f>
        <v>5.3335999999999997</v>
      </c>
      <c r="N43" s="14">
        <f>_xll.BDH("BLUE US Equity","GEO_GROW_TOT_SHRHLDR_EQY","FQ3 2021","FQ3 2021","Currency=USD","Period=FQ","BEST_FPERIOD_OVERRIDE=FQ","FILING_STATUS=MR","Sort=A","Dates=H","DateFormat=P","Fill=—","Direction=H","UseDPDF=Y")</f>
        <v>4.6214000000000004</v>
      </c>
      <c r="O43" s="14">
        <f>_xll.BDH("BLUE US Equity","GEO_GROW_TOT_SHRHLDR_EQY","FQ4 2021","FQ4 2021","Currency=USD","Period=FQ","BEST_FPERIOD_OVERRIDE=FQ","FILING_STATUS=MR","Sort=A","Dates=H","DateFormat=P","Fill=—","Direction=H","UseDPDF=Y")</f>
        <v>-15.5128</v>
      </c>
      <c r="P43" s="14">
        <f>_xll.BDH("BLUE US Equity","GEO_GROW_TOT_SHRHLDR_EQY","FQ1 2022","FQ1 2022","Currency=USD","Period=FQ","BEST_FPERIOD_OVERRIDE=FQ","FILING_STATUS=MR","Sort=A","Dates=H","DateFormat=P","Fill=—","Direction=H","UseDPDF=Y")</f>
        <v>-20.2364</v>
      </c>
      <c r="Q43" s="14">
        <f>_xll.BDH("BLUE US Equity","GEO_GROW_TOT_SHRHLDR_EQY","FQ2 2022","FQ2 2022","Currency=USD","Period=FQ","BEST_FPERIOD_OVERRIDE=FQ","FILING_STATUS=MR","Sort=A","Dates=H","DateFormat=P","Fill=—","Direction=H","UseDPDF=Y")</f>
        <v>-31.565899999999999</v>
      </c>
      <c r="R43" s="14">
        <f>_xll.BDH("BLUE US Equity","GEO_GROW_TOT_SHRHLDR_EQY","FQ3 2022","FQ3 2022","Currency=USD","Period=FQ","BEST_FPERIOD_OVERRIDE=FQ","FILING_STATUS=MR","Sort=A","Dates=H","DateFormat=P","Fill=—","Direction=H","UseDPDF=Y")</f>
        <v>-32.590699999999998</v>
      </c>
      <c r="S43" s="14">
        <f>_xll.BDH("BLUE US Equity","GEO_GROW_TOT_SHRHLDR_EQY","FQ4 2022","FQ4 2022","Currency=USD","Period=FQ","BEST_FPERIOD_OVERRIDE=FQ","FILING_STATUS=MR","Sort=A","Dates=H","DateFormat=P","Fill=—","Direction=H","UseDPDF=Y")</f>
        <v>-39.249499999999998</v>
      </c>
      <c r="T43" s="14">
        <f>_xll.BDH("BLUE US Equity","GEO_GROW_TOT_SHRHLDR_EQY","FQ1 2023","FQ1 2023","Currency=USD","Period=FQ","BEST_FPERIOD_OVERRIDE=FQ","FILING_STATUS=MR","Sort=A","Dates=H","DateFormat=P","Fill=—","Direction=H","UseDPDF=Y")</f>
        <v>-25.733799999999999</v>
      </c>
      <c r="U43" s="14">
        <f>_xll.BDH("BLUE US Equity","GEO_GROW_TOT_SHRHLDR_EQY","FQ2 2023","FQ2 2023","Currency=USD","Period=FQ","BEST_FPERIOD_OVERRIDE=FQ","FILING_STATUS=MR","Sort=A","Dates=H","DateFormat=P","Fill=—","Direction=H","UseDPDF=Y")</f>
        <v>-27.6462</v>
      </c>
      <c r="V43" s="14">
        <f>_xll.BDH("BLUE US Equity","GEO_GROW_TOT_SHRHLDR_EQY","FQ3 2023","FQ3 2023","Currency=USD","Period=FQ","BEST_FPERIOD_OVERRIDE=FQ","FILING_STATUS=MR","Sort=A","Dates=H","DateFormat=P","Fill=—","Direction=H","UseDPDF=Y")</f>
        <v>-35.547499999999999</v>
      </c>
      <c r="W43" s="14">
        <f>_xll.BDH("BLUE US Equity","GEO_GROW_TOT_SHRHLDR_EQY","FQ4 2023","FQ4 2023","Currency=USD","Period=FQ","BEST_FPERIOD_OVERRIDE=FQ","FILING_STATUS=MR","Sort=A","Dates=H","DateFormat=P","Fill=—","Direction=H","UseDPDF=Y")</f>
        <v>-36.505699999999997</v>
      </c>
      <c r="X43" s="14">
        <f>_xll.BDH("BLUE US Equity","GEO_GROW_TOT_SHRHLDR_EQY","FQ1 2024","FQ1 2024","Currency=USD","Period=FQ","BEST_FPERIOD_OVERRIDE=FQ","FILING_STATUS=MR","Sort=A","Dates=H","DateFormat=P","Fill=—","Direction=H","UseDPDF=Y")</f>
        <v>-40.599899999999998</v>
      </c>
      <c r="Y43" s="14">
        <f>_xll.BDH("BLUE US Equity","GEO_GROW_TOT_SHRHLDR_EQY","FQ2 2024","FQ2 2024","Currency=USD","Period=FQ","BEST_FPERIOD_OVERRIDE=FQ","FILING_STATUS=MR","Sort=A","Dates=H","DateFormat=P","Fill=—","Direction=H","UseDPDF=Y")</f>
        <v>-49.644399999999997</v>
      </c>
      <c r="Z43" s="14" t="str">
        <f>_xll.BDH("BLUE US Equity","GEO_GROW_TOT_SHRHLDR_EQY","FQ3 2024","FQ3 2024","Currency=USD","Period=FQ","BEST_FPERIOD_OVERRIDE=FQ","FILING_STATUS=MR","Sort=A","Dates=H","DateFormat=P","Fill=—","Direction=H","UseDPDF=Y")</f>
        <v>—</v>
      </c>
      <c r="AA43" s="14" t="str">
        <f>_xll.BDH("BLUE US Equity","GEO_GROW_TOT_SHRHLDR_EQY","FQ4 2024","FQ4 2024","Currency=USD","Period=FQ","BEST_FPERIOD_OVERRIDE=FQ","FILING_STATUS=MR","Sort=A","Dates=H","DateFormat=P","Fill=—","Direction=H","UseDPDF=Y")</f>
        <v>—</v>
      </c>
    </row>
    <row r="44" spans="1:27" x14ac:dyDescent="0.25">
      <c r="A44" s="10" t="s">
        <v>1310</v>
      </c>
      <c r="B44" s="10" t="s">
        <v>1311</v>
      </c>
      <c r="C44" s="14">
        <f>_xll.BDH("BLUE US Equity","TOTAL_CAPITAL_5_YEAR_GROWTH","FQ4 2018","FQ4 2018","Currency=USD","Period=FQ","BEST_FPERIOD_OVERRIDE=FQ","FILING_STATUS=MR","Sort=A","Dates=H","DateFormat=P","Fill=—","Direction=H","UseDPDF=Y")</f>
        <v>68.143199999999993</v>
      </c>
      <c r="D44" s="14">
        <f>_xll.BDH("BLUE US Equity","TOTAL_CAPITAL_5_YEAR_GROWTH","FQ1 2019","FQ1 2019","Currency=USD","Period=FQ","BEST_FPERIOD_OVERRIDE=FQ","FILING_STATUS=MR","Sort=A","Dates=H","DateFormat=P","Fill=—","Direction=H","UseDPDF=Y")</f>
        <v>68.494100000000003</v>
      </c>
      <c r="E44" s="14">
        <f>_xll.BDH("BLUE US Equity","TOTAL_CAPITAL_5_YEAR_GROWTH","FQ2 2019","FQ2 2019","Currency=USD","Period=FQ","BEST_FPERIOD_OVERRIDE=FQ","FILING_STATUS=MR","Sort=A","Dates=H","DateFormat=P","Fill=—","Direction=H","UseDPDF=Y")</f>
        <v>61.668199999999999</v>
      </c>
      <c r="F44" s="14">
        <f>_xll.BDH("BLUE US Equity","TOTAL_CAPITAL_5_YEAR_GROWTH","FQ3 2019","FQ3 2019","Currency=USD","Period=FQ","BEST_FPERIOD_OVERRIDE=FQ","FILING_STATUS=MR","Sort=A","Dates=H","DateFormat=P","Fill=—","Direction=H","UseDPDF=Y")</f>
        <v>44.809600000000003</v>
      </c>
      <c r="G44" s="14">
        <f>_xll.BDH("BLUE US Equity","TOTAL_CAPITAL_5_YEAR_GROWTH","FQ4 2019","FQ4 2019","Currency=USD","Period=FQ","BEST_FPERIOD_OVERRIDE=FQ","FILING_STATUS=MR","Sort=A","Dates=H","DateFormat=P","Fill=—","Direction=H","UseDPDF=Y")</f>
        <v>24.610399999999998</v>
      </c>
      <c r="H44" s="14">
        <f>_xll.BDH("BLUE US Equity","TOTAL_CAPITAL_5_YEAR_GROWTH","FQ1 2020","FQ1 2020","Currency=USD","Period=FQ","BEST_FPERIOD_OVERRIDE=FQ","FILING_STATUS=MR","Sort=A","Dates=H","DateFormat=P","Fill=—","Direction=H","UseDPDF=Y")</f>
        <v>22.7209</v>
      </c>
      <c r="I44" s="14">
        <f>_xll.BDH("BLUE US Equity","TOTAL_CAPITAL_5_YEAR_GROWTH","FQ2 2020","FQ2 2020","Currency=USD","Period=FQ","BEST_FPERIOD_OVERRIDE=FQ","FILING_STATUS=MR","Sort=A","Dates=H","DateFormat=P","Fill=—","Direction=H","UseDPDF=Y")</f>
        <v>15.360799999999999</v>
      </c>
      <c r="J44" s="14">
        <f>_xll.BDH("BLUE US Equity","TOTAL_CAPITAL_5_YEAR_GROWTH","FQ3 2020","FQ3 2020","Currency=USD","Period=FQ","BEST_FPERIOD_OVERRIDE=FQ","FILING_STATUS=MR","Sort=A","Dates=H","DateFormat=P","Fill=—","Direction=H","UseDPDF=Y")</f>
        <v>14.087899999999999</v>
      </c>
      <c r="K44" s="14">
        <f>_xll.BDH("BLUE US Equity","TOTAL_CAPITAL_5_YEAR_GROWTH","FQ4 2020","FQ4 2020","Currency=USD","Period=FQ","BEST_FPERIOD_OVERRIDE=FQ","FILING_STATUS=MR","Sort=A","Dates=H","DateFormat=P","Fill=—","Direction=H","UseDPDF=Y")</f>
        <v>10.8032</v>
      </c>
      <c r="L44" s="14">
        <f>_xll.BDH("BLUE US Equity","TOTAL_CAPITAL_5_YEAR_GROWTH","FQ1 2021","FQ1 2021","Currency=USD","Period=FQ","BEST_FPERIOD_OVERRIDE=FQ","FILING_STATUS=MR","Sort=A","Dates=H","DateFormat=P","Fill=—","Direction=H","UseDPDF=Y")</f>
        <v>11.758699999999999</v>
      </c>
      <c r="M44" s="14">
        <f>_xll.BDH("BLUE US Equity","TOTAL_CAPITAL_5_YEAR_GROWTH","FQ2 2021","FQ2 2021","Currency=USD","Period=FQ","BEST_FPERIOD_OVERRIDE=FQ","FILING_STATUS=MR","Sort=A","Dates=H","DateFormat=P","Fill=—","Direction=H","UseDPDF=Y")</f>
        <v>9.2766999999999999</v>
      </c>
      <c r="N44" s="14">
        <f>_xll.BDH("BLUE US Equity","TOTAL_CAPITAL_5_YEAR_GROWTH","FQ3 2021","FQ3 2021","Currency=USD","Period=FQ","BEST_FPERIOD_OVERRIDE=FQ","FILING_STATUS=MR","Sort=A","Dates=H","DateFormat=P","Fill=—","Direction=H","UseDPDF=Y")</f>
        <v>8.6613000000000007</v>
      </c>
      <c r="O44" s="14">
        <f>_xll.BDH("BLUE US Equity","TOTAL_CAPITAL_5_YEAR_GROWTH","FQ4 2021","FQ4 2021","Currency=USD","Period=FQ","BEST_FPERIOD_OVERRIDE=FQ","FILING_STATUS=MR","Sort=A","Dates=H","DateFormat=P","Fill=—","Direction=H","UseDPDF=Y")</f>
        <v>-11.8079</v>
      </c>
      <c r="P44" s="14">
        <f>_xll.BDH("BLUE US Equity","TOTAL_CAPITAL_5_YEAR_GROWTH","FQ1 2022","FQ1 2022","Currency=USD","Period=FQ","BEST_FPERIOD_OVERRIDE=FQ","FILING_STATUS=MR","Sort=A","Dates=H","DateFormat=P","Fill=—","Direction=H","UseDPDF=Y")</f>
        <v>-17.251300000000001</v>
      </c>
      <c r="Q44" s="14">
        <f>_xll.BDH("BLUE US Equity","TOTAL_CAPITAL_5_YEAR_GROWTH","FQ2 2022","FQ2 2022","Currency=USD","Period=FQ","BEST_FPERIOD_OVERRIDE=FQ","FILING_STATUS=MR","Sort=A","Dates=H","DateFormat=P","Fill=—","Direction=H","UseDPDF=Y")</f>
        <v>-18.9664</v>
      </c>
      <c r="R44" s="14">
        <f>_xll.BDH("BLUE US Equity","TOTAL_CAPITAL_5_YEAR_GROWTH","FQ3 2022","FQ3 2022","Currency=USD","Period=FQ","BEST_FPERIOD_OVERRIDE=FQ","FILING_STATUS=MR","Sort=A","Dates=H","DateFormat=P","Fill=—","Direction=H","UseDPDF=Y")</f>
        <v>-19.532800000000002</v>
      </c>
      <c r="S44" s="14">
        <f>_xll.BDH("BLUE US Equity","TOTAL_CAPITAL_5_YEAR_GROWTH","FQ4 2022","FQ4 2022","Currency=USD","Period=FQ","BEST_FPERIOD_OVERRIDE=FQ","FILING_STATUS=MR","Sort=A","Dates=H","DateFormat=P","Fill=—","Direction=H","UseDPDF=Y")</f>
        <v>-22.368099999999998</v>
      </c>
      <c r="T44" s="14">
        <f>_xll.BDH("BLUE US Equity","TOTAL_CAPITAL_5_YEAR_GROWTH","FQ1 2023","FQ1 2023","Currency=USD","Period=FQ","BEST_FPERIOD_OVERRIDE=FQ","FILING_STATUS=MR","Sort=A","Dates=H","DateFormat=P","Fill=—","Direction=H","UseDPDF=Y")</f>
        <v>-18.292300000000001</v>
      </c>
      <c r="U44" s="14">
        <f>_xll.BDH("BLUE US Equity","TOTAL_CAPITAL_5_YEAR_GROWTH","FQ2 2023","FQ2 2023","Currency=USD","Period=FQ","BEST_FPERIOD_OVERRIDE=FQ","FILING_STATUS=MR","Sort=A","Dates=H","DateFormat=P","Fill=—","Direction=H","UseDPDF=Y")</f>
        <v>-18.044599999999999</v>
      </c>
      <c r="V44" s="14">
        <f>_xll.BDH("BLUE US Equity","TOTAL_CAPITAL_5_YEAR_GROWTH","FQ3 2023","FQ3 2023","Currency=USD","Period=FQ","BEST_FPERIOD_OVERRIDE=FQ","FILING_STATUS=MR","Sort=A","Dates=H","DateFormat=P","Fill=—","Direction=H","UseDPDF=Y")</f>
        <v>-24.565899999999999</v>
      </c>
      <c r="W44" s="14">
        <f>_xll.BDH("BLUE US Equity","TOTAL_CAPITAL_5_YEAR_GROWTH","FQ4 2023","FQ4 2023","Currency=USD","Period=FQ","BEST_FPERIOD_OVERRIDE=FQ","FILING_STATUS=MR","Sort=A","Dates=H","DateFormat=P","Fill=—","Direction=H","UseDPDF=Y")</f>
        <v>-23.765499999999999</v>
      </c>
      <c r="X44" s="14">
        <f>_xll.BDH("BLUE US Equity","TOTAL_CAPITAL_5_YEAR_GROWTH","FQ1 2024","FQ1 2024","Currency=USD","Period=FQ","BEST_FPERIOD_OVERRIDE=FQ","FILING_STATUS=MR","Sort=A","Dates=H","DateFormat=P","Fill=—","Direction=H","UseDPDF=Y")</f>
        <v>-22.5566</v>
      </c>
      <c r="Y44" s="14">
        <f>_xll.BDH("BLUE US Equity","TOTAL_CAPITAL_5_YEAR_GROWTH","FQ2 2024","FQ2 2024","Currency=USD","Period=FQ","BEST_FPERIOD_OVERRIDE=FQ","FILING_STATUS=MR","Sort=A","Dates=H","DateFormat=P","Fill=—","Direction=H","UseDPDF=Y")</f>
        <v>-24.692</v>
      </c>
      <c r="Z44" s="14">
        <f>_xll.BDH("BLUE US Equity","TOTAL_CAPITAL_5_YEAR_GROWTH","FQ3 2024","FQ3 2024","Currency=USD","Period=FQ","BEST_FPERIOD_OVERRIDE=FQ","FILING_STATUS=MR","Sort=A","Dates=H","DateFormat=P","Fill=—","Direction=H","UseDPDF=Y")</f>
        <v>-26.437899999999999</v>
      </c>
      <c r="AA44" s="14">
        <f>_xll.BDH("BLUE US Equity","TOTAL_CAPITAL_5_YEAR_GROWTH","FQ4 2024","FQ4 2024","Currency=USD","Period=FQ","BEST_FPERIOD_OVERRIDE=FQ","FILING_STATUS=MR","Sort=A","Dates=H","DateFormat=P","Fill=—","Direction=H","UseDPDF=Y")</f>
        <v>-26.190200000000001</v>
      </c>
    </row>
    <row r="45" spans="1:27" x14ac:dyDescent="0.25">
      <c r="A45" s="10" t="s">
        <v>1294</v>
      </c>
      <c r="B45" s="10" t="s">
        <v>1312</v>
      </c>
      <c r="C45" s="14">
        <f>_xll.BDH("BLUE US Equity","GEO_GROW_BOOK_VAL","FQ4 2018","FQ4 2018","Currency=USD","Period=FQ","BEST_FPERIOD_OVERRIDE=FQ","FILING_STATUS=MR","Sort=A","Dates=H","DateFormat=P","Fill=—","Direction=H","UseDPDF=Y")</f>
        <v>40.298900000000003</v>
      </c>
      <c r="D45" s="14">
        <f>_xll.BDH("BLUE US Equity","GEO_GROW_BOOK_VAL","FQ1 2019","FQ1 2019","Currency=USD","Period=FQ","BEST_FPERIOD_OVERRIDE=FQ","FILING_STATUS=MR","Sort=A","Dates=H","DateFormat=P","Fill=—","Direction=H","UseDPDF=Y")</f>
        <v>40.213700000000003</v>
      </c>
      <c r="E45" s="14">
        <f>_xll.BDH("BLUE US Equity","GEO_GROW_BOOK_VAL","FQ2 2019","FQ2 2019","Currency=USD","Period=FQ","BEST_FPERIOD_OVERRIDE=FQ","FILING_STATUS=MR","Sort=A","Dates=H","DateFormat=P","Fill=—","Direction=H","UseDPDF=Y")</f>
        <v>34.991300000000003</v>
      </c>
      <c r="F45" s="14">
        <f>_xll.BDH("BLUE US Equity","GEO_GROW_BOOK_VAL","FQ3 2019","FQ3 2019","Currency=USD","Period=FQ","BEST_FPERIOD_OVERRIDE=FQ","FILING_STATUS=MR","Sort=A","Dates=H","DateFormat=P","Fill=—","Direction=H","UseDPDF=Y")</f>
        <v>23.8643</v>
      </c>
      <c r="G45" s="14">
        <f>_xll.BDH("BLUE US Equity","GEO_GROW_BOOK_VAL","FQ4 2019","FQ4 2019","Currency=USD","Period=FQ","BEST_FPERIOD_OVERRIDE=FQ","FILING_STATUS=MR","Sort=A","Dates=H","DateFormat=P","Fill=—","Direction=H","UseDPDF=Y")</f>
        <v>8.8465000000000007</v>
      </c>
      <c r="H45" s="14">
        <f>_xll.BDH("BLUE US Equity","GEO_GROW_BOOK_VAL","FQ1 2020","FQ1 2020","Currency=USD","Period=FQ","BEST_FPERIOD_OVERRIDE=FQ","FILING_STATUS=MR","Sort=A","Dates=H","DateFormat=P","Fill=—","Direction=H","UseDPDF=Y")</f>
        <v>6.7763</v>
      </c>
      <c r="I45" s="14">
        <f>_xll.BDH("BLUE US Equity","GEO_GROW_BOOK_VAL","FQ2 2020","FQ2 2020","Currency=USD","Period=FQ","BEST_FPERIOD_OVERRIDE=FQ","FILING_STATUS=MR","Sort=A","Dates=H","DateFormat=P","Fill=—","Direction=H","UseDPDF=Y")</f>
        <v>-0.11509999999999999</v>
      </c>
      <c r="J45" s="14">
        <f>_xll.BDH("BLUE US Equity","GEO_GROW_BOOK_VAL","FQ3 2020","FQ3 2020","Currency=USD","Period=FQ","BEST_FPERIOD_OVERRIDE=FQ","FILING_STATUS=MR","Sort=A","Dates=H","DateFormat=P","Fill=—","Direction=H","UseDPDF=Y")</f>
        <v>-1.0992</v>
      </c>
      <c r="K45" s="14">
        <f>_xll.BDH("BLUE US Equity","GEO_GROW_BOOK_VAL","FQ4 2020","FQ4 2020","Currency=USD","Period=FQ","BEST_FPERIOD_OVERRIDE=FQ","FILING_STATUS=MR","Sort=A","Dates=H","DateFormat=P","Fill=—","Direction=H","UseDPDF=Y")</f>
        <v>-2.4173</v>
      </c>
      <c r="L45" s="14">
        <f>_xll.BDH("BLUE US Equity","GEO_GROW_BOOK_VAL","FQ1 2021","FQ1 2021","Currency=USD","Period=FQ","BEST_FPERIOD_OVERRIDE=FQ","FILING_STATUS=MR","Sort=A","Dates=H","DateFormat=P","Fill=—","Direction=H","UseDPDF=Y")</f>
        <v>-4.0000999999999998</v>
      </c>
      <c r="M45" s="14">
        <f>_xll.BDH("BLUE US Equity","GEO_GROW_BOOK_VAL","FQ2 2021","FQ2 2021","Currency=USD","Period=FQ","BEST_FPERIOD_OVERRIDE=FQ","FILING_STATUS=MR","Sort=A","Dates=H","DateFormat=P","Fill=—","Direction=H","UseDPDF=Y")</f>
        <v>-6.6132</v>
      </c>
      <c r="N45" s="14">
        <f>_xll.BDH("BLUE US Equity","GEO_GROW_BOOK_VAL","FQ3 2021","FQ3 2021","Currency=USD","Period=FQ","BEST_FPERIOD_OVERRIDE=FQ","FILING_STATUS=MR","Sort=A","Dates=H","DateFormat=P","Fill=—","Direction=H","UseDPDF=Y")</f>
        <v>-7.7826000000000004</v>
      </c>
      <c r="O45" s="14">
        <f>_xll.BDH("BLUE US Equity","GEO_GROW_BOOK_VAL","FQ4 2021","FQ4 2021","Currency=USD","Period=FQ","BEST_FPERIOD_OVERRIDE=FQ","FILING_STATUS=MR","Sort=A","Dates=H","DateFormat=P","Fill=—","Direction=H","UseDPDF=Y")</f>
        <v>-24.4389</v>
      </c>
      <c r="P45" s="14">
        <f>_xll.BDH("BLUE US Equity","GEO_GROW_BOOK_VAL","FQ1 2022","FQ1 2022","Currency=USD","Period=FQ","BEST_FPERIOD_OVERRIDE=FQ","FILING_STATUS=MR","Sort=A","Dates=H","DateFormat=P","Fill=—","Direction=H","UseDPDF=Y")</f>
        <v>-28.646999999999998</v>
      </c>
      <c r="Q45" s="14">
        <f>_xll.BDH("BLUE US Equity","GEO_GROW_BOOK_VAL","FQ2 2022","FQ2 2022","Currency=USD","Period=FQ","BEST_FPERIOD_OVERRIDE=FQ","FILING_STATUS=MR","Sort=A","Dates=H","DateFormat=P","Fill=—","Direction=H","UseDPDF=Y")</f>
        <v>-37.822699999999998</v>
      </c>
      <c r="R45" s="14">
        <f>_xll.BDH("BLUE US Equity","GEO_GROW_BOOK_VAL","FQ3 2022","FQ3 2022","Currency=USD","Period=FQ","BEST_FPERIOD_OVERRIDE=FQ","FILING_STATUS=MR","Sort=A","Dates=H","DateFormat=P","Fill=—","Direction=H","UseDPDF=Y")</f>
        <v>-40.134799999999998</v>
      </c>
      <c r="S45" s="14">
        <f>_xll.BDH("BLUE US Equity","GEO_GROW_BOOK_VAL","FQ4 2022","FQ4 2022","Currency=USD","Period=FQ","BEST_FPERIOD_OVERRIDE=FQ","FILING_STATUS=MR","Sort=A","Dates=H","DateFormat=P","Fill=—","Direction=H","UseDPDF=Y")</f>
        <v>-45.226500000000001</v>
      </c>
      <c r="T45" s="14">
        <f>_xll.BDH("BLUE US Equity","GEO_GROW_BOOK_VAL","FQ1 2023","FQ1 2023","Currency=USD","Period=FQ","BEST_FPERIOD_OVERRIDE=FQ","FILING_STATUS=MR","Sort=A","Dates=H","DateFormat=P","Fill=—","Direction=H","UseDPDF=Y")</f>
        <v>-36.124000000000002</v>
      </c>
      <c r="U45" s="14">
        <f>_xll.BDH("BLUE US Equity","GEO_GROW_BOOK_VAL","FQ2 2023","FQ2 2023","Currency=USD","Period=FQ","BEST_FPERIOD_OVERRIDE=FQ","FILING_STATUS=MR","Sort=A","Dates=H","DateFormat=P","Fill=—","Direction=H","UseDPDF=Y")</f>
        <v>-37.739400000000003</v>
      </c>
      <c r="V45" s="14">
        <f>_xll.BDH("BLUE US Equity","GEO_GROW_BOOK_VAL","FQ3 2023","FQ3 2023","Currency=USD","Period=FQ","BEST_FPERIOD_OVERRIDE=FQ","FILING_STATUS=MR","Sort=A","Dates=H","DateFormat=P","Fill=—","Direction=H","UseDPDF=Y")</f>
        <v>-43.648200000000003</v>
      </c>
      <c r="W45" s="14">
        <f>_xll.BDH("BLUE US Equity","GEO_GROW_BOOK_VAL","FQ4 2023","FQ4 2023","Currency=USD","Period=FQ","BEST_FPERIOD_OVERRIDE=FQ","FILING_STATUS=MR","Sort=A","Dates=H","DateFormat=P","Fill=—","Direction=H","UseDPDF=Y")</f>
        <v>-50.639000000000003</v>
      </c>
      <c r="X45" s="14">
        <f>_xll.BDH("BLUE US Equity","GEO_GROW_BOOK_VAL","FQ1 2024","FQ1 2024","Currency=USD","Period=FQ","BEST_FPERIOD_OVERRIDE=FQ","FILING_STATUS=MR","Sort=A","Dates=H","DateFormat=P","Fill=—","Direction=H","UseDPDF=Y")</f>
        <v>-53.805</v>
      </c>
      <c r="Y45" s="14">
        <f>_xll.BDH("BLUE US Equity","GEO_GROW_BOOK_VAL","FQ2 2024","FQ2 2024","Currency=USD","Period=FQ","BEST_FPERIOD_OVERRIDE=FQ","FILING_STATUS=MR","Sort=A","Dates=H","DateFormat=P","Fill=—","Direction=H","UseDPDF=Y")</f>
        <v>-60.827300000000001</v>
      </c>
      <c r="Z45" s="14" t="str">
        <f>_xll.BDH("BLUE US Equity","GEO_GROW_BOOK_VAL","FQ3 2024","FQ3 2024","Currency=USD","Period=FQ","BEST_FPERIOD_OVERRIDE=FQ","FILING_STATUS=MR","Sort=A","Dates=H","DateFormat=P","Fill=—","Direction=H","UseDPDF=Y")</f>
        <v>—</v>
      </c>
      <c r="AA45" s="14" t="str">
        <f>_xll.BDH("BLUE US Equity","GEO_GROW_BOOK_VAL","FQ4 2024","FQ4 2024","Currency=USD","Period=FQ","BEST_FPERIOD_OVERRIDE=FQ","FILING_STATUS=MR","Sort=A","Dates=H","DateFormat=P","Fill=—","Direction=H","UseDPDF=Y")</f>
        <v>—</v>
      </c>
    </row>
    <row r="46" spans="1:27" x14ac:dyDescent="0.25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0" t="s">
        <v>1223</v>
      </c>
      <c r="B47" s="10" t="s">
        <v>1313</v>
      </c>
      <c r="C47" s="14" t="str">
        <f>_xll.BDH("BLUE US Equity","NET_CHANGE_IN_CASH_5_YEAR_GROWTH","FQ4 2018","FQ4 2018","Currency=USD","Period=FQ","BEST_FPERIOD_OVERRIDE=FQ","FILING_STATUS=MR","Sort=A","Dates=H","DateFormat=P","Fill=—","Direction=H","UseDPDF=Y")</f>
        <v>—</v>
      </c>
      <c r="D47" s="14" t="str">
        <f>_xll.BDH("BLUE US Equity","NET_CHANGE_IN_CASH_5_YEAR_GROWTH","FQ1 2019","FQ1 2019","Currency=USD","Period=FQ","BEST_FPERIOD_OVERRIDE=FQ","FILING_STATUS=MR","Sort=A","Dates=H","DateFormat=P","Fill=—","Direction=H","UseDPDF=Y")</f>
        <v>—</v>
      </c>
      <c r="E47" s="14" t="str">
        <f>_xll.BDH("BLUE US Equity","NET_CHANGE_IN_CASH_5_YEAR_GROWTH","FQ2 2019","FQ2 2019","Currency=USD","Period=FQ","BEST_FPERIOD_OVERRIDE=FQ","FILING_STATUS=MR","Sort=A","Dates=H","DateFormat=P","Fill=—","Direction=H","UseDPDF=Y")</f>
        <v>—</v>
      </c>
      <c r="F47" s="14" t="str">
        <f>_xll.BDH("BLUE US Equity","NET_CHANGE_IN_CASH_5_YEAR_GROWTH","FQ3 2019","FQ3 2019","Currency=USD","Period=FQ","BEST_FPERIOD_OVERRIDE=FQ","FILING_STATUS=MR","Sort=A","Dates=H","DateFormat=P","Fill=—","Direction=H","UseDPDF=Y")</f>
        <v>—</v>
      </c>
      <c r="G47" s="14" t="str">
        <f>_xll.BDH("BLUE US Equity","NET_CHANGE_IN_CASH_5_YEAR_GROWTH","FQ4 2019","FQ4 2019","Currency=USD","Period=FQ","BEST_FPERIOD_OVERRIDE=FQ","FILING_STATUS=MR","Sort=A","Dates=H","DateFormat=P","Fill=—","Direction=H","UseDPDF=Y")</f>
        <v>—</v>
      </c>
      <c r="H47" s="14" t="str">
        <f>_xll.BDH("BLUE US Equity","NET_CHANGE_IN_CASH_5_YEAR_GROWTH","FQ1 2020","FQ1 2020","Currency=USD","Period=FQ","BEST_FPERIOD_OVERRIDE=FQ","FILING_STATUS=MR","Sort=A","Dates=H","DateFormat=P","Fill=—","Direction=H","UseDPDF=Y")</f>
        <v>—</v>
      </c>
      <c r="I47" s="14">
        <f>_xll.BDH("BLUE US Equity","NET_CHANGE_IN_CASH_5_YEAR_GROWTH","FQ2 2020","FQ2 2020","Currency=USD","Period=FQ","BEST_FPERIOD_OVERRIDE=FQ","FILING_STATUS=MR","Sort=A","Dates=H","DateFormat=P","Fill=—","Direction=H","UseDPDF=Y")</f>
        <v>13.1168</v>
      </c>
      <c r="J47" s="14" t="str">
        <f>_xll.BDH("BLUE US Equity","NET_CHANGE_IN_CASH_5_YEAR_GROWTH","FQ3 2020","FQ3 2020","Currency=USD","Period=FQ","BEST_FPERIOD_OVERRIDE=FQ","FILING_STATUS=MR","Sort=A","Dates=H","DateFormat=P","Fill=—","Direction=H","UseDPDF=Y")</f>
        <v>—</v>
      </c>
      <c r="K47" s="14" t="str">
        <f>_xll.BDH("BLUE US Equity","NET_CHANGE_IN_CASH_5_YEAR_GROWTH","FQ4 2020","FQ4 2020","Currency=USD","Period=FQ","BEST_FPERIOD_OVERRIDE=FQ","FILING_STATUS=MR","Sort=A","Dates=H","DateFormat=P","Fill=—","Direction=H","UseDPDF=Y")</f>
        <v>—</v>
      </c>
      <c r="L47" s="14" t="str">
        <f>_xll.BDH("BLUE US Equity","NET_CHANGE_IN_CASH_5_YEAR_GROWTH","FQ1 2021","FQ1 2021","Currency=USD","Period=FQ","BEST_FPERIOD_OVERRIDE=FQ","FILING_STATUS=MR","Sort=A","Dates=H","DateFormat=P","Fill=—","Direction=H","UseDPDF=Y")</f>
        <v>—</v>
      </c>
      <c r="M47" s="14" t="str">
        <f>_xll.BDH("BLUE US Equity","NET_CHANGE_IN_CASH_5_YEAR_GROWTH","FQ2 2021","FQ2 2021","Currency=USD","Period=FQ","BEST_FPERIOD_OVERRIDE=FQ","FILING_STATUS=MR","Sort=A","Dates=H","DateFormat=P","Fill=—","Direction=H","UseDPDF=Y")</f>
        <v>—</v>
      </c>
      <c r="N47" s="14" t="str">
        <f>_xll.BDH("BLUE US Equity","NET_CHANGE_IN_CASH_5_YEAR_GROWTH","FQ3 2021","FQ3 2021","Currency=USD","Period=FQ","BEST_FPERIOD_OVERRIDE=FQ","FILING_STATUS=MR","Sort=A","Dates=H","DateFormat=P","Fill=—","Direction=H","UseDPDF=Y")</f>
        <v>—</v>
      </c>
      <c r="O47" s="14" t="str">
        <f>_xll.BDH("BLUE US Equity","NET_CHANGE_IN_CASH_5_YEAR_GROWTH","FQ4 2021","FQ4 2021","Currency=USD","Period=FQ","BEST_FPERIOD_OVERRIDE=FQ","FILING_STATUS=MR","Sort=A","Dates=H","DateFormat=P","Fill=—","Direction=H","UseDPDF=Y")</f>
        <v>—</v>
      </c>
      <c r="P47" s="14" t="str">
        <f>_xll.BDH("BLUE US Equity","NET_CHANGE_IN_CASH_5_YEAR_GROWTH","FQ1 2022","FQ1 2022","Currency=USD","Period=FQ","BEST_FPERIOD_OVERRIDE=FQ","FILING_STATUS=MR","Sort=A","Dates=H","DateFormat=P","Fill=—","Direction=H","UseDPDF=Y")</f>
        <v>—</v>
      </c>
      <c r="Q47" s="14" t="str">
        <f>_xll.BDH("BLUE US Equity","NET_CHANGE_IN_CASH_5_YEAR_GROWTH","FQ2 2022","FQ2 2022","Currency=USD","Period=FQ","BEST_FPERIOD_OVERRIDE=FQ","FILING_STATUS=MR","Sort=A","Dates=H","DateFormat=P","Fill=—","Direction=H","UseDPDF=Y")</f>
        <v>—</v>
      </c>
      <c r="R47" s="14" t="str">
        <f>_xll.BDH("BLUE US Equity","NET_CHANGE_IN_CASH_5_YEAR_GROWTH","FQ3 2022","FQ3 2022","Currency=USD","Period=FQ","BEST_FPERIOD_OVERRIDE=FQ","FILING_STATUS=MR","Sort=A","Dates=H","DateFormat=P","Fill=—","Direction=H","UseDPDF=Y")</f>
        <v>—</v>
      </c>
      <c r="S47" s="14" t="str">
        <f>_xll.BDH("BLUE US Equity","NET_CHANGE_IN_CASH_5_YEAR_GROWTH","FQ4 2022","FQ4 2022","Currency=USD","Period=FQ","BEST_FPERIOD_OVERRIDE=FQ","FILING_STATUS=MR","Sort=A","Dates=H","DateFormat=P","Fill=—","Direction=H","UseDPDF=Y")</f>
        <v>—</v>
      </c>
      <c r="T47" s="14" t="str">
        <f>_xll.BDH("BLUE US Equity","NET_CHANGE_IN_CASH_5_YEAR_GROWTH","FQ1 2023","FQ1 2023","Currency=USD","Period=FQ","BEST_FPERIOD_OVERRIDE=FQ","FILING_STATUS=MR","Sort=A","Dates=H","DateFormat=P","Fill=—","Direction=H","UseDPDF=Y")</f>
        <v>—</v>
      </c>
      <c r="U47" s="14" t="str">
        <f>_xll.BDH("BLUE US Equity","NET_CHANGE_IN_CASH_5_YEAR_GROWTH","FQ2 2023","FQ2 2023","Currency=USD","Period=FQ","BEST_FPERIOD_OVERRIDE=FQ","FILING_STATUS=MR","Sort=A","Dates=H","DateFormat=P","Fill=—","Direction=H","UseDPDF=Y")</f>
        <v>—</v>
      </c>
      <c r="V47" s="14" t="str">
        <f>_xll.BDH("BLUE US Equity","NET_CHANGE_IN_CASH_5_YEAR_GROWTH","FQ3 2023","FQ3 2023","Currency=USD","Period=FQ","BEST_FPERIOD_OVERRIDE=FQ","FILING_STATUS=MR","Sort=A","Dates=H","DateFormat=P","Fill=—","Direction=H","UseDPDF=Y")</f>
        <v>—</v>
      </c>
      <c r="W47" s="14" t="str">
        <f>_xll.BDH("BLUE US Equity","NET_CHANGE_IN_CASH_5_YEAR_GROWTH","FQ4 2023","FQ4 2023","Currency=USD","Period=FQ","BEST_FPERIOD_OVERRIDE=FQ","FILING_STATUS=MR","Sort=A","Dates=H","DateFormat=P","Fill=—","Direction=H","UseDPDF=Y")</f>
        <v>—</v>
      </c>
      <c r="X47" s="14" t="str">
        <f>_xll.BDH("BLUE US Equity","NET_CHANGE_IN_CASH_5_YEAR_GROWTH","FQ1 2024","FQ1 2024","Currency=USD","Period=FQ","BEST_FPERIOD_OVERRIDE=FQ","FILING_STATUS=MR","Sort=A","Dates=H","DateFormat=P","Fill=—","Direction=H","UseDPDF=Y")</f>
        <v>—</v>
      </c>
      <c r="Y47" s="14" t="str">
        <f>_xll.BDH("BLUE US Equity","NET_CHANGE_IN_CASH_5_YEAR_GROWTH","FQ2 2024","FQ2 2024","Currency=USD","Period=FQ","BEST_FPERIOD_OVERRIDE=FQ","FILING_STATUS=MR","Sort=A","Dates=H","DateFormat=P","Fill=—","Direction=H","UseDPDF=Y")</f>
        <v>—</v>
      </c>
      <c r="Z47" s="14" t="str">
        <f>_xll.BDH("BLUE US Equity","NET_CHANGE_IN_CASH_5_YEAR_GROWTH","FQ3 2024","FQ3 2024","Currency=USD","Period=FQ","BEST_FPERIOD_OVERRIDE=FQ","FILING_STATUS=MR","Sort=A","Dates=H","DateFormat=P","Fill=—","Direction=H","UseDPDF=Y")</f>
        <v>—</v>
      </c>
      <c r="AA47" s="14" t="str">
        <f>_xll.BDH("BLUE US Equity","NET_CHANGE_IN_CASH_5_YEAR_GROWTH","FQ4 2024","FQ4 2024","Currency=USD","Period=FQ","BEST_FPERIOD_OVERRIDE=FQ","FILING_STATUS=MR","Sort=A","Dates=H","DateFormat=P","Fill=—","Direction=H","UseDPDF=Y")</f>
        <v>—</v>
      </c>
    </row>
    <row r="48" spans="1:27" x14ac:dyDescent="0.25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6" t="s">
        <v>1314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0" t="s">
        <v>0</v>
      </c>
      <c r="B50" s="10" t="s">
        <v>1315</v>
      </c>
      <c r="C50" s="14">
        <f>_xll.BDH("BLUE US Equity","REVENUE_SEQUENTIAL_GROWTH","FQ4 2018","FQ4 2018","Currency=USD","Period=FQ","BEST_FPERIOD_OVERRIDE=FQ","FILING_STATUS=MR","FA_ADJUSTED=GAAP","Sort=A","Dates=H","DateFormat=P","Fill=—","Direction=H","UseDPDF=Y")</f>
        <v>66.924000000000007</v>
      </c>
      <c r="D50" s="14">
        <f>_xll.BDH("BLUE US Equity","REVENUE_SEQUENTIAL_GROWTH","FQ1 2019","FQ1 2019","Currency=USD","Period=FQ","BEST_FPERIOD_OVERRIDE=FQ","FILING_STATUS=MR","FA_ADJUSTED=GAAP","Sort=A","Dates=H","DateFormat=P","Fill=—","Direction=H","UseDPDF=Y")</f>
        <v>-35.192</v>
      </c>
      <c r="E50" s="14">
        <f>_xll.BDH("BLUE US Equity","REVENUE_SEQUENTIAL_GROWTH","FQ2 2019","FQ2 2019","Currency=USD","Period=FQ","BEST_FPERIOD_OVERRIDE=FQ","FILING_STATUS=MR","FA_ADJUSTED=GAAP","Sort=A","Dates=H","DateFormat=P","Fill=—","Direction=H","UseDPDF=Y")</f>
        <v>6.6153000000000004</v>
      </c>
      <c r="F50" s="14">
        <f>_xll.BDH("BLUE US Equity","REVENUE_SEQUENTIAL_GROWTH","FQ3 2019","FQ3 2019","Currency=USD","Period=FQ","BEST_FPERIOD_OVERRIDE=FQ","FILING_STATUS=MR","FA_ADJUSTED=GAAP","Sort=A","Dates=H","DateFormat=P","Fill=—","Direction=H","UseDPDF=Y")</f>
        <v>-32.987400000000001</v>
      </c>
      <c r="G50" s="14">
        <f>_xll.BDH("BLUE US Equity","REVENUE_SEQUENTIAL_GROWTH","FQ4 2019","FQ4 2019","Currency=USD","Period=FQ","BEST_FPERIOD_OVERRIDE=FQ","FILING_STATUS=MR","FA_ADJUSTED=GAAP","Sort=A","Dates=H","DateFormat=P","Fill=—","Direction=H","UseDPDF=Y")</f>
        <v>12.1998</v>
      </c>
      <c r="H50" s="14">
        <f>_xll.BDH("BLUE US Equity","REVENUE_SEQUENTIAL_GROWTH","FQ1 2020","FQ1 2020","Currency=USD","Period=FQ","BEST_FPERIOD_OVERRIDE=FQ","FILING_STATUS=MR","FA_ADJUSTED=GAAP","Sort=A","Dates=H","DateFormat=P","Fill=—","Direction=H","UseDPDF=Y")</f>
        <v>118.6956</v>
      </c>
      <c r="I50" s="14">
        <f>_xll.BDH("BLUE US Equity","REVENUE_SEQUENTIAL_GROWTH","FQ2 2020","FQ2 2020","Currency=USD","Period=FQ","BEST_FPERIOD_OVERRIDE=FQ","FILING_STATUS=MR","FA_ADJUSTED=GAAP","Sort=A","Dates=H","DateFormat=P","Fill=—","Direction=H","UseDPDF=Y")</f>
        <v>809.71050000000002</v>
      </c>
      <c r="J50" s="14">
        <f>_xll.BDH("BLUE US Equity","REVENUE_SEQUENTIAL_GROWTH","FQ3 2020","FQ3 2020","Currency=USD","Period=FQ","BEST_FPERIOD_OVERRIDE=FQ","FILING_STATUS=MR","FA_ADJUSTED=GAAP","Sort=A","Dates=H","DateFormat=P","Fill=—","Direction=H","UseDPDF=Y")</f>
        <v>-90.309700000000007</v>
      </c>
      <c r="K50" s="14">
        <f>_xll.BDH("BLUE US Equity","REVENUE_SEQUENTIAL_GROWTH","FQ4 2020","FQ4 2020","Currency=USD","Period=FQ","BEST_FPERIOD_OVERRIDE=FQ","FILING_STATUS=MR","FA_ADJUSTED=GAAP","Sort=A","Dates=H","DateFormat=P","Fill=—","Direction=H","UseDPDF=Y")</f>
        <v>-100</v>
      </c>
      <c r="L50" s="14" t="str">
        <f>_xll.BDH("BLUE US Equity","REVENUE_SEQUENTIAL_GROWTH","FQ1 2021","FQ1 2021","Currency=USD","Period=FQ","BEST_FPERIOD_OVERRIDE=FQ","FILING_STATUS=MR","FA_ADJUSTED=GAAP","Sort=A","Dates=H","DateFormat=P","Fill=—","Direction=H","UseDPDF=Y")</f>
        <v>—</v>
      </c>
      <c r="M50" s="14">
        <f>_xll.BDH("BLUE US Equity","REVENUE_SEQUENTIAL_GROWTH","FQ2 2021","FQ2 2021","Currency=USD","Period=FQ","BEST_FPERIOD_OVERRIDE=FQ","FILING_STATUS=MR","FA_ADJUSTED=GAAP","Sort=A","Dates=H","DateFormat=P","Fill=—","Direction=H","UseDPDF=Y")</f>
        <v>735.79420000000005</v>
      </c>
      <c r="N50" s="14">
        <f>_xll.BDH("BLUE US Equity","REVENUE_SEQUENTIAL_GROWTH","FQ3 2021","FQ3 2021","Currency=USD","Period=FQ","BEST_FPERIOD_OVERRIDE=FQ","FILING_STATUS=MR","FA_ADJUSTED=GAAP","Sort=A","Dates=H","DateFormat=P","Fill=—","Direction=H","UseDPDF=Y")</f>
        <v>-86.362399999999994</v>
      </c>
      <c r="O50" s="14">
        <f>_xll.BDH("BLUE US Equity","REVENUE_SEQUENTIAL_GROWTH","FQ4 2021","FQ4 2021","Currency=USD","Period=FQ","BEST_FPERIOD_OVERRIDE=FQ","FILING_STATUS=MR","FA_ADJUSTED=GAAP","Sort=A","Dates=H","DateFormat=P","Fill=—","Direction=H","UseDPDF=Y")</f>
        <v>57.605499999999999</v>
      </c>
      <c r="P50" s="14">
        <f>_xll.BDH("BLUE US Equity","REVENUE_SEQUENTIAL_GROWTH","FQ1 2022","FQ1 2022","Currency=USD","Period=FQ","BEST_FPERIOD_OVERRIDE=FQ","FILING_STATUS=MR","FA_ADJUSTED=GAAP","Sort=A","Dates=H","DateFormat=P","Fill=—","Direction=H","UseDPDF=Y")</f>
        <v>21.1083</v>
      </c>
      <c r="Q50" s="14">
        <f>_xll.BDH("BLUE US Equity","REVENUE_SEQUENTIAL_GROWTH","FQ2 2022","FQ2 2022","Currency=USD","Period=FQ","BEST_FPERIOD_OVERRIDE=FQ","FILING_STATUS=MR","FA_ADJUSTED=GAAP","Sort=A","Dates=H","DateFormat=P","Fill=—","Direction=H","UseDPDF=Y")</f>
        <v>-21.9023</v>
      </c>
      <c r="R50" s="14">
        <f>_xll.BDH("BLUE US Equity","REVENUE_SEQUENTIAL_GROWTH","FQ3 2022","FQ3 2022","Currency=USD","Period=FQ","BEST_FPERIOD_OVERRIDE=FQ","FILING_STATUS=MR","FA_ADJUSTED=GAAP","Sort=A","Dates=H","DateFormat=P","Fill=—","Direction=H","UseDPDF=Y")</f>
        <v>-95.325900000000004</v>
      </c>
      <c r="S50" s="14">
        <f>_xll.BDH("BLUE US Equity","REVENUE_SEQUENTIAL_GROWTH","FQ4 2022","FQ4 2022","Currency=USD","Period=FQ","BEST_FPERIOD_OVERRIDE=FQ","FILING_STATUS=MR","FA_ADJUSTED=GAAP","Sort=A","Dates=H","DateFormat=P","Fill=—","Direction=H","UseDPDF=Y")</f>
        <v>-12.6761</v>
      </c>
      <c r="T50" s="14">
        <f>_xll.BDH("BLUE US Equity","REVENUE_SEQUENTIAL_GROWTH","FQ1 2023","FQ1 2023","Currency=USD","Period=FQ","BEST_FPERIOD_OVERRIDE=FQ","FILING_STATUS=MR","FA_ADJUSTED=GAAP","Sort=A","Dates=H","DateFormat=P","Fill=—","Direction=H","UseDPDF=Y")</f>
        <v>3740.3226</v>
      </c>
      <c r="U50" s="14">
        <f>_xll.BDH("BLUE US Equity","REVENUE_SEQUENTIAL_GROWTH","FQ2 2023","FQ2 2023","Currency=USD","Period=FQ","BEST_FPERIOD_OVERRIDE=FQ","FILING_STATUS=MR","FA_ADJUSTED=GAAP","Sort=A","Dates=H","DateFormat=P","Fill=—","Direction=H","UseDPDF=Y")</f>
        <v>189.3742</v>
      </c>
      <c r="V50" s="14">
        <f>_xll.BDH("BLUE US Equity","REVENUE_SEQUENTIAL_GROWTH","FQ3 2023","FQ3 2023","Currency=USD","Period=FQ","BEST_FPERIOD_OVERRIDE=FQ","FILING_STATUS=MR","FA_ADJUSTED=GAAP","Sort=A","Dates=H","DateFormat=P","Fill=—","Direction=H","UseDPDF=Y")</f>
        <v>79.854900000000001</v>
      </c>
      <c r="W50" s="14">
        <f>_xll.BDH("BLUE US Equity","REVENUE_SEQUENTIAL_GROWTH","FQ4 2023","FQ4 2023","Currency=USD","Period=FQ","BEST_FPERIOD_OVERRIDE=FQ","FILING_STATUS=MR","FA_ADJUSTED=GAAP","Sort=A","Dates=H","DateFormat=P","Fill=—","Direction=H","UseDPDF=Y")</f>
        <v>-36.781799999999997</v>
      </c>
      <c r="X50" s="14">
        <f>_xll.BDH("BLUE US Equity","REVENUE_SEQUENTIAL_GROWTH","FQ1 2024","FQ1 2024","Currency=USD","Period=FQ","BEST_FPERIOD_OVERRIDE=FQ","FILING_STATUS=MR","FA_ADJUSTED=GAAP","Sort=A","Dates=H","DateFormat=P","Fill=—","Direction=H","UseDPDF=Y")</f>
        <v>137.08199999999999</v>
      </c>
      <c r="Y50" s="14">
        <f>_xll.BDH("BLUE US Equity","REVENUE_SEQUENTIAL_GROWTH","FQ2 2024","FQ2 2024","Currency=USD","Period=FQ","BEST_FPERIOD_OVERRIDE=FQ","FILING_STATUS=MR","FA_ADJUSTED=GAAP","Sort=A","Dates=H","DateFormat=P","Fill=—","Direction=H","UseDPDF=Y")</f>
        <v>-13.3096</v>
      </c>
      <c r="Z50" s="14">
        <f>_xll.BDH("BLUE US Equity","REVENUE_SEQUENTIAL_GROWTH","FQ3 2024","FQ3 2024","Currency=USD","Period=FQ","BEST_FPERIOD_OVERRIDE=FQ","FILING_STATUS=MR","FA_ADJUSTED=GAAP","Sort=A","Dates=H","DateFormat=P","Fill=—","Direction=H","UseDPDF=Y")</f>
        <v>-34.091099999999997</v>
      </c>
      <c r="AA50" s="14">
        <f>_xll.BDH("BLUE US Equity","REVENUE_SEQUENTIAL_GROWTH","FQ4 2024","FQ4 2024","Currency=USD","Period=FQ","BEST_FPERIOD_OVERRIDE=FQ","FILING_STATUS=MR","FA_ADJUSTED=GAAP","Sort=A","Dates=H","DateFormat=P","Fill=—","Direction=H","UseDPDF=Y")</f>
        <v>262.99470000000002</v>
      </c>
    </row>
    <row r="51" spans="1:27" x14ac:dyDescent="0.25">
      <c r="A51" s="10" t="s">
        <v>78</v>
      </c>
      <c r="B51" s="10" t="s">
        <v>1316</v>
      </c>
      <c r="C51" s="14" t="str">
        <f>_xll.BDH("BLUE US Equity","EBITDA_SEQUENTIAL_GROWTH","FQ4 2018","FQ4 2018","Currency=USD","Period=FQ","BEST_FPERIOD_OVERRIDE=FQ","FILING_STATUS=MR","FA_ADJUSTED=GAAP","Sort=A","Dates=H","DateFormat=P","Fill=—","Direction=H","UseDPDF=Y")</f>
        <v>—</v>
      </c>
      <c r="D51" s="14" t="str">
        <f>_xll.BDH("BLUE US Equity","EBITDA_SEQUENTIAL_GROWTH","FQ1 2019","FQ1 2019","Currency=USD","Period=FQ","BEST_FPERIOD_OVERRIDE=FQ","FILING_STATUS=MR","FA_ADJUSTED=GAAP","Sort=A","Dates=H","DateFormat=P","Fill=—","Direction=H","UseDPDF=Y")</f>
        <v>—</v>
      </c>
      <c r="E51" s="14" t="str">
        <f>_xll.BDH("BLUE US Equity","EBITDA_SEQUENTIAL_GROWTH","FQ2 2019","FQ2 2019","Currency=USD","Period=FQ","BEST_FPERIOD_OVERRIDE=FQ","FILING_STATUS=MR","FA_ADJUSTED=GAAP","Sort=A","Dates=H","DateFormat=P","Fill=—","Direction=H","UseDPDF=Y")</f>
        <v>—</v>
      </c>
      <c r="F51" s="14" t="str">
        <f>_xll.BDH("BLUE US Equity","EBITDA_SEQUENTIAL_GROWTH","FQ3 2019","FQ3 2019","Currency=USD","Period=FQ","BEST_FPERIOD_OVERRIDE=FQ","FILING_STATUS=MR","FA_ADJUSTED=GAAP","Sort=A","Dates=H","DateFormat=P","Fill=—","Direction=H","UseDPDF=Y")</f>
        <v>—</v>
      </c>
      <c r="G51" s="14" t="str">
        <f>_xll.BDH("BLUE US Equity","EBITDA_SEQUENTIAL_GROWTH","FQ4 2019","FQ4 2019","Currency=USD","Period=FQ","BEST_FPERIOD_OVERRIDE=FQ","FILING_STATUS=MR","FA_ADJUSTED=GAAP","Sort=A","Dates=H","DateFormat=P","Fill=—","Direction=H","UseDPDF=Y")</f>
        <v>—</v>
      </c>
      <c r="H51" s="14" t="str">
        <f>_xll.BDH("BLUE US Equity","EBITDA_SEQUENTIAL_GROWTH","FQ1 2020","FQ1 2020","Currency=USD","Period=FQ","BEST_FPERIOD_OVERRIDE=FQ","FILING_STATUS=MR","FA_ADJUSTED=GAAP","Sort=A","Dates=H","DateFormat=P","Fill=—","Direction=H","UseDPDF=Y")</f>
        <v>—</v>
      </c>
      <c r="I51" s="14" t="str">
        <f>_xll.BDH("BLUE US Equity","EBITDA_SEQUENTIAL_GROWTH","FQ2 2020","FQ2 2020","Currency=USD","Period=FQ","BEST_FPERIOD_OVERRIDE=FQ","FILING_STATUS=MR","FA_ADJUSTED=GAAP","Sort=A","Dates=H","DateFormat=P","Fill=—","Direction=H","UseDPDF=Y")</f>
        <v>—</v>
      </c>
      <c r="J51" s="14" t="str">
        <f>_xll.BDH("BLUE US Equity","EBITDA_SEQUENTIAL_GROWTH","FQ3 2020","FQ3 2020","Currency=USD","Period=FQ","BEST_FPERIOD_OVERRIDE=FQ","FILING_STATUS=MR","FA_ADJUSTED=GAAP","Sort=A","Dates=H","DateFormat=P","Fill=—","Direction=H","UseDPDF=Y")</f>
        <v>—</v>
      </c>
      <c r="K51" s="14" t="str">
        <f>_xll.BDH("BLUE US Equity","EBITDA_SEQUENTIAL_GROWTH","FQ4 2020","FQ4 2020","Currency=USD","Period=FQ","BEST_FPERIOD_OVERRIDE=FQ","FILING_STATUS=MR","FA_ADJUSTED=GAAP","Sort=A","Dates=H","DateFormat=P","Fill=—","Direction=H","UseDPDF=Y")</f>
        <v>—</v>
      </c>
      <c r="L51" s="14" t="str">
        <f>_xll.BDH("BLUE US Equity","EBITDA_SEQUENTIAL_GROWTH","FQ1 2021","FQ1 2021","Currency=USD","Period=FQ","BEST_FPERIOD_OVERRIDE=FQ","FILING_STATUS=MR","FA_ADJUSTED=GAAP","Sort=A","Dates=H","DateFormat=P","Fill=—","Direction=H","UseDPDF=Y")</f>
        <v>—</v>
      </c>
      <c r="M51" s="14" t="str">
        <f>_xll.BDH("BLUE US Equity","EBITDA_SEQUENTIAL_GROWTH","FQ2 2021","FQ2 2021","Currency=USD","Period=FQ","BEST_FPERIOD_OVERRIDE=FQ","FILING_STATUS=MR","FA_ADJUSTED=GAAP","Sort=A","Dates=H","DateFormat=P","Fill=—","Direction=H","UseDPDF=Y")</f>
        <v>—</v>
      </c>
      <c r="N51" s="14" t="str">
        <f>_xll.BDH("BLUE US Equity","EBITDA_SEQUENTIAL_GROWTH","FQ3 2021","FQ3 2021","Currency=USD","Period=FQ","BEST_FPERIOD_OVERRIDE=FQ","FILING_STATUS=MR","FA_ADJUSTED=GAAP","Sort=A","Dates=H","DateFormat=P","Fill=—","Direction=H","UseDPDF=Y")</f>
        <v>—</v>
      </c>
      <c r="O51" s="14" t="str">
        <f>_xll.BDH("BLUE US Equity","EBITDA_SEQUENTIAL_GROWTH","FQ4 2021","FQ4 2021","Currency=USD","Period=FQ","BEST_FPERIOD_OVERRIDE=FQ","FILING_STATUS=MR","FA_ADJUSTED=GAAP","Sort=A","Dates=H","DateFormat=P","Fill=—","Direction=H","UseDPDF=Y")</f>
        <v>—</v>
      </c>
      <c r="P51" s="14" t="str">
        <f>_xll.BDH("BLUE US Equity","EBITDA_SEQUENTIAL_GROWTH","FQ1 2022","FQ1 2022","Currency=USD","Period=FQ","BEST_FPERIOD_OVERRIDE=FQ","FILING_STATUS=MR","FA_ADJUSTED=GAAP","Sort=A","Dates=H","DateFormat=P","Fill=—","Direction=H","UseDPDF=Y")</f>
        <v>—</v>
      </c>
      <c r="Q51" s="14" t="str">
        <f>_xll.BDH("BLUE US Equity","EBITDA_SEQUENTIAL_GROWTH","FQ2 2022","FQ2 2022","Currency=USD","Period=FQ","BEST_FPERIOD_OVERRIDE=FQ","FILING_STATUS=MR","FA_ADJUSTED=GAAP","Sort=A","Dates=H","DateFormat=P","Fill=—","Direction=H","UseDPDF=Y")</f>
        <v>—</v>
      </c>
      <c r="R51" s="14" t="str">
        <f>_xll.BDH("BLUE US Equity","EBITDA_SEQUENTIAL_GROWTH","FQ3 2022","FQ3 2022","Currency=USD","Period=FQ","BEST_FPERIOD_OVERRIDE=FQ","FILING_STATUS=MR","FA_ADJUSTED=GAAP","Sort=A","Dates=H","DateFormat=P","Fill=—","Direction=H","UseDPDF=Y")</f>
        <v>—</v>
      </c>
      <c r="S51" s="14" t="str">
        <f>_xll.BDH("BLUE US Equity","EBITDA_SEQUENTIAL_GROWTH","FQ4 2022","FQ4 2022","Currency=USD","Period=FQ","BEST_FPERIOD_OVERRIDE=FQ","FILING_STATUS=MR","FA_ADJUSTED=GAAP","Sort=A","Dates=H","DateFormat=P","Fill=—","Direction=H","UseDPDF=Y")</f>
        <v>—</v>
      </c>
      <c r="T51" s="14">
        <f>_xll.BDH("BLUE US Equity","EBITDA_SEQUENTIAL_GROWTH","FQ1 2023","FQ1 2023","Currency=USD","Period=FQ","BEST_FPERIOD_OVERRIDE=FQ","FILING_STATUS=MR","FA_ADJUSTED=GAAP","Sort=A","Dates=H","DateFormat=P","Fill=—","Direction=H","UseDPDF=Y")</f>
        <v>-72.693899999999999</v>
      </c>
      <c r="U51" s="14">
        <f>_xll.BDH("BLUE US Equity","EBITDA_SEQUENTIAL_GROWTH","FQ2 2023","FQ2 2023","Currency=USD","Period=FQ","BEST_FPERIOD_OVERRIDE=FQ","FILING_STATUS=MR","FA_ADJUSTED=GAAP","Sort=A","Dates=H","DateFormat=P","Fill=—","Direction=H","UseDPDF=Y")</f>
        <v>-453.09370000000001</v>
      </c>
      <c r="V51" s="14" t="str">
        <f>_xll.BDH("BLUE US Equity","EBITDA_SEQUENTIAL_GROWTH","FQ3 2023","FQ3 2023","Currency=USD","Period=FQ","BEST_FPERIOD_OVERRIDE=FQ","FILING_STATUS=MR","FA_ADJUSTED=GAAP","Sort=A","Dates=H","DateFormat=P","Fill=—","Direction=H","UseDPDF=Y")</f>
        <v>—</v>
      </c>
      <c r="W51" s="14" t="str">
        <f>_xll.BDH("BLUE US Equity","EBITDA_SEQUENTIAL_GROWTH","FQ4 2023","FQ4 2023","Currency=USD","Period=FQ","BEST_FPERIOD_OVERRIDE=FQ","FILING_STATUS=MR","FA_ADJUSTED=GAAP","Sort=A","Dates=H","DateFormat=P","Fill=—","Direction=H","UseDPDF=Y")</f>
        <v>—</v>
      </c>
      <c r="X51" s="14" t="str">
        <f>_xll.BDH("BLUE US Equity","EBITDA_SEQUENTIAL_GROWTH","FQ1 2024","FQ1 2024","Currency=USD","Period=FQ","BEST_FPERIOD_OVERRIDE=FQ","FILING_STATUS=MR","FA_ADJUSTED=GAAP","Sort=A","Dates=H","DateFormat=P","Fill=—","Direction=H","UseDPDF=Y")</f>
        <v>—</v>
      </c>
      <c r="Y51" s="14" t="str">
        <f>_xll.BDH("BLUE US Equity","EBITDA_SEQUENTIAL_GROWTH","FQ2 2024","FQ2 2024","Currency=USD","Period=FQ","BEST_FPERIOD_OVERRIDE=FQ","FILING_STATUS=MR","FA_ADJUSTED=GAAP","Sort=A","Dates=H","DateFormat=P","Fill=—","Direction=H","UseDPDF=Y")</f>
        <v>—</v>
      </c>
      <c r="Z51" s="14" t="str">
        <f>_xll.BDH("BLUE US Equity","EBITDA_SEQUENTIAL_GROWTH","FQ3 2024","FQ3 2024","Currency=USD","Period=FQ","BEST_FPERIOD_OVERRIDE=FQ","FILING_STATUS=MR","FA_ADJUSTED=GAAP","Sort=A","Dates=H","DateFormat=P","Fill=—","Direction=H","UseDPDF=Y")</f>
        <v>—</v>
      </c>
      <c r="AA51" s="14" t="str">
        <f>_xll.BDH("BLUE US Equity","EBITDA_SEQUENTIAL_GROWTH","FQ4 2024","FQ4 2024","Currency=USD","Period=FQ","BEST_FPERIOD_OVERRIDE=FQ","FILING_STATUS=MR","FA_ADJUSTED=GAAP","Sort=A","Dates=H","DateFormat=P","Fill=—","Direction=H","UseDPDF=Y")</f>
        <v>—</v>
      </c>
    </row>
    <row r="52" spans="1:27" x14ac:dyDescent="0.25">
      <c r="A52" s="10" t="s">
        <v>98</v>
      </c>
      <c r="B52" s="10" t="s">
        <v>1317</v>
      </c>
      <c r="C52" s="14" t="str">
        <f>_xll.BDH("BLUE US Equity","OPERATING_INCOME_SEQ_GROWTH","FQ4 2018","FQ4 2018","Currency=USD","Period=FQ","BEST_FPERIOD_OVERRIDE=FQ","FILING_STATUS=MR","FA_ADJUSTED=GAAP","Sort=A","Dates=H","DateFormat=P","Fill=—","Direction=H","UseDPDF=Y")</f>
        <v>—</v>
      </c>
      <c r="D52" s="14" t="str">
        <f>_xll.BDH("BLUE US Equity","OPERATING_INCOME_SEQ_GROWTH","FQ1 2019","FQ1 2019","Currency=USD","Period=FQ","BEST_FPERIOD_OVERRIDE=FQ","FILING_STATUS=MR","FA_ADJUSTED=GAAP","Sort=A","Dates=H","DateFormat=P","Fill=—","Direction=H","UseDPDF=Y")</f>
        <v>—</v>
      </c>
      <c r="E52" s="14" t="str">
        <f>_xll.BDH("BLUE US Equity","OPERATING_INCOME_SEQ_GROWTH","FQ2 2019","FQ2 2019","Currency=USD","Period=FQ","BEST_FPERIOD_OVERRIDE=FQ","FILING_STATUS=MR","FA_ADJUSTED=GAAP","Sort=A","Dates=H","DateFormat=P","Fill=—","Direction=H","UseDPDF=Y")</f>
        <v>—</v>
      </c>
      <c r="F52" s="14" t="str">
        <f>_xll.BDH("BLUE US Equity","OPERATING_INCOME_SEQ_GROWTH","FQ3 2019","FQ3 2019","Currency=USD","Period=FQ","BEST_FPERIOD_OVERRIDE=FQ","FILING_STATUS=MR","FA_ADJUSTED=GAAP","Sort=A","Dates=H","DateFormat=P","Fill=—","Direction=H","UseDPDF=Y")</f>
        <v>—</v>
      </c>
      <c r="G52" s="14" t="str">
        <f>_xll.BDH("BLUE US Equity","OPERATING_INCOME_SEQ_GROWTH","FQ4 2019","FQ4 2019","Currency=USD","Period=FQ","BEST_FPERIOD_OVERRIDE=FQ","FILING_STATUS=MR","FA_ADJUSTED=GAAP","Sort=A","Dates=H","DateFormat=P","Fill=—","Direction=H","UseDPDF=Y")</f>
        <v>—</v>
      </c>
      <c r="H52" s="14" t="str">
        <f>_xll.BDH("BLUE US Equity","OPERATING_INCOME_SEQ_GROWTH","FQ1 2020","FQ1 2020","Currency=USD","Period=FQ","BEST_FPERIOD_OVERRIDE=FQ","FILING_STATUS=MR","FA_ADJUSTED=GAAP","Sort=A","Dates=H","DateFormat=P","Fill=—","Direction=H","UseDPDF=Y")</f>
        <v>—</v>
      </c>
      <c r="I52" s="14" t="str">
        <f>_xll.BDH("BLUE US Equity","OPERATING_INCOME_SEQ_GROWTH","FQ2 2020","FQ2 2020","Currency=USD","Period=FQ","BEST_FPERIOD_OVERRIDE=FQ","FILING_STATUS=MR","FA_ADJUSTED=GAAP","Sort=A","Dates=H","DateFormat=P","Fill=—","Direction=H","UseDPDF=Y")</f>
        <v>—</v>
      </c>
      <c r="J52" s="14" t="str">
        <f>_xll.BDH("BLUE US Equity","OPERATING_INCOME_SEQ_GROWTH","FQ3 2020","FQ3 2020","Currency=USD","Period=FQ","BEST_FPERIOD_OVERRIDE=FQ","FILING_STATUS=MR","FA_ADJUSTED=GAAP","Sort=A","Dates=H","DateFormat=P","Fill=—","Direction=H","UseDPDF=Y")</f>
        <v>—</v>
      </c>
      <c r="K52" s="14" t="str">
        <f>_xll.BDH("BLUE US Equity","OPERATING_INCOME_SEQ_GROWTH","FQ4 2020","FQ4 2020","Currency=USD","Period=FQ","BEST_FPERIOD_OVERRIDE=FQ","FILING_STATUS=MR","FA_ADJUSTED=GAAP","Sort=A","Dates=H","DateFormat=P","Fill=—","Direction=H","UseDPDF=Y")</f>
        <v>—</v>
      </c>
      <c r="L52" s="14" t="str">
        <f>_xll.BDH("BLUE US Equity","OPERATING_INCOME_SEQ_GROWTH","FQ1 2021","FQ1 2021","Currency=USD","Period=FQ","BEST_FPERIOD_OVERRIDE=FQ","FILING_STATUS=MR","FA_ADJUSTED=GAAP","Sort=A","Dates=H","DateFormat=P","Fill=—","Direction=H","UseDPDF=Y")</f>
        <v>—</v>
      </c>
      <c r="M52" s="14" t="str">
        <f>_xll.BDH("BLUE US Equity","OPERATING_INCOME_SEQ_GROWTH","FQ2 2021","FQ2 2021","Currency=USD","Period=FQ","BEST_FPERIOD_OVERRIDE=FQ","FILING_STATUS=MR","FA_ADJUSTED=GAAP","Sort=A","Dates=H","DateFormat=P","Fill=—","Direction=H","UseDPDF=Y")</f>
        <v>—</v>
      </c>
      <c r="N52" s="14" t="str">
        <f>_xll.BDH("BLUE US Equity","OPERATING_INCOME_SEQ_GROWTH","FQ3 2021","FQ3 2021","Currency=USD","Period=FQ","BEST_FPERIOD_OVERRIDE=FQ","FILING_STATUS=MR","FA_ADJUSTED=GAAP","Sort=A","Dates=H","DateFormat=P","Fill=—","Direction=H","UseDPDF=Y")</f>
        <v>—</v>
      </c>
      <c r="O52" s="14" t="str">
        <f>_xll.BDH("BLUE US Equity","OPERATING_INCOME_SEQ_GROWTH","FQ4 2021","FQ4 2021","Currency=USD","Period=FQ","BEST_FPERIOD_OVERRIDE=FQ","FILING_STATUS=MR","FA_ADJUSTED=GAAP","Sort=A","Dates=H","DateFormat=P","Fill=—","Direction=H","UseDPDF=Y")</f>
        <v>—</v>
      </c>
      <c r="P52" s="14" t="str">
        <f>_xll.BDH("BLUE US Equity","OPERATING_INCOME_SEQ_GROWTH","FQ1 2022","FQ1 2022","Currency=USD","Period=FQ","BEST_FPERIOD_OVERRIDE=FQ","FILING_STATUS=MR","FA_ADJUSTED=GAAP","Sort=A","Dates=H","DateFormat=P","Fill=—","Direction=H","UseDPDF=Y")</f>
        <v>—</v>
      </c>
      <c r="Q52" s="14" t="str">
        <f>_xll.BDH("BLUE US Equity","OPERATING_INCOME_SEQ_GROWTH","FQ2 2022","FQ2 2022","Currency=USD","Period=FQ","BEST_FPERIOD_OVERRIDE=FQ","FILING_STATUS=MR","FA_ADJUSTED=GAAP","Sort=A","Dates=H","DateFormat=P","Fill=—","Direction=H","UseDPDF=Y")</f>
        <v>—</v>
      </c>
      <c r="R52" s="14" t="str">
        <f>_xll.BDH("BLUE US Equity","OPERATING_INCOME_SEQ_GROWTH","FQ3 2022","FQ3 2022","Currency=USD","Period=FQ","BEST_FPERIOD_OVERRIDE=FQ","FILING_STATUS=MR","FA_ADJUSTED=GAAP","Sort=A","Dates=H","DateFormat=P","Fill=—","Direction=H","UseDPDF=Y")</f>
        <v>—</v>
      </c>
      <c r="S52" s="14" t="str">
        <f>_xll.BDH("BLUE US Equity","OPERATING_INCOME_SEQ_GROWTH","FQ4 2022","FQ4 2022","Currency=USD","Period=FQ","BEST_FPERIOD_OVERRIDE=FQ","FILING_STATUS=MR","FA_ADJUSTED=GAAP","Sort=A","Dates=H","DateFormat=P","Fill=—","Direction=H","UseDPDF=Y")</f>
        <v>—</v>
      </c>
      <c r="T52" s="14">
        <f>_xll.BDH("BLUE US Equity","OPERATING_INCOME_SEQ_GROWTH","FQ1 2023","FQ1 2023","Currency=USD","Period=FQ","BEST_FPERIOD_OVERRIDE=FQ","FILING_STATUS=MR","FA_ADJUSTED=GAAP","Sort=A","Dates=H","DateFormat=P","Fill=—","Direction=H","UseDPDF=Y")</f>
        <v>-82.764399999999995</v>
      </c>
      <c r="U52" s="14">
        <f>_xll.BDH("BLUE US Equity","OPERATING_INCOME_SEQ_GROWTH","FQ2 2023","FQ2 2023","Currency=USD","Period=FQ","BEST_FPERIOD_OVERRIDE=FQ","FILING_STATUS=MR","FA_ADJUSTED=GAAP","Sort=A","Dates=H","DateFormat=P","Fill=—","Direction=H","UseDPDF=Y")</f>
        <v>-767.44529999999997</v>
      </c>
      <c r="V52" s="14" t="str">
        <f>_xll.BDH("BLUE US Equity","OPERATING_INCOME_SEQ_GROWTH","FQ3 2023","FQ3 2023","Currency=USD","Period=FQ","BEST_FPERIOD_OVERRIDE=FQ","FILING_STATUS=MR","FA_ADJUSTED=GAAP","Sort=A","Dates=H","DateFormat=P","Fill=—","Direction=H","UseDPDF=Y")</f>
        <v>—</v>
      </c>
      <c r="W52" s="14" t="str">
        <f>_xll.BDH("BLUE US Equity","OPERATING_INCOME_SEQ_GROWTH","FQ4 2023","FQ4 2023","Currency=USD","Period=FQ","BEST_FPERIOD_OVERRIDE=FQ","FILING_STATUS=MR","FA_ADJUSTED=GAAP","Sort=A","Dates=H","DateFormat=P","Fill=—","Direction=H","UseDPDF=Y")</f>
        <v>—</v>
      </c>
      <c r="X52" s="14" t="str">
        <f>_xll.BDH("BLUE US Equity","OPERATING_INCOME_SEQ_GROWTH","FQ1 2024","FQ1 2024","Currency=USD","Period=FQ","BEST_FPERIOD_OVERRIDE=FQ","FILING_STATUS=MR","FA_ADJUSTED=GAAP","Sort=A","Dates=H","DateFormat=P","Fill=—","Direction=H","UseDPDF=Y")</f>
        <v>—</v>
      </c>
      <c r="Y52" s="14" t="str">
        <f>_xll.BDH("BLUE US Equity","OPERATING_INCOME_SEQ_GROWTH","FQ2 2024","FQ2 2024","Currency=USD","Period=FQ","BEST_FPERIOD_OVERRIDE=FQ","FILING_STATUS=MR","FA_ADJUSTED=GAAP","Sort=A","Dates=H","DateFormat=P","Fill=—","Direction=H","UseDPDF=Y")</f>
        <v>—</v>
      </c>
      <c r="Z52" s="14" t="str">
        <f>_xll.BDH("BLUE US Equity","OPERATING_INCOME_SEQ_GROWTH","FQ3 2024","FQ3 2024","Currency=USD","Period=FQ","BEST_FPERIOD_OVERRIDE=FQ","FILING_STATUS=MR","FA_ADJUSTED=GAAP","Sort=A","Dates=H","DateFormat=P","Fill=—","Direction=H","UseDPDF=Y")</f>
        <v>—</v>
      </c>
      <c r="AA52" s="14" t="str">
        <f>_xll.BDH("BLUE US Equity","OPERATING_INCOME_SEQ_GROWTH","FQ4 2024","FQ4 2024","Currency=USD","Period=FQ","BEST_FPERIOD_OVERRIDE=FQ","FILING_STATUS=MR","FA_ADJUSTED=GAAP","Sort=A","Dates=H","DateFormat=P","Fill=—","Direction=H","UseDPDF=Y")</f>
        <v>—</v>
      </c>
    </row>
    <row r="53" spans="1:27" x14ac:dyDescent="0.25">
      <c r="A53" s="10" t="s">
        <v>100</v>
      </c>
      <c r="B53" s="10" t="s">
        <v>1318</v>
      </c>
      <c r="C53" s="14" t="str">
        <f>_xll.BDH("BLUE US Equity","NET_INCOME_TO_COMMON_SEQ_GROWTH","FQ4 2018","FQ4 2018","Currency=USD","Period=FQ","BEST_FPERIOD_OVERRIDE=FQ","FILING_STATUS=MR","FA_ADJUSTED=GAAP","Sort=A","Dates=H","DateFormat=P","Fill=—","Direction=H","UseDPDF=Y")</f>
        <v>—</v>
      </c>
      <c r="D53" s="14" t="str">
        <f>_xll.BDH("BLUE US Equity","NET_INCOME_TO_COMMON_SEQ_GROWTH","FQ1 2019","FQ1 2019","Currency=USD","Period=FQ","BEST_FPERIOD_OVERRIDE=FQ","FILING_STATUS=MR","FA_ADJUSTED=GAAP","Sort=A","Dates=H","DateFormat=P","Fill=—","Direction=H","UseDPDF=Y")</f>
        <v>—</v>
      </c>
      <c r="E53" s="14" t="str">
        <f>_xll.BDH("BLUE US Equity","NET_INCOME_TO_COMMON_SEQ_GROWTH","FQ2 2019","FQ2 2019","Currency=USD","Period=FQ","BEST_FPERIOD_OVERRIDE=FQ","FILING_STATUS=MR","FA_ADJUSTED=GAAP","Sort=A","Dates=H","DateFormat=P","Fill=—","Direction=H","UseDPDF=Y")</f>
        <v>—</v>
      </c>
      <c r="F53" s="14" t="str">
        <f>_xll.BDH("BLUE US Equity","NET_INCOME_TO_COMMON_SEQ_GROWTH","FQ3 2019","FQ3 2019","Currency=USD","Period=FQ","BEST_FPERIOD_OVERRIDE=FQ","FILING_STATUS=MR","FA_ADJUSTED=GAAP","Sort=A","Dates=H","DateFormat=P","Fill=—","Direction=H","UseDPDF=Y")</f>
        <v>—</v>
      </c>
      <c r="G53" s="14" t="str">
        <f>_xll.BDH("BLUE US Equity","NET_INCOME_TO_COMMON_SEQ_GROWTH","FQ4 2019","FQ4 2019","Currency=USD","Period=FQ","BEST_FPERIOD_OVERRIDE=FQ","FILING_STATUS=MR","FA_ADJUSTED=GAAP","Sort=A","Dates=H","DateFormat=P","Fill=—","Direction=H","UseDPDF=Y")</f>
        <v>—</v>
      </c>
      <c r="H53" s="14" t="str">
        <f>_xll.BDH("BLUE US Equity","NET_INCOME_TO_COMMON_SEQ_GROWTH","FQ1 2020","FQ1 2020","Currency=USD","Period=FQ","BEST_FPERIOD_OVERRIDE=FQ","FILING_STATUS=MR","FA_ADJUSTED=GAAP","Sort=A","Dates=H","DateFormat=P","Fill=—","Direction=H","UseDPDF=Y")</f>
        <v>—</v>
      </c>
      <c r="I53" s="14" t="str">
        <f>_xll.BDH("BLUE US Equity","NET_INCOME_TO_COMMON_SEQ_GROWTH","FQ2 2020","FQ2 2020","Currency=USD","Period=FQ","BEST_FPERIOD_OVERRIDE=FQ","FILING_STATUS=MR","FA_ADJUSTED=GAAP","Sort=A","Dates=H","DateFormat=P","Fill=—","Direction=H","UseDPDF=Y")</f>
        <v>—</v>
      </c>
      <c r="J53" s="14" t="str">
        <f>_xll.BDH("BLUE US Equity","NET_INCOME_TO_COMMON_SEQ_GROWTH","FQ3 2020","FQ3 2020","Currency=USD","Period=FQ","BEST_FPERIOD_OVERRIDE=FQ","FILING_STATUS=MR","FA_ADJUSTED=GAAP","Sort=A","Dates=H","DateFormat=P","Fill=—","Direction=H","UseDPDF=Y")</f>
        <v>—</v>
      </c>
      <c r="K53" s="14" t="str">
        <f>_xll.BDH("BLUE US Equity","NET_INCOME_TO_COMMON_SEQ_GROWTH","FQ4 2020","FQ4 2020","Currency=USD","Period=FQ","BEST_FPERIOD_OVERRIDE=FQ","FILING_STATUS=MR","FA_ADJUSTED=GAAP","Sort=A","Dates=H","DateFormat=P","Fill=—","Direction=H","UseDPDF=Y")</f>
        <v>—</v>
      </c>
      <c r="L53" s="14" t="str">
        <f>_xll.BDH("BLUE US Equity","NET_INCOME_TO_COMMON_SEQ_GROWTH","FQ1 2021","FQ1 2021","Currency=USD","Period=FQ","BEST_FPERIOD_OVERRIDE=FQ","FILING_STATUS=MR","FA_ADJUSTED=GAAP","Sort=A","Dates=H","DateFormat=P","Fill=—","Direction=H","UseDPDF=Y")</f>
        <v>—</v>
      </c>
      <c r="M53" s="14" t="str">
        <f>_xll.BDH("BLUE US Equity","NET_INCOME_TO_COMMON_SEQ_GROWTH","FQ2 2021","FQ2 2021","Currency=USD","Period=FQ","BEST_FPERIOD_OVERRIDE=FQ","FILING_STATUS=MR","FA_ADJUSTED=GAAP","Sort=A","Dates=H","DateFormat=P","Fill=—","Direction=H","UseDPDF=Y")</f>
        <v>—</v>
      </c>
      <c r="N53" s="14" t="str">
        <f>_xll.BDH("BLUE US Equity","NET_INCOME_TO_COMMON_SEQ_GROWTH","FQ3 2021","FQ3 2021","Currency=USD","Period=FQ","BEST_FPERIOD_OVERRIDE=FQ","FILING_STATUS=MR","FA_ADJUSTED=GAAP","Sort=A","Dates=H","DateFormat=P","Fill=—","Direction=H","UseDPDF=Y")</f>
        <v>—</v>
      </c>
      <c r="O53" s="14" t="str">
        <f>_xll.BDH("BLUE US Equity","NET_INCOME_TO_COMMON_SEQ_GROWTH","FQ4 2021","FQ4 2021","Currency=USD","Period=FQ","BEST_FPERIOD_OVERRIDE=FQ","FILING_STATUS=MR","FA_ADJUSTED=GAAP","Sort=A","Dates=H","DateFormat=P","Fill=—","Direction=H","UseDPDF=Y")</f>
        <v>—</v>
      </c>
      <c r="P53" s="14" t="str">
        <f>_xll.BDH("BLUE US Equity","NET_INCOME_TO_COMMON_SEQ_GROWTH","FQ1 2022","FQ1 2022","Currency=USD","Period=FQ","BEST_FPERIOD_OVERRIDE=FQ","FILING_STATUS=MR","FA_ADJUSTED=GAAP","Sort=A","Dates=H","DateFormat=P","Fill=—","Direction=H","UseDPDF=Y")</f>
        <v>—</v>
      </c>
      <c r="Q53" s="14" t="str">
        <f>_xll.BDH("BLUE US Equity","NET_INCOME_TO_COMMON_SEQ_GROWTH","FQ2 2022","FQ2 2022","Currency=USD","Period=FQ","BEST_FPERIOD_OVERRIDE=FQ","FILING_STATUS=MR","FA_ADJUSTED=GAAP","Sort=A","Dates=H","DateFormat=P","Fill=—","Direction=H","UseDPDF=Y")</f>
        <v>—</v>
      </c>
      <c r="R53" s="14" t="str">
        <f>_xll.BDH("BLUE US Equity","NET_INCOME_TO_COMMON_SEQ_GROWTH","FQ3 2022","FQ3 2022","Currency=USD","Period=FQ","BEST_FPERIOD_OVERRIDE=FQ","FILING_STATUS=MR","FA_ADJUSTED=GAAP","Sort=A","Dates=H","DateFormat=P","Fill=—","Direction=H","UseDPDF=Y")</f>
        <v>—</v>
      </c>
      <c r="S53" s="14" t="str">
        <f>_xll.BDH("BLUE US Equity","NET_INCOME_TO_COMMON_SEQ_GROWTH","FQ4 2022","FQ4 2022","Currency=USD","Period=FQ","BEST_FPERIOD_OVERRIDE=FQ","FILING_STATUS=MR","FA_ADJUSTED=GAAP","Sort=A","Dates=H","DateFormat=P","Fill=—","Direction=H","UseDPDF=Y")</f>
        <v>—</v>
      </c>
      <c r="T53" s="14">
        <f>_xll.BDH("BLUE US Equity","NET_INCOME_TO_COMMON_SEQ_GROWTH","FQ1 2023","FQ1 2023","Currency=USD","Period=FQ","BEST_FPERIOD_OVERRIDE=FQ","FILING_STATUS=MR","FA_ADJUSTED=GAAP","Sort=A","Dates=H","DateFormat=P","Fill=—","Direction=H","UseDPDF=Y")</f>
        <v>-72.352000000000004</v>
      </c>
      <c r="U53" s="14">
        <f>_xll.BDH("BLUE US Equity","NET_INCOME_TO_COMMON_SEQ_GROWTH","FQ2 2023","FQ2 2023","Currency=USD","Period=FQ","BEST_FPERIOD_OVERRIDE=FQ","FILING_STATUS=MR","FA_ADJUSTED=GAAP","Sort=A","Dates=H","DateFormat=P","Fill=—","Direction=H","UseDPDF=Y")</f>
        <v>-431.69040000000001</v>
      </c>
      <c r="V53" s="14" t="str">
        <f>_xll.BDH("BLUE US Equity","NET_INCOME_TO_COMMON_SEQ_GROWTH","FQ3 2023","FQ3 2023","Currency=USD","Period=FQ","BEST_FPERIOD_OVERRIDE=FQ","FILING_STATUS=MR","FA_ADJUSTED=GAAP","Sort=A","Dates=H","DateFormat=P","Fill=—","Direction=H","UseDPDF=Y")</f>
        <v>—</v>
      </c>
      <c r="W53" s="14" t="str">
        <f>_xll.BDH("BLUE US Equity","NET_INCOME_TO_COMMON_SEQ_GROWTH","FQ4 2023","FQ4 2023","Currency=USD","Period=FQ","BEST_FPERIOD_OVERRIDE=FQ","FILING_STATUS=MR","FA_ADJUSTED=GAAP","Sort=A","Dates=H","DateFormat=P","Fill=—","Direction=H","UseDPDF=Y")</f>
        <v>—</v>
      </c>
      <c r="X53" s="14" t="str">
        <f>_xll.BDH("BLUE US Equity","NET_INCOME_TO_COMMON_SEQ_GROWTH","FQ1 2024","FQ1 2024","Currency=USD","Period=FQ","BEST_FPERIOD_OVERRIDE=FQ","FILING_STATUS=MR","FA_ADJUSTED=GAAP","Sort=A","Dates=H","DateFormat=P","Fill=—","Direction=H","UseDPDF=Y")</f>
        <v>—</v>
      </c>
      <c r="Y53" s="14" t="str">
        <f>_xll.BDH("BLUE US Equity","NET_INCOME_TO_COMMON_SEQ_GROWTH","FQ2 2024","FQ2 2024","Currency=USD","Period=FQ","BEST_FPERIOD_OVERRIDE=FQ","FILING_STATUS=MR","FA_ADJUSTED=GAAP","Sort=A","Dates=H","DateFormat=P","Fill=—","Direction=H","UseDPDF=Y")</f>
        <v>—</v>
      </c>
      <c r="Z53" s="14" t="str">
        <f>_xll.BDH("BLUE US Equity","NET_INCOME_TO_COMMON_SEQ_GROWTH","FQ3 2024","FQ3 2024","Currency=USD","Period=FQ","BEST_FPERIOD_OVERRIDE=FQ","FILING_STATUS=MR","FA_ADJUSTED=GAAP","Sort=A","Dates=H","DateFormat=P","Fill=—","Direction=H","UseDPDF=Y")</f>
        <v>—</v>
      </c>
      <c r="AA53" s="14" t="str">
        <f>_xll.BDH("BLUE US Equity","NET_INCOME_TO_COMMON_SEQ_GROWTH","FQ4 2024","FQ4 2024","Currency=USD","Period=FQ","BEST_FPERIOD_OVERRIDE=FQ","FILING_STATUS=MR","FA_ADJUSTED=GAAP","Sort=A","Dates=H","DateFormat=P","Fill=—","Direction=H","UseDPDF=Y")</f>
        <v>—</v>
      </c>
    </row>
    <row r="54" spans="1:27" x14ac:dyDescent="0.25">
      <c r="A54" s="10" t="s">
        <v>1269</v>
      </c>
      <c r="B54" s="10" t="s">
        <v>1319</v>
      </c>
      <c r="C54" s="14" t="str">
        <f>_xll.BDH("BLUE US Equity","EPS_DILUTED_SEQUENTIAL_GROWTH","FQ4 2018","FQ4 2018","Currency=USD","Period=FQ","BEST_FPERIOD_OVERRIDE=FQ","FILING_STATUS=MR","FA_ADJUSTED=GAAP","Sort=A","Dates=H","DateFormat=P","Fill=—","Direction=H","UseDPDF=Y")</f>
        <v>—</v>
      </c>
      <c r="D54" s="14" t="str">
        <f>_xll.BDH("BLUE US Equity","EPS_DILUTED_SEQUENTIAL_GROWTH","FQ1 2019","FQ1 2019","Currency=USD","Period=FQ","BEST_FPERIOD_OVERRIDE=FQ","FILING_STATUS=MR","FA_ADJUSTED=GAAP","Sort=A","Dates=H","DateFormat=P","Fill=—","Direction=H","UseDPDF=Y")</f>
        <v>—</v>
      </c>
      <c r="E54" s="14" t="str">
        <f>_xll.BDH("BLUE US Equity","EPS_DILUTED_SEQUENTIAL_GROWTH","FQ2 2019","FQ2 2019","Currency=USD","Period=FQ","BEST_FPERIOD_OVERRIDE=FQ","FILING_STATUS=MR","FA_ADJUSTED=GAAP","Sort=A","Dates=H","DateFormat=P","Fill=—","Direction=H","UseDPDF=Y")</f>
        <v>—</v>
      </c>
      <c r="F54" s="14" t="str">
        <f>_xll.BDH("BLUE US Equity","EPS_DILUTED_SEQUENTIAL_GROWTH","FQ3 2019","FQ3 2019","Currency=USD","Period=FQ","BEST_FPERIOD_OVERRIDE=FQ","FILING_STATUS=MR","FA_ADJUSTED=GAAP","Sort=A","Dates=H","DateFormat=P","Fill=—","Direction=H","UseDPDF=Y")</f>
        <v>—</v>
      </c>
      <c r="G54" s="14" t="str">
        <f>_xll.BDH("BLUE US Equity","EPS_DILUTED_SEQUENTIAL_GROWTH","FQ4 2019","FQ4 2019","Currency=USD","Period=FQ","BEST_FPERIOD_OVERRIDE=FQ","FILING_STATUS=MR","FA_ADJUSTED=GAAP","Sort=A","Dates=H","DateFormat=P","Fill=—","Direction=H","UseDPDF=Y")</f>
        <v>—</v>
      </c>
      <c r="H54" s="14" t="str">
        <f>_xll.BDH("BLUE US Equity","EPS_DILUTED_SEQUENTIAL_GROWTH","FQ1 2020","FQ1 2020","Currency=USD","Period=FQ","BEST_FPERIOD_OVERRIDE=FQ","FILING_STATUS=MR","FA_ADJUSTED=GAAP","Sort=A","Dates=H","DateFormat=P","Fill=—","Direction=H","UseDPDF=Y")</f>
        <v>—</v>
      </c>
      <c r="I54" s="14" t="str">
        <f>_xll.BDH("BLUE US Equity","EPS_DILUTED_SEQUENTIAL_GROWTH","FQ2 2020","FQ2 2020","Currency=USD","Period=FQ","BEST_FPERIOD_OVERRIDE=FQ","FILING_STATUS=MR","FA_ADJUSTED=GAAP","Sort=A","Dates=H","DateFormat=P","Fill=—","Direction=H","UseDPDF=Y")</f>
        <v>—</v>
      </c>
      <c r="J54" s="14" t="str">
        <f>_xll.BDH("BLUE US Equity","EPS_DILUTED_SEQUENTIAL_GROWTH","FQ3 2020","FQ3 2020","Currency=USD","Period=FQ","BEST_FPERIOD_OVERRIDE=FQ","FILING_STATUS=MR","FA_ADJUSTED=GAAP","Sort=A","Dates=H","DateFormat=P","Fill=—","Direction=H","UseDPDF=Y")</f>
        <v>—</v>
      </c>
      <c r="K54" s="14" t="str">
        <f>_xll.BDH("BLUE US Equity","EPS_DILUTED_SEQUENTIAL_GROWTH","FQ4 2020","FQ4 2020","Currency=USD","Period=FQ","BEST_FPERIOD_OVERRIDE=FQ","FILING_STATUS=MR","FA_ADJUSTED=GAAP","Sort=A","Dates=H","DateFormat=P","Fill=—","Direction=H","UseDPDF=Y")</f>
        <v>—</v>
      </c>
      <c r="L54" s="14" t="str">
        <f>_xll.BDH("BLUE US Equity","EPS_DILUTED_SEQUENTIAL_GROWTH","FQ1 2021","FQ1 2021","Currency=USD","Period=FQ","BEST_FPERIOD_OVERRIDE=FQ","FILING_STATUS=MR","FA_ADJUSTED=GAAP","Sort=A","Dates=H","DateFormat=P","Fill=—","Direction=H","UseDPDF=Y")</f>
        <v>—</v>
      </c>
      <c r="M54" s="14" t="str">
        <f>_xll.BDH("BLUE US Equity","EPS_DILUTED_SEQUENTIAL_GROWTH","FQ2 2021","FQ2 2021","Currency=USD","Period=FQ","BEST_FPERIOD_OVERRIDE=FQ","FILING_STATUS=MR","FA_ADJUSTED=GAAP","Sort=A","Dates=H","DateFormat=P","Fill=—","Direction=H","UseDPDF=Y")</f>
        <v>—</v>
      </c>
      <c r="N54" s="14" t="str">
        <f>_xll.BDH("BLUE US Equity","EPS_DILUTED_SEQUENTIAL_GROWTH","FQ3 2021","FQ3 2021","Currency=USD","Period=FQ","BEST_FPERIOD_OVERRIDE=FQ","FILING_STATUS=MR","FA_ADJUSTED=GAAP","Sort=A","Dates=H","DateFormat=P","Fill=—","Direction=H","UseDPDF=Y")</f>
        <v>—</v>
      </c>
      <c r="O54" s="14" t="str">
        <f>_xll.BDH("BLUE US Equity","EPS_DILUTED_SEQUENTIAL_GROWTH","FQ4 2021","FQ4 2021","Currency=USD","Period=FQ","BEST_FPERIOD_OVERRIDE=FQ","FILING_STATUS=MR","FA_ADJUSTED=GAAP","Sort=A","Dates=H","DateFormat=P","Fill=—","Direction=H","UseDPDF=Y")</f>
        <v>—</v>
      </c>
      <c r="P54" s="14" t="str">
        <f>_xll.BDH("BLUE US Equity","EPS_DILUTED_SEQUENTIAL_GROWTH","FQ1 2022","FQ1 2022","Currency=USD","Period=FQ","BEST_FPERIOD_OVERRIDE=FQ","FILING_STATUS=MR","FA_ADJUSTED=GAAP","Sort=A","Dates=H","DateFormat=P","Fill=—","Direction=H","UseDPDF=Y")</f>
        <v>—</v>
      </c>
      <c r="Q54" s="14" t="str">
        <f>_xll.BDH("BLUE US Equity","EPS_DILUTED_SEQUENTIAL_GROWTH","FQ2 2022","FQ2 2022","Currency=USD","Period=FQ","BEST_FPERIOD_OVERRIDE=FQ","FILING_STATUS=MR","FA_ADJUSTED=GAAP","Sort=A","Dates=H","DateFormat=P","Fill=—","Direction=H","UseDPDF=Y")</f>
        <v>—</v>
      </c>
      <c r="R54" s="14" t="str">
        <f>_xll.BDH("BLUE US Equity","EPS_DILUTED_SEQUENTIAL_GROWTH","FQ3 2022","FQ3 2022","Currency=USD","Period=FQ","BEST_FPERIOD_OVERRIDE=FQ","FILING_STATUS=MR","FA_ADJUSTED=GAAP","Sort=A","Dates=H","DateFormat=P","Fill=—","Direction=H","UseDPDF=Y")</f>
        <v>—</v>
      </c>
      <c r="S54" s="14" t="str">
        <f>_xll.BDH("BLUE US Equity","EPS_DILUTED_SEQUENTIAL_GROWTH","FQ4 2022","FQ4 2022","Currency=USD","Period=FQ","BEST_FPERIOD_OVERRIDE=FQ","FILING_STATUS=MR","FA_ADJUSTED=GAAP","Sort=A","Dates=H","DateFormat=P","Fill=—","Direction=H","UseDPDF=Y")</f>
        <v>—</v>
      </c>
      <c r="T54" s="14">
        <f>_xll.BDH("BLUE US Equity","EPS_DILUTED_SEQUENTIAL_GROWTH","FQ1 2023","FQ1 2023","Currency=USD","Period=FQ","BEST_FPERIOD_OVERRIDE=FQ","FILING_STATUS=MR","FA_ADJUSTED=GAAP","Sort=A","Dates=H","DateFormat=P","Fill=—","Direction=H","UseDPDF=Y")</f>
        <v>-77.563900000000004</v>
      </c>
      <c r="U54" s="14">
        <f>_xll.BDH("BLUE US Equity","EPS_DILUTED_SEQUENTIAL_GROWTH","FQ2 2023","FQ2 2023","Currency=USD","Period=FQ","BEST_FPERIOD_OVERRIDE=FQ","FILING_STATUS=MR","FA_ADJUSTED=GAAP","Sort=A","Dates=H","DateFormat=P","Fill=—","Direction=H","UseDPDF=Y")</f>
        <v>-422.22219999999999</v>
      </c>
      <c r="V54" s="14" t="str">
        <f>_xll.BDH("BLUE US Equity","EPS_DILUTED_SEQUENTIAL_GROWTH","FQ3 2023","FQ3 2023","Currency=USD","Period=FQ","BEST_FPERIOD_OVERRIDE=FQ","FILING_STATUS=MR","FA_ADJUSTED=GAAP","Sort=A","Dates=H","DateFormat=P","Fill=—","Direction=H","UseDPDF=Y")</f>
        <v>—</v>
      </c>
      <c r="W54" s="14" t="str">
        <f>_xll.BDH("BLUE US Equity","EPS_DILUTED_SEQUENTIAL_GROWTH","FQ4 2023","FQ4 2023","Currency=USD","Period=FQ","BEST_FPERIOD_OVERRIDE=FQ","FILING_STATUS=MR","FA_ADJUSTED=GAAP","Sort=A","Dates=H","DateFormat=P","Fill=—","Direction=H","UseDPDF=Y")</f>
        <v>—</v>
      </c>
      <c r="X54" s="14" t="str">
        <f>_xll.BDH("BLUE US Equity","EPS_DILUTED_SEQUENTIAL_GROWTH","FQ1 2024","FQ1 2024","Currency=USD","Period=FQ","BEST_FPERIOD_OVERRIDE=FQ","FILING_STATUS=MR","FA_ADJUSTED=GAAP","Sort=A","Dates=H","DateFormat=P","Fill=—","Direction=H","UseDPDF=Y")</f>
        <v>—</v>
      </c>
      <c r="Y54" s="14" t="str">
        <f>_xll.BDH("BLUE US Equity","EPS_DILUTED_SEQUENTIAL_GROWTH","FQ2 2024","FQ2 2024","Currency=USD","Period=FQ","BEST_FPERIOD_OVERRIDE=FQ","FILING_STATUS=MR","FA_ADJUSTED=GAAP","Sort=A","Dates=H","DateFormat=P","Fill=—","Direction=H","UseDPDF=Y")</f>
        <v>—</v>
      </c>
      <c r="Z54" s="14" t="str">
        <f>_xll.BDH("BLUE US Equity","EPS_DILUTED_SEQUENTIAL_GROWTH","FQ3 2024","FQ3 2024","Currency=USD","Period=FQ","BEST_FPERIOD_OVERRIDE=FQ","FILING_STATUS=MR","FA_ADJUSTED=GAAP","Sort=A","Dates=H","DateFormat=P","Fill=—","Direction=H","UseDPDF=Y")</f>
        <v>—</v>
      </c>
      <c r="AA54" s="14" t="str">
        <f>_xll.BDH("BLUE US Equity","EPS_DILUTED_SEQUENTIAL_GROWTH","FQ4 2024","FQ4 2024","Currency=USD","Period=FQ","BEST_FPERIOD_OVERRIDE=FQ","FILING_STATUS=MR","FA_ADJUSTED=GAAP","Sort=A","Dates=H","DateFormat=P","Fill=—","Direction=H","UseDPDF=Y")</f>
        <v>—</v>
      </c>
    </row>
    <row r="55" spans="1:27" x14ac:dyDescent="0.25">
      <c r="A55" s="10" t="s">
        <v>1270</v>
      </c>
      <c r="B55" s="10" t="s">
        <v>1320</v>
      </c>
      <c r="C55" s="14" t="str">
        <f>_xll.BDH("BLUE US Equity","EPS_DIL_BEF_EXTRAORD_SEQ_GRWTH","FQ4 2018","FQ4 2018","Currency=USD","Period=FQ","BEST_FPERIOD_OVERRIDE=FQ","FILING_STATUS=MR","Sort=A","Dates=H","DateFormat=P","Fill=—","Direction=H","UseDPDF=Y")</f>
        <v>—</v>
      </c>
      <c r="D55" s="14" t="str">
        <f>_xll.BDH("BLUE US Equity","EPS_DIL_BEF_EXTRAORD_SEQ_GRWTH","FQ1 2019","FQ1 2019","Currency=USD","Period=FQ","BEST_FPERIOD_OVERRIDE=FQ","FILING_STATUS=MR","Sort=A","Dates=H","DateFormat=P","Fill=—","Direction=H","UseDPDF=Y")</f>
        <v>—</v>
      </c>
      <c r="E55" s="14" t="str">
        <f>_xll.BDH("BLUE US Equity","EPS_DIL_BEF_EXTRAORD_SEQ_GRWTH","FQ2 2019","FQ2 2019","Currency=USD","Period=FQ","BEST_FPERIOD_OVERRIDE=FQ","FILING_STATUS=MR","Sort=A","Dates=H","DateFormat=P","Fill=—","Direction=H","UseDPDF=Y")</f>
        <v>—</v>
      </c>
      <c r="F55" s="14" t="str">
        <f>_xll.BDH("BLUE US Equity","EPS_DIL_BEF_EXTRAORD_SEQ_GRWTH","FQ3 2019","FQ3 2019","Currency=USD","Period=FQ","BEST_FPERIOD_OVERRIDE=FQ","FILING_STATUS=MR","Sort=A","Dates=H","DateFormat=P","Fill=—","Direction=H","UseDPDF=Y")</f>
        <v>—</v>
      </c>
      <c r="G55" s="14" t="str">
        <f>_xll.BDH("BLUE US Equity","EPS_DIL_BEF_EXTRAORD_SEQ_GRWTH","FQ4 2019","FQ4 2019","Currency=USD","Period=FQ","BEST_FPERIOD_OVERRIDE=FQ","FILING_STATUS=MR","Sort=A","Dates=H","DateFormat=P","Fill=—","Direction=H","UseDPDF=Y")</f>
        <v>—</v>
      </c>
      <c r="H55" s="14" t="str">
        <f>_xll.BDH("BLUE US Equity","EPS_DIL_BEF_EXTRAORD_SEQ_GRWTH","FQ1 2020","FQ1 2020","Currency=USD","Period=FQ","BEST_FPERIOD_OVERRIDE=FQ","FILING_STATUS=MR","Sort=A","Dates=H","DateFormat=P","Fill=—","Direction=H","UseDPDF=Y")</f>
        <v>—</v>
      </c>
      <c r="I55" s="14" t="str">
        <f>_xll.BDH("BLUE US Equity","EPS_DIL_BEF_EXTRAORD_SEQ_GRWTH","FQ2 2020","FQ2 2020","Currency=USD","Period=FQ","BEST_FPERIOD_OVERRIDE=FQ","FILING_STATUS=MR","Sort=A","Dates=H","DateFormat=P","Fill=—","Direction=H","UseDPDF=Y")</f>
        <v>—</v>
      </c>
      <c r="J55" s="14" t="str">
        <f>_xll.BDH("BLUE US Equity","EPS_DIL_BEF_EXTRAORD_SEQ_GRWTH","FQ3 2020","FQ3 2020","Currency=USD","Period=FQ","BEST_FPERIOD_OVERRIDE=FQ","FILING_STATUS=MR","Sort=A","Dates=H","DateFormat=P","Fill=—","Direction=H","UseDPDF=Y")</f>
        <v>—</v>
      </c>
      <c r="K55" s="14" t="str">
        <f>_xll.BDH("BLUE US Equity","EPS_DIL_BEF_EXTRAORD_SEQ_GRWTH","FQ4 2020","FQ4 2020","Currency=USD","Period=FQ","BEST_FPERIOD_OVERRIDE=FQ","FILING_STATUS=MR","Sort=A","Dates=H","DateFormat=P","Fill=—","Direction=H","UseDPDF=Y")</f>
        <v>—</v>
      </c>
      <c r="L55" s="14" t="str">
        <f>_xll.BDH("BLUE US Equity","EPS_DIL_BEF_EXTRAORD_SEQ_GRWTH","FQ1 2021","FQ1 2021","Currency=USD","Period=FQ","BEST_FPERIOD_OVERRIDE=FQ","FILING_STATUS=MR","Sort=A","Dates=H","DateFormat=P","Fill=—","Direction=H","UseDPDF=Y")</f>
        <v>—</v>
      </c>
      <c r="M55" s="14" t="str">
        <f>_xll.BDH("BLUE US Equity","EPS_DIL_BEF_EXTRAORD_SEQ_GRWTH","FQ2 2021","FQ2 2021","Currency=USD","Period=FQ","BEST_FPERIOD_OVERRIDE=FQ","FILING_STATUS=MR","Sort=A","Dates=H","DateFormat=P","Fill=—","Direction=H","UseDPDF=Y")</f>
        <v>—</v>
      </c>
      <c r="N55" s="14" t="str">
        <f>_xll.BDH("BLUE US Equity","EPS_DIL_BEF_EXTRAORD_SEQ_GRWTH","FQ3 2021","FQ3 2021","Currency=USD","Period=FQ","BEST_FPERIOD_OVERRIDE=FQ","FILING_STATUS=MR","Sort=A","Dates=H","DateFormat=P","Fill=—","Direction=H","UseDPDF=Y")</f>
        <v>—</v>
      </c>
      <c r="O55" s="14" t="str">
        <f>_xll.BDH("BLUE US Equity","EPS_DIL_BEF_EXTRAORD_SEQ_GRWTH","FQ4 2021","FQ4 2021","Currency=USD","Period=FQ","BEST_FPERIOD_OVERRIDE=FQ","FILING_STATUS=MR","Sort=A","Dates=H","DateFormat=P","Fill=—","Direction=H","UseDPDF=Y")</f>
        <v>—</v>
      </c>
      <c r="P55" s="14" t="str">
        <f>_xll.BDH("BLUE US Equity","EPS_DIL_BEF_EXTRAORD_SEQ_GRWTH","FQ1 2022","FQ1 2022","Currency=USD","Period=FQ","BEST_FPERIOD_OVERRIDE=FQ","FILING_STATUS=MR","Sort=A","Dates=H","DateFormat=P","Fill=—","Direction=H","UseDPDF=Y")</f>
        <v>—</v>
      </c>
      <c r="Q55" s="14" t="str">
        <f>_xll.BDH("BLUE US Equity","EPS_DIL_BEF_EXTRAORD_SEQ_GRWTH","FQ2 2022","FQ2 2022","Currency=USD","Period=FQ","BEST_FPERIOD_OVERRIDE=FQ","FILING_STATUS=MR","Sort=A","Dates=H","DateFormat=P","Fill=—","Direction=H","UseDPDF=Y")</f>
        <v>—</v>
      </c>
      <c r="R55" s="14" t="str">
        <f>_xll.BDH("BLUE US Equity","EPS_DIL_BEF_EXTRAORD_SEQ_GRWTH","FQ3 2022","FQ3 2022","Currency=USD","Period=FQ","BEST_FPERIOD_OVERRIDE=FQ","FILING_STATUS=MR","Sort=A","Dates=H","DateFormat=P","Fill=—","Direction=H","UseDPDF=Y")</f>
        <v>—</v>
      </c>
      <c r="S55" s="14" t="str">
        <f>_xll.BDH("BLUE US Equity","EPS_DIL_BEF_EXTRAORD_SEQ_GRWTH","FQ4 2022","FQ4 2022","Currency=USD","Period=FQ","BEST_FPERIOD_OVERRIDE=FQ","FILING_STATUS=MR","Sort=A","Dates=H","DateFormat=P","Fill=—","Direction=H","UseDPDF=Y")</f>
        <v>—</v>
      </c>
      <c r="T55" s="14">
        <f>_xll.BDH("BLUE US Equity","EPS_DIL_BEF_EXTRAORD_SEQ_GRWTH","FQ1 2023","FQ1 2023","Currency=USD","Period=FQ","BEST_FPERIOD_OVERRIDE=FQ","FILING_STATUS=MR","Sort=A","Dates=H","DateFormat=P","Fill=—","Direction=H","UseDPDF=Y")</f>
        <v>-77.563900000000004</v>
      </c>
      <c r="U55" s="14">
        <f>_xll.BDH("BLUE US Equity","EPS_DIL_BEF_EXTRAORD_SEQ_GRWTH","FQ2 2023","FQ2 2023","Currency=USD","Period=FQ","BEST_FPERIOD_OVERRIDE=FQ","FILING_STATUS=MR","Sort=A","Dates=H","DateFormat=P","Fill=—","Direction=H","UseDPDF=Y")</f>
        <v>-422.22219999999999</v>
      </c>
      <c r="V55" s="14" t="str">
        <f>_xll.BDH("BLUE US Equity","EPS_DIL_BEF_EXTRAORD_SEQ_GRWTH","FQ3 2023","FQ3 2023","Currency=USD","Period=FQ","BEST_FPERIOD_OVERRIDE=FQ","FILING_STATUS=MR","Sort=A","Dates=H","DateFormat=P","Fill=—","Direction=H","UseDPDF=Y")</f>
        <v>—</v>
      </c>
      <c r="W55" s="14" t="str">
        <f>_xll.BDH("BLUE US Equity","EPS_DIL_BEF_EXTRAORD_SEQ_GRWTH","FQ4 2023","FQ4 2023","Currency=USD","Period=FQ","BEST_FPERIOD_OVERRIDE=FQ","FILING_STATUS=MR","Sort=A","Dates=H","DateFormat=P","Fill=—","Direction=H","UseDPDF=Y")</f>
        <v>—</v>
      </c>
      <c r="X55" s="14" t="str">
        <f>_xll.BDH("BLUE US Equity","EPS_DIL_BEF_EXTRAORD_SEQ_GRWTH","FQ1 2024","FQ1 2024","Currency=USD","Period=FQ","BEST_FPERIOD_OVERRIDE=FQ","FILING_STATUS=MR","Sort=A","Dates=H","DateFormat=P","Fill=—","Direction=H","UseDPDF=Y")</f>
        <v>—</v>
      </c>
      <c r="Y55" s="14" t="str">
        <f>_xll.BDH("BLUE US Equity","EPS_DIL_BEF_EXTRAORD_SEQ_GRWTH","FQ2 2024","FQ2 2024","Currency=USD","Period=FQ","BEST_FPERIOD_OVERRIDE=FQ","FILING_STATUS=MR","Sort=A","Dates=H","DateFormat=P","Fill=—","Direction=H","UseDPDF=Y")</f>
        <v>—</v>
      </c>
      <c r="Z55" s="14" t="str">
        <f>_xll.BDH("BLUE US Equity","EPS_DIL_BEF_EXTRAORD_SEQ_GRWTH","FQ3 2024","FQ3 2024","Currency=USD","Period=FQ","BEST_FPERIOD_OVERRIDE=FQ","FILING_STATUS=MR","Sort=A","Dates=H","DateFormat=P","Fill=—","Direction=H","UseDPDF=Y")</f>
        <v>—</v>
      </c>
      <c r="AA55" s="14" t="str">
        <f>_xll.BDH("BLUE US Equity","EPS_DIL_BEF_EXTRAORD_SEQ_GRWTH","FQ4 2024","FQ4 2024","Currency=USD","Period=FQ","BEST_FPERIOD_OVERRIDE=FQ","FILING_STATUS=MR","Sort=A","Dates=H","DateFormat=P","Fill=—","Direction=H","UseDPDF=Y")</f>
        <v>—</v>
      </c>
    </row>
    <row r="56" spans="1:27" x14ac:dyDescent="0.25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5">
      <c r="A57" s="10" t="s">
        <v>1321</v>
      </c>
      <c r="B57" s="10" t="s">
        <v>1322</v>
      </c>
      <c r="C57" s="14" t="str">
        <f>_xll.BDH("BLUE US Equity","ACCOUNTS_RECEIVABLE_SEQ_GROWTH","FQ4 2018","FQ4 2018","Currency=USD","Period=FQ","BEST_FPERIOD_OVERRIDE=FQ","FILING_STATUS=MR","Sort=A","Dates=H","DateFormat=P","Fill=—","Direction=H","UseDPDF=Y")</f>
        <v>—</v>
      </c>
      <c r="D57" s="14" t="str">
        <f>_xll.BDH("BLUE US Equity","ACCOUNTS_RECEIVABLE_SEQ_GROWTH","FQ1 2019","FQ1 2019","Currency=USD","Period=FQ","BEST_FPERIOD_OVERRIDE=FQ","FILING_STATUS=MR","Sort=A","Dates=H","DateFormat=P","Fill=—","Direction=H","UseDPDF=Y")</f>
        <v>—</v>
      </c>
      <c r="E57" s="14" t="str">
        <f>_xll.BDH("BLUE US Equity","ACCOUNTS_RECEIVABLE_SEQ_GROWTH","FQ2 2019","FQ2 2019","Currency=USD","Period=FQ","BEST_FPERIOD_OVERRIDE=FQ","FILING_STATUS=MR","Sort=A","Dates=H","DateFormat=P","Fill=—","Direction=H","UseDPDF=Y")</f>
        <v>—</v>
      </c>
      <c r="F57" s="14" t="str">
        <f>_xll.BDH("BLUE US Equity","ACCOUNTS_RECEIVABLE_SEQ_GROWTH","FQ3 2019","FQ3 2019","Currency=USD","Period=FQ","BEST_FPERIOD_OVERRIDE=FQ","FILING_STATUS=MR","Sort=A","Dates=H","DateFormat=P","Fill=—","Direction=H","UseDPDF=Y")</f>
        <v>—</v>
      </c>
      <c r="G57" s="14" t="str">
        <f>_xll.BDH("BLUE US Equity","ACCOUNTS_RECEIVABLE_SEQ_GROWTH","FQ4 2019","FQ4 2019","Currency=USD","Period=FQ","BEST_FPERIOD_OVERRIDE=FQ","FILING_STATUS=MR","Sort=A","Dates=H","DateFormat=P","Fill=—","Direction=H","UseDPDF=Y")</f>
        <v>—</v>
      </c>
      <c r="H57" s="14" t="str">
        <f>_xll.BDH("BLUE US Equity","ACCOUNTS_RECEIVABLE_SEQ_GROWTH","FQ1 2020","FQ1 2020","Currency=USD","Period=FQ","BEST_FPERIOD_OVERRIDE=FQ","FILING_STATUS=MR","Sort=A","Dates=H","DateFormat=P","Fill=—","Direction=H","UseDPDF=Y")</f>
        <v>—</v>
      </c>
      <c r="I57" s="14" t="str">
        <f>_xll.BDH("BLUE US Equity","ACCOUNTS_RECEIVABLE_SEQ_GROWTH","FQ2 2020","FQ2 2020","Currency=USD","Period=FQ","BEST_FPERIOD_OVERRIDE=FQ","FILING_STATUS=MR","Sort=A","Dates=H","DateFormat=P","Fill=—","Direction=H","UseDPDF=Y")</f>
        <v>—</v>
      </c>
      <c r="J57" s="14" t="str">
        <f>_xll.BDH("BLUE US Equity","ACCOUNTS_RECEIVABLE_SEQ_GROWTH","FQ3 2020","FQ3 2020","Currency=USD","Period=FQ","BEST_FPERIOD_OVERRIDE=FQ","FILING_STATUS=MR","Sort=A","Dates=H","DateFormat=P","Fill=—","Direction=H","UseDPDF=Y")</f>
        <v>—</v>
      </c>
      <c r="K57" s="14" t="str">
        <f>_xll.BDH("BLUE US Equity","ACCOUNTS_RECEIVABLE_SEQ_GROWTH","FQ4 2020","FQ4 2020","Currency=USD","Period=FQ","BEST_FPERIOD_OVERRIDE=FQ","FILING_STATUS=MR","Sort=A","Dates=H","DateFormat=P","Fill=—","Direction=H","UseDPDF=Y")</f>
        <v>—</v>
      </c>
      <c r="L57" s="14" t="str">
        <f>_xll.BDH("BLUE US Equity","ACCOUNTS_RECEIVABLE_SEQ_GROWTH","FQ1 2021","FQ1 2021","Currency=USD","Period=FQ","BEST_FPERIOD_OVERRIDE=FQ","FILING_STATUS=MR","Sort=A","Dates=H","DateFormat=P","Fill=—","Direction=H","UseDPDF=Y")</f>
        <v>—</v>
      </c>
      <c r="M57" s="14" t="str">
        <f>_xll.BDH("BLUE US Equity","ACCOUNTS_RECEIVABLE_SEQ_GROWTH","FQ2 2021","FQ2 2021","Currency=USD","Period=FQ","BEST_FPERIOD_OVERRIDE=FQ","FILING_STATUS=MR","Sort=A","Dates=H","DateFormat=P","Fill=—","Direction=H","UseDPDF=Y")</f>
        <v>—</v>
      </c>
      <c r="N57" s="14" t="str">
        <f>_xll.BDH("BLUE US Equity","ACCOUNTS_RECEIVABLE_SEQ_GROWTH","FQ3 2021","FQ3 2021","Currency=USD","Period=FQ","BEST_FPERIOD_OVERRIDE=FQ","FILING_STATUS=MR","Sort=A","Dates=H","DateFormat=P","Fill=—","Direction=H","UseDPDF=Y")</f>
        <v>—</v>
      </c>
      <c r="O57" s="14" t="str">
        <f>_xll.BDH("BLUE US Equity","ACCOUNTS_RECEIVABLE_SEQ_GROWTH","FQ4 2021","FQ4 2021","Currency=USD","Period=FQ","BEST_FPERIOD_OVERRIDE=FQ","FILING_STATUS=MR","Sort=A","Dates=H","DateFormat=P","Fill=—","Direction=H","UseDPDF=Y")</f>
        <v>—</v>
      </c>
      <c r="P57" s="14" t="str">
        <f>_xll.BDH("BLUE US Equity","ACCOUNTS_RECEIVABLE_SEQ_GROWTH","FQ1 2022","FQ1 2022","Currency=USD","Period=FQ","BEST_FPERIOD_OVERRIDE=FQ","FILING_STATUS=MR","Sort=A","Dates=H","DateFormat=P","Fill=—","Direction=H","UseDPDF=Y")</f>
        <v>—</v>
      </c>
      <c r="Q57" s="14" t="str">
        <f>_xll.BDH("BLUE US Equity","ACCOUNTS_RECEIVABLE_SEQ_GROWTH","FQ2 2022","FQ2 2022","Currency=USD","Period=FQ","BEST_FPERIOD_OVERRIDE=FQ","FILING_STATUS=MR","Sort=A","Dates=H","DateFormat=P","Fill=—","Direction=H","UseDPDF=Y")</f>
        <v>—</v>
      </c>
      <c r="R57" s="14" t="str">
        <f>_xll.BDH("BLUE US Equity","ACCOUNTS_RECEIVABLE_SEQ_GROWTH","FQ3 2022","FQ3 2022","Currency=USD","Period=FQ","BEST_FPERIOD_OVERRIDE=FQ","FILING_STATUS=MR","Sort=A","Dates=H","DateFormat=P","Fill=—","Direction=H","UseDPDF=Y")</f>
        <v>—</v>
      </c>
      <c r="S57" s="14" t="str">
        <f>_xll.BDH("BLUE US Equity","ACCOUNTS_RECEIVABLE_SEQ_GROWTH","FQ4 2022","FQ4 2022","Currency=USD","Period=FQ","BEST_FPERIOD_OVERRIDE=FQ","FILING_STATUS=MR","Sort=A","Dates=H","DateFormat=P","Fill=—","Direction=H","UseDPDF=Y")</f>
        <v>—</v>
      </c>
      <c r="T57" s="14" t="str">
        <f>_xll.BDH("BLUE US Equity","ACCOUNTS_RECEIVABLE_SEQ_GROWTH","FQ1 2023","FQ1 2023","Currency=USD","Period=FQ","BEST_FPERIOD_OVERRIDE=FQ","FILING_STATUS=MR","Sort=A","Dates=H","DateFormat=P","Fill=—","Direction=H","UseDPDF=Y")</f>
        <v>—</v>
      </c>
      <c r="U57" s="14" t="str">
        <f>_xll.BDH("BLUE US Equity","ACCOUNTS_RECEIVABLE_SEQ_GROWTH","FQ2 2023","FQ2 2023","Currency=USD","Period=FQ","BEST_FPERIOD_OVERRIDE=FQ","FILING_STATUS=MR","Sort=A","Dates=H","DateFormat=P","Fill=—","Direction=H","UseDPDF=Y")</f>
        <v>—</v>
      </c>
      <c r="V57" s="14" t="str">
        <f>_xll.BDH("BLUE US Equity","ACCOUNTS_RECEIVABLE_SEQ_GROWTH","FQ3 2023","FQ3 2023","Currency=USD","Period=FQ","BEST_FPERIOD_OVERRIDE=FQ","FILING_STATUS=MR","Sort=A","Dates=H","DateFormat=P","Fill=—","Direction=H","UseDPDF=Y")</f>
        <v>—</v>
      </c>
      <c r="W57" s="14">
        <f>_xll.BDH("BLUE US Equity","ACCOUNTS_RECEIVABLE_SEQ_GROWTH","FQ4 2023","FQ4 2023","Currency=USD","Period=FQ","BEST_FPERIOD_OVERRIDE=FQ","FILING_STATUS=MR","Sort=A","Dates=H","DateFormat=P","Fill=—","Direction=H","UseDPDF=Y")</f>
        <v>-100</v>
      </c>
      <c r="X57" s="14" t="str">
        <f>_xll.BDH("BLUE US Equity","ACCOUNTS_RECEIVABLE_SEQ_GROWTH","FQ1 2024","FQ1 2024","Currency=USD","Period=FQ","BEST_FPERIOD_OVERRIDE=FQ","FILING_STATUS=MR","Sort=A","Dates=H","DateFormat=P","Fill=—","Direction=H","UseDPDF=Y")</f>
        <v>—</v>
      </c>
      <c r="Y57" s="14" t="str">
        <f>_xll.BDH("BLUE US Equity","ACCOUNTS_RECEIVABLE_SEQ_GROWTH","FQ2 2024","FQ2 2024","Currency=USD","Period=FQ","BEST_FPERIOD_OVERRIDE=FQ","FILING_STATUS=MR","Sort=A","Dates=H","DateFormat=P","Fill=—","Direction=H","UseDPDF=Y")</f>
        <v>—</v>
      </c>
      <c r="Z57" s="14" t="str">
        <f>_xll.BDH("BLUE US Equity","ACCOUNTS_RECEIVABLE_SEQ_GROWTH","FQ3 2024","FQ3 2024","Currency=USD","Period=FQ","BEST_FPERIOD_OVERRIDE=FQ","FILING_STATUS=MR","Sort=A","Dates=H","DateFormat=P","Fill=—","Direction=H","UseDPDF=Y")</f>
        <v>—</v>
      </c>
      <c r="AA57" s="14" t="str">
        <f>_xll.BDH("BLUE US Equity","ACCOUNTS_RECEIVABLE_SEQ_GROWTH","FQ4 2024","FQ4 2024","Currency=USD","Period=FQ","BEST_FPERIOD_OVERRIDE=FQ","FILING_STATUS=MR","Sort=A","Dates=H","DateFormat=P","Fill=—","Direction=H","UseDPDF=Y")</f>
        <v>—</v>
      </c>
    </row>
    <row r="58" spans="1:27" x14ac:dyDescent="0.25">
      <c r="A58" s="10" t="s">
        <v>1274</v>
      </c>
      <c r="B58" s="10" t="s">
        <v>1323</v>
      </c>
      <c r="C58" s="14" t="str">
        <f>_xll.BDH("BLUE US Equity","INVENTORY_SEQUENTIAL_GROWTH","FQ4 2018","FQ4 2018","Currency=USD","Period=FQ","BEST_FPERIOD_OVERRIDE=FQ","FILING_STATUS=MR","Sort=A","Dates=H","DateFormat=P","Fill=—","Direction=H","UseDPDF=Y")</f>
        <v>—</v>
      </c>
      <c r="D58" s="14" t="str">
        <f>_xll.BDH("BLUE US Equity","INVENTORY_SEQUENTIAL_GROWTH","FQ1 2019","FQ1 2019","Currency=USD","Period=FQ","BEST_FPERIOD_OVERRIDE=FQ","FILING_STATUS=MR","Sort=A","Dates=H","DateFormat=P","Fill=—","Direction=H","UseDPDF=Y")</f>
        <v>—</v>
      </c>
      <c r="E58" s="14" t="str">
        <f>_xll.BDH("BLUE US Equity","INVENTORY_SEQUENTIAL_GROWTH","FQ2 2019","FQ2 2019","Currency=USD","Period=FQ","BEST_FPERIOD_OVERRIDE=FQ","FILING_STATUS=MR","Sort=A","Dates=H","DateFormat=P","Fill=—","Direction=H","UseDPDF=Y")</f>
        <v>—</v>
      </c>
      <c r="F58" s="14" t="str">
        <f>_xll.BDH("BLUE US Equity","INVENTORY_SEQUENTIAL_GROWTH","FQ3 2019","FQ3 2019","Currency=USD","Period=FQ","BEST_FPERIOD_OVERRIDE=FQ","FILING_STATUS=MR","Sort=A","Dates=H","DateFormat=P","Fill=—","Direction=H","UseDPDF=Y")</f>
        <v>—</v>
      </c>
      <c r="G58" s="14" t="str">
        <f>_xll.BDH("BLUE US Equity","INVENTORY_SEQUENTIAL_GROWTH","FQ4 2019","FQ4 2019","Currency=USD","Period=FQ","BEST_FPERIOD_OVERRIDE=FQ","FILING_STATUS=MR","Sort=A","Dates=H","DateFormat=P","Fill=—","Direction=H","UseDPDF=Y")</f>
        <v>—</v>
      </c>
      <c r="H58" s="14" t="str">
        <f>_xll.BDH("BLUE US Equity","INVENTORY_SEQUENTIAL_GROWTH","FQ1 2020","FQ1 2020","Currency=USD","Period=FQ","BEST_FPERIOD_OVERRIDE=FQ","FILING_STATUS=MR","Sort=A","Dates=H","DateFormat=P","Fill=—","Direction=H","UseDPDF=Y")</f>
        <v>—</v>
      </c>
      <c r="I58" s="14" t="str">
        <f>_xll.BDH("BLUE US Equity","INVENTORY_SEQUENTIAL_GROWTH","FQ2 2020","FQ2 2020","Currency=USD","Period=FQ","BEST_FPERIOD_OVERRIDE=FQ","FILING_STATUS=MR","Sort=A","Dates=H","DateFormat=P","Fill=—","Direction=H","UseDPDF=Y")</f>
        <v>—</v>
      </c>
      <c r="J58" s="14" t="str">
        <f>_xll.BDH("BLUE US Equity","INVENTORY_SEQUENTIAL_GROWTH","FQ3 2020","FQ3 2020","Currency=USD","Period=FQ","BEST_FPERIOD_OVERRIDE=FQ","FILING_STATUS=MR","Sort=A","Dates=H","DateFormat=P","Fill=—","Direction=H","UseDPDF=Y")</f>
        <v>—</v>
      </c>
      <c r="K58" s="14" t="str">
        <f>_xll.BDH("BLUE US Equity","INVENTORY_SEQUENTIAL_GROWTH","FQ4 2020","FQ4 2020","Currency=USD","Period=FQ","BEST_FPERIOD_OVERRIDE=FQ","FILING_STATUS=MR","Sort=A","Dates=H","DateFormat=P","Fill=—","Direction=H","UseDPDF=Y")</f>
        <v>—</v>
      </c>
      <c r="L58" s="14">
        <f>_xll.BDH("BLUE US Equity","INVENTORY_SEQUENTIAL_GROWTH","FQ1 2021","FQ1 2021","Currency=USD","Period=FQ","BEST_FPERIOD_OVERRIDE=FQ","FILING_STATUS=MR","Sort=A","Dates=H","DateFormat=P","Fill=—","Direction=H","UseDPDF=Y")</f>
        <v>68.994200000000006</v>
      </c>
      <c r="M58" s="14">
        <f>_xll.BDH("BLUE US Equity","INVENTORY_SEQUENTIAL_GROWTH","FQ2 2021","FQ2 2021","Currency=USD","Period=FQ","BEST_FPERIOD_OVERRIDE=FQ","FILING_STATUS=MR","Sort=A","Dates=H","DateFormat=P","Fill=—","Direction=H","UseDPDF=Y")</f>
        <v>-25.316700000000001</v>
      </c>
      <c r="N58" s="14">
        <f>_xll.BDH("BLUE US Equity","INVENTORY_SEQUENTIAL_GROWTH","FQ3 2021","FQ3 2021","Currency=USD","Period=FQ","BEST_FPERIOD_OVERRIDE=FQ","FILING_STATUS=MR","Sort=A","Dates=H","DateFormat=P","Fill=—","Direction=H","UseDPDF=Y")</f>
        <v>-94.326800000000006</v>
      </c>
      <c r="O58" s="14">
        <f>_xll.BDH("BLUE US Equity","INVENTORY_SEQUENTIAL_GROWTH","FQ4 2021","FQ4 2021","Currency=USD","Period=FQ","BEST_FPERIOD_OVERRIDE=FQ","FILING_STATUS=MR","Sort=A","Dates=H","DateFormat=P","Fill=—","Direction=H","UseDPDF=Y")</f>
        <v>-100</v>
      </c>
      <c r="P58" s="14" t="str">
        <f>_xll.BDH("BLUE US Equity","INVENTORY_SEQUENTIAL_GROWTH","FQ1 2022","FQ1 2022","Currency=USD","Period=FQ","BEST_FPERIOD_OVERRIDE=FQ","FILING_STATUS=MR","Sort=A","Dates=H","DateFormat=P","Fill=—","Direction=H","UseDPDF=Y")</f>
        <v>—</v>
      </c>
      <c r="Q58" s="14" t="str">
        <f>_xll.BDH("BLUE US Equity","INVENTORY_SEQUENTIAL_GROWTH","FQ2 2022","FQ2 2022","Currency=USD","Period=FQ","BEST_FPERIOD_OVERRIDE=FQ","FILING_STATUS=MR","Sort=A","Dates=H","DateFormat=P","Fill=—","Direction=H","UseDPDF=Y")</f>
        <v>—</v>
      </c>
      <c r="R58" s="14" t="str">
        <f>_xll.BDH("BLUE US Equity","INVENTORY_SEQUENTIAL_GROWTH","FQ3 2022","FQ3 2022","Currency=USD","Period=FQ","BEST_FPERIOD_OVERRIDE=FQ","FILING_STATUS=MR","Sort=A","Dates=H","DateFormat=P","Fill=—","Direction=H","UseDPDF=Y")</f>
        <v>—</v>
      </c>
      <c r="S58" s="14" t="str">
        <f>_xll.BDH("BLUE US Equity","INVENTORY_SEQUENTIAL_GROWTH","FQ4 2022","FQ4 2022","Currency=USD","Period=FQ","BEST_FPERIOD_OVERRIDE=FQ","FILING_STATUS=MR","Sort=A","Dates=H","DateFormat=P","Fill=—","Direction=H","UseDPDF=Y")</f>
        <v>—</v>
      </c>
      <c r="T58" s="14" t="str">
        <f>_xll.BDH("BLUE US Equity","INVENTORY_SEQUENTIAL_GROWTH","FQ1 2023","FQ1 2023","Currency=USD","Period=FQ","BEST_FPERIOD_OVERRIDE=FQ","FILING_STATUS=MR","Sort=A","Dates=H","DateFormat=P","Fill=—","Direction=H","UseDPDF=Y")</f>
        <v>—</v>
      </c>
      <c r="U58" s="14">
        <f>_xll.BDH("BLUE US Equity","INVENTORY_SEQUENTIAL_GROWTH","FQ2 2023","FQ2 2023","Currency=USD","Period=FQ","BEST_FPERIOD_OVERRIDE=FQ","FILING_STATUS=MR","Sort=A","Dates=H","DateFormat=P","Fill=—","Direction=H","UseDPDF=Y")</f>
        <v>258.15170000000001</v>
      </c>
      <c r="V58" s="14">
        <f>_xll.BDH("BLUE US Equity","INVENTORY_SEQUENTIAL_GROWTH","FQ3 2023","FQ3 2023","Currency=USD","Period=FQ","BEST_FPERIOD_OVERRIDE=FQ","FILING_STATUS=MR","Sort=A","Dates=H","DateFormat=P","Fill=—","Direction=H","UseDPDF=Y")</f>
        <v>53.709099999999999</v>
      </c>
      <c r="W58" s="14">
        <f>_xll.BDH("BLUE US Equity","INVENTORY_SEQUENTIAL_GROWTH","FQ4 2023","FQ4 2023","Currency=USD","Period=FQ","BEST_FPERIOD_OVERRIDE=FQ","FILING_STATUS=MR","Sort=A","Dates=H","DateFormat=P","Fill=—","Direction=H","UseDPDF=Y")</f>
        <v>9.2994000000000003</v>
      </c>
      <c r="X58" s="14">
        <f>_xll.BDH("BLUE US Equity","INVENTORY_SEQUENTIAL_GROWTH","FQ1 2024","FQ1 2024","Currency=USD","Period=FQ","BEST_FPERIOD_OVERRIDE=FQ","FILING_STATUS=MR","Sort=A","Dates=H","DateFormat=P","Fill=—","Direction=H","UseDPDF=Y")</f>
        <v>32.226500000000001</v>
      </c>
      <c r="Y58" s="14">
        <f>_xll.BDH("BLUE US Equity","INVENTORY_SEQUENTIAL_GROWTH","FQ2 2024","FQ2 2024","Currency=USD","Period=FQ","BEST_FPERIOD_OVERRIDE=FQ","FILING_STATUS=MR","Sort=A","Dates=H","DateFormat=P","Fill=—","Direction=H","UseDPDF=Y")</f>
        <v>9.9818999999999996</v>
      </c>
      <c r="Z58" s="14">
        <f>_xll.BDH("BLUE US Equity","INVENTORY_SEQUENTIAL_GROWTH","FQ3 2024","FQ3 2024","Currency=USD","Period=FQ","BEST_FPERIOD_OVERRIDE=FQ","FILING_STATUS=MR","Sort=A","Dates=H","DateFormat=P","Fill=—","Direction=H","UseDPDF=Y")</f>
        <v>61.848199999999999</v>
      </c>
      <c r="AA58" s="14">
        <f>_xll.BDH("BLUE US Equity","INVENTORY_SEQUENTIAL_GROWTH","FQ4 2024","FQ4 2024","Currency=USD","Period=FQ","BEST_FPERIOD_OVERRIDE=FQ","FILING_STATUS=MR","Sort=A","Dates=H","DateFormat=P","Fill=—","Direction=H","UseDPDF=Y")</f>
        <v>20.526800000000001</v>
      </c>
    </row>
    <row r="59" spans="1:27" x14ac:dyDescent="0.25">
      <c r="A59" s="10" t="s">
        <v>1276</v>
      </c>
      <c r="B59" s="10" t="s">
        <v>1324</v>
      </c>
      <c r="C59" s="14">
        <f>_xll.BDH("BLUE US Equity","FIXED_ASSETS_SEQUENTIAL_GROWTH","FQ4 2018","FQ4 2018","Currency=USD","Period=FQ","BEST_FPERIOD_OVERRIDE=FQ","FILING_STATUS=MR","Sort=A","Dates=H","DateFormat=P","Fill=—","Direction=H","UseDPDF=Y")</f>
        <v>5.9085999999999999</v>
      </c>
      <c r="D59" s="14">
        <f>_xll.BDH("BLUE US Equity","FIXED_ASSETS_SEQUENTIAL_GROWTH","FQ1 2019","FQ1 2019","Currency=USD","Period=FQ","BEST_FPERIOD_OVERRIDE=FQ","FILING_STATUS=MR","Sort=A","Dates=H","DateFormat=P","Fill=—","Direction=H","UseDPDF=Y")</f>
        <v>21.095400000000001</v>
      </c>
      <c r="E59" s="14">
        <f>_xll.BDH("BLUE US Equity","FIXED_ASSETS_SEQUENTIAL_GROWTH","FQ2 2019","FQ2 2019","Currency=USD","Period=FQ","BEST_FPERIOD_OVERRIDE=FQ","FILING_STATUS=MR","Sort=A","Dates=H","DateFormat=P","Fill=—","Direction=H","UseDPDF=Y")</f>
        <v>7.1877000000000004</v>
      </c>
      <c r="F59" s="14">
        <f>_xll.BDH("BLUE US Equity","FIXED_ASSETS_SEQUENTIAL_GROWTH","FQ3 2019","FQ3 2019","Currency=USD","Period=FQ","BEST_FPERIOD_OVERRIDE=FQ","FILING_STATUS=MR","Sort=A","Dates=H","DateFormat=P","Fill=—","Direction=H","UseDPDF=Y")</f>
        <v>4.8563999999999998</v>
      </c>
      <c r="G59" s="14">
        <f>_xll.BDH("BLUE US Equity","FIXED_ASSETS_SEQUENTIAL_GROWTH","FQ4 2019","FQ4 2019","Currency=USD","Period=FQ","BEST_FPERIOD_OVERRIDE=FQ","FILING_STATUS=MR","Sort=A","Dates=H","DateFormat=P","Fill=—","Direction=H","UseDPDF=Y")</f>
        <v>0.41739999999999999</v>
      </c>
      <c r="H59" s="14">
        <f>_xll.BDH("BLUE US Equity","FIXED_ASSETS_SEQUENTIAL_GROWTH","FQ1 2020","FQ1 2020","Currency=USD","Period=FQ","BEST_FPERIOD_OVERRIDE=FQ","FILING_STATUS=MR","Sort=A","Dates=H","DateFormat=P","Fill=—","Direction=H","UseDPDF=Y")</f>
        <v>3.3607999999999998</v>
      </c>
      <c r="I59" s="14">
        <f>_xll.BDH("BLUE US Equity","FIXED_ASSETS_SEQUENTIAL_GROWTH","FQ2 2020","FQ2 2020","Currency=USD","Period=FQ","BEST_FPERIOD_OVERRIDE=FQ","FILING_STATUS=MR","Sort=A","Dates=H","DateFormat=P","Fill=—","Direction=H","UseDPDF=Y")</f>
        <v>-1.0186999999999999</v>
      </c>
      <c r="J59" s="14">
        <f>_xll.BDH("BLUE US Equity","FIXED_ASSETS_SEQUENTIAL_GROWTH","FQ3 2020","FQ3 2020","Currency=USD","Period=FQ","BEST_FPERIOD_OVERRIDE=FQ","FILING_STATUS=MR","Sort=A","Dates=H","DateFormat=P","Fill=—","Direction=H","UseDPDF=Y")</f>
        <v>0.37440000000000001</v>
      </c>
      <c r="K59" s="14">
        <f>_xll.BDH("BLUE US Equity","FIXED_ASSETS_SEQUENTIAL_GROWTH","FQ4 2020","FQ4 2020","Currency=USD","Period=FQ","BEST_FPERIOD_OVERRIDE=FQ","FILING_STATUS=MR","Sort=A","Dates=H","DateFormat=P","Fill=—","Direction=H","UseDPDF=Y")</f>
        <v>-75.461299999999994</v>
      </c>
      <c r="L59" s="14">
        <f>_xll.BDH("BLUE US Equity","FIXED_ASSETS_SEQUENTIAL_GROWTH","FQ1 2021","FQ1 2021","Currency=USD","Period=FQ","BEST_FPERIOD_OVERRIDE=FQ","FILING_STATUS=MR","Sort=A","Dates=H","DateFormat=P","Fill=—","Direction=H","UseDPDF=Y")</f>
        <v>327.57839999999999</v>
      </c>
      <c r="M59" s="14">
        <f>_xll.BDH("BLUE US Equity","FIXED_ASSETS_SEQUENTIAL_GROWTH","FQ2 2021","FQ2 2021","Currency=USD","Period=FQ","BEST_FPERIOD_OVERRIDE=FQ","FILING_STATUS=MR","Sort=A","Dates=H","DateFormat=P","Fill=—","Direction=H","UseDPDF=Y")</f>
        <v>-3.6774</v>
      </c>
      <c r="N59" s="14">
        <f>_xll.BDH("BLUE US Equity","FIXED_ASSETS_SEQUENTIAL_GROWTH","FQ3 2021","FQ3 2021","Currency=USD","Period=FQ","BEST_FPERIOD_OVERRIDE=FQ","FILING_STATUS=MR","Sort=A","Dates=H","DateFormat=P","Fill=—","Direction=H","UseDPDF=Y")</f>
        <v>-37.0578</v>
      </c>
      <c r="O59" s="14">
        <f>_xll.BDH("BLUE US Equity","FIXED_ASSETS_SEQUENTIAL_GROWTH","FQ4 2021","FQ4 2021","Currency=USD","Period=FQ","BEST_FPERIOD_OVERRIDE=FQ","FILING_STATUS=MR","Sort=A","Dates=H","DateFormat=P","Fill=—","Direction=H","UseDPDF=Y")</f>
        <v>-54.020299999999999</v>
      </c>
      <c r="P59" s="14">
        <f>_xll.BDH("BLUE US Equity","FIXED_ASSETS_SEQUENTIAL_GROWTH","FQ1 2022","FQ1 2022","Currency=USD","Period=FQ","BEST_FPERIOD_OVERRIDE=FQ","FILING_STATUS=MR","Sort=A","Dates=H","DateFormat=P","Fill=—","Direction=H","UseDPDF=Y")</f>
        <v>21.625299999999999</v>
      </c>
      <c r="Q59" s="14">
        <f>_xll.BDH("BLUE US Equity","FIXED_ASSETS_SEQUENTIAL_GROWTH","FQ2 2022","FQ2 2022","Currency=USD","Period=FQ","BEST_FPERIOD_OVERRIDE=FQ","FILING_STATUS=MR","Sort=A","Dates=H","DateFormat=P","Fill=—","Direction=H","UseDPDF=Y")</f>
        <v>149.5692</v>
      </c>
      <c r="R59" s="14">
        <f>_xll.BDH("BLUE US Equity","FIXED_ASSETS_SEQUENTIAL_GROWTH","FQ3 2022","FQ3 2022","Currency=USD","Period=FQ","BEST_FPERIOD_OVERRIDE=FQ","FILING_STATUS=MR","Sort=A","Dates=H","DateFormat=P","Fill=—","Direction=H","UseDPDF=Y")</f>
        <v>-2.3033000000000001</v>
      </c>
      <c r="S59" s="14">
        <f>_xll.BDH("BLUE US Equity","FIXED_ASSETS_SEQUENTIAL_GROWTH","FQ4 2022","FQ4 2022","Currency=USD","Period=FQ","BEST_FPERIOD_OVERRIDE=FQ","FILING_STATUS=MR","Sort=A","Dates=H","DateFormat=P","Fill=—","Direction=H","UseDPDF=Y")</f>
        <v>-0.56559999999999999</v>
      </c>
      <c r="T59" s="14">
        <f>_xll.BDH("BLUE US Equity","FIXED_ASSETS_SEQUENTIAL_GROWTH","FQ1 2023","FQ1 2023","Currency=USD","Period=FQ","BEST_FPERIOD_OVERRIDE=FQ","FILING_STATUS=MR","Sort=A","Dates=H","DateFormat=P","Fill=—","Direction=H","UseDPDF=Y")</f>
        <v>-6.5824999999999996</v>
      </c>
      <c r="U59" s="14">
        <f>_xll.BDH("BLUE US Equity","FIXED_ASSETS_SEQUENTIAL_GROWTH","FQ2 2023","FQ2 2023","Currency=USD","Period=FQ","BEST_FPERIOD_OVERRIDE=FQ","FILING_STATUS=MR","Sort=A","Dates=H","DateFormat=P","Fill=—","Direction=H","UseDPDF=Y")</f>
        <v>12.265499999999999</v>
      </c>
      <c r="V59" s="14">
        <f>_xll.BDH("BLUE US Equity","FIXED_ASSETS_SEQUENTIAL_GROWTH","FQ3 2023","FQ3 2023","Currency=USD","Period=FQ","BEST_FPERIOD_OVERRIDE=FQ","FILING_STATUS=MR","Sort=A","Dates=H","DateFormat=P","Fill=—","Direction=H","UseDPDF=Y")</f>
        <v>-2.6789000000000001</v>
      </c>
      <c r="W59" s="14">
        <f>_xll.BDH("BLUE US Equity","FIXED_ASSETS_SEQUENTIAL_GROWTH","FQ4 2023","FQ4 2023","Currency=USD","Period=FQ","BEST_FPERIOD_OVERRIDE=FQ","FILING_STATUS=MR","Sort=A","Dates=H","DateFormat=P","Fill=—","Direction=H","UseDPDF=Y")</f>
        <v>-12.3536</v>
      </c>
      <c r="X59" s="14">
        <f>_xll.BDH("BLUE US Equity","FIXED_ASSETS_SEQUENTIAL_GROWTH","FQ1 2024","FQ1 2024","Currency=USD","Period=FQ","BEST_FPERIOD_OVERRIDE=FQ","FILING_STATUS=MR","Sort=A","Dates=H","DateFormat=P","Fill=—","Direction=H","UseDPDF=Y")</f>
        <v>6.9372999999999996</v>
      </c>
      <c r="Y59" s="14">
        <f>_xll.BDH("BLUE US Equity","FIXED_ASSETS_SEQUENTIAL_GROWTH","FQ2 2024","FQ2 2024","Currency=USD","Period=FQ","BEST_FPERIOD_OVERRIDE=FQ","FILING_STATUS=MR","Sort=A","Dates=H","DateFormat=P","Fill=—","Direction=H","UseDPDF=Y")</f>
        <v>-6.1676000000000002</v>
      </c>
      <c r="Z59" s="14">
        <f>_xll.BDH("BLUE US Equity","FIXED_ASSETS_SEQUENTIAL_GROWTH","FQ3 2024","FQ3 2024","Currency=USD","Period=FQ","BEST_FPERIOD_OVERRIDE=FQ","FILING_STATUS=MR","Sort=A","Dates=H","DateFormat=P","Fill=—","Direction=H","UseDPDF=Y")</f>
        <v>-8.3112999999999992</v>
      </c>
      <c r="AA59" s="14">
        <f>_xll.BDH("BLUE US Equity","FIXED_ASSETS_SEQUENTIAL_GROWTH","FQ4 2024","FQ4 2024","Currency=USD","Period=FQ","BEST_FPERIOD_OVERRIDE=FQ","FILING_STATUS=MR","Sort=A","Dates=H","DateFormat=P","Fill=—","Direction=H","UseDPDF=Y")</f>
        <v>-3.2397999999999998</v>
      </c>
    </row>
    <row r="60" spans="1:27" x14ac:dyDescent="0.25">
      <c r="A60" s="10" t="s">
        <v>112</v>
      </c>
      <c r="B60" s="10" t="s">
        <v>1325</v>
      </c>
      <c r="C60" s="14">
        <f>_xll.BDH("BLUE US Equity","TOTAL_ASSETS_SEQUENTIAL_GROWTH","FQ4 2018","FQ4 2018","Currency=USD","Period=FQ","BEST_FPERIOD_OVERRIDE=FQ","FILING_STATUS=MR","Sort=A","Dates=H","DateFormat=P","Fill=—","Direction=H","UseDPDF=Y")</f>
        <v>-4.6323999999999996</v>
      </c>
      <c r="D60" s="14">
        <f>_xll.BDH("BLUE US Equity","TOTAL_ASSETS_SEQUENTIAL_GROWTH","FQ1 2019","FQ1 2019","Currency=USD","Period=FQ","BEST_FPERIOD_OVERRIDE=FQ","FILING_STATUS=MR","Sort=A","Dates=H","DateFormat=P","Fill=—","Direction=H","UseDPDF=Y")</f>
        <v>-4.6471999999999998</v>
      </c>
      <c r="E60" s="14">
        <f>_xll.BDH("BLUE US Equity","TOTAL_ASSETS_SEQUENTIAL_GROWTH","FQ2 2019","FQ2 2019","Currency=USD","Period=FQ","BEST_FPERIOD_OVERRIDE=FQ","FILING_STATUS=MR","Sort=A","Dates=H","DateFormat=P","Fill=—","Direction=H","UseDPDF=Y")</f>
        <v>-5.39</v>
      </c>
      <c r="F60" s="14">
        <f>_xll.BDH("BLUE US Equity","TOTAL_ASSETS_SEQUENTIAL_GROWTH","FQ3 2019","FQ3 2019","Currency=USD","Period=FQ","BEST_FPERIOD_OVERRIDE=FQ","FILING_STATUS=MR","Sort=A","Dates=H","DateFormat=P","Fill=—","Direction=H","UseDPDF=Y")</f>
        <v>-6.4806999999999997</v>
      </c>
      <c r="G60" s="14">
        <f>_xll.BDH("BLUE US Equity","TOTAL_ASSETS_SEQUENTIAL_GROWTH","FQ4 2019","FQ4 2019","Currency=USD","Period=FQ","BEST_FPERIOD_OVERRIDE=FQ","FILING_STATUS=MR","Sort=A","Dates=H","DateFormat=P","Fill=—","Direction=H","UseDPDF=Y")</f>
        <v>-8.7089999999999996</v>
      </c>
      <c r="H60" s="14">
        <f>_xll.BDH("BLUE US Equity","TOTAL_ASSETS_SEQUENTIAL_GROWTH","FQ1 2020","FQ1 2020","Currency=USD","Period=FQ","BEST_FPERIOD_OVERRIDE=FQ","FILING_STATUS=MR","Sort=A","Dates=H","DateFormat=P","Fill=—","Direction=H","UseDPDF=Y")</f>
        <v>-11.480700000000001</v>
      </c>
      <c r="I60" s="14">
        <f>_xll.BDH("BLUE US Equity","TOTAL_ASSETS_SEQUENTIAL_GROWTH","FQ2 2020","FQ2 2020","Currency=USD","Period=FQ","BEST_FPERIOD_OVERRIDE=FQ","FILING_STATUS=MR","Sort=A","Dates=H","DateFormat=P","Fill=—","Direction=H","UseDPDF=Y")</f>
        <v>37.844799999999999</v>
      </c>
      <c r="J60" s="14">
        <f>_xll.BDH("BLUE US Equity","TOTAL_ASSETS_SEQUENTIAL_GROWTH","FQ3 2020","FQ3 2020","Currency=USD","Period=FQ","BEST_FPERIOD_OVERRIDE=FQ","FILING_STATUS=MR","Sort=A","Dates=H","DateFormat=P","Fill=—","Direction=H","UseDPDF=Y")</f>
        <v>-7.7003000000000004</v>
      </c>
      <c r="K60" s="14">
        <f>_xll.BDH("BLUE US Equity","TOTAL_ASSETS_SEQUENTIAL_GROWTH","FQ4 2020","FQ4 2020","Currency=USD","Period=FQ","BEST_FPERIOD_OVERRIDE=FQ","FILING_STATUS=MR","Sort=A","Dates=H","DateFormat=P","Fill=—","Direction=H","UseDPDF=Y")</f>
        <v>-8.4417000000000009</v>
      </c>
      <c r="L60" s="14">
        <f>_xll.BDH("BLUE US Equity","TOTAL_ASSETS_SEQUENTIAL_GROWTH","FQ1 2021","FQ1 2021","Currency=USD","Period=FQ","BEST_FPERIOD_OVERRIDE=FQ","FILING_STATUS=MR","Sort=A","Dates=H","DateFormat=P","Fill=—","Direction=H","UseDPDF=Y")</f>
        <v>-8.0827000000000009</v>
      </c>
      <c r="M60" s="14">
        <f>_xll.BDH("BLUE US Equity","TOTAL_ASSETS_SEQUENTIAL_GROWTH","FQ2 2021","FQ2 2021","Currency=USD","Period=FQ","BEST_FPERIOD_OVERRIDE=FQ","FILING_STATUS=MR","Sort=A","Dates=H","DateFormat=P","Fill=—","Direction=H","UseDPDF=Y")</f>
        <v>-11.1661</v>
      </c>
      <c r="N60" s="14">
        <f>_xll.BDH("BLUE US Equity","TOTAL_ASSETS_SEQUENTIAL_GROWTH","FQ3 2021","FQ3 2021","Currency=USD","Period=FQ","BEST_FPERIOD_OVERRIDE=FQ","FILING_STATUS=MR","Sort=A","Dates=H","DateFormat=P","Fill=—","Direction=H","UseDPDF=Y")</f>
        <v>-7.8940000000000001</v>
      </c>
      <c r="O60" s="14">
        <f>_xll.BDH("BLUE US Equity","TOTAL_ASSETS_SEQUENTIAL_GROWTH","FQ4 2021","FQ4 2021","Currency=USD","Period=FQ","BEST_FPERIOD_OVERRIDE=FQ","FILING_STATUS=MR","Sort=A","Dates=H","DateFormat=P","Fill=—","Direction=H","UseDPDF=Y")</f>
        <v>-55.675199999999997</v>
      </c>
      <c r="P60" s="14">
        <f>_xll.BDH("BLUE US Equity","TOTAL_ASSETS_SEQUENTIAL_GROWTH","FQ1 2022","FQ1 2022","Currency=USD","Period=FQ","BEST_FPERIOD_OVERRIDE=FQ","FILING_STATUS=MR","Sort=A","Dates=H","DateFormat=P","Fill=—","Direction=H","UseDPDF=Y")</f>
        <v>-17.299600000000002</v>
      </c>
      <c r="Q60" s="14">
        <f>_xll.BDH("BLUE US Equity","TOTAL_ASSETS_SEQUENTIAL_GROWTH","FQ2 2022","FQ2 2022","Currency=USD","Period=FQ","BEST_FPERIOD_OVERRIDE=FQ","FILING_STATUS=MR","Sort=A","Dates=H","DateFormat=P","Fill=—","Direction=H","UseDPDF=Y")</f>
        <v>16.804300000000001</v>
      </c>
      <c r="R60" s="14">
        <f>_xll.BDH("BLUE US Equity","TOTAL_ASSETS_SEQUENTIAL_GROWTH","FQ3 2022","FQ3 2022","Currency=USD","Period=FQ","BEST_FPERIOD_OVERRIDE=FQ","FILING_STATUS=MR","Sort=A","Dates=H","DateFormat=P","Fill=—","Direction=H","UseDPDF=Y")</f>
        <v>-9.3261000000000003</v>
      </c>
      <c r="S60" s="14">
        <f>_xll.BDH("BLUE US Equity","TOTAL_ASSETS_SEQUENTIAL_GROWTH","FQ4 2022","FQ4 2022","Currency=USD","Period=FQ","BEST_FPERIOD_OVERRIDE=FQ","FILING_STATUS=MR","Sort=A","Dates=H","DateFormat=P","Fill=—","Direction=H","UseDPDF=Y")</f>
        <v>9.5589999999999993</v>
      </c>
      <c r="T60" s="14">
        <f>_xll.BDH("BLUE US Equity","TOTAL_ASSETS_SEQUENTIAL_GROWTH","FQ1 2023","FQ1 2023","Currency=USD","Period=FQ","BEST_FPERIOD_OVERRIDE=FQ","FILING_STATUS=MR","Sort=A","Dates=H","DateFormat=P","Fill=—","Direction=H","UseDPDF=Y")</f>
        <v>21.572299999999998</v>
      </c>
      <c r="U60" s="14">
        <f>_xll.BDH("BLUE US Equity","TOTAL_ASSETS_SEQUENTIAL_GROWTH","FQ2 2023","FQ2 2023","Currency=USD","Period=FQ","BEST_FPERIOD_OVERRIDE=FQ","FILING_STATUS=MR","Sort=A","Dates=H","DateFormat=P","Fill=—","Direction=H","UseDPDF=Y")</f>
        <v>-4.2358000000000002</v>
      </c>
      <c r="V60" s="14">
        <f>_xll.BDH("BLUE US Equity","TOTAL_ASSETS_SEQUENTIAL_GROWTH","FQ3 2023","FQ3 2023","Currency=USD","Period=FQ","BEST_FPERIOD_OVERRIDE=FQ","FILING_STATUS=MR","Sort=A","Dates=H","DateFormat=P","Fill=—","Direction=H","UseDPDF=Y")</f>
        <v>-7.5045999999999999</v>
      </c>
      <c r="W60" s="14">
        <f>_xll.BDH("BLUE US Equity","TOTAL_ASSETS_SEQUENTIAL_GROWTH","FQ4 2023","FQ4 2023","Currency=USD","Period=FQ","BEST_FPERIOD_OVERRIDE=FQ","FILING_STATUS=MR","Sort=A","Dates=H","DateFormat=P","Fill=—","Direction=H","UseDPDF=Y")</f>
        <v>0.90500000000000003</v>
      </c>
      <c r="X60" s="14">
        <f>_xll.BDH("BLUE US Equity","TOTAL_ASSETS_SEQUENTIAL_GROWTH","FQ1 2024","FQ1 2024","Currency=USD","Period=FQ","BEST_FPERIOD_OVERRIDE=FQ","FILING_STATUS=MR","Sort=A","Dates=H","DateFormat=P","Fill=—","Direction=H","UseDPDF=Y")</f>
        <v>1.9901</v>
      </c>
      <c r="Y60" s="14">
        <f>_xll.BDH("BLUE US Equity","TOTAL_ASSETS_SEQUENTIAL_GROWTH","FQ2 2024","FQ2 2024","Currency=USD","Period=FQ","BEST_FPERIOD_OVERRIDE=FQ","FILING_STATUS=MR","Sort=A","Dates=H","DateFormat=P","Fill=—","Direction=H","UseDPDF=Y")</f>
        <v>-13.6647</v>
      </c>
      <c r="Z60" s="14">
        <f>_xll.BDH("BLUE US Equity","TOTAL_ASSETS_SEQUENTIAL_GROWTH","FQ3 2024","FQ3 2024","Currency=USD","Period=FQ","BEST_FPERIOD_OVERRIDE=FQ","FILING_STATUS=MR","Sort=A","Dates=H","DateFormat=P","Fill=—","Direction=H","UseDPDF=Y")</f>
        <v>-14.6988</v>
      </c>
      <c r="AA60" s="14">
        <f>_xll.BDH("BLUE US Equity","TOTAL_ASSETS_SEQUENTIAL_GROWTH","FQ4 2024","FQ4 2024","Currency=USD","Period=FQ","BEST_FPERIOD_OVERRIDE=FQ","FILING_STATUS=MR","Sort=A","Dates=H","DateFormat=P","Fill=—","Direction=H","UseDPDF=Y")</f>
        <v>-1.0373000000000001</v>
      </c>
    </row>
    <row r="61" spans="1:27" x14ac:dyDescent="0.25">
      <c r="A61" s="10" t="s">
        <v>1279</v>
      </c>
      <c r="B61" s="10" t="s">
        <v>1326</v>
      </c>
      <c r="C61" s="14" t="str">
        <f>_xll.BDH("BLUE US Equity","MODIFIED_WORKING_CPTL_SEQ_GRWTH","FQ4 2018","FQ4 2018","Currency=USD","Period=FQ","BEST_FPERIOD_OVERRIDE=FQ","FILING_STATUS=MR","Sort=A","Dates=H","DateFormat=P","Fill=—","Direction=H","UseDPDF=Y")</f>
        <v>—</v>
      </c>
      <c r="D61" s="14" t="str">
        <f>_xll.BDH("BLUE US Equity","MODIFIED_WORKING_CPTL_SEQ_GRWTH","FQ1 2019","FQ1 2019","Currency=USD","Period=FQ","BEST_FPERIOD_OVERRIDE=FQ","FILING_STATUS=MR","Sort=A","Dates=H","DateFormat=P","Fill=—","Direction=H","UseDPDF=Y")</f>
        <v>—</v>
      </c>
      <c r="E61" s="14" t="str">
        <f>_xll.BDH("BLUE US Equity","MODIFIED_WORKING_CPTL_SEQ_GRWTH","FQ2 2019","FQ2 2019","Currency=USD","Period=FQ","BEST_FPERIOD_OVERRIDE=FQ","FILING_STATUS=MR","Sort=A","Dates=H","DateFormat=P","Fill=—","Direction=H","UseDPDF=Y")</f>
        <v>—</v>
      </c>
      <c r="F61" s="14" t="str">
        <f>_xll.BDH("BLUE US Equity","MODIFIED_WORKING_CPTL_SEQ_GRWTH","FQ3 2019","FQ3 2019","Currency=USD","Period=FQ","BEST_FPERIOD_OVERRIDE=FQ","FILING_STATUS=MR","Sort=A","Dates=H","DateFormat=P","Fill=—","Direction=H","UseDPDF=Y")</f>
        <v>—</v>
      </c>
      <c r="G61" s="14" t="str">
        <f>_xll.BDH("BLUE US Equity","MODIFIED_WORKING_CPTL_SEQ_GRWTH","FQ4 2019","FQ4 2019","Currency=USD","Period=FQ","BEST_FPERIOD_OVERRIDE=FQ","FILING_STATUS=MR","Sort=A","Dates=H","DateFormat=P","Fill=—","Direction=H","UseDPDF=Y")</f>
        <v>—</v>
      </c>
      <c r="H61" s="14" t="str">
        <f>_xll.BDH("BLUE US Equity","MODIFIED_WORKING_CPTL_SEQ_GRWTH","FQ1 2020","FQ1 2020","Currency=USD","Period=FQ","BEST_FPERIOD_OVERRIDE=FQ","FILING_STATUS=MR","Sort=A","Dates=H","DateFormat=P","Fill=—","Direction=H","UseDPDF=Y")</f>
        <v>—</v>
      </c>
      <c r="I61" s="14" t="str">
        <f>_xll.BDH("BLUE US Equity","MODIFIED_WORKING_CPTL_SEQ_GRWTH","FQ2 2020","FQ2 2020","Currency=USD","Period=FQ","BEST_FPERIOD_OVERRIDE=FQ","FILING_STATUS=MR","Sort=A","Dates=H","DateFormat=P","Fill=—","Direction=H","UseDPDF=Y")</f>
        <v>—</v>
      </c>
      <c r="J61" s="14" t="str">
        <f>_xll.BDH("BLUE US Equity","MODIFIED_WORKING_CPTL_SEQ_GRWTH","FQ3 2020","FQ3 2020","Currency=USD","Period=FQ","BEST_FPERIOD_OVERRIDE=FQ","FILING_STATUS=MR","Sort=A","Dates=H","DateFormat=P","Fill=—","Direction=H","UseDPDF=Y")</f>
        <v>—</v>
      </c>
      <c r="K61" s="14" t="str">
        <f>_xll.BDH("BLUE US Equity","MODIFIED_WORKING_CPTL_SEQ_GRWTH","FQ4 2020","FQ4 2020","Currency=USD","Period=FQ","BEST_FPERIOD_OVERRIDE=FQ","FILING_STATUS=MR","Sort=A","Dates=H","DateFormat=P","Fill=—","Direction=H","UseDPDF=Y")</f>
        <v>—</v>
      </c>
      <c r="L61" s="14" t="str">
        <f>_xll.BDH("BLUE US Equity","MODIFIED_WORKING_CPTL_SEQ_GRWTH","FQ1 2021","FQ1 2021","Currency=USD","Period=FQ","BEST_FPERIOD_OVERRIDE=FQ","FILING_STATUS=MR","Sort=A","Dates=H","DateFormat=P","Fill=—","Direction=H","UseDPDF=Y")</f>
        <v>—</v>
      </c>
      <c r="M61" s="14" t="str">
        <f>_xll.BDH("BLUE US Equity","MODIFIED_WORKING_CPTL_SEQ_GRWTH","FQ2 2021","FQ2 2021","Currency=USD","Period=FQ","BEST_FPERIOD_OVERRIDE=FQ","FILING_STATUS=MR","Sort=A","Dates=H","DateFormat=P","Fill=—","Direction=H","UseDPDF=Y")</f>
        <v>—</v>
      </c>
      <c r="N61" s="14" t="str">
        <f>_xll.BDH("BLUE US Equity","MODIFIED_WORKING_CPTL_SEQ_GRWTH","FQ3 2021","FQ3 2021","Currency=USD","Period=FQ","BEST_FPERIOD_OVERRIDE=FQ","FILING_STATUS=MR","Sort=A","Dates=H","DateFormat=P","Fill=—","Direction=H","UseDPDF=Y")</f>
        <v>—</v>
      </c>
      <c r="O61" s="14" t="str">
        <f>_xll.BDH("BLUE US Equity","MODIFIED_WORKING_CPTL_SEQ_GRWTH","FQ4 2021","FQ4 2021","Currency=USD","Period=FQ","BEST_FPERIOD_OVERRIDE=FQ","FILING_STATUS=MR","Sort=A","Dates=H","DateFormat=P","Fill=—","Direction=H","UseDPDF=Y")</f>
        <v>—</v>
      </c>
      <c r="P61" s="14" t="str">
        <f>_xll.BDH("BLUE US Equity","MODIFIED_WORKING_CPTL_SEQ_GRWTH","FQ1 2022","FQ1 2022","Currency=USD","Period=FQ","BEST_FPERIOD_OVERRIDE=FQ","FILING_STATUS=MR","Sort=A","Dates=H","DateFormat=P","Fill=—","Direction=H","UseDPDF=Y")</f>
        <v>—</v>
      </c>
      <c r="Q61" s="14" t="str">
        <f>_xll.BDH("BLUE US Equity","MODIFIED_WORKING_CPTL_SEQ_GRWTH","FQ2 2022","FQ2 2022","Currency=USD","Period=FQ","BEST_FPERIOD_OVERRIDE=FQ","FILING_STATUS=MR","Sort=A","Dates=H","DateFormat=P","Fill=—","Direction=H","UseDPDF=Y")</f>
        <v>—</v>
      </c>
      <c r="R61" s="14" t="str">
        <f>_xll.BDH("BLUE US Equity","MODIFIED_WORKING_CPTL_SEQ_GRWTH","FQ3 2022","FQ3 2022","Currency=USD","Period=FQ","BEST_FPERIOD_OVERRIDE=FQ","FILING_STATUS=MR","Sort=A","Dates=H","DateFormat=P","Fill=—","Direction=H","UseDPDF=Y")</f>
        <v>—</v>
      </c>
      <c r="S61" s="14" t="str">
        <f>_xll.BDH("BLUE US Equity","MODIFIED_WORKING_CPTL_SEQ_GRWTH","FQ4 2022","FQ4 2022","Currency=USD","Period=FQ","BEST_FPERIOD_OVERRIDE=FQ","FILING_STATUS=MR","Sort=A","Dates=H","DateFormat=P","Fill=—","Direction=H","UseDPDF=Y")</f>
        <v>—</v>
      </c>
      <c r="T61" s="14" t="str">
        <f>_xll.BDH("BLUE US Equity","MODIFIED_WORKING_CPTL_SEQ_GRWTH","FQ1 2023","FQ1 2023","Currency=USD","Period=FQ","BEST_FPERIOD_OVERRIDE=FQ","FILING_STATUS=MR","Sort=A","Dates=H","DateFormat=P","Fill=—","Direction=H","UseDPDF=Y")</f>
        <v>—</v>
      </c>
      <c r="U61" s="14" t="str">
        <f>_xll.BDH("BLUE US Equity","MODIFIED_WORKING_CPTL_SEQ_GRWTH","FQ2 2023","FQ2 2023","Currency=USD","Period=FQ","BEST_FPERIOD_OVERRIDE=FQ","FILING_STATUS=MR","Sort=A","Dates=H","DateFormat=P","Fill=—","Direction=H","UseDPDF=Y")</f>
        <v>—</v>
      </c>
      <c r="V61" s="14">
        <f>_xll.BDH("BLUE US Equity","MODIFIED_WORKING_CPTL_SEQ_GRWTH","FQ3 2023","FQ3 2023","Currency=USD","Period=FQ","BEST_FPERIOD_OVERRIDE=FQ","FILING_STATUS=MR","Sort=A","Dates=H","DateFormat=P","Fill=—","Direction=H","UseDPDF=Y")</f>
        <v>777.62009999999998</v>
      </c>
      <c r="W61" s="14">
        <f>_xll.BDH("BLUE US Equity","MODIFIED_WORKING_CPTL_SEQ_GRWTH","FQ4 2023","FQ4 2023","Currency=USD","Period=FQ","BEST_FPERIOD_OVERRIDE=FQ","FILING_STATUS=MR","Sort=A","Dates=H","DateFormat=P","Fill=—","Direction=H","UseDPDF=Y")</f>
        <v>-81.668499999999995</v>
      </c>
      <c r="X61" s="14">
        <f>_xll.BDH("BLUE US Equity","MODIFIED_WORKING_CPTL_SEQ_GRWTH","FQ1 2024","FQ1 2024","Currency=USD","Period=FQ","BEST_FPERIOD_OVERRIDE=FQ","FILING_STATUS=MR","Sort=A","Dates=H","DateFormat=P","Fill=—","Direction=H","UseDPDF=Y")</f>
        <v>146.95769999999999</v>
      </c>
      <c r="Y61" s="14">
        <f>_xll.BDH("BLUE US Equity","MODIFIED_WORKING_CPTL_SEQ_GRWTH","FQ2 2024","FQ2 2024","Currency=USD","Period=FQ","BEST_FPERIOD_OVERRIDE=FQ","FILING_STATUS=MR","Sort=A","Dates=H","DateFormat=P","Fill=—","Direction=H","UseDPDF=Y")</f>
        <v>-74.912999999999997</v>
      </c>
      <c r="Z61" s="14">
        <f>_xll.BDH("BLUE US Equity","MODIFIED_WORKING_CPTL_SEQ_GRWTH","FQ3 2024","FQ3 2024","Currency=USD","Period=FQ","BEST_FPERIOD_OVERRIDE=FQ","FILING_STATUS=MR","Sort=A","Dates=H","DateFormat=P","Fill=—","Direction=H","UseDPDF=Y")</f>
        <v>975.68460000000005</v>
      </c>
      <c r="AA61" s="14">
        <f>_xll.BDH("BLUE US Equity","MODIFIED_WORKING_CPTL_SEQ_GRWTH","FQ4 2024","FQ4 2024","Currency=USD","Period=FQ","BEST_FPERIOD_OVERRIDE=FQ","FILING_STATUS=MR","Sort=A","Dates=H","DateFormat=P","Fill=—","Direction=H","UseDPDF=Y")</f>
        <v>4.2019000000000002</v>
      </c>
    </row>
    <row r="62" spans="1:27" x14ac:dyDescent="0.25">
      <c r="A62" s="10" t="s">
        <v>1281</v>
      </c>
      <c r="B62" s="10" t="s">
        <v>1327</v>
      </c>
      <c r="C62" s="14">
        <f>_xll.BDH("BLUE US Equity","WORKING_CAPITAL_SEQ_GROWTH","FQ4 2018","FQ4 2018","Currency=USD","Period=FQ","BEST_FPERIOD_OVERRIDE=FQ","FILING_STATUS=MR","Sort=A","Dates=H","DateFormat=P","Fill=—","Direction=H","UseDPDF=Y")</f>
        <v>-20.150500000000001</v>
      </c>
      <c r="D62" s="14">
        <f>_xll.BDH("BLUE US Equity","WORKING_CAPITAL_SEQ_GROWTH","FQ1 2019","FQ1 2019","Currency=USD","Period=FQ","BEST_FPERIOD_OVERRIDE=FQ","FILING_STATUS=MR","Sort=A","Dates=H","DateFormat=P","Fill=—","Direction=H","UseDPDF=Y")</f>
        <v>-4.2610999999999999</v>
      </c>
      <c r="E62" s="14">
        <f>_xll.BDH("BLUE US Equity","WORKING_CAPITAL_SEQ_GROWTH","FQ2 2019","FQ2 2019","Currency=USD","Period=FQ","BEST_FPERIOD_OVERRIDE=FQ","FILING_STATUS=MR","Sort=A","Dates=H","DateFormat=P","Fill=—","Direction=H","UseDPDF=Y")</f>
        <v>-6.5392000000000001</v>
      </c>
      <c r="F62" s="14">
        <f>_xll.BDH("BLUE US Equity","WORKING_CAPITAL_SEQ_GROWTH","FQ3 2019","FQ3 2019","Currency=USD","Period=FQ","BEST_FPERIOD_OVERRIDE=FQ","FILING_STATUS=MR","Sort=A","Dates=H","DateFormat=P","Fill=—","Direction=H","UseDPDF=Y")</f>
        <v>-10.070499999999999</v>
      </c>
      <c r="G62" s="14">
        <f>_xll.BDH("BLUE US Equity","WORKING_CAPITAL_SEQ_GROWTH","FQ4 2019","FQ4 2019","Currency=USD","Period=FQ","BEST_FPERIOD_OVERRIDE=FQ","FILING_STATUS=MR","Sort=A","Dates=H","DateFormat=P","Fill=—","Direction=H","UseDPDF=Y")</f>
        <v>-9.3170999999999999</v>
      </c>
      <c r="H62" s="14">
        <f>_xll.BDH("BLUE US Equity","WORKING_CAPITAL_SEQ_GROWTH","FQ1 2020","FQ1 2020","Currency=USD","Period=FQ","BEST_FPERIOD_OVERRIDE=FQ","FILING_STATUS=MR","Sort=A","Dates=H","DateFormat=P","Fill=—","Direction=H","UseDPDF=Y")</f>
        <v>-15.674099999999999</v>
      </c>
      <c r="I62" s="14">
        <f>_xll.BDH("BLUE US Equity","WORKING_CAPITAL_SEQ_GROWTH","FQ2 2020","FQ2 2020","Currency=USD","Period=FQ","BEST_FPERIOD_OVERRIDE=FQ","FILING_STATUS=MR","Sort=A","Dates=H","DateFormat=P","Fill=—","Direction=H","UseDPDF=Y")</f>
        <v>80.866200000000006</v>
      </c>
      <c r="J62" s="14">
        <f>_xll.BDH("BLUE US Equity","WORKING_CAPITAL_SEQ_GROWTH","FQ3 2020","FQ3 2020","Currency=USD","Period=FQ","BEST_FPERIOD_OVERRIDE=FQ","FILING_STATUS=MR","Sort=A","Dates=H","DateFormat=P","Fill=—","Direction=H","UseDPDF=Y")</f>
        <v>-22.593</v>
      </c>
      <c r="K62" s="14">
        <f>_xll.BDH("BLUE US Equity","WORKING_CAPITAL_SEQ_GROWTH","FQ4 2020","FQ4 2020","Currency=USD","Period=FQ","BEST_FPERIOD_OVERRIDE=FQ","FILING_STATUS=MR","Sort=A","Dates=H","DateFormat=P","Fill=—","Direction=H","UseDPDF=Y")</f>
        <v>-7.6931000000000003</v>
      </c>
      <c r="L62" s="14">
        <f>_xll.BDH("BLUE US Equity","WORKING_CAPITAL_SEQ_GROWTH","FQ1 2021","FQ1 2021","Currency=USD","Period=FQ","BEST_FPERIOD_OVERRIDE=FQ","FILING_STATUS=MR","Sort=A","Dates=H","DateFormat=P","Fill=—","Direction=H","UseDPDF=Y")</f>
        <v>-11.930300000000001</v>
      </c>
      <c r="M62" s="14">
        <f>_xll.BDH("BLUE US Equity","WORKING_CAPITAL_SEQ_GROWTH","FQ2 2021","FQ2 2021","Currency=USD","Period=FQ","BEST_FPERIOD_OVERRIDE=FQ","FILING_STATUS=MR","Sort=A","Dates=H","DateFormat=P","Fill=—","Direction=H","UseDPDF=Y")</f>
        <v>-26.419899999999998</v>
      </c>
      <c r="N62" s="14">
        <f>_xll.BDH("BLUE US Equity","WORKING_CAPITAL_SEQ_GROWTH","FQ3 2021","FQ3 2021","Currency=USD","Period=FQ","BEST_FPERIOD_OVERRIDE=FQ","FILING_STATUS=MR","Sort=A","Dates=H","DateFormat=P","Fill=—","Direction=H","UseDPDF=Y")</f>
        <v>-13.723699999999999</v>
      </c>
      <c r="O62" s="14">
        <f>_xll.BDH("BLUE US Equity","WORKING_CAPITAL_SEQ_GROWTH","FQ4 2021","FQ4 2021","Currency=USD","Period=FQ","BEST_FPERIOD_OVERRIDE=FQ","FILING_STATUS=MR","Sort=A","Dates=H","DateFormat=P","Fill=—","Direction=H","UseDPDF=Y")</f>
        <v>-67.561300000000003</v>
      </c>
      <c r="P62" s="14">
        <f>_xll.BDH("BLUE US Equity","WORKING_CAPITAL_SEQ_GROWTH","FQ1 2022","FQ1 2022","Currency=USD","Period=FQ","BEST_FPERIOD_OVERRIDE=FQ","FILING_STATUS=MR","Sort=A","Dates=H","DateFormat=P","Fill=—","Direction=H","UseDPDF=Y")</f>
        <v>-38.959899999999998</v>
      </c>
      <c r="Q62" s="14">
        <f>_xll.BDH("BLUE US Equity","WORKING_CAPITAL_SEQ_GROWTH","FQ2 2022","FQ2 2022","Currency=USD","Period=FQ","BEST_FPERIOD_OVERRIDE=FQ","FILING_STATUS=MR","Sort=A","Dates=H","DateFormat=P","Fill=—","Direction=H","UseDPDF=Y")</f>
        <v>-83.399199999999993</v>
      </c>
      <c r="R62" s="14">
        <f>_xll.BDH("BLUE US Equity","WORKING_CAPITAL_SEQ_GROWTH","FQ3 2022","FQ3 2022","Currency=USD","Period=FQ","BEST_FPERIOD_OVERRIDE=FQ","FILING_STATUS=MR","Sort=A","Dates=H","DateFormat=P","Fill=—","Direction=H","UseDPDF=Y")</f>
        <v>81.271199999999993</v>
      </c>
      <c r="S62" s="14">
        <f>_xll.BDH("BLUE US Equity","WORKING_CAPITAL_SEQ_GROWTH","FQ4 2022","FQ4 2022","Currency=USD","Period=FQ","BEST_FPERIOD_OVERRIDE=FQ","FILING_STATUS=MR","Sort=A","Dates=H","DateFormat=P","Fill=—","Direction=H","UseDPDF=Y")</f>
        <v>39.3996</v>
      </c>
      <c r="T62" s="14">
        <f>_xll.BDH("BLUE US Equity","WORKING_CAPITAL_SEQ_GROWTH","FQ1 2023","FQ1 2023","Currency=USD","Period=FQ","BEST_FPERIOD_OVERRIDE=FQ","FILING_STATUS=MR","Sort=A","Dates=H","DateFormat=P","Fill=—","Direction=H","UseDPDF=Y")</f>
        <v>400.36810000000003</v>
      </c>
      <c r="U62" s="14">
        <f>_xll.BDH("BLUE US Equity","WORKING_CAPITAL_SEQ_GROWTH","FQ2 2023","FQ2 2023","Currency=USD","Period=FQ","BEST_FPERIOD_OVERRIDE=FQ","FILING_STATUS=MR","Sort=A","Dates=H","DateFormat=P","Fill=—","Direction=H","UseDPDF=Y")</f>
        <v>-34.948399999999999</v>
      </c>
      <c r="V62" s="14">
        <f>_xll.BDH("BLUE US Equity","WORKING_CAPITAL_SEQ_GROWTH","FQ3 2023","FQ3 2023","Currency=USD","Period=FQ","BEST_FPERIOD_OVERRIDE=FQ","FILING_STATUS=MR","Sort=A","Dates=H","DateFormat=P","Fill=—","Direction=H","UseDPDF=Y")</f>
        <v>-42.391199999999998</v>
      </c>
      <c r="W62" s="14">
        <f>_xll.BDH("BLUE US Equity","WORKING_CAPITAL_SEQ_GROWTH","FQ4 2023","FQ4 2023","Currency=USD","Period=FQ","BEST_FPERIOD_OVERRIDE=FQ","FILING_STATUS=MR","Sort=A","Dates=H","DateFormat=P","Fill=—","Direction=H","UseDPDF=Y")</f>
        <v>-7.4297000000000004</v>
      </c>
      <c r="X62" s="14">
        <f>_xll.BDH("BLUE US Equity","WORKING_CAPITAL_SEQ_GROWTH","FQ1 2024","FQ1 2024","Currency=USD","Period=FQ","BEST_FPERIOD_OVERRIDE=FQ","FILING_STATUS=MR","Sort=A","Dates=H","DateFormat=P","Fill=—","Direction=H","UseDPDF=Y")</f>
        <v>-126.9357</v>
      </c>
      <c r="Y62" s="14" t="str">
        <f>_xll.BDH("BLUE US Equity","WORKING_CAPITAL_SEQ_GROWTH","FQ2 2024","FQ2 2024","Currency=USD","Period=FQ","BEST_FPERIOD_OVERRIDE=FQ","FILING_STATUS=MR","Sort=A","Dates=H","DateFormat=P","Fill=—","Direction=H","UseDPDF=Y")</f>
        <v>—</v>
      </c>
      <c r="Z62" s="14" t="str">
        <f>_xll.BDH("BLUE US Equity","WORKING_CAPITAL_SEQ_GROWTH","FQ3 2024","FQ3 2024","Currency=USD","Period=FQ","BEST_FPERIOD_OVERRIDE=FQ","FILING_STATUS=MR","Sort=A","Dates=H","DateFormat=P","Fill=—","Direction=H","UseDPDF=Y")</f>
        <v>—</v>
      </c>
      <c r="AA62" s="14" t="str">
        <f>_xll.BDH("BLUE US Equity","WORKING_CAPITAL_SEQ_GROWTH","FQ4 2024","FQ4 2024","Currency=USD","Period=FQ","BEST_FPERIOD_OVERRIDE=FQ","FILING_STATUS=MR","Sort=A","Dates=H","DateFormat=P","Fill=—","Direction=H","UseDPDF=Y")</f>
        <v>—</v>
      </c>
    </row>
    <row r="63" spans="1:27" x14ac:dyDescent="0.25">
      <c r="A63" s="10" t="s">
        <v>1285</v>
      </c>
      <c r="B63" s="10" t="s">
        <v>1328</v>
      </c>
      <c r="C63" s="14">
        <f>_xll.BDH("BLUE US Equity","ACCOUNTS_PAYABLE_SEQ_GROWTH","FQ4 2018","FQ4 2018","Currency=USD","Period=FQ","BEST_FPERIOD_OVERRIDE=FQ","FILING_STATUS=MR","Sort=A","Dates=H","DateFormat=P","Fill=—","Direction=H","UseDPDF=Y")</f>
        <v>38.321300000000001</v>
      </c>
      <c r="D63" s="14">
        <f>_xll.BDH("BLUE US Equity","ACCOUNTS_PAYABLE_SEQ_GROWTH","FQ1 2019","FQ1 2019","Currency=USD","Period=FQ","BEST_FPERIOD_OVERRIDE=FQ","FILING_STATUS=MR","Sort=A","Dates=H","DateFormat=P","Fill=—","Direction=H","UseDPDF=Y")</f>
        <v>69.597899999999996</v>
      </c>
      <c r="E63" s="14">
        <f>_xll.BDH("BLUE US Equity","ACCOUNTS_PAYABLE_SEQ_GROWTH","FQ2 2019","FQ2 2019","Currency=USD","Period=FQ","BEST_FPERIOD_OVERRIDE=FQ","FILING_STATUS=MR","Sort=A","Dates=H","DateFormat=P","Fill=—","Direction=H","UseDPDF=Y")</f>
        <v>-2.5891999999999999</v>
      </c>
      <c r="F63" s="14">
        <f>_xll.BDH("BLUE US Equity","ACCOUNTS_PAYABLE_SEQ_GROWTH","FQ3 2019","FQ3 2019","Currency=USD","Period=FQ","BEST_FPERIOD_OVERRIDE=FQ","FILING_STATUS=MR","Sort=A","Dates=H","DateFormat=P","Fill=—","Direction=H","UseDPDF=Y")</f>
        <v>42.148099999999999</v>
      </c>
      <c r="G63" s="14">
        <f>_xll.BDH("BLUE US Equity","ACCOUNTS_PAYABLE_SEQ_GROWTH","FQ4 2019","FQ4 2019","Currency=USD","Period=FQ","BEST_FPERIOD_OVERRIDE=FQ","FILING_STATUS=MR","Sort=A","Dates=H","DateFormat=P","Fill=—","Direction=H","UseDPDF=Y")</f>
        <v>2.6770999999999998</v>
      </c>
      <c r="H63" s="14">
        <f>_xll.BDH("BLUE US Equity","ACCOUNTS_PAYABLE_SEQ_GROWTH","FQ1 2020","FQ1 2020","Currency=USD","Period=FQ","BEST_FPERIOD_OVERRIDE=FQ","FILING_STATUS=MR","Sort=A","Dates=H","DateFormat=P","Fill=—","Direction=H","UseDPDF=Y")</f>
        <v>-28.998699999999999</v>
      </c>
      <c r="I63" s="14">
        <f>_xll.BDH("BLUE US Equity","ACCOUNTS_PAYABLE_SEQ_GROWTH","FQ2 2020","FQ2 2020","Currency=USD","Period=FQ","BEST_FPERIOD_OVERRIDE=FQ","FILING_STATUS=MR","Sort=A","Dates=H","DateFormat=P","Fill=—","Direction=H","UseDPDF=Y")</f>
        <v>-14.236599999999999</v>
      </c>
      <c r="J63" s="14">
        <f>_xll.BDH("BLUE US Equity","ACCOUNTS_PAYABLE_SEQ_GROWTH","FQ3 2020","FQ3 2020","Currency=USD","Period=FQ","BEST_FPERIOD_OVERRIDE=FQ","FILING_STATUS=MR","Sort=A","Dates=H","DateFormat=P","Fill=—","Direction=H","UseDPDF=Y")</f>
        <v>-3.3307000000000002</v>
      </c>
      <c r="K63" s="14">
        <f>_xll.BDH("BLUE US Equity","ACCOUNTS_PAYABLE_SEQ_GROWTH","FQ4 2020","FQ4 2020","Currency=USD","Period=FQ","BEST_FPERIOD_OVERRIDE=FQ","FILING_STATUS=MR","Sort=A","Dates=H","DateFormat=P","Fill=—","Direction=H","UseDPDF=Y")</f>
        <v>-45.430500000000002</v>
      </c>
      <c r="L63" s="14">
        <f>_xll.BDH("BLUE US Equity","ACCOUNTS_PAYABLE_SEQ_GROWTH","FQ1 2021","FQ1 2021","Currency=USD","Period=FQ","BEST_FPERIOD_OVERRIDE=FQ","FILING_STATUS=MR","Sort=A","Dates=H","DateFormat=P","Fill=—","Direction=H","UseDPDF=Y")</f>
        <v>46.491900000000001</v>
      </c>
      <c r="M63" s="14">
        <f>_xll.BDH("BLUE US Equity","ACCOUNTS_PAYABLE_SEQ_GROWTH","FQ2 2021","FQ2 2021","Currency=USD","Period=FQ","BEST_FPERIOD_OVERRIDE=FQ","FILING_STATUS=MR","Sort=A","Dates=H","DateFormat=P","Fill=—","Direction=H","UseDPDF=Y")</f>
        <v>94.217100000000002</v>
      </c>
      <c r="N63" s="14">
        <f>_xll.BDH("BLUE US Equity","ACCOUNTS_PAYABLE_SEQ_GROWTH","FQ3 2021","FQ3 2021","Currency=USD","Period=FQ","BEST_FPERIOD_OVERRIDE=FQ","FILING_STATUS=MR","Sort=A","Dates=H","DateFormat=P","Fill=—","Direction=H","UseDPDF=Y")</f>
        <v>-44.856699999999996</v>
      </c>
      <c r="O63" s="14">
        <f>_xll.BDH("BLUE US Equity","ACCOUNTS_PAYABLE_SEQ_GROWTH","FQ4 2021","FQ4 2021","Currency=USD","Period=FQ","BEST_FPERIOD_OVERRIDE=FQ","FILING_STATUS=MR","Sort=A","Dates=H","DateFormat=P","Fill=—","Direction=H","UseDPDF=Y")</f>
        <v>19.4526</v>
      </c>
      <c r="P63" s="14">
        <f>_xll.BDH("BLUE US Equity","ACCOUNTS_PAYABLE_SEQ_GROWTH","FQ1 2022","FQ1 2022","Currency=USD","Period=FQ","BEST_FPERIOD_OVERRIDE=FQ","FILING_STATUS=MR","Sort=A","Dates=H","DateFormat=P","Fill=—","Direction=H","UseDPDF=Y")</f>
        <v>9.5313999999999997</v>
      </c>
      <c r="Q63" s="14">
        <f>_xll.BDH("BLUE US Equity","ACCOUNTS_PAYABLE_SEQ_GROWTH","FQ2 2022","FQ2 2022","Currency=USD","Period=FQ","BEST_FPERIOD_OVERRIDE=FQ","FILING_STATUS=MR","Sort=A","Dates=H","DateFormat=P","Fill=—","Direction=H","UseDPDF=Y")</f>
        <v>-12.2928</v>
      </c>
      <c r="R63" s="14">
        <f>_xll.BDH("BLUE US Equity","ACCOUNTS_PAYABLE_SEQ_GROWTH","FQ3 2022","FQ3 2022","Currency=USD","Period=FQ","BEST_FPERIOD_OVERRIDE=FQ","FILING_STATUS=MR","Sort=A","Dates=H","DateFormat=P","Fill=—","Direction=H","UseDPDF=Y")</f>
        <v>-25.107600000000001</v>
      </c>
      <c r="S63" s="14">
        <f>_xll.BDH("BLUE US Equity","ACCOUNTS_PAYABLE_SEQ_GROWTH","FQ4 2022","FQ4 2022","Currency=USD","Period=FQ","BEST_FPERIOD_OVERRIDE=FQ","FILING_STATUS=MR","Sort=A","Dates=H","DateFormat=P","Fill=—","Direction=H","UseDPDF=Y")</f>
        <v>-20.164300000000001</v>
      </c>
      <c r="T63" s="14">
        <f>_xll.BDH("BLUE US Equity","ACCOUNTS_PAYABLE_SEQ_GROWTH","FQ1 2023","FQ1 2023","Currency=USD","Period=FQ","BEST_FPERIOD_OVERRIDE=FQ","FILING_STATUS=MR","Sort=A","Dates=H","DateFormat=P","Fill=—","Direction=H","UseDPDF=Y")</f>
        <v>29.380500000000001</v>
      </c>
      <c r="U63" s="14">
        <f>_xll.BDH("BLUE US Equity","ACCOUNTS_PAYABLE_SEQ_GROWTH","FQ2 2023","FQ2 2023","Currency=USD","Period=FQ","BEST_FPERIOD_OVERRIDE=FQ","FILING_STATUS=MR","Sort=A","Dates=H","DateFormat=P","Fill=—","Direction=H","UseDPDF=Y")</f>
        <v>-43.363700000000001</v>
      </c>
      <c r="V63" s="14">
        <f>_xll.BDH("BLUE US Equity","ACCOUNTS_PAYABLE_SEQ_GROWTH","FQ3 2023","FQ3 2023","Currency=USD","Period=FQ","BEST_FPERIOD_OVERRIDE=FQ","FILING_STATUS=MR","Sort=A","Dates=H","DateFormat=P","Fill=—","Direction=H","UseDPDF=Y")</f>
        <v>82.228700000000003</v>
      </c>
      <c r="W63" s="14">
        <f>_xll.BDH("BLUE US Equity","ACCOUNTS_PAYABLE_SEQ_GROWTH","FQ4 2023","FQ4 2023","Currency=USD","Period=FQ","BEST_FPERIOD_OVERRIDE=FQ","FILING_STATUS=MR","Sort=A","Dates=H","DateFormat=P","Fill=—","Direction=H","UseDPDF=Y")</f>
        <v>-6.8205</v>
      </c>
      <c r="X63" s="14">
        <f>_xll.BDH("BLUE US Equity","ACCOUNTS_PAYABLE_SEQ_GROWTH","FQ1 2024","FQ1 2024","Currency=USD","Period=FQ","BEST_FPERIOD_OVERRIDE=FQ","FILING_STATUS=MR","Sort=A","Dates=H","DateFormat=P","Fill=—","Direction=H","UseDPDF=Y")</f>
        <v>4.8059000000000003</v>
      </c>
      <c r="Y63" s="14">
        <f>_xll.BDH("BLUE US Equity","ACCOUNTS_PAYABLE_SEQ_GROWTH","FQ2 2024","FQ2 2024","Currency=USD","Period=FQ","BEST_FPERIOD_OVERRIDE=FQ","FILING_STATUS=MR","Sort=A","Dates=H","DateFormat=P","Fill=—","Direction=H","UseDPDF=Y")</f>
        <v>57.7913</v>
      </c>
      <c r="Z63" s="14">
        <f>_xll.BDH("BLUE US Equity","ACCOUNTS_PAYABLE_SEQ_GROWTH","FQ3 2024","FQ3 2024","Currency=USD","Period=FQ","BEST_FPERIOD_OVERRIDE=FQ","FILING_STATUS=MR","Sort=A","Dates=H","DateFormat=P","Fill=—","Direction=H","UseDPDF=Y")</f>
        <v>-19.973199999999999</v>
      </c>
      <c r="AA63" s="14">
        <f>_xll.BDH("BLUE US Equity","ACCOUNTS_PAYABLE_SEQ_GROWTH","FQ4 2024","FQ4 2024","Currency=USD","Period=FQ","BEST_FPERIOD_OVERRIDE=FQ","FILING_STATUS=MR","Sort=A","Dates=H","DateFormat=P","Fill=—","Direction=H","UseDPDF=Y")</f>
        <v>40.173999999999999</v>
      </c>
    </row>
    <row r="64" spans="1:27" x14ac:dyDescent="0.25">
      <c r="A64" s="10" t="s">
        <v>1287</v>
      </c>
      <c r="B64" s="10" t="s">
        <v>1329</v>
      </c>
      <c r="C64" s="14" t="str">
        <f>_xll.BDH("BLUE US Equity","ST_DEBT_SEQUENTIAL_GROWTH","FQ4 2018","FQ4 2018","Currency=USD","Period=FQ","BEST_FPERIOD_OVERRIDE=FQ","FILING_STATUS=MR","Sort=A","Dates=H","DateFormat=P","Fill=—","Direction=H","UseDPDF=Y")</f>
        <v>—</v>
      </c>
      <c r="D64" s="14" t="str">
        <f>_xll.BDH("BLUE US Equity","ST_DEBT_SEQUENTIAL_GROWTH","FQ1 2019","FQ1 2019","Currency=USD","Period=FQ","BEST_FPERIOD_OVERRIDE=FQ","FILING_STATUS=MR","Sort=A","Dates=H","DateFormat=P","Fill=—","Direction=H","UseDPDF=Y")</f>
        <v>—</v>
      </c>
      <c r="E64" s="14">
        <f>_xll.BDH("BLUE US Equity","ST_DEBT_SEQUENTIAL_GROWTH","FQ2 2019","FQ2 2019","Currency=USD","Period=FQ","BEST_FPERIOD_OVERRIDE=FQ","FILING_STATUS=MR","Sort=A","Dates=H","DateFormat=P","Fill=—","Direction=H","UseDPDF=Y")</f>
        <v>7.4348000000000001</v>
      </c>
      <c r="F64" s="14">
        <f>_xll.BDH("BLUE US Equity","ST_DEBT_SEQUENTIAL_GROWTH","FQ3 2019","FQ3 2019","Currency=USD","Period=FQ","BEST_FPERIOD_OVERRIDE=FQ","FILING_STATUS=MR","Sort=A","Dates=H","DateFormat=P","Fill=—","Direction=H","UseDPDF=Y")</f>
        <v>5.6115000000000004</v>
      </c>
      <c r="G64" s="14">
        <f>_xll.BDH("BLUE US Equity","ST_DEBT_SEQUENTIAL_GROWTH","FQ4 2019","FQ4 2019","Currency=USD","Period=FQ","BEST_FPERIOD_OVERRIDE=FQ","FILING_STATUS=MR","Sort=A","Dates=H","DateFormat=P","Fill=—","Direction=H","UseDPDF=Y")</f>
        <v>1.2242</v>
      </c>
      <c r="H64" s="14">
        <f>_xll.BDH("BLUE US Equity","ST_DEBT_SEQUENTIAL_GROWTH","FQ1 2020","FQ1 2020","Currency=USD","Period=FQ","BEST_FPERIOD_OVERRIDE=FQ","FILING_STATUS=MR","Sort=A","Dates=H","DateFormat=P","Fill=—","Direction=H","UseDPDF=Y")</f>
        <v>1.0161</v>
      </c>
      <c r="I64" s="14">
        <f>_xll.BDH("BLUE US Equity","ST_DEBT_SEQUENTIAL_GROWTH","FQ2 2020","FQ2 2020","Currency=USD","Period=FQ","BEST_FPERIOD_OVERRIDE=FQ","FILING_STATUS=MR","Sort=A","Dates=H","DateFormat=P","Fill=—","Direction=H","UseDPDF=Y")</f>
        <v>2.8214000000000001</v>
      </c>
      <c r="J64" s="14">
        <f>_xll.BDH("BLUE US Equity","ST_DEBT_SEQUENTIAL_GROWTH","FQ3 2020","FQ3 2020","Currency=USD","Period=FQ","BEST_FPERIOD_OVERRIDE=FQ","FILING_STATUS=MR","Sort=A","Dates=H","DateFormat=P","Fill=—","Direction=H","UseDPDF=Y")</f>
        <v>6.0271999999999997</v>
      </c>
      <c r="K64" s="14">
        <f>_xll.BDH("BLUE US Equity","ST_DEBT_SEQUENTIAL_GROWTH","FQ4 2020","FQ4 2020","Currency=USD","Period=FQ","BEST_FPERIOD_OVERRIDE=FQ","FILING_STATUS=MR","Sort=A","Dates=H","DateFormat=P","Fill=—","Direction=H","UseDPDF=Y")</f>
        <v>-56.292200000000001</v>
      </c>
      <c r="L64" s="14">
        <f>_xll.BDH("BLUE US Equity","ST_DEBT_SEQUENTIAL_GROWTH","FQ1 2021","FQ1 2021","Currency=USD","Period=FQ","BEST_FPERIOD_OVERRIDE=FQ","FILING_STATUS=MR","Sort=A","Dates=H","DateFormat=P","Fill=—","Direction=H","UseDPDF=Y")</f>
        <v>188.98159999999999</v>
      </c>
      <c r="M64" s="14">
        <f>_xll.BDH("BLUE US Equity","ST_DEBT_SEQUENTIAL_GROWTH","FQ2 2021","FQ2 2021","Currency=USD","Period=FQ","BEST_FPERIOD_OVERRIDE=FQ","FILING_STATUS=MR","Sort=A","Dates=H","DateFormat=P","Fill=—","Direction=H","UseDPDF=Y")</f>
        <v>2.1594000000000002</v>
      </c>
      <c r="N64" s="14">
        <f>_xll.BDH("BLUE US Equity","ST_DEBT_SEQUENTIAL_GROWTH","FQ3 2021","FQ3 2021","Currency=USD","Period=FQ","BEST_FPERIOD_OVERRIDE=FQ","FILING_STATUS=MR","Sort=A","Dates=H","DateFormat=P","Fill=—","Direction=H","UseDPDF=Y")</f>
        <v>2.6928000000000001</v>
      </c>
      <c r="O64" s="14">
        <f>_xll.BDH("BLUE US Equity","ST_DEBT_SEQUENTIAL_GROWTH","FQ4 2021","FQ4 2021","Currency=USD","Period=FQ","BEST_FPERIOD_OVERRIDE=FQ","FILING_STATUS=MR","Sort=A","Dates=H","DateFormat=P","Fill=—","Direction=H","UseDPDF=Y")</f>
        <v>-21.3614</v>
      </c>
      <c r="P64" s="14">
        <f>_xll.BDH("BLUE US Equity","ST_DEBT_SEQUENTIAL_GROWTH","FQ1 2022","FQ1 2022","Currency=USD","Period=FQ","BEST_FPERIOD_OVERRIDE=FQ","FILING_STATUS=MR","Sort=A","Dates=H","DateFormat=P","Fill=—","Direction=H","UseDPDF=Y")</f>
        <v>10.184900000000001</v>
      </c>
      <c r="Q64" s="14">
        <f>_xll.BDH("BLUE US Equity","ST_DEBT_SEQUENTIAL_GROWTH","FQ2 2022","FQ2 2022","Currency=USD","Period=FQ","BEST_FPERIOD_OVERRIDE=FQ","FILING_STATUS=MR","Sort=A","Dates=H","DateFormat=P","Fill=—","Direction=H","UseDPDF=Y")</f>
        <v>89.909800000000004</v>
      </c>
      <c r="R64" s="14">
        <f>_xll.BDH("BLUE US Equity","ST_DEBT_SEQUENTIAL_GROWTH","FQ3 2022","FQ3 2022","Currency=USD","Period=FQ","BEST_FPERIOD_OVERRIDE=FQ","FILING_STATUS=MR","Sort=A","Dates=H","DateFormat=P","Fill=—","Direction=H","UseDPDF=Y")</f>
        <v>-9.6085999999999991</v>
      </c>
      <c r="S64" s="14">
        <f>_xll.BDH("BLUE US Equity","ST_DEBT_SEQUENTIAL_GROWTH","FQ4 2022","FQ4 2022","Currency=USD","Period=FQ","BEST_FPERIOD_OVERRIDE=FQ","FILING_STATUS=MR","Sort=A","Dates=H","DateFormat=P","Fill=—","Direction=H","UseDPDF=Y")</f>
        <v>101.5209</v>
      </c>
      <c r="T64" s="14">
        <f>_xll.BDH("BLUE US Equity","ST_DEBT_SEQUENTIAL_GROWTH","FQ1 2023","FQ1 2023","Currency=USD","Period=FQ","BEST_FPERIOD_OVERRIDE=FQ","FILING_STATUS=MR","Sort=A","Dates=H","DateFormat=P","Fill=—","Direction=H","UseDPDF=Y")</f>
        <v>-41.750500000000002</v>
      </c>
      <c r="U64" s="14">
        <f>_xll.BDH("BLUE US Equity","ST_DEBT_SEQUENTIAL_GROWTH","FQ2 2023","FQ2 2023","Currency=USD","Period=FQ","BEST_FPERIOD_OVERRIDE=FQ","FILING_STATUS=MR","Sort=A","Dates=H","DateFormat=P","Fill=—","Direction=H","UseDPDF=Y")</f>
        <v>31.489799999999999</v>
      </c>
      <c r="V64" s="14">
        <f>_xll.BDH("BLUE US Equity","ST_DEBT_SEQUENTIAL_GROWTH","FQ3 2023","FQ3 2023","Currency=USD","Period=FQ","BEST_FPERIOD_OVERRIDE=FQ","FILING_STATUS=MR","Sort=A","Dates=H","DateFormat=P","Fill=—","Direction=H","UseDPDF=Y")</f>
        <v>6.0555000000000003</v>
      </c>
      <c r="W64" s="14">
        <f>_xll.BDH("BLUE US Equity","ST_DEBT_SEQUENTIAL_GROWTH","FQ4 2023","FQ4 2023","Currency=USD","Period=FQ","BEST_FPERIOD_OVERRIDE=FQ","FILING_STATUS=MR","Sort=A","Dates=H","DateFormat=P","Fill=—","Direction=H","UseDPDF=Y")</f>
        <v>47.741500000000002</v>
      </c>
      <c r="X64" s="14">
        <f>_xll.BDH("BLUE US Equity","ST_DEBT_SEQUENTIAL_GROWTH","FQ1 2024","FQ1 2024","Currency=USD","Period=FQ","BEST_FPERIOD_OVERRIDE=FQ","FILING_STATUS=MR","Sort=A","Dates=H","DateFormat=P","Fill=—","Direction=H","UseDPDF=Y")</f>
        <v>95.992699999999999</v>
      </c>
      <c r="Y64" s="14">
        <f>_xll.BDH("BLUE US Equity","ST_DEBT_SEQUENTIAL_GROWTH","FQ2 2024","FQ2 2024","Currency=USD","Period=FQ","BEST_FPERIOD_OVERRIDE=FQ","FILING_STATUS=MR","Sort=A","Dates=H","DateFormat=P","Fill=—","Direction=H","UseDPDF=Y")</f>
        <v>-5.4631999999999996</v>
      </c>
      <c r="Z64" s="14">
        <f>_xll.BDH("BLUE US Equity","ST_DEBT_SEQUENTIAL_GROWTH","FQ3 2024","FQ3 2024","Currency=USD","Period=FQ","BEST_FPERIOD_OVERRIDE=FQ","FILING_STATUS=MR","Sort=A","Dates=H","DateFormat=P","Fill=—","Direction=H","UseDPDF=Y")</f>
        <v>-2.5164</v>
      </c>
      <c r="AA64" s="14">
        <f>_xll.BDH("BLUE US Equity","ST_DEBT_SEQUENTIAL_GROWTH","FQ4 2024","FQ4 2024","Currency=USD","Period=FQ","BEST_FPERIOD_OVERRIDE=FQ","FILING_STATUS=MR","Sort=A","Dates=H","DateFormat=P","Fill=—","Direction=H","UseDPDF=Y")</f>
        <v>-3.0221</v>
      </c>
    </row>
    <row r="65" spans="1:27" x14ac:dyDescent="0.25">
      <c r="A65" s="10" t="s">
        <v>1289</v>
      </c>
      <c r="B65" s="10" t="s">
        <v>1330</v>
      </c>
      <c r="C65" s="14">
        <f>_xll.BDH("BLUE US Equity","TOTAL_DEBT_SEQUENTIAL_GROWTH","FQ4 2018","FQ4 2018","Currency=USD","Period=FQ","BEST_FPERIOD_OVERRIDE=FQ","FILING_STATUS=MR","Sort=A","Dates=H","DateFormat=P","Fill=—","Direction=H","UseDPDF=Y")</f>
        <v>-0.25829999999999997</v>
      </c>
      <c r="D65" s="14">
        <f>_xll.BDH("BLUE US Equity","TOTAL_DEBT_SEQUENTIAL_GROWTH","FQ1 2019","FQ1 2019","Currency=USD","Period=FQ","BEST_FPERIOD_OVERRIDE=FQ","FILING_STATUS=MR","Sort=A","Dates=H","DateFormat=P","Fill=—","Direction=H","UseDPDF=Y")</f>
        <v>21.1631</v>
      </c>
      <c r="E65" s="14">
        <f>_xll.BDH("BLUE US Equity","TOTAL_DEBT_SEQUENTIAL_GROWTH","FQ2 2019","FQ2 2019","Currency=USD","Period=FQ","BEST_FPERIOD_OVERRIDE=FQ","FILING_STATUS=MR","Sort=A","Dates=H","DateFormat=P","Fill=—","Direction=H","UseDPDF=Y")</f>
        <v>4.5519999999999996</v>
      </c>
      <c r="F65" s="14">
        <f>_xll.BDH("BLUE US Equity","TOTAL_DEBT_SEQUENTIAL_GROWTH","FQ3 2019","FQ3 2019","Currency=USD","Period=FQ","BEST_FPERIOD_OVERRIDE=FQ","FILING_STATUS=MR","Sort=A","Dates=H","DateFormat=P","Fill=—","Direction=H","UseDPDF=Y")</f>
        <v>0.89329999999999998</v>
      </c>
      <c r="G65" s="14">
        <f>_xll.BDH("BLUE US Equity","TOTAL_DEBT_SEQUENTIAL_GROWTH","FQ4 2019","FQ4 2019","Currency=USD","Period=FQ","BEST_FPERIOD_OVERRIDE=FQ","FILING_STATUS=MR","Sort=A","Dates=H","DateFormat=P","Fill=—","Direction=H","UseDPDF=Y")</f>
        <v>-2.5363000000000002</v>
      </c>
      <c r="H65" s="14">
        <f>_xll.BDH("BLUE US Equity","TOTAL_DEBT_SEQUENTIAL_GROWTH","FQ1 2020","FQ1 2020","Currency=USD","Period=FQ","BEST_FPERIOD_OVERRIDE=FQ","FILING_STATUS=MR","Sort=A","Dates=H","DateFormat=P","Fill=—","Direction=H","UseDPDF=Y")</f>
        <v>4.8982000000000001</v>
      </c>
      <c r="I65" s="14">
        <f>_xll.BDH("BLUE US Equity","TOTAL_DEBT_SEQUENTIAL_GROWTH","FQ2 2020","FQ2 2020","Currency=USD","Period=FQ","BEST_FPERIOD_OVERRIDE=FQ","FILING_STATUS=MR","Sort=A","Dates=H","DateFormat=P","Fill=—","Direction=H","UseDPDF=Y")</f>
        <v>-2.4074</v>
      </c>
      <c r="J65" s="14">
        <f>_xll.BDH("BLUE US Equity","TOTAL_DEBT_SEQUENTIAL_GROWTH","FQ3 2020","FQ3 2020","Currency=USD","Period=FQ","BEST_FPERIOD_OVERRIDE=FQ","FILING_STATUS=MR","Sort=A","Dates=H","DateFormat=P","Fill=—","Direction=H","UseDPDF=Y")</f>
        <v>-0.11559999999999999</v>
      </c>
      <c r="K65" s="14">
        <f>_xll.BDH("BLUE US Equity","TOTAL_DEBT_SEQUENTIAL_GROWTH","FQ4 2020","FQ4 2020","Currency=USD","Period=FQ","BEST_FPERIOD_OVERRIDE=FQ","FILING_STATUS=MR","Sort=A","Dates=H","DateFormat=P","Fill=—","Direction=H","UseDPDF=Y")</f>
        <v>-66.502600000000001</v>
      </c>
      <c r="L65" s="14">
        <f>_xll.BDH("BLUE US Equity","TOTAL_DEBT_SEQUENTIAL_GROWTH","FQ1 2021","FQ1 2021","Currency=USD","Period=FQ","BEST_FPERIOD_OVERRIDE=FQ","FILING_STATUS=MR","Sort=A","Dates=H","DateFormat=P","Fill=—","Direction=H","UseDPDF=Y")</f>
        <v>214.53880000000001</v>
      </c>
      <c r="M65" s="14">
        <f>_xll.BDH("BLUE US Equity","TOTAL_DEBT_SEQUENTIAL_GROWTH","FQ2 2021","FQ2 2021","Currency=USD","Period=FQ","BEST_FPERIOD_OVERRIDE=FQ","FILING_STATUS=MR","Sort=A","Dates=H","DateFormat=P","Fill=—","Direction=H","UseDPDF=Y")</f>
        <v>-3.4811999999999999</v>
      </c>
      <c r="N65" s="14">
        <f>_xll.BDH("BLUE US Equity","TOTAL_DEBT_SEQUENTIAL_GROWTH","FQ3 2021","FQ3 2021","Currency=USD","Period=FQ","BEST_FPERIOD_OVERRIDE=FQ","FILING_STATUS=MR","Sort=A","Dates=H","DateFormat=P","Fill=—","Direction=H","UseDPDF=Y")</f>
        <v>-8.5775000000000006</v>
      </c>
      <c r="O65" s="14">
        <f>_xll.BDH("BLUE US Equity","TOTAL_DEBT_SEQUENTIAL_GROWTH","FQ4 2021","FQ4 2021","Currency=USD","Period=FQ","BEST_FPERIOD_OVERRIDE=FQ","FILING_STATUS=MR","Sort=A","Dates=H","DateFormat=P","Fill=—","Direction=H","UseDPDF=Y")</f>
        <v>-50.660600000000002</v>
      </c>
      <c r="P65" s="14">
        <f>_xll.BDH("BLUE US Equity","TOTAL_DEBT_SEQUENTIAL_GROWTH","FQ1 2022","FQ1 2022","Currency=USD","Period=FQ","BEST_FPERIOD_OVERRIDE=FQ","FILING_STATUS=MR","Sort=A","Dates=H","DateFormat=P","Fill=—","Direction=H","UseDPDF=Y")</f>
        <v>23.167100000000001</v>
      </c>
      <c r="Q65" s="14">
        <f>_xll.BDH("BLUE US Equity","TOTAL_DEBT_SEQUENTIAL_GROWTH","FQ2 2022","FQ2 2022","Currency=USD","Period=FQ","BEST_FPERIOD_OVERRIDE=FQ","FILING_STATUS=MR","Sort=A","Dates=H","DateFormat=P","Fill=—","Direction=H","UseDPDF=Y")</f>
        <v>165.5187</v>
      </c>
      <c r="R65" s="14">
        <f>_xll.BDH("BLUE US Equity","TOTAL_DEBT_SEQUENTIAL_GROWTH","FQ3 2022","FQ3 2022","Currency=USD","Period=FQ","BEST_FPERIOD_OVERRIDE=FQ","FILING_STATUS=MR","Sort=A","Dates=H","DateFormat=P","Fill=—","Direction=H","UseDPDF=Y")</f>
        <v>-5.0364000000000004</v>
      </c>
      <c r="S65" s="14">
        <f>_xll.BDH("BLUE US Equity","TOTAL_DEBT_SEQUENTIAL_GROWTH","FQ4 2022","FQ4 2022","Currency=USD","Period=FQ","BEST_FPERIOD_OVERRIDE=FQ","FILING_STATUS=MR","Sort=A","Dates=H","DateFormat=P","Fill=—","Direction=H","UseDPDF=Y")</f>
        <v>31.934200000000001</v>
      </c>
      <c r="T65" s="14">
        <f>_xll.BDH("BLUE US Equity","TOTAL_DEBT_SEQUENTIAL_GROWTH","FQ1 2023","FQ1 2023","Currency=USD","Period=FQ","BEST_FPERIOD_OVERRIDE=FQ","FILING_STATUS=MR","Sort=A","Dates=H","DateFormat=P","Fill=—","Direction=H","UseDPDF=Y")</f>
        <v>-25.5227</v>
      </c>
      <c r="U65" s="14">
        <f>_xll.BDH("BLUE US Equity","TOTAL_DEBT_SEQUENTIAL_GROWTH","FQ2 2023","FQ2 2023","Currency=USD","Period=FQ","BEST_FPERIOD_OVERRIDE=FQ","FILING_STATUS=MR","Sort=A","Dates=H","DateFormat=P","Fill=—","Direction=H","UseDPDF=Y")</f>
        <v>12.2476</v>
      </c>
      <c r="V65" s="14">
        <f>_xll.BDH("BLUE US Equity","TOTAL_DEBT_SEQUENTIAL_GROWTH","FQ3 2023","FQ3 2023","Currency=USD","Period=FQ","BEST_FPERIOD_OVERRIDE=FQ","FILING_STATUS=MR","Sort=A","Dates=H","DateFormat=P","Fill=—","Direction=H","UseDPDF=Y")</f>
        <v>-1.0265</v>
      </c>
      <c r="W65" s="14">
        <f>_xll.BDH("BLUE US Equity","TOTAL_DEBT_SEQUENTIAL_GROWTH","FQ4 2023","FQ4 2023","Currency=USD","Period=FQ","BEST_FPERIOD_OVERRIDE=FQ","FILING_STATUS=MR","Sort=A","Dates=H","DateFormat=P","Fill=—","Direction=H","UseDPDF=Y")</f>
        <v>8.7646999999999995</v>
      </c>
      <c r="X65" s="14">
        <f>_xll.BDH("BLUE US Equity","TOTAL_DEBT_SEQUENTIAL_GROWTH","FQ1 2024","FQ1 2024","Currency=USD","Period=FQ","BEST_FPERIOD_OVERRIDE=FQ","FILING_STATUS=MR","Sort=A","Dates=H","DateFormat=P","Fill=—","Direction=H","UseDPDF=Y")</f>
        <v>25.4343</v>
      </c>
      <c r="Y65" s="14">
        <f>_xll.BDH("BLUE US Equity","TOTAL_DEBT_SEQUENTIAL_GROWTH","FQ2 2024","FQ2 2024","Currency=USD","Period=FQ","BEST_FPERIOD_OVERRIDE=FQ","FILING_STATUS=MR","Sort=A","Dates=H","DateFormat=P","Fill=—","Direction=H","UseDPDF=Y")</f>
        <v>-5.7735000000000003</v>
      </c>
      <c r="Z65" s="14">
        <f>_xll.BDH("BLUE US Equity","TOTAL_DEBT_SEQUENTIAL_GROWTH","FQ3 2024","FQ3 2024","Currency=USD","Period=FQ","BEST_FPERIOD_OVERRIDE=FQ","FILING_STATUS=MR","Sort=A","Dates=H","DateFormat=P","Fill=—","Direction=H","UseDPDF=Y")</f>
        <v>-6.5049999999999999</v>
      </c>
      <c r="AA65" s="14">
        <f>_xll.BDH("BLUE US Equity","TOTAL_DEBT_SEQUENTIAL_GROWTH","FQ4 2024","FQ4 2024","Currency=USD","Period=FQ","BEST_FPERIOD_OVERRIDE=FQ","FILING_STATUS=MR","Sort=A","Dates=H","DateFormat=P","Fill=—","Direction=H","UseDPDF=Y")</f>
        <v>-2.782</v>
      </c>
    </row>
    <row r="66" spans="1:27" x14ac:dyDescent="0.25">
      <c r="A66" s="10" t="s">
        <v>118</v>
      </c>
      <c r="B66" s="10" t="s">
        <v>1331</v>
      </c>
      <c r="C66" s="14">
        <f>_xll.BDH("BLUE US Equity","TOTAL_EQUITY_SEQUENTIAL_GROWTH","FQ4 2018","FQ4 2018","Currency=USD","Period=FQ","BEST_FPERIOD_OVERRIDE=FQ","FILING_STATUS=MR","Sort=A","Dates=H","DateFormat=P","Fill=—","Direction=H","UseDPDF=Y")</f>
        <v>-5.7836999999999996</v>
      </c>
      <c r="D66" s="14">
        <f>_xll.BDH("BLUE US Equity","TOTAL_EQUITY_SEQUENTIAL_GROWTH","FQ1 2019","FQ1 2019","Currency=USD","Period=FQ","BEST_FPERIOD_OVERRIDE=FQ","FILING_STATUS=MR","Sort=A","Dates=H","DateFormat=P","Fill=—","Direction=H","UseDPDF=Y")</f>
        <v>-5.9928999999999997</v>
      </c>
      <c r="E66" s="14">
        <f>_xll.BDH("BLUE US Equity","TOTAL_EQUITY_SEQUENTIAL_GROWTH","FQ2 2019","FQ2 2019","Currency=USD","Period=FQ","BEST_FPERIOD_OVERRIDE=FQ","FILING_STATUS=MR","Sort=A","Dates=H","DateFormat=P","Fill=—","Direction=H","UseDPDF=Y")</f>
        <v>-7.6589999999999998</v>
      </c>
      <c r="F66" s="14">
        <f>_xll.BDH("BLUE US Equity","TOTAL_EQUITY_SEQUENTIAL_GROWTH","FQ3 2019","FQ3 2019","Currency=USD","Period=FQ","BEST_FPERIOD_OVERRIDE=FQ","FILING_STATUS=MR","Sort=A","Dates=H","DateFormat=P","Fill=—","Direction=H","UseDPDF=Y")</f>
        <v>-10.0627</v>
      </c>
      <c r="G66" s="14">
        <f>_xll.BDH("BLUE US Equity","TOTAL_EQUITY_SEQUENTIAL_GROWTH","FQ4 2019","FQ4 2019","Currency=USD","Period=FQ","BEST_FPERIOD_OVERRIDE=FQ","FILING_STATUS=MR","Sort=A","Dates=H","DateFormat=P","Fill=—","Direction=H","UseDPDF=Y")</f>
        <v>-12.687099999999999</v>
      </c>
      <c r="H66" s="14">
        <f>_xll.BDH("BLUE US Equity","TOTAL_EQUITY_SEQUENTIAL_GROWTH","FQ1 2020","FQ1 2020","Currency=USD","Period=FQ","BEST_FPERIOD_OVERRIDE=FQ","FILING_STATUS=MR","Sort=A","Dates=H","DateFormat=P","Fill=—","Direction=H","UseDPDF=Y")</f>
        <v>-12.8063</v>
      </c>
      <c r="I66" s="14">
        <f>_xll.BDH("BLUE US Equity","TOTAL_EQUITY_SEQUENTIAL_GROWTH","FQ2 2020","FQ2 2020","Currency=USD","Period=FQ","BEST_FPERIOD_OVERRIDE=FQ","FILING_STATUS=MR","Sort=A","Dates=H","DateFormat=P","Fill=—","Direction=H","UseDPDF=Y")</f>
        <v>50.1233</v>
      </c>
      <c r="J66" s="14">
        <f>_xll.BDH("BLUE US Equity","TOTAL_EQUITY_SEQUENTIAL_GROWTH","FQ3 2020","FQ3 2020","Currency=USD","Period=FQ","BEST_FPERIOD_OVERRIDE=FQ","FILING_STATUS=MR","Sort=A","Dates=H","DateFormat=P","Fill=—","Direction=H","UseDPDF=Y")</f>
        <v>-9.4535</v>
      </c>
      <c r="K66" s="14">
        <f>_xll.BDH("BLUE US Equity","TOTAL_EQUITY_SEQUENTIAL_GROWTH","FQ4 2020","FQ4 2020","Currency=USD","Period=FQ","BEST_FPERIOD_OVERRIDE=FQ","FILING_STATUS=MR","Sort=A","Dates=H","DateFormat=P","Fill=—","Direction=H","UseDPDF=Y")</f>
        <v>-11.0284</v>
      </c>
      <c r="L66" s="14">
        <f>_xll.BDH("BLUE US Equity","TOTAL_EQUITY_SEQUENTIAL_GROWTH","FQ1 2021","FQ1 2021","Currency=USD","Period=FQ","BEST_FPERIOD_OVERRIDE=FQ","FILING_STATUS=MR","Sort=A","Dates=H","DateFormat=P","Fill=—","Direction=H","UseDPDF=Y")</f>
        <v>-11.418200000000001</v>
      </c>
      <c r="M66" s="14">
        <f>_xll.BDH("BLUE US Equity","TOTAL_EQUITY_SEQUENTIAL_GROWTH","FQ2 2021","FQ2 2021","Currency=USD","Period=FQ","BEST_FPERIOD_OVERRIDE=FQ","FILING_STATUS=MR","Sort=A","Dates=H","DateFormat=P","Fill=—","Direction=H","UseDPDF=Y")</f>
        <v>-17.975999999999999</v>
      </c>
      <c r="N66" s="14">
        <f>_xll.BDH("BLUE US Equity","TOTAL_EQUITY_SEQUENTIAL_GROWTH","FQ3 2021","FQ3 2021","Currency=USD","Period=FQ","BEST_FPERIOD_OVERRIDE=FQ","FILING_STATUS=MR","Sort=A","Dates=H","DateFormat=P","Fill=—","Direction=H","UseDPDF=Y")</f>
        <v>-11.5822</v>
      </c>
      <c r="O66" s="14">
        <f>_xll.BDH("BLUE US Equity","TOTAL_EQUITY_SEQUENTIAL_GROWTH","FQ4 2021","FQ4 2021","Currency=USD","Period=FQ","BEST_FPERIOD_OVERRIDE=FQ","FILING_STATUS=MR","Sort=A","Dates=H","DateFormat=P","Fill=—","Direction=H","UseDPDF=Y")</f>
        <v>-57.005699999999997</v>
      </c>
      <c r="P66" s="14">
        <f>_xll.BDH("BLUE US Equity","TOTAL_EQUITY_SEQUENTIAL_GROWTH","FQ1 2022","FQ1 2022","Currency=USD","Period=FQ","BEST_FPERIOD_OVERRIDE=FQ","FILING_STATUS=MR","Sort=A","Dates=H","DateFormat=P","Fill=—","Direction=H","UseDPDF=Y")</f>
        <v>-29.661999999999999</v>
      </c>
      <c r="Q66" s="14">
        <f>_xll.BDH("BLUE US Equity","TOTAL_EQUITY_SEQUENTIAL_GROWTH","FQ2 2022","FQ2 2022","Currency=USD","Period=FQ","BEST_FPERIOD_OVERRIDE=FQ","FILING_STATUS=MR","Sort=A","Dates=H","DateFormat=P","Fill=—","Direction=H","UseDPDF=Y")</f>
        <v>-31.5822</v>
      </c>
      <c r="R66" s="14">
        <f>_xll.BDH("BLUE US Equity","TOTAL_EQUITY_SEQUENTIAL_GROWTH","FQ3 2022","FQ3 2022","Currency=USD","Period=FQ","BEST_FPERIOD_OVERRIDE=FQ","FILING_STATUS=MR","Sort=A","Dates=H","DateFormat=P","Fill=—","Direction=H","UseDPDF=Y")</f>
        <v>-11.802899999999999</v>
      </c>
      <c r="S66" s="14">
        <f>_xll.BDH("BLUE US Equity","TOTAL_EQUITY_SEQUENTIAL_GROWTH","FQ4 2022","FQ4 2022","Currency=USD","Period=FQ","BEST_FPERIOD_OVERRIDE=FQ","FILING_STATUS=MR","Sort=A","Dates=H","DateFormat=P","Fill=—","Direction=H","UseDPDF=Y")</f>
        <v>-15.437799999999999</v>
      </c>
      <c r="T66" s="14">
        <f>_xll.BDH("BLUE US Equity","TOTAL_EQUITY_SEQUENTIAL_GROWTH","FQ1 2023","FQ1 2023","Currency=USD","Period=FQ","BEST_FPERIOD_OVERRIDE=FQ","FILING_STATUS=MR","Sort=A","Dates=H","DateFormat=P","Fill=—","Direction=H","UseDPDF=Y")</f>
        <v>164.07509999999999</v>
      </c>
      <c r="U66" s="14">
        <f>_xll.BDH("BLUE US Equity","TOTAL_EQUITY_SEQUENTIAL_GROWTH","FQ2 2023","FQ2 2023","Currency=USD","Period=FQ","BEST_FPERIOD_OVERRIDE=FQ","FILING_STATUS=MR","Sort=A","Dates=H","DateFormat=P","Fill=—","Direction=H","UseDPDF=Y")</f>
        <v>-18.526499999999999</v>
      </c>
      <c r="V66" s="14">
        <f>_xll.BDH("BLUE US Equity","TOTAL_EQUITY_SEQUENTIAL_GROWTH","FQ3 2023","FQ3 2023","Currency=USD","Period=FQ","BEST_FPERIOD_OVERRIDE=FQ","FILING_STATUS=MR","Sort=A","Dates=H","DateFormat=P","Fill=—","Direction=H","UseDPDF=Y")</f>
        <v>-23.003</v>
      </c>
      <c r="W66" s="14">
        <f>_xll.BDH("BLUE US Equity","TOTAL_EQUITY_SEQUENTIAL_GROWTH","FQ4 2023","FQ4 2023","Currency=USD","Period=FQ","BEST_FPERIOD_OVERRIDE=FQ","FILING_STATUS=MR","Sort=A","Dates=H","DateFormat=P","Fill=—","Direction=H","UseDPDF=Y")</f>
        <v>-12.581799999999999</v>
      </c>
      <c r="X66" s="14">
        <f>_xll.BDH("BLUE US Equity","TOTAL_EQUITY_SEQUENTIAL_GROWTH","FQ1 2024","FQ1 2024","Currency=USD","Period=FQ","BEST_FPERIOD_OVERRIDE=FQ","FILING_STATUS=MR","Sort=A","Dates=H","DateFormat=P","Fill=—","Direction=H","UseDPDF=Y")</f>
        <v>-32.637</v>
      </c>
      <c r="Y66" s="14">
        <f>_xll.BDH("BLUE US Equity","TOTAL_EQUITY_SEQUENTIAL_GROWTH","FQ2 2024","FQ2 2024","Currency=USD","Period=FQ","BEST_FPERIOD_OVERRIDE=FQ","FILING_STATUS=MR","Sort=A","Dates=H","DateFormat=P","Fill=—","Direction=H","UseDPDF=Y")</f>
        <v>-59.570700000000002</v>
      </c>
      <c r="Z66" s="14">
        <f>_xll.BDH("BLUE US Equity","TOTAL_EQUITY_SEQUENTIAL_GROWTH","FQ3 2024","FQ3 2024","Currency=USD","Period=FQ","BEST_FPERIOD_OVERRIDE=FQ","FILING_STATUS=MR","Sort=A","Dates=H","DateFormat=P","Fill=—","Direction=H","UseDPDF=Y")</f>
        <v>-110.9209</v>
      </c>
      <c r="AA66" s="14" t="str">
        <f>_xll.BDH("BLUE US Equity","TOTAL_EQUITY_SEQUENTIAL_GROWTH","FQ4 2024","FQ4 2024","Currency=USD","Period=FQ","BEST_FPERIOD_OVERRIDE=FQ","FILING_STATUS=MR","Sort=A","Dates=H","DateFormat=P","Fill=—","Direction=H","UseDPDF=Y")</f>
        <v>—</v>
      </c>
    </row>
    <row r="67" spans="1:27" x14ac:dyDescent="0.25">
      <c r="A67" s="10" t="s">
        <v>1292</v>
      </c>
      <c r="B67" s="10" t="s">
        <v>1332</v>
      </c>
      <c r="C67" s="14">
        <f>_xll.BDH("BLUE US Equity","TOTAL_CAPITAL_SEQUENTIAL_GROWTH","FQ4 2018","FQ4 2018","Currency=USD","Period=FQ","BEST_FPERIOD_OVERRIDE=FQ","FILING_STATUS=MR","Sort=A","Dates=H","DateFormat=P","Fill=—","Direction=H","UseDPDF=Y")</f>
        <v>-5.3895</v>
      </c>
      <c r="D67" s="14">
        <f>_xll.BDH("BLUE US Equity","TOTAL_CAPITAL_SEQUENTIAL_GROWTH","FQ1 2019","FQ1 2019","Currency=USD","Period=FQ","BEST_FPERIOD_OVERRIDE=FQ","FILING_STATUS=MR","Sort=A","Dates=H","DateFormat=P","Fill=—","Direction=H","UseDPDF=Y")</f>
        <v>-3.9504000000000001</v>
      </c>
      <c r="E67" s="14">
        <f>_xll.BDH("BLUE US Equity","TOTAL_CAPITAL_SEQUENTIAL_GROWTH","FQ2 2019","FQ2 2019","Currency=USD","Period=FQ","BEST_FPERIOD_OVERRIDE=FQ","FILING_STATUS=MR","Sort=A","Dates=H","DateFormat=P","Fill=—","Direction=H","UseDPDF=Y")</f>
        <v>-6.5004</v>
      </c>
      <c r="F67" s="14">
        <f>_xll.BDH("BLUE US Equity","TOTAL_CAPITAL_SEQUENTIAL_GROWTH","FQ3 2019","FQ3 2019","Currency=USD","Period=FQ","BEST_FPERIOD_OVERRIDE=FQ","FILING_STATUS=MR","Sort=A","Dates=H","DateFormat=P","Fill=—","Direction=H","UseDPDF=Y")</f>
        <v>-8.9002999999999997</v>
      </c>
      <c r="G67" s="14">
        <f>_xll.BDH("BLUE US Equity","TOTAL_CAPITAL_SEQUENTIAL_GROWTH","FQ4 2019","FQ4 2019","Currency=USD","Period=FQ","BEST_FPERIOD_OVERRIDE=FQ","FILING_STATUS=MR","Sort=A","Dates=H","DateFormat=P","Fill=—","Direction=H","UseDPDF=Y")</f>
        <v>-11.494300000000001</v>
      </c>
      <c r="H67" s="14">
        <f>_xll.BDH("BLUE US Equity","TOTAL_CAPITAL_SEQUENTIAL_GROWTH","FQ1 2020","FQ1 2020","Currency=USD","Period=FQ","BEST_FPERIOD_OVERRIDE=FQ","FILING_STATUS=MR","Sort=A","Dates=H","DateFormat=P","Fill=—","Direction=H","UseDPDF=Y")</f>
        <v>-10.5154</v>
      </c>
      <c r="I67" s="14">
        <f>_xll.BDH("BLUE US Equity","TOTAL_CAPITAL_SEQUENTIAL_GROWTH","FQ2 2020","FQ2 2020","Currency=USD","Period=FQ","BEST_FPERIOD_OVERRIDE=FQ","FILING_STATUS=MR","Sort=A","Dates=H","DateFormat=P","Fill=—","Direction=H","UseDPDF=Y")</f>
        <v>42.155200000000001</v>
      </c>
      <c r="J67" s="14">
        <f>_xll.BDH("BLUE US Equity","TOTAL_CAPITAL_SEQUENTIAL_GROWTH","FQ3 2020","FQ3 2020","Currency=USD","Period=FQ","BEST_FPERIOD_OVERRIDE=FQ","FILING_STATUS=MR","Sort=A","Dates=H","DateFormat=P","Fill=—","Direction=H","UseDPDF=Y")</f>
        <v>-8.4810999999999996</v>
      </c>
      <c r="K67" s="14">
        <f>_xll.BDH("BLUE US Equity","TOTAL_CAPITAL_SEQUENTIAL_GROWTH","FQ4 2020","FQ4 2020","Currency=USD","Period=FQ","BEST_FPERIOD_OVERRIDE=FQ","FILING_STATUS=MR","Sort=A","Dates=H","DateFormat=P","Fill=—","Direction=H","UseDPDF=Y")</f>
        <v>-17.333300000000001</v>
      </c>
      <c r="L67" s="14">
        <f>_xll.BDH("BLUE US Equity","TOTAL_CAPITAL_SEQUENTIAL_GROWTH","FQ1 2021","FQ1 2021","Currency=USD","Period=FQ","BEST_FPERIOD_OVERRIDE=FQ","FILING_STATUS=MR","Sort=A","Dates=H","DateFormat=P","Fill=—","Direction=H","UseDPDF=Y")</f>
        <v>-1.0121</v>
      </c>
      <c r="M67" s="14">
        <f>_xll.BDH("BLUE US Equity","TOTAL_CAPITAL_SEQUENTIAL_GROWTH","FQ2 2021","FQ2 2021","Currency=USD","Period=FQ","BEST_FPERIOD_OVERRIDE=FQ","FILING_STATUS=MR","Sort=A","Dates=H","DateFormat=P","Fill=—","Direction=H","UseDPDF=Y")</f>
        <v>-15.854900000000001</v>
      </c>
      <c r="N67" s="14">
        <f>_xll.BDH("BLUE US Equity","TOTAL_CAPITAL_SEQUENTIAL_GROWTH","FQ3 2021","FQ3 2021","Currency=USD","Period=FQ","BEST_FPERIOD_OVERRIDE=FQ","FILING_STATUS=MR","Sort=A","Dates=H","DateFormat=P","Fill=—","Direction=H","UseDPDF=Y")</f>
        <v>-11.0778</v>
      </c>
      <c r="O67" s="14">
        <f>_xll.BDH("BLUE US Equity","TOTAL_CAPITAL_SEQUENTIAL_GROWTH","FQ4 2021","FQ4 2021","Currency=USD","Period=FQ","BEST_FPERIOD_OVERRIDE=FQ","FILING_STATUS=MR","Sort=A","Dates=H","DateFormat=P","Fill=—","Direction=H","UseDPDF=Y")</f>
        <v>-55.910699999999999</v>
      </c>
      <c r="P67" s="14">
        <f>_xll.BDH("BLUE US Equity","TOTAL_CAPITAL_SEQUENTIAL_GROWTH","FQ1 2022","FQ1 2022","Currency=USD","Period=FQ","BEST_FPERIOD_OVERRIDE=FQ","FILING_STATUS=MR","Sort=A","Dates=H","DateFormat=P","Fill=—","Direction=H","UseDPDF=Y")</f>
        <v>-19.459299999999999</v>
      </c>
      <c r="Q67" s="14">
        <f>_xll.BDH("BLUE US Equity","TOTAL_CAPITAL_SEQUENTIAL_GROWTH","FQ2 2022","FQ2 2022","Currency=USD","Period=FQ","BEST_FPERIOD_OVERRIDE=FQ","FILING_STATUS=MR","Sort=A","Dates=H","DateFormat=P","Fill=—","Direction=H","UseDPDF=Y")</f>
        <v>26.6295</v>
      </c>
      <c r="R67" s="14">
        <f>_xll.BDH("BLUE US Equity","TOTAL_CAPITAL_SEQUENTIAL_GROWTH","FQ3 2022","FQ3 2022","Currency=USD","Period=FQ","BEST_FPERIOD_OVERRIDE=FQ","FILING_STATUS=MR","Sort=A","Dates=H","DateFormat=P","Fill=—","Direction=H","UseDPDF=Y")</f>
        <v>-7.6125999999999996</v>
      </c>
      <c r="S67" s="14">
        <f>_xll.BDH("BLUE US Equity","TOTAL_CAPITAL_SEQUENTIAL_GROWTH","FQ4 2022","FQ4 2022","Currency=USD","Period=FQ","BEST_FPERIOD_OVERRIDE=FQ","FILING_STATUS=MR","Sort=A","Dates=H","DateFormat=P","Fill=—","Direction=H","UseDPDF=Y")</f>
        <v>14.7164</v>
      </c>
      <c r="T67" s="14">
        <f>_xll.BDH("BLUE US Equity","TOTAL_CAPITAL_SEQUENTIAL_GROWTH","FQ1 2023","FQ1 2023","Currency=USD","Period=FQ","BEST_FPERIOD_OVERRIDE=FQ","FILING_STATUS=MR","Sort=A","Dates=H","DateFormat=P","Fill=—","Direction=H","UseDPDF=Y")</f>
        <v>25.2745</v>
      </c>
      <c r="U67" s="14">
        <f>_xll.BDH("BLUE US Equity","TOTAL_CAPITAL_SEQUENTIAL_GROWTH","FQ2 2023","FQ2 2023","Currency=USD","Period=FQ","BEST_FPERIOD_OVERRIDE=FQ","FILING_STATUS=MR","Sort=A","Dates=H","DateFormat=P","Fill=—","Direction=H","UseDPDF=Y")</f>
        <v>-5.1326999999999998</v>
      </c>
      <c r="V67" s="14">
        <f>_xll.BDH("BLUE US Equity","TOTAL_CAPITAL_SEQUENTIAL_GROWTH","FQ3 2023","FQ3 2023","Currency=USD","Period=FQ","BEST_FPERIOD_OVERRIDE=FQ","FILING_STATUS=MR","Sort=A","Dates=H","DateFormat=P","Fill=—","Direction=H","UseDPDF=Y")</f>
        <v>-11.6858</v>
      </c>
      <c r="W67" s="14">
        <f>_xll.BDH("BLUE US Equity","TOTAL_CAPITAL_SEQUENTIAL_GROWTH","FQ4 2023","FQ4 2023","Currency=USD","Period=FQ","BEST_FPERIOD_OVERRIDE=FQ","FILING_STATUS=MR","Sort=A","Dates=H","DateFormat=P","Fill=—","Direction=H","UseDPDF=Y")</f>
        <v>-0.26219999999999999</v>
      </c>
      <c r="X67" s="14">
        <f>_xll.BDH("BLUE US Equity","TOTAL_CAPITAL_SEQUENTIAL_GROWTH","FQ1 2024","FQ1 2024","Currency=USD","Period=FQ","BEST_FPERIOD_OVERRIDE=FQ","FILING_STATUS=MR","Sort=A","Dates=H","DateFormat=P","Fill=—","Direction=H","UseDPDF=Y")</f>
        <v>3.9104999999999999</v>
      </c>
      <c r="Y67" s="14">
        <f>_xll.BDH("BLUE US Equity","TOTAL_CAPITAL_SEQUENTIAL_GROWTH","FQ2 2024","FQ2 2024","Currency=USD","Period=FQ","BEST_FPERIOD_OVERRIDE=FQ","FILING_STATUS=MR","Sort=A","Dates=H","DateFormat=P","Fill=—","Direction=H","UseDPDF=Y")</f>
        <v>-18.6999</v>
      </c>
      <c r="Z67" s="14">
        <f>_xll.BDH("BLUE US Equity","TOTAL_CAPITAL_SEQUENTIAL_GROWTH","FQ3 2024","FQ3 2024","Currency=USD","Period=FQ","BEST_FPERIOD_OVERRIDE=FQ","FILING_STATUS=MR","Sort=A","Dates=H","DateFormat=P","Fill=—","Direction=H","UseDPDF=Y")</f>
        <v>-18.9815</v>
      </c>
      <c r="AA67" s="14">
        <f>_xll.BDH("BLUE US Equity","TOTAL_CAPITAL_SEQUENTIAL_GROWTH","FQ4 2024","FQ4 2024","Currency=USD","Period=FQ","BEST_FPERIOD_OVERRIDE=FQ","FILING_STATUS=MR","Sort=A","Dates=H","DateFormat=P","Fill=—","Direction=H","UseDPDF=Y")</f>
        <v>-9.9941999999999993</v>
      </c>
    </row>
    <row r="68" spans="1:27" x14ac:dyDescent="0.25">
      <c r="A68" s="10" t="s">
        <v>1294</v>
      </c>
      <c r="B68" s="10" t="s">
        <v>1333</v>
      </c>
      <c r="C68" s="14">
        <f>_xll.BDH("BLUE US Equity","BPS_SEQUENTIAL_GROWTH","FQ4 2018","FQ4 2018","Currency=USD","Period=FQ","BEST_FPERIOD_OVERRIDE=FQ","FILING_STATUS=MR","Sort=A","Dates=H","DateFormat=P","Fill=—","Direction=H","UseDPDF=Y")</f>
        <v>-5.8869999999999996</v>
      </c>
      <c r="D68" s="14">
        <f>_xll.BDH("BLUE US Equity","BPS_SEQUENTIAL_GROWTH","FQ1 2019","FQ1 2019","Currency=USD","Period=FQ","BEST_FPERIOD_OVERRIDE=FQ","FILING_STATUS=MR","Sort=A","Dates=H","DateFormat=P","Fill=—","Direction=H","UseDPDF=Y")</f>
        <v>-6.5579999999999998</v>
      </c>
      <c r="E68" s="14">
        <f>_xll.BDH("BLUE US Equity","BPS_SEQUENTIAL_GROWTH","FQ2 2019","FQ2 2019","Currency=USD","Period=FQ","BEST_FPERIOD_OVERRIDE=FQ","FILING_STATUS=MR","Sort=A","Dates=H","DateFormat=P","Fill=—","Direction=H","UseDPDF=Y")</f>
        <v>-7.9248000000000003</v>
      </c>
      <c r="F68" s="14">
        <f>_xll.BDH("BLUE US Equity","BPS_SEQUENTIAL_GROWTH","FQ3 2019","FQ3 2019","Currency=USD","Period=FQ","BEST_FPERIOD_OVERRIDE=FQ","FILING_STATUS=MR","Sort=A","Dates=H","DateFormat=P","Fill=—","Direction=H","UseDPDF=Y")</f>
        <v>-10.212300000000001</v>
      </c>
      <c r="G68" s="14">
        <f>_xll.BDH("BLUE US Equity","BPS_SEQUENTIAL_GROWTH","FQ4 2019","FQ4 2019","Currency=USD","Period=FQ","BEST_FPERIOD_OVERRIDE=FQ","FILING_STATUS=MR","Sort=A","Dates=H","DateFormat=P","Fill=—","Direction=H","UseDPDF=Y")</f>
        <v>-12.7628</v>
      </c>
      <c r="H68" s="14">
        <f>_xll.BDH("BLUE US Equity","BPS_SEQUENTIAL_GROWTH","FQ1 2020","FQ1 2020","Currency=USD","Period=FQ","BEST_FPERIOD_OVERRIDE=FQ","FILING_STATUS=MR","Sort=A","Dates=H","DateFormat=P","Fill=—","Direction=H","UseDPDF=Y")</f>
        <v>-13.2013</v>
      </c>
      <c r="I68" s="14">
        <f>_xll.BDH("BLUE US Equity","BPS_SEQUENTIAL_GROWTH","FQ2 2020","FQ2 2020","Currency=USD","Period=FQ","BEST_FPERIOD_OVERRIDE=FQ","FILING_STATUS=MR","Sort=A","Dates=H","DateFormat=P","Fill=—","Direction=H","UseDPDF=Y")</f>
        <v>26.138400000000001</v>
      </c>
      <c r="J68" s="14">
        <f>_xll.BDH("BLUE US Equity","BPS_SEQUENTIAL_GROWTH","FQ3 2020","FQ3 2020","Currency=USD","Period=FQ","BEST_FPERIOD_OVERRIDE=FQ","FILING_STATUS=MR","Sort=A","Dates=H","DateFormat=P","Fill=—","Direction=H","UseDPDF=Y")</f>
        <v>-9.6486000000000001</v>
      </c>
      <c r="K68" s="14">
        <f>_xll.BDH("BLUE US Equity","BPS_SEQUENTIAL_GROWTH","FQ4 2020","FQ4 2020","Currency=USD","Period=FQ","BEST_FPERIOD_OVERRIDE=FQ","FILING_STATUS=MR","Sort=A","Dates=H","DateFormat=P","Fill=—","Direction=H","UseDPDF=Y")</f>
        <v>-11.153</v>
      </c>
      <c r="L68" s="14">
        <f>_xll.BDH("BLUE US Equity","BPS_SEQUENTIAL_GROWTH","FQ1 2021","FQ1 2021","Currency=USD","Period=FQ","BEST_FPERIOD_OVERRIDE=FQ","FILING_STATUS=MR","Sort=A","Dates=H","DateFormat=P","Fill=—","Direction=H","UseDPDF=Y")</f>
        <v>-12.7189</v>
      </c>
      <c r="M68" s="14">
        <f>_xll.BDH("BLUE US Equity","BPS_SEQUENTIAL_GROWTH","FQ2 2021","FQ2 2021","Currency=USD","Period=FQ","BEST_FPERIOD_OVERRIDE=FQ","FILING_STATUS=MR","Sort=A","Dates=H","DateFormat=P","Fill=—","Direction=H","UseDPDF=Y")</f>
        <v>-18.1327</v>
      </c>
      <c r="N68" s="14">
        <f>_xll.BDH("BLUE US Equity","BPS_SEQUENTIAL_GROWTH","FQ3 2021","FQ3 2021","Currency=USD","Period=FQ","BEST_FPERIOD_OVERRIDE=FQ","FILING_STATUS=MR","Sort=A","Dates=H","DateFormat=P","Fill=—","Direction=H","UseDPDF=Y")</f>
        <v>-14.7936</v>
      </c>
      <c r="O68" s="14">
        <f>_xll.BDH("BLUE US Equity","BPS_SEQUENTIAL_GROWTH","FQ4 2021","FQ4 2021","Currency=USD","Period=FQ","BEST_FPERIOD_OVERRIDE=FQ","FILING_STATUS=MR","Sort=A","Dates=H","DateFormat=P","Fill=—","Direction=H","UseDPDF=Y")</f>
        <v>-57.621200000000002</v>
      </c>
      <c r="P68" s="14">
        <f>_xll.BDH("BLUE US Equity","BPS_SEQUENTIAL_GROWTH","FQ1 2022","FQ1 2022","Currency=USD","Period=FQ","BEST_FPERIOD_OVERRIDE=FQ","FILING_STATUS=MR","Sort=A","Dates=H","DateFormat=P","Fill=—","Direction=H","UseDPDF=Y")</f>
        <v>-29.98</v>
      </c>
      <c r="Q68" s="14">
        <f>_xll.BDH("BLUE US Equity","BPS_SEQUENTIAL_GROWTH","FQ2 2022","FQ2 2022","Currency=USD","Period=FQ","BEST_FPERIOD_OVERRIDE=FQ","FILING_STATUS=MR","Sort=A","Dates=H","DateFormat=P","Fill=—","Direction=H","UseDPDF=Y")</f>
        <v>-33.547699999999999</v>
      </c>
      <c r="R68" s="14">
        <f>_xll.BDH("BLUE US Equity","BPS_SEQUENTIAL_GROWTH","FQ3 2022","FQ3 2022","Currency=USD","Period=FQ","BEST_FPERIOD_OVERRIDE=FQ","FILING_STATUS=MR","Sort=A","Dates=H","DateFormat=P","Fill=—","Direction=H","UseDPDF=Y")</f>
        <v>-21.730399999999999</v>
      </c>
      <c r="S68" s="14">
        <f>_xll.BDH("BLUE US Equity","BPS_SEQUENTIAL_GROWTH","FQ4 2022","FQ4 2022","Currency=USD","Period=FQ","BEST_FPERIOD_OVERRIDE=FQ","FILING_STATUS=MR","Sort=A","Dates=H","DateFormat=P","Fill=—","Direction=H","UseDPDF=Y")</f>
        <v>-15.4816</v>
      </c>
      <c r="T68" s="14">
        <f>_xll.BDH("BLUE US Equity","BPS_SEQUENTIAL_GROWTH","FQ1 2023","FQ1 2023","Currency=USD","Period=FQ","BEST_FPERIOD_OVERRIDE=FQ","FILING_STATUS=MR","Sort=A","Dates=H","DateFormat=P","Fill=—","Direction=H","UseDPDF=Y")</f>
        <v>105.86539999999999</v>
      </c>
      <c r="U68" s="14">
        <f>_xll.BDH("BLUE US Equity","BPS_SEQUENTIAL_GROWTH","FQ2 2023","FQ2 2023","Currency=USD","Period=FQ","BEST_FPERIOD_OVERRIDE=FQ","FILING_STATUS=MR","Sort=A","Dates=H","DateFormat=P","Fill=—","Direction=H","UseDPDF=Y")</f>
        <v>-18.590800000000002</v>
      </c>
      <c r="V68" s="14">
        <f>_xll.BDH("BLUE US Equity","BPS_SEQUENTIAL_GROWTH","FQ3 2023","FQ3 2023","Currency=USD","Period=FQ","BEST_FPERIOD_OVERRIDE=FQ","FILING_STATUS=MR","Sort=A","Dates=H","DateFormat=P","Fill=—","Direction=H","UseDPDF=Y")</f>
        <v>-23.4116</v>
      </c>
      <c r="W68" s="14">
        <f>_xll.BDH("BLUE US Equity","BPS_SEQUENTIAL_GROWTH","FQ4 2023","FQ4 2023","Currency=USD","Period=FQ","BEST_FPERIOD_OVERRIDE=FQ","FILING_STATUS=MR","Sort=A","Dates=H","DateFormat=P","Fill=—","Direction=H","UseDPDF=Y")</f>
        <v>-51.467700000000001</v>
      </c>
      <c r="X68" s="14">
        <f>_xll.BDH("BLUE US Equity","BPS_SEQUENTIAL_GROWTH","FQ1 2024","FQ1 2024","Currency=USD","Period=FQ","BEST_FPERIOD_OVERRIDE=FQ","FILING_STATUS=MR","Sort=A","Dates=H","DateFormat=P","Fill=—","Direction=H","UseDPDF=Y")</f>
        <v>-32.919199999999996</v>
      </c>
      <c r="Y68" s="14">
        <f>_xll.BDH("BLUE US Equity","BPS_SEQUENTIAL_GROWTH","FQ2 2024","FQ2 2024","Currency=USD","Period=FQ","BEST_FPERIOD_OVERRIDE=FQ","FILING_STATUS=MR","Sort=A","Dates=H","DateFormat=P","Fill=—","Direction=H","UseDPDF=Y")</f>
        <v>-59.627600000000001</v>
      </c>
      <c r="Z68" s="14">
        <f>_xll.BDH("BLUE US Equity","BPS_SEQUENTIAL_GROWTH","FQ3 2024","FQ3 2024","Currency=USD","Period=FQ","BEST_FPERIOD_OVERRIDE=FQ","FILING_STATUS=MR","Sort=A","Dates=H","DateFormat=P","Fill=—","Direction=H","UseDPDF=Y")</f>
        <v>-110.9175</v>
      </c>
      <c r="AA68" s="14" t="str">
        <f>_xll.BDH("BLUE US Equity","BPS_SEQUENTIAL_GROWTH","FQ4 2024","FQ4 2024","Currency=USD","Period=FQ","BEST_FPERIOD_OVERRIDE=FQ","FILING_STATUS=MR","Sort=A","Dates=H","DateFormat=P","Fill=—","Direction=H","UseDPDF=Y")</f>
        <v>—</v>
      </c>
    </row>
    <row r="69" spans="1:27" x14ac:dyDescent="0.25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5">
      <c r="A70" s="10" t="s">
        <v>124</v>
      </c>
      <c r="B70" s="10" t="s">
        <v>1334</v>
      </c>
      <c r="C70" s="14" t="str">
        <f>_xll.BDH("BLUE US Equity","CFO_SEQUENTIAL_GROWTH","FQ4 2018","FQ4 2018","Currency=USD","Period=FQ","BEST_FPERIOD_OVERRIDE=FQ","FILING_STATUS=MR","Sort=A","Dates=H","DateFormat=P","Fill=—","Direction=H","UseDPDF=Y")</f>
        <v>—</v>
      </c>
      <c r="D70" s="14" t="str">
        <f>_xll.BDH("BLUE US Equity","CFO_SEQUENTIAL_GROWTH","FQ1 2019","FQ1 2019","Currency=USD","Period=FQ","BEST_FPERIOD_OVERRIDE=FQ","FILING_STATUS=MR","Sort=A","Dates=H","DateFormat=P","Fill=—","Direction=H","UseDPDF=Y")</f>
        <v>—</v>
      </c>
      <c r="E70" s="14" t="str">
        <f>_xll.BDH("BLUE US Equity","CFO_SEQUENTIAL_GROWTH","FQ2 2019","FQ2 2019","Currency=USD","Period=FQ","BEST_FPERIOD_OVERRIDE=FQ","FILING_STATUS=MR","Sort=A","Dates=H","DateFormat=P","Fill=—","Direction=H","UseDPDF=Y")</f>
        <v>—</v>
      </c>
      <c r="F70" s="14" t="str">
        <f>_xll.BDH("BLUE US Equity","CFO_SEQUENTIAL_GROWTH","FQ3 2019","FQ3 2019","Currency=USD","Period=FQ","BEST_FPERIOD_OVERRIDE=FQ","FILING_STATUS=MR","Sort=A","Dates=H","DateFormat=P","Fill=—","Direction=H","UseDPDF=Y")</f>
        <v>—</v>
      </c>
      <c r="G70" s="14" t="str">
        <f>_xll.BDH("BLUE US Equity","CFO_SEQUENTIAL_GROWTH","FQ4 2019","FQ4 2019","Currency=USD","Period=FQ","BEST_FPERIOD_OVERRIDE=FQ","FILING_STATUS=MR","Sort=A","Dates=H","DateFormat=P","Fill=—","Direction=H","UseDPDF=Y")</f>
        <v>—</v>
      </c>
      <c r="H70" s="14" t="str">
        <f>_xll.BDH("BLUE US Equity","CFO_SEQUENTIAL_GROWTH","FQ1 2020","FQ1 2020","Currency=USD","Period=FQ","BEST_FPERIOD_OVERRIDE=FQ","FILING_STATUS=MR","Sort=A","Dates=H","DateFormat=P","Fill=—","Direction=H","UseDPDF=Y")</f>
        <v>—</v>
      </c>
      <c r="I70" s="14" t="str">
        <f>_xll.BDH("BLUE US Equity","CFO_SEQUENTIAL_GROWTH","FQ2 2020","FQ2 2020","Currency=USD","Period=FQ","BEST_FPERIOD_OVERRIDE=FQ","FILING_STATUS=MR","Sort=A","Dates=H","DateFormat=P","Fill=—","Direction=H","UseDPDF=Y")</f>
        <v>—</v>
      </c>
      <c r="J70" s="14">
        <f>_xll.BDH("BLUE US Equity","CFO_SEQUENTIAL_GROWTH","FQ3 2020","FQ3 2020","Currency=USD","Period=FQ","BEST_FPERIOD_OVERRIDE=FQ","FILING_STATUS=MR","Sort=A","Dates=H","DateFormat=P","Fill=—","Direction=H","UseDPDF=Y")</f>
        <v>-474.35520000000002</v>
      </c>
      <c r="K70" s="14" t="str">
        <f>_xll.BDH("BLUE US Equity","CFO_SEQUENTIAL_GROWTH","FQ4 2020","FQ4 2020","Currency=USD","Period=FQ","BEST_FPERIOD_OVERRIDE=FQ","FILING_STATUS=MR","Sort=A","Dates=H","DateFormat=P","Fill=—","Direction=H","UseDPDF=Y")</f>
        <v>—</v>
      </c>
      <c r="L70" s="14" t="str">
        <f>_xll.BDH("BLUE US Equity","CFO_SEQUENTIAL_GROWTH","FQ1 2021","FQ1 2021","Currency=USD","Period=FQ","BEST_FPERIOD_OVERRIDE=FQ","FILING_STATUS=MR","Sort=A","Dates=H","DateFormat=P","Fill=—","Direction=H","UseDPDF=Y")</f>
        <v>—</v>
      </c>
      <c r="M70" s="14" t="str">
        <f>_xll.BDH("BLUE US Equity","CFO_SEQUENTIAL_GROWTH","FQ2 2021","FQ2 2021","Currency=USD","Period=FQ","BEST_FPERIOD_OVERRIDE=FQ","FILING_STATUS=MR","Sort=A","Dates=H","DateFormat=P","Fill=—","Direction=H","UseDPDF=Y")</f>
        <v>—</v>
      </c>
      <c r="N70" s="14" t="str">
        <f>_xll.BDH("BLUE US Equity","CFO_SEQUENTIAL_GROWTH","FQ3 2021","FQ3 2021","Currency=USD","Period=FQ","BEST_FPERIOD_OVERRIDE=FQ","FILING_STATUS=MR","Sort=A","Dates=H","DateFormat=P","Fill=—","Direction=H","UseDPDF=Y")</f>
        <v>—</v>
      </c>
      <c r="O70" s="14" t="str">
        <f>_xll.BDH("BLUE US Equity","CFO_SEQUENTIAL_GROWTH","FQ4 2021","FQ4 2021","Currency=USD","Period=FQ","BEST_FPERIOD_OVERRIDE=FQ","FILING_STATUS=MR","Sort=A","Dates=H","DateFormat=P","Fill=—","Direction=H","UseDPDF=Y")</f>
        <v>—</v>
      </c>
      <c r="P70" s="14" t="str">
        <f>_xll.BDH("BLUE US Equity","CFO_SEQUENTIAL_GROWTH","FQ1 2022","FQ1 2022","Currency=USD","Period=FQ","BEST_FPERIOD_OVERRIDE=FQ","FILING_STATUS=MR","Sort=A","Dates=H","DateFormat=P","Fill=—","Direction=H","UseDPDF=Y")</f>
        <v>—</v>
      </c>
      <c r="Q70" s="14" t="str">
        <f>_xll.BDH("BLUE US Equity","CFO_SEQUENTIAL_GROWTH","FQ2 2022","FQ2 2022","Currency=USD","Period=FQ","BEST_FPERIOD_OVERRIDE=FQ","FILING_STATUS=MR","Sort=A","Dates=H","DateFormat=P","Fill=—","Direction=H","UseDPDF=Y")</f>
        <v>—</v>
      </c>
      <c r="R70" s="14" t="str">
        <f>_xll.BDH("BLUE US Equity","CFO_SEQUENTIAL_GROWTH","FQ3 2022","FQ3 2022","Currency=USD","Period=FQ","BEST_FPERIOD_OVERRIDE=FQ","FILING_STATUS=MR","Sort=A","Dates=H","DateFormat=P","Fill=—","Direction=H","UseDPDF=Y")</f>
        <v>—</v>
      </c>
      <c r="S70" s="14" t="str">
        <f>_xll.BDH("BLUE US Equity","CFO_SEQUENTIAL_GROWTH","FQ4 2022","FQ4 2022","Currency=USD","Period=FQ","BEST_FPERIOD_OVERRIDE=FQ","FILING_STATUS=MR","Sort=A","Dates=H","DateFormat=P","Fill=—","Direction=H","UseDPDF=Y")</f>
        <v>—</v>
      </c>
      <c r="T70" s="14" t="str">
        <f>_xll.BDH("BLUE US Equity","CFO_SEQUENTIAL_GROWTH","FQ1 2023","FQ1 2023","Currency=USD","Period=FQ","BEST_FPERIOD_OVERRIDE=FQ","FILING_STATUS=MR","Sort=A","Dates=H","DateFormat=P","Fill=—","Direction=H","UseDPDF=Y")</f>
        <v>—</v>
      </c>
      <c r="U70" s="14" t="str">
        <f>_xll.BDH("BLUE US Equity","CFO_SEQUENTIAL_GROWTH","FQ2 2023","FQ2 2023","Currency=USD","Period=FQ","BEST_FPERIOD_OVERRIDE=FQ","FILING_STATUS=MR","Sort=A","Dates=H","DateFormat=P","Fill=—","Direction=H","UseDPDF=Y")</f>
        <v>—</v>
      </c>
      <c r="V70" s="14" t="str">
        <f>_xll.BDH("BLUE US Equity","CFO_SEQUENTIAL_GROWTH","FQ3 2023","FQ3 2023","Currency=USD","Period=FQ","BEST_FPERIOD_OVERRIDE=FQ","FILING_STATUS=MR","Sort=A","Dates=H","DateFormat=P","Fill=—","Direction=H","UseDPDF=Y")</f>
        <v>—</v>
      </c>
      <c r="W70" s="14" t="str">
        <f>_xll.BDH("BLUE US Equity","CFO_SEQUENTIAL_GROWTH","FQ4 2023","FQ4 2023","Currency=USD","Period=FQ","BEST_FPERIOD_OVERRIDE=FQ","FILING_STATUS=MR","Sort=A","Dates=H","DateFormat=P","Fill=—","Direction=H","UseDPDF=Y")</f>
        <v>—</v>
      </c>
      <c r="X70" s="14" t="str">
        <f>_xll.BDH("BLUE US Equity","CFO_SEQUENTIAL_GROWTH","FQ1 2024","FQ1 2024","Currency=USD","Period=FQ","BEST_FPERIOD_OVERRIDE=FQ","FILING_STATUS=MR","Sort=A","Dates=H","DateFormat=P","Fill=—","Direction=H","UseDPDF=Y")</f>
        <v>—</v>
      </c>
      <c r="Y70" s="14" t="str">
        <f>_xll.BDH("BLUE US Equity","CFO_SEQUENTIAL_GROWTH","FQ2 2024","FQ2 2024","Currency=USD","Period=FQ","BEST_FPERIOD_OVERRIDE=FQ","FILING_STATUS=MR","Sort=A","Dates=H","DateFormat=P","Fill=—","Direction=H","UseDPDF=Y")</f>
        <v>—</v>
      </c>
      <c r="Z70" s="14" t="str">
        <f>_xll.BDH("BLUE US Equity","CFO_SEQUENTIAL_GROWTH","FQ3 2024","FQ3 2024","Currency=USD","Period=FQ","BEST_FPERIOD_OVERRIDE=FQ","FILING_STATUS=MR","Sort=A","Dates=H","DateFormat=P","Fill=—","Direction=H","UseDPDF=Y")</f>
        <v>—</v>
      </c>
      <c r="AA70" s="14" t="str">
        <f>_xll.BDH("BLUE US Equity","CFO_SEQUENTIAL_GROWTH","FQ4 2024","FQ4 2024","Currency=USD","Period=FQ","BEST_FPERIOD_OVERRIDE=FQ","FILING_STATUS=MR","Sort=A","Dates=H","DateFormat=P","Fill=—","Direction=H","UseDPDF=Y")</f>
        <v>—</v>
      </c>
    </row>
    <row r="71" spans="1:27" x14ac:dyDescent="0.25">
      <c r="A71" s="10" t="s">
        <v>86</v>
      </c>
      <c r="B71" s="10" t="s">
        <v>1335</v>
      </c>
      <c r="C71" s="14">
        <f>_xll.BDH("BLUE US Equity","CAPEX_SEQUENTIAL_GROWTH","FQ4 2018","FQ4 2018","Currency=USD","Period=FQ","BEST_FPERIOD_OVERRIDE=FQ","FILING_STATUS=MR","Sort=A","Dates=H","DateFormat=P","Fill=—","Direction=H","UseDPDF=Y")</f>
        <v>-41.805500000000002</v>
      </c>
      <c r="D71" s="14">
        <f>_xll.BDH("BLUE US Equity","CAPEX_SEQUENTIAL_GROWTH","FQ1 2019","FQ1 2019","Currency=USD","Period=FQ","BEST_FPERIOD_OVERRIDE=FQ","FILING_STATUS=MR","Sort=A","Dates=H","DateFormat=P","Fill=—","Direction=H","UseDPDF=Y")</f>
        <v>49.856499999999997</v>
      </c>
      <c r="E71" s="14">
        <f>_xll.BDH("BLUE US Equity","CAPEX_SEQUENTIAL_GROWTH","FQ2 2019","FQ2 2019","Currency=USD","Period=FQ","BEST_FPERIOD_OVERRIDE=FQ","FILING_STATUS=MR","Sort=A","Dates=H","DateFormat=P","Fill=—","Direction=H","UseDPDF=Y")</f>
        <v>-3.7109999999999999</v>
      </c>
      <c r="F71" s="14">
        <f>_xll.BDH("BLUE US Equity","CAPEX_SEQUENTIAL_GROWTH","FQ3 2019","FQ3 2019","Currency=USD","Period=FQ","BEST_FPERIOD_OVERRIDE=FQ","FILING_STATUS=MR","Sort=A","Dates=H","DateFormat=P","Fill=—","Direction=H","UseDPDF=Y")</f>
        <v>11.3363</v>
      </c>
      <c r="G71" s="14">
        <f>_xll.BDH("BLUE US Equity","CAPEX_SEQUENTIAL_GROWTH","FQ4 2019","FQ4 2019","Currency=USD","Period=FQ","BEST_FPERIOD_OVERRIDE=FQ","FILING_STATUS=MR","Sort=A","Dates=H","DateFormat=P","Fill=—","Direction=H","UseDPDF=Y")</f>
        <v>-40.182499999999997</v>
      </c>
      <c r="H71" s="14">
        <f>_xll.BDH("BLUE US Equity","CAPEX_SEQUENTIAL_GROWTH","FQ1 2020","FQ1 2020","Currency=USD","Period=FQ","BEST_FPERIOD_OVERRIDE=FQ","FILING_STATUS=MR","Sort=A","Dates=H","DateFormat=P","Fill=—","Direction=H","UseDPDF=Y")</f>
        <v>-13.8337</v>
      </c>
      <c r="I71" s="14">
        <f>_xll.BDH("BLUE US Equity","CAPEX_SEQUENTIAL_GROWTH","FQ2 2020","FQ2 2020","Currency=USD","Period=FQ","BEST_FPERIOD_OVERRIDE=FQ","FILING_STATUS=MR","Sort=A","Dates=H","DateFormat=P","Fill=—","Direction=H","UseDPDF=Y")</f>
        <v>-55.020600000000002</v>
      </c>
      <c r="J71" s="14">
        <f>_xll.BDH("BLUE US Equity","CAPEX_SEQUENTIAL_GROWTH","FQ3 2020","FQ3 2020","Currency=USD","Period=FQ","BEST_FPERIOD_OVERRIDE=FQ","FILING_STATUS=MR","Sort=A","Dates=H","DateFormat=P","Fill=—","Direction=H","UseDPDF=Y")</f>
        <v>17.034600000000001</v>
      </c>
      <c r="K71" s="14">
        <f>_xll.BDH("BLUE US Equity","CAPEX_SEQUENTIAL_GROWTH","FQ4 2020","FQ4 2020","Currency=USD","Period=FQ","BEST_FPERIOD_OVERRIDE=FQ","FILING_STATUS=MR","Sort=A","Dates=H","DateFormat=P","Fill=—","Direction=H","UseDPDF=Y")</f>
        <v>40.355899999999998</v>
      </c>
      <c r="L71" s="14">
        <f>_xll.BDH("BLUE US Equity","CAPEX_SEQUENTIAL_GROWTH","FQ1 2021","FQ1 2021","Currency=USD","Period=FQ","BEST_FPERIOD_OVERRIDE=FQ","FILING_STATUS=MR","Sort=A","Dates=H","DateFormat=P","Fill=—","Direction=H","UseDPDF=Y")</f>
        <v>-3.3214999999999999</v>
      </c>
      <c r="M71" s="14">
        <f>_xll.BDH("BLUE US Equity","CAPEX_SEQUENTIAL_GROWTH","FQ2 2021","FQ2 2021","Currency=USD","Period=FQ","BEST_FPERIOD_OVERRIDE=FQ","FILING_STATUS=MR","Sort=A","Dates=H","DateFormat=P","Fill=—","Direction=H","UseDPDF=Y")</f>
        <v>-79.307599999999994</v>
      </c>
      <c r="N71" s="14">
        <f>_xll.BDH("BLUE US Equity","CAPEX_SEQUENTIAL_GROWTH","FQ3 2021","FQ3 2021","Currency=USD","Period=FQ","BEST_FPERIOD_OVERRIDE=FQ","FILING_STATUS=MR","Sort=A","Dates=H","DateFormat=P","Fill=—","Direction=H","UseDPDF=Y")</f>
        <v>137.00890000000001</v>
      </c>
      <c r="O71" s="14">
        <f>_xll.BDH("BLUE US Equity","CAPEX_SEQUENTIAL_GROWTH","FQ4 2021","FQ4 2021","Currency=USD","Period=FQ","BEST_FPERIOD_OVERRIDE=FQ","FILING_STATUS=MR","Sort=A","Dates=H","DateFormat=P","Fill=—","Direction=H","UseDPDF=Y")</f>
        <v>-58.3155</v>
      </c>
      <c r="P71" s="14">
        <f>_xll.BDH("BLUE US Equity","CAPEX_SEQUENTIAL_GROWTH","FQ1 2022","FQ1 2022","Currency=USD","Period=FQ","BEST_FPERIOD_OVERRIDE=FQ","FILING_STATUS=MR","Sort=A","Dates=H","DateFormat=P","Fill=—","Direction=H","UseDPDF=Y")</f>
        <v>-45.0289</v>
      </c>
      <c r="Q71" s="14">
        <f>_xll.BDH("BLUE US Equity","CAPEX_SEQUENTIAL_GROWTH","FQ2 2022","FQ2 2022","Currency=USD","Period=FQ","BEST_FPERIOD_OVERRIDE=FQ","FILING_STATUS=MR","Sort=A","Dates=H","DateFormat=P","Fill=—","Direction=H","UseDPDF=Y")</f>
        <v>597.66629999999998</v>
      </c>
      <c r="R71" s="14">
        <f>_xll.BDH("BLUE US Equity","CAPEX_SEQUENTIAL_GROWTH","FQ3 2022","FQ3 2022","Currency=USD","Period=FQ","BEST_FPERIOD_OVERRIDE=FQ","FILING_STATUS=MR","Sort=A","Dates=H","DateFormat=P","Fill=—","Direction=H","UseDPDF=Y")</f>
        <v>-78.859300000000005</v>
      </c>
      <c r="S71" s="14">
        <f>_xll.BDH("BLUE US Equity","CAPEX_SEQUENTIAL_GROWTH","FQ4 2022","FQ4 2022","Currency=USD","Period=FQ","BEST_FPERIOD_OVERRIDE=FQ","FILING_STATUS=MR","Sort=A","Dates=H","DateFormat=P","Fill=—","Direction=H","UseDPDF=Y")</f>
        <v>-91.455699999999993</v>
      </c>
      <c r="T71" s="14">
        <f>_xll.BDH("BLUE US Equity","CAPEX_SEQUENTIAL_GROWTH","FQ1 2023","FQ1 2023","Currency=USD","Period=FQ","BEST_FPERIOD_OVERRIDE=FQ","FILING_STATUS=MR","Sort=A","Dates=H","DateFormat=P","Fill=—","Direction=H","UseDPDF=Y")</f>
        <v>114.81480000000001</v>
      </c>
      <c r="U71" s="14">
        <f>_xll.BDH("BLUE US Equity","CAPEX_SEQUENTIAL_GROWTH","FQ2 2023","FQ2 2023","Currency=USD","Period=FQ","BEST_FPERIOD_OVERRIDE=FQ","FILING_STATUS=MR","Sort=A","Dates=H","DateFormat=P","Fill=—","Direction=H","UseDPDF=Y")</f>
        <v>203.8793</v>
      </c>
      <c r="V71" s="14">
        <f>_xll.BDH("BLUE US Equity","CAPEX_SEQUENTIAL_GROWTH","FQ3 2023","FQ3 2023","Currency=USD","Period=FQ","BEST_FPERIOD_OVERRIDE=FQ","FILING_STATUS=MR","Sort=A","Dates=H","DateFormat=P","Fill=—","Direction=H","UseDPDF=Y")</f>
        <v>189.078</v>
      </c>
      <c r="W71" s="14">
        <f>_xll.BDH("BLUE US Equity","CAPEX_SEQUENTIAL_GROWTH","FQ4 2023","FQ4 2023","Currency=USD","Period=FQ","BEST_FPERIOD_OVERRIDE=FQ","FILING_STATUS=MR","Sort=A","Dates=H","DateFormat=P","Fill=—","Direction=H","UseDPDF=Y")</f>
        <v>-40.431800000000003</v>
      </c>
      <c r="X71" s="14">
        <f>_xll.BDH("BLUE US Equity","CAPEX_SEQUENTIAL_GROWTH","FQ1 2024","FQ1 2024","Currency=USD","Period=FQ","BEST_FPERIOD_OVERRIDE=FQ","FILING_STATUS=MR","Sort=A","Dates=H","DateFormat=P","Fill=—","Direction=H","UseDPDF=Y")</f>
        <v>46.210900000000002</v>
      </c>
      <c r="Y71" s="14">
        <f>_xll.BDH("BLUE US Equity","CAPEX_SEQUENTIAL_GROWTH","FQ2 2024","FQ2 2024","Currency=USD","Period=FQ","BEST_FPERIOD_OVERRIDE=FQ","FILING_STATUS=MR","Sort=A","Dates=H","DateFormat=P","Fill=—","Direction=H","UseDPDF=Y")</f>
        <v>-96.676100000000005</v>
      </c>
      <c r="Z71" s="14">
        <f>_xll.BDH("BLUE US Equity","CAPEX_SEQUENTIAL_GROWTH","FQ3 2024","FQ3 2024","Currency=USD","Period=FQ","BEST_FPERIOD_OVERRIDE=FQ","FILING_STATUS=MR","Sort=A","Dates=H","DateFormat=P","Fill=—","Direction=H","UseDPDF=Y")</f>
        <v>374.5763</v>
      </c>
      <c r="AA71" s="14">
        <f>_xll.BDH("BLUE US Equity","CAPEX_SEQUENTIAL_GROWTH","FQ4 2024","FQ4 2024","Currency=USD","Period=FQ","BEST_FPERIOD_OVERRIDE=FQ","FILING_STATUS=MR","Sort=A","Dates=H","DateFormat=P","Fill=—","Direction=H","UseDPDF=Y")</f>
        <v>73.214299999999994</v>
      </c>
    </row>
    <row r="72" spans="1:27" x14ac:dyDescent="0.25">
      <c r="A72" s="10" t="s">
        <v>1223</v>
      </c>
      <c r="B72" s="10" t="s">
        <v>1336</v>
      </c>
      <c r="C72" s="14">
        <f>_xll.BDH("BLUE US Equity","NET_CHANGE_IN_CASH_SEQ_GROWTH","FQ4 2018","FQ4 2018","Currency=USD","Period=FQ","BEST_FPERIOD_OVERRIDE=FQ","FILING_STATUS=MR","Sort=A","Dates=H","DateFormat=P","Fill=—","Direction=H","UseDPDF=Y")</f>
        <v>-188.7919</v>
      </c>
      <c r="D72" s="14" t="str">
        <f>_xll.BDH("BLUE US Equity","NET_CHANGE_IN_CASH_SEQ_GROWTH","FQ1 2019","FQ1 2019","Currency=USD","Period=FQ","BEST_FPERIOD_OVERRIDE=FQ","FILING_STATUS=MR","Sort=A","Dates=H","DateFormat=P","Fill=—","Direction=H","UseDPDF=Y")</f>
        <v>—</v>
      </c>
      <c r="E72" s="14" t="str">
        <f>_xll.BDH("BLUE US Equity","NET_CHANGE_IN_CASH_SEQ_GROWTH","FQ2 2019","FQ2 2019","Currency=USD","Period=FQ","BEST_FPERIOD_OVERRIDE=FQ","FILING_STATUS=MR","Sort=A","Dates=H","DateFormat=P","Fill=—","Direction=H","UseDPDF=Y")</f>
        <v>—</v>
      </c>
      <c r="F72" s="14">
        <f>_xll.BDH("BLUE US Equity","NET_CHANGE_IN_CASH_SEQ_GROWTH","FQ3 2019","FQ3 2019","Currency=USD","Period=FQ","BEST_FPERIOD_OVERRIDE=FQ","FILING_STATUS=MR","Sort=A","Dates=H","DateFormat=P","Fill=—","Direction=H","UseDPDF=Y")</f>
        <v>-80.028999999999996</v>
      </c>
      <c r="G72" s="14">
        <f>_xll.BDH("BLUE US Equity","NET_CHANGE_IN_CASH_SEQ_GROWTH","FQ4 2019","FQ4 2019","Currency=USD","Period=FQ","BEST_FPERIOD_OVERRIDE=FQ","FILING_STATUS=MR","Sort=A","Dates=H","DateFormat=P","Fill=—","Direction=H","UseDPDF=Y")</f>
        <v>32.4831</v>
      </c>
      <c r="H72" s="14">
        <f>_xll.BDH("BLUE US Equity","NET_CHANGE_IN_CASH_SEQ_GROWTH","FQ1 2020","FQ1 2020","Currency=USD","Period=FQ","BEST_FPERIOD_OVERRIDE=FQ","FILING_STATUS=MR","Sort=A","Dates=H","DateFormat=P","Fill=—","Direction=H","UseDPDF=Y")</f>
        <v>-26.109100000000002</v>
      </c>
      <c r="I72" s="14">
        <f>_xll.BDH("BLUE US Equity","NET_CHANGE_IN_CASH_SEQ_GROWTH","FQ2 2020","FQ2 2020","Currency=USD","Period=FQ","BEST_FPERIOD_OVERRIDE=FQ","FILING_STATUS=MR","Sort=A","Dates=H","DateFormat=P","Fill=—","Direction=H","UseDPDF=Y")</f>
        <v>4287.9557000000004</v>
      </c>
      <c r="J72" s="14">
        <f>_xll.BDH("BLUE US Equity","NET_CHANGE_IN_CASH_SEQ_GROWTH","FQ3 2020","FQ3 2020","Currency=USD","Period=FQ","BEST_FPERIOD_OVERRIDE=FQ","FILING_STATUS=MR","Sort=A","Dates=H","DateFormat=P","Fill=—","Direction=H","UseDPDF=Y")</f>
        <v>-202.6352</v>
      </c>
      <c r="K72" s="14" t="str">
        <f>_xll.BDH("BLUE US Equity","NET_CHANGE_IN_CASH_SEQ_GROWTH","FQ4 2020","FQ4 2020","Currency=USD","Period=FQ","BEST_FPERIOD_OVERRIDE=FQ","FILING_STATUS=MR","Sort=A","Dates=H","DateFormat=P","Fill=—","Direction=H","UseDPDF=Y")</f>
        <v>—</v>
      </c>
      <c r="L72" s="14" t="str">
        <f>_xll.BDH("BLUE US Equity","NET_CHANGE_IN_CASH_SEQ_GROWTH","FQ1 2021","FQ1 2021","Currency=USD","Period=FQ","BEST_FPERIOD_OVERRIDE=FQ","FILING_STATUS=MR","Sort=A","Dates=H","DateFormat=P","Fill=—","Direction=H","UseDPDF=Y")</f>
        <v>—</v>
      </c>
      <c r="M72" s="14">
        <f>_xll.BDH("BLUE US Equity","NET_CHANGE_IN_CASH_SEQ_GROWTH","FQ2 2021","FQ2 2021","Currency=USD","Period=FQ","BEST_FPERIOD_OVERRIDE=FQ","FILING_STATUS=MR","Sort=A","Dates=H","DateFormat=P","Fill=—","Direction=H","UseDPDF=Y")</f>
        <v>-169.67930000000001</v>
      </c>
      <c r="N72" s="14" t="str">
        <f>_xll.BDH("BLUE US Equity","NET_CHANGE_IN_CASH_SEQ_GROWTH","FQ3 2021","FQ3 2021","Currency=USD","Period=FQ","BEST_FPERIOD_OVERRIDE=FQ","FILING_STATUS=MR","Sort=A","Dates=H","DateFormat=P","Fill=—","Direction=H","UseDPDF=Y")</f>
        <v>—</v>
      </c>
      <c r="O72" s="14">
        <f>_xll.BDH("BLUE US Equity","NET_CHANGE_IN_CASH_SEQ_GROWTH","FQ4 2021","FQ4 2021","Currency=USD","Period=FQ","BEST_FPERIOD_OVERRIDE=FQ","FILING_STATUS=MR","Sort=A","Dates=H","DateFormat=P","Fill=—","Direction=H","UseDPDF=Y")</f>
        <v>-617.68640000000005</v>
      </c>
      <c r="P72" s="14" t="str">
        <f>_xll.BDH("BLUE US Equity","NET_CHANGE_IN_CASH_SEQ_GROWTH","FQ1 2022","FQ1 2022","Currency=USD","Period=FQ","BEST_FPERIOD_OVERRIDE=FQ","FILING_STATUS=MR","Sort=A","Dates=H","DateFormat=P","Fill=—","Direction=H","UseDPDF=Y")</f>
        <v>—</v>
      </c>
      <c r="Q72" s="14" t="str">
        <f>_xll.BDH("BLUE US Equity","NET_CHANGE_IN_CASH_SEQ_GROWTH","FQ2 2022","FQ2 2022","Currency=USD","Period=FQ","BEST_FPERIOD_OVERRIDE=FQ","FILING_STATUS=MR","Sort=A","Dates=H","DateFormat=P","Fill=—","Direction=H","UseDPDF=Y")</f>
        <v>—</v>
      </c>
      <c r="R72" s="14" t="str">
        <f>_xll.BDH("BLUE US Equity","NET_CHANGE_IN_CASH_SEQ_GROWTH","FQ3 2022","FQ3 2022","Currency=USD","Period=FQ","BEST_FPERIOD_OVERRIDE=FQ","FILING_STATUS=MR","Sort=A","Dates=H","DateFormat=P","Fill=—","Direction=H","UseDPDF=Y")</f>
        <v>—</v>
      </c>
      <c r="S72" s="14" t="str">
        <f>_xll.BDH("BLUE US Equity","NET_CHANGE_IN_CASH_SEQ_GROWTH","FQ4 2022","FQ4 2022","Currency=USD","Period=FQ","BEST_FPERIOD_OVERRIDE=FQ","FILING_STATUS=MR","Sort=A","Dates=H","DateFormat=P","Fill=—","Direction=H","UseDPDF=Y")</f>
        <v>—</v>
      </c>
      <c r="T72" s="14">
        <f>_xll.BDH("BLUE US Equity","NET_CHANGE_IN_CASH_SEQ_GROWTH","FQ1 2023","FQ1 2023","Currency=USD","Period=FQ","BEST_FPERIOD_OVERRIDE=FQ","FILING_STATUS=MR","Sort=A","Dates=H","DateFormat=P","Fill=—","Direction=H","UseDPDF=Y")</f>
        <v>168.82230000000001</v>
      </c>
      <c r="U72" s="14">
        <f>_xll.BDH("BLUE US Equity","NET_CHANGE_IN_CASH_SEQ_GROWTH","FQ2 2023","FQ2 2023","Currency=USD","Period=FQ","BEST_FPERIOD_OVERRIDE=FQ","FILING_STATUS=MR","Sort=A","Dates=H","DateFormat=P","Fill=—","Direction=H","UseDPDF=Y")</f>
        <v>-152.5787</v>
      </c>
      <c r="V72" s="14" t="str">
        <f>_xll.BDH("BLUE US Equity","NET_CHANGE_IN_CASH_SEQ_GROWTH","FQ3 2023","FQ3 2023","Currency=USD","Period=FQ","BEST_FPERIOD_OVERRIDE=FQ","FILING_STATUS=MR","Sort=A","Dates=H","DateFormat=P","Fill=—","Direction=H","UseDPDF=Y")</f>
        <v>—</v>
      </c>
      <c r="W72" s="14">
        <f>_xll.BDH("BLUE US Equity","NET_CHANGE_IN_CASH_SEQ_GROWTH","FQ4 2023","FQ4 2023","Currency=USD","Period=FQ","BEST_FPERIOD_OVERRIDE=FQ","FILING_STATUS=MR","Sort=A","Dates=H","DateFormat=P","Fill=—","Direction=H","UseDPDF=Y")</f>
        <v>28734.871800000001</v>
      </c>
      <c r="X72" s="14">
        <f>_xll.BDH("BLUE US Equity","NET_CHANGE_IN_CASH_SEQ_GROWTH","FQ1 2024","FQ1 2024","Currency=USD","Period=FQ","BEST_FPERIOD_OVERRIDE=FQ","FILING_STATUS=MR","Sort=A","Dates=H","DateFormat=P","Fill=—","Direction=H","UseDPDF=Y")</f>
        <v>-119.0048</v>
      </c>
      <c r="Y72" s="14" t="str">
        <f>_xll.BDH("BLUE US Equity","NET_CHANGE_IN_CASH_SEQ_GROWTH","FQ2 2024","FQ2 2024","Currency=USD","Period=FQ","BEST_FPERIOD_OVERRIDE=FQ","FILING_STATUS=MR","Sort=A","Dates=H","DateFormat=P","Fill=—","Direction=H","UseDPDF=Y")</f>
        <v>—</v>
      </c>
      <c r="Z72" s="14" t="str">
        <f>_xll.BDH("BLUE US Equity","NET_CHANGE_IN_CASH_SEQ_GROWTH","FQ3 2024","FQ3 2024","Currency=USD","Period=FQ","BEST_FPERIOD_OVERRIDE=FQ","FILING_STATUS=MR","Sort=A","Dates=H","DateFormat=P","Fill=—","Direction=H","UseDPDF=Y")</f>
        <v>—</v>
      </c>
      <c r="AA72" s="14" t="str">
        <f>_xll.BDH("BLUE US Equity","NET_CHANGE_IN_CASH_SEQ_GROWTH","FQ4 2024","FQ4 2024","Currency=USD","Period=FQ","BEST_FPERIOD_OVERRIDE=FQ","FILING_STATUS=MR","Sort=A","Dates=H","DateFormat=P","Fill=—","Direction=H","UseDPDF=Y")</f>
        <v>—</v>
      </c>
    </row>
    <row r="73" spans="1:27" x14ac:dyDescent="0.25">
      <c r="A73" s="10" t="s">
        <v>88</v>
      </c>
      <c r="B73" s="10" t="s">
        <v>1337</v>
      </c>
      <c r="C73" s="14" t="str">
        <f>_xll.BDH("BLUE US Equity","FREE_CASH_FLOW_SEQUENTIAL_GROWTH","FQ4 2018","FQ4 2018","Currency=USD","Period=FQ","BEST_FPERIOD_OVERRIDE=FQ","FILING_STATUS=MR","Sort=A","Dates=H","DateFormat=P","Fill=—","Direction=H","UseDPDF=Y")</f>
        <v>—</v>
      </c>
      <c r="D73" s="14" t="str">
        <f>_xll.BDH("BLUE US Equity","FREE_CASH_FLOW_SEQUENTIAL_GROWTH","FQ1 2019","FQ1 2019","Currency=USD","Period=FQ","BEST_FPERIOD_OVERRIDE=FQ","FILING_STATUS=MR","Sort=A","Dates=H","DateFormat=P","Fill=—","Direction=H","UseDPDF=Y")</f>
        <v>—</v>
      </c>
      <c r="E73" s="14" t="str">
        <f>_xll.BDH("BLUE US Equity","FREE_CASH_FLOW_SEQUENTIAL_GROWTH","FQ2 2019","FQ2 2019","Currency=USD","Period=FQ","BEST_FPERIOD_OVERRIDE=FQ","FILING_STATUS=MR","Sort=A","Dates=H","DateFormat=P","Fill=—","Direction=H","UseDPDF=Y")</f>
        <v>—</v>
      </c>
      <c r="F73" s="14" t="str">
        <f>_xll.BDH("BLUE US Equity","FREE_CASH_FLOW_SEQUENTIAL_GROWTH","FQ3 2019","FQ3 2019","Currency=USD","Period=FQ","BEST_FPERIOD_OVERRIDE=FQ","FILING_STATUS=MR","Sort=A","Dates=H","DateFormat=P","Fill=—","Direction=H","UseDPDF=Y")</f>
        <v>—</v>
      </c>
      <c r="G73" s="14" t="str">
        <f>_xll.BDH("BLUE US Equity","FREE_CASH_FLOW_SEQUENTIAL_GROWTH","FQ4 2019","FQ4 2019","Currency=USD","Period=FQ","BEST_FPERIOD_OVERRIDE=FQ","FILING_STATUS=MR","Sort=A","Dates=H","DateFormat=P","Fill=—","Direction=H","UseDPDF=Y")</f>
        <v>—</v>
      </c>
      <c r="H73" s="14" t="str">
        <f>_xll.BDH("BLUE US Equity","FREE_CASH_FLOW_SEQUENTIAL_GROWTH","FQ1 2020","FQ1 2020","Currency=USD","Period=FQ","BEST_FPERIOD_OVERRIDE=FQ","FILING_STATUS=MR","Sort=A","Dates=H","DateFormat=P","Fill=—","Direction=H","UseDPDF=Y")</f>
        <v>—</v>
      </c>
      <c r="I73" s="14" t="str">
        <f>_xll.BDH("BLUE US Equity","FREE_CASH_FLOW_SEQUENTIAL_GROWTH","FQ2 2020","FQ2 2020","Currency=USD","Period=FQ","BEST_FPERIOD_OVERRIDE=FQ","FILING_STATUS=MR","Sort=A","Dates=H","DateFormat=P","Fill=—","Direction=H","UseDPDF=Y")</f>
        <v>—</v>
      </c>
      <c r="J73" s="14">
        <f>_xll.BDH("BLUE US Equity","FREE_CASH_FLOW_SEQUENTIAL_GROWTH","FQ3 2020","FQ3 2020","Currency=USD","Period=FQ","BEST_FPERIOD_OVERRIDE=FQ","FILING_STATUS=MR","Sort=A","Dates=H","DateFormat=P","Fill=—","Direction=H","UseDPDF=Y")</f>
        <v>-541.88779999999997</v>
      </c>
      <c r="K73" s="14" t="str">
        <f>_xll.BDH("BLUE US Equity","FREE_CASH_FLOW_SEQUENTIAL_GROWTH","FQ4 2020","FQ4 2020","Currency=USD","Period=FQ","BEST_FPERIOD_OVERRIDE=FQ","FILING_STATUS=MR","Sort=A","Dates=H","DateFormat=P","Fill=—","Direction=H","UseDPDF=Y")</f>
        <v>—</v>
      </c>
      <c r="L73" s="14" t="str">
        <f>_xll.BDH("BLUE US Equity","FREE_CASH_FLOW_SEQUENTIAL_GROWTH","FQ1 2021","FQ1 2021","Currency=USD","Period=FQ","BEST_FPERIOD_OVERRIDE=FQ","FILING_STATUS=MR","Sort=A","Dates=H","DateFormat=P","Fill=—","Direction=H","UseDPDF=Y")</f>
        <v>—</v>
      </c>
      <c r="M73" s="14" t="str">
        <f>_xll.BDH("BLUE US Equity","FREE_CASH_FLOW_SEQUENTIAL_GROWTH","FQ2 2021","FQ2 2021","Currency=USD","Period=FQ","BEST_FPERIOD_OVERRIDE=FQ","FILING_STATUS=MR","Sort=A","Dates=H","DateFormat=P","Fill=—","Direction=H","UseDPDF=Y")</f>
        <v>—</v>
      </c>
      <c r="N73" s="14" t="str">
        <f>_xll.BDH("BLUE US Equity","FREE_CASH_FLOW_SEQUENTIAL_GROWTH","FQ3 2021","FQ3 2021","Currency=USD","Period=FQ","BEST_FPERIOD_OVERRIDE=FQ","FILING_STATUS=MR","Sort=A","Dates=H","DateFormat=P","Fill=—","Direction=H","UseDPDF=Y")</f>
        <v>—</v>
      </c>
      <c r="O73" s="14" t="str">
        <f>_xll.BDH("BLUE US Equity","FREE_CASH_FLOW_SEQUENTIAL_GROWTH","FQ4 2021","FQ4 2021","Currency=USD","Period=FQ","BEST_FPERIOD_OVERRIDE=FQ","FILING_STATUS=MR","Sort=A","Dates=H","DateFormat=P","Fill=—","Direction=H","UseDPDF=Y")</f>
        <v>—</v>
      </c>
      <c r="P73" s="14" t="str">
        <f>_xll.BDH("BLUE US Equity","FREE_CASH_FLOW_SEQUENTIAL_GROWTH","FQ1 2022","FQ1 2022","Currency=USD","Period=FQ","BEST_FPERIOD_OVERRIDE=FQ","FILING_STATUS=MR","Sort=A","Dates=H","DateFormat=P","Fill=—","Direction=H","UseDPDF=Y")</f>
        <v>—</v>
      </c>
      <c r="Q73" s="14" t="str">
        <f>_xll.BDH("BLUE US Equity","FREE_CASH_FLOW_SEQUENTIAL_GROWTH","FQ2 2022","FQ2 2022","Currency=USD","Period=FQ","BEST_FPERIOD_OVERRIDE=FQ","FILING_STATUS=MR","Sort=A","Dates=H","DateFormat=P","Fill=—","Direction=H","UseDPDF=Y")</f>
        <v>—</v>
      </c>
      <c r="R73" s="14" t="str">
        <f>_xll.BDH("BLUE US Equity","FREE_CASH_FLOW_SEQUENTIAL_GROWTH","FQ3 2022","FQ3 2022","Currency=USD","Period=FQ","BEST_FPERIOD_OVERRIDE=FQ","FILING_STATUS=MR","Sort=A","Dates=H","DateFormat=P","Fill=—","Direction=H","UseDPDF=Y")</f>
        <v>—</v>
      </c>
      <c r="S73" s="14" t="str">
        <f>_xll.BDH("BLUE US Equity","FREE_CASH_FLOW_SEQUENTIAL_GROWTH","FQ4 2022","FQ4 2022","Currency=USD","Period=FQ","BEST_FPERIOD_OVERRIDE=FQ","FILING_STATUS=MR","Sort=A","Dates=H","DateFormat=P","Fill=—","Direction=H","UseDPDF=Y")</f>
        <v>—</v>
      </c>
      <c r="T73" s="14" t="str">
        <f>_xll.BDH("BLUE US Equity","FREE_CASH_FLOW_SEQUENTIAL_GROWTH","FQ1 2023","FQ1 2023","Currency=USD","Period=FQ","BEST_FPERIOD_OVERRIDE=FQ","FILING_STATUS=MR","Sort=A","Dates=H","DateFormat=P","Fill=—","Direction=H","UseDPDF=Y")</f>
        <v>—</v>
      </c>
      <c r="U73" s="14" t="str">
        <f>_xll.BDH("BLUE US Equity","FREE_CASH_FLOW_SEQUENTIAL_GROWTH","FQ2 2023","FQ2 2023","Currency=USD","Period=FQ","BEST_FPERIOD_OVERRIDE=FQ","FILING_STATUS=MR","Sort=A","Dates=H","DateFormat=P","Fill=—","Direction=H","UseDPDF=Y")</f>
        <v>—</v>
      </c>
      <c r="V73" s="14" t="str">
        <f>_xll.BDH("BLUE US Equity","FREE_CASH_FLOW_SEQUENTIAL_GROWTH","FQ3 2023","FQ3 2023","Currency=USD","Period=FQ","BEST_FPERIOD_OVERRIDE=FQ","FILING_STATUS=MR","Sort=A","Dates=H","DateFormat=P","Fill=—","Direction=H","UseDPDF=Y")</f>
        <v>—</v>
      </c>
      <c r="W73" s="14" t="str">
        <f>_xll.BDH("BLUE US Equity","FREE_CASH_FLOW_SEQUENTIAL_GROWTH","FQ4 2023","FQ4 2023","Currency=USD","Period=FQ","BEST_FPERIOD_OVERRIDE=FQ","FILING_STATUS=MR","Sort=A","Dates=H","DateFormat=P","Fill=—","Direction=H","UseDPDF=Y")</f>
        <v>—</v>
      </c>
      <c r="X73" s="14" t="str">
        <f>_xll.BDH("BLUE US Equity","FREE_CASH_FLOW_SEQUENTIAL_GROWTH","FQ1 2024","FQ1 2024","Currency=USD","Period=FQ","BEST_FPERIOD_OVERRIDE=FQ","FILING_STATUS=MR","Sort=A","Dates=H","DateFormat=P","Fill=—","Direction=H","UseDPDF=Y")</f>
        <v>—</v>
      </c>
      <c r="Y73" s="14" t="str">
        <f>_xll.BDH("BLUE US Equity","FREE_CASH_FLOW_SEQUENTIAL_GROWTH","FQ2 2024","FQ2 2024","Currency=USD","Period=FQ","BEST_FPERIOD_OVERRIDE=FQ","FILING_STATUS=MR","Sort=A","Dates=H","DateFormat=P","Fill=—","Direction=H","UseDPDF=Y")</f>
        <v>—</v>
      </c>
      <c r="Z73" s="14" t="str">
        <f>_xll.BDH("BLUE US Equity","FREE_CASH_FLOW_SEQUENTIAL_GROWTH","FQ3 2024","FQ3 2024","Currency=USD","Period=FQ","BEST_FPERIOD_OVERRIDE=FQ","FILING_STATUS=MR","Sort=A","Dates=H","DateFormat=P","Fill=—","Direction=H","UseDPDF=Y")</f>
        <v>—</v>
      </c>
      <c r="AA73" s="14" t="str">
        <f>_xll.BDH("BLUE US Equity","FREE_CASH_FLOW_SEQUENTIAL_GROWTH","FQ4 2024","FQ4 2024","Currency=USD","Period=FQ","BEST_FPERIOD_OVERRIDE=FQ","FILING_STATUS=MR","Sort=A","Dates=H","DateFormat=P","Fill=—","Direction=H","UseDPDF=Y")</f>
        <v>—</v>
      </c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3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188</v>
      </c>
      <c r="B6" s="10" t="s">
        <v>189</v>
      </c>
      <c r="C6" s="12" t="s">
        <v>1339</v>
      </c>
      <c r="D6" s="12" t="s">
        <v>190</v>
      </c>
      <c r="E6" s="12" t="s">
        <v>190</v>
      </c>
      <c r="F6" s="12" t="s">
        <v>190</v>
      </c>
      <c r="G6" s="12" t="s">
        <v>190</v>
      </c>
      <c r="H6" s="12" t="s">
        <v>190</v>
      </c>
      <c r="I6" s="12" t="s">
        <v>190</v>
      </c>
      <c r="J6" s="12" t="s">
        <v>190</v>
      </c>
      <c r="K6" s="12" t="s">
        <v>190</v>
      </c>
      <c r="L6" s="12" t="s">
        <v>190</v>
      </c>
      <c r="M6" s="12" t="s">
        <v>190</v>
      </c>
      <c r="N6" s="12" t="s">
        <v>190</v>
      </c>
      <c r="O6" s="12" t="s">
        <v>190</v>
      </c>
      <c r="P6" s="12" t="s">
        <v>190</v>
      </c>
      <c r="Q6" s="12" t="s">
        <v>190</v>
      </c>
      <c r="R6" s="12" t="s">
        <v>190</v>
      </c>
      <c r="S6" s="12" t="s">
        <v>190</v>
      </c>
      <c r="T6" s="12" t="s">
        <v>190</v>
      </c>
      <c r="U6" s="12" t="s">
        <v>190</v>
      </c>
      <c r="V6" s="12" t="s">
        <v>190</v>
      </c>
      <c r="W6" s="12" t="s">
        <v>190</v>
      </c>
      <c r="X6" s="12" t="s">
        <v>190</v>
      </c>
      <c r="Y6" s="12" t="s">
        <v>190</v>
      </c>
      <c r="Z6" s="12" t="s">
        <v>190</v>
      </c>
      <c r="AA6" s="12" t="s">
        <v>190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1289</v>
      </c>
      <c r="B8" s="10" t="s">
        <v>66</v>
      </c>
      <c r="C8" s="13">
        <f>_xll.BDH("BLUE US Equity","SHORT_AND_LONG_TERM_DEBT","FQ4 2018","FQ4 2018","Currency=USD","Period=FQ","BEST_FPERIOD_OVERRIDE=FQ","FILING_STATUS=MR","SCALING_FORMAT=MLN","Sort=A","Dates=H","DateFormat=P","Fill=—","Direction=H","UseDPDF=Y")</f>
        <v>153.31899999999999</v>
      </c>
      <c r="D8" s="13">
        <f>_xll.BDH("BLUE US Equity","SHORT_AND_LONG_TERM_DEBT","FQ1 2019","FQ1 2019","Currency=USD","Period=FQ","BEST_FPERIOD_OVERRIDE=FQ","FILING_STATUS=MR","SCALING_FORMAT=MLN","Sort=A","Dates=H","DateFormat=P","Fill=—","Direction=H","UseDPDF=Y")</f>
        <v>185.76599999999999</v>
      </c>
      <c r="E8" s="13">
        <f>_xll.BDH("BLUE US Equity","SHORT_AND_LONG_TERM_DEBT","FQ2 2019","FQ2 2019","Currency=USD","Period=FQ","BEST_FPERIOD_OVERRIDE=FQ","FILING_STATUS=MR","SCALING_FORMAT=MLN","Sort=A","Dates=H","DateFormat=P","Fill=—","Direction=H","UseDPDF=Y")</f>
        <v>194.22200000000001</v>
      </c>
      <c r="F8" s="13">
        <f>_xll.BDH("BLUE US Equity","SHORT_AND_LONG_TERM_DEBT","FQ3 2019","FQ3 2019","Currency=USD","Period=FQ","BEST_FPERIOD_OVERRIDE=FQ","FILING_STATUS=MR","SCALING_FORMAT=MLN","Sort=A","Dates=H","DateFormat=P","Fill=—","Direction=H","UseDPDF=Y")</f>
        <v>195.95699999999999</v>
      </c>
      <c r="G8" s="13">
        <f>_xll.BDH("BLUE US Equity","SHORT_AND_LONG_TERM_DEBT","FQ4 2019","FQ4 2019","Currency=USD","Period=FQ","BEST_FPERIOD_OVERRIDE=FQ","FILING_STATUS=MR","SCALING_FORMAT=MLN","Sort=A","Dates=H","DateFormat=P","Fill=—","Direction=H","UseDPDF=Y")</f>
        <v>190.98699999999999</v>
      </c>
      <c r="H8" s="13">
        <f>_xll.BDH("BLUE US Equity","SHORT_AND_LONG_TERM_DEBT","FQ1 2020","FQ1 2020","Currency=USD","Period=FQ","BEST_FPERIOD_OVERRIDE=FQ","FILING_STATUS=MR","SCALING_FORMAT=MLN","Sort=A","Dates=H","DateFormat=P","Fill=—","Direction=H","UseDPDF=Y")</f>
        <v>200.34200000000001</v>
      </c>
      <c r="I8" s="13">
        <f>_xll.BDH("BLUE US Equity","SHORT_AND_LONG_TERM_DEBT","FQ2 2020","FQ2 2020","Currency=USD","Period=FQ","BEST_FPERIOD_OVERRIDE=FQ","FILING_STATUS=MR","SCALING_FORMAT=MLN","Sort=A","Dates=H","DateFormat=P","Fill=—","Direction=H","UseDPDF=Y")</f>
        <v>195.51900000000001</v>
      </c>
      <c r="J8" s="13">
        <f>_xll.BDH("BLUE US Equity","SHORT_AND_LONG_TERM_DEBT","FQ3 2020","FQ3 2020","Currency=USD","Period=FQ","BEST_FPERIOD_OVERRIDE=FQ","FILING_STATUS=MR","SCALING_FORMAT=MLN","Sort=A","Dates=H","DateFormat=P","Fill=—","Direction=H","UseDPDF=Y")</f>
        <v>195.29300000000001</v>
      </c>
      <c r="K8" s="13">
        <f>_xll.BDH("BLUE US Equity","SHORT_AND_LONG_TERM_DEBT","FQ4 2020","FQ4 2020","Currency=USD","Period=FQ","BEST_FPERIOD_OVERRIDE=FQ","FILING_STATUS=MR","SCALING_FORMAT=MLN","Sort=A","Dates=H","DateFormat=P","Fill=—","Direction=H","UseDPDF=Y")</f>
        <v>65.418000000000006</v>
      </c>
      <c r="L8" s="13">
        <f>_xll.BDH("BLUE US Equity","SHORT_AND_LONG_TERM_DEBT","FQ1 2021","FQ1 2021","Currency=USD","Period=FQ","BEST_FPERIOD_OVERRIDE=FQ","FILING_STATUS=MR","SCALING_FORMAT=MLN","Sort=A","Dates=H","DateFormat=P","Fill=—","Direction=H","UseDPDF=Y")</f>
        <v>205.76499999999999</v>
      </c>
      <c r="M8" s="13">
        <f>_xll.BDH("BLUE US Equity","SHORT_AND_LONG_TERM_DEBT","FQ2 2021","FQ2 2021","Currency=USD","Period=FQ","BEST_FPERIOD_OVERRIDE=FQ","FILING_STATUS=MR","SCALING_FORMAT=MLN","Sort=A","Dates=H","DateFormat=P","Fill=—","Direction=H","UseDPDF=Y")</f>
        <v>198.602</v>
      </c>
      <c r="N8" s="13">
        <f>_xll.BDH("BLUE US Equity","SHORT_AND_LONG_TERM_DEBT","FQ3 2021","FQ3 2021","Currency=USD","Period=FQ","BEST_FPERIOD_OVERRIDE=FQ","FILING_STATUS=MR","SCALING_FORMAT=MLN","Sort=A","Dates=H","DateFormat=P","Fill=—","Direction=H","UseDPDF=Y")</f>
        <v>181.56700000000001</v>
      </c>
      <c r="O8" s="13">
        <f>_xll.BDH("BLUE US Equity","SHORT_AND_LONG_TERM_DEBT","FQ4 2021","FQ4 2021","Currency=USD","Period=FQ","BEST_FPERIOD_OVERRIDE=FQ","FILING_STATUS=MR","SCALING_FORMAT=MLN","Sort=A","Dates=H","DateFormat=P","Fill=—","Direction=H","UseDPDF=Y")</f>
        <v>89.584000000000003</v>
      </c>
      <c r="P8" s="13">
        <f>_xll.BDH("BLUE US Equity","SHORT_AND_LONG_TERM_DEBT","FQ1 2022","FQ1 2022","Currency=USD","Period=FQ","BEST_FPERIOD_OVERRIDE=FQ","FILING_STATUS=MR","SCALING_FORMAT=MLN","Sort=A","Dates=H","DateFormat=P","Fill=—","Direction=H","UseDPDF=Y")</f>
        <v>110.33799999999999</v>
      </c>
      <c r="Q8" s="13">
        <f>_xll.BDH("BLUE US Equity","SHORT_AND_LONG_TERM_DEBT","FQ2 2022","FQ2 2022","Currency=USD","Period=FQ","BEST_FPERIOD_OVERRIDE=FQ","FILING_STATUS=MR","SCALING_FORMAT=MLN","Sort=A","Dates=H","DateFormat=P","Fill=—","Direction=H","UseDPDF=Y")</f>
        <v>292.96800000000002</v>
      </c>
      <c r="R8" s="13">
        <f>_xll.BDH("BLUE US Equity","SHORT_AND_LONG_TERM_DEBT","FQ3 2022","FQ3 2022","Currency=USD","Period=FQ","BEST_FPERIOD_OVERRIDE=FQ","FILING_STATUS=MR","SCALING_FORMAT=MLN","Sort=A","Dates=H","DateFormat=P","Fill=—","Direction=H","UseDPDF=Y")</f>
        <v>278.21300000000002</v>
      </c>
      <c r="S8" s="13">
        <f>_xll.BDH("BLUE US Equity","SHORT_AND_LONG_TERM_DEBT","FQ4 2022","FQ4 2022","Currency=USD","Period=FQ","BEST_FPERIOD_OVERRIDE=FQ","FILING_STATUS=MR","SCALING_FORMAT=MLN","Sort=A","Dates=H","DateFormat=P","Fill=—","Direction=H","UseDPDF=Y")</f>
        <v>367.05799999999999</v>
      </c>
      <c r="T8" s="13">
        <f>_xll.BDH("BLUE US Equity","SHORT_AND_LONG_TERM_DEBT","FQ1 2023","FQ1 2023","Currency=USD","Period=FQ","BEST_FPERIOD_OVERRIDE=FQ","FILING_STATUS=MR","SCALING_FORMAT=MLN","Sort=A","Dates=H","DateFormat=P","Fill=—","Direction=H","UseDPDF=Y")</f>
        <v>273.375</v>
      </c>
      <c r="U8" s="13">
        <f>_xll.BDH("BLUE US Equity","SHORT_AND_LONG_TERM_DEBT","FQ2 2023","FQ2 2023","Currency=USD","Period=FQ","BEST_FPERIOD_OVERRIDE=FQ","FILING_STATUS=MR","SCALING_FORMAT=MLN","Sort=A","Dates=H","DateFormat=P","Fill=—","Direction=H","UseDPDF=Y")</f>
        <v>306.85700000000003</v>
      </c>
      <c r="V8" s="13">
        <f>_xll.BDH("BLUE US Equity","SHORT_AND_LONG_TERM_DEBT","FQ3 2023","FQ3 2023","Currency=USD","Period=FQ","BEST_FPERIOD_OVERRIDE=FQ","FILING_STATUS=MR","SCALING_FORMAT=MLN","Sort=A","Dates=H","DateFormat=P","Fill=—","Direction=H","UseDPDF=Y")</f>
        <v>303.70699999999999</v>
      </c>
      <c r="W8" s="13">
        <f>_xll.BDH("BLUE US Equity","SHORT_AND_LONG_TERM_DEBT","FQ4 2023","FQ4 2023","Currency=USD","Period=FQ","BEST_FPERIOD_OVERRIDE=FQ","FILING_STATUS=MR","SCALING_FORMAT=MLN","Sort=A","Dates=H","DateFormat=P","Fill=—","Direction=H","UseDPDF=Y")</f>
        <v>330.32600000000002</v>
      </c>
      <c r="X8" s="13">
        <f>_xll.BDH("BLUE US Equity","SHORT_AND_LONG_TERM_DEBT","FQ1 2024","FQ1 2024","Currency=USD","Period=FQ","BEST_FPERIOD_OVERRIDE=FQ","FILING_STATUS=MR","SCALING_FORMAT=MLN","Sort=A","Dates=H","DateFormat=P","Fill=—","Direction=H","UseDPDF=Y")</f>
        <v>414.34199999999998</v>
      </c>
      <c r="Y8" s="13">
        <f>_xll.BDH("BLUE US Equity","SHORT_AND_LONG_TERM_DEBT","FQ2 2024","FQ2 2024","Currency=USD","Period=FQ","BEST_FPERIOD_OVERRIDE=FQ","FILING_STATUS=MR","SCALING_FORMAT=MLN","Sort=A","Dates=H","DateFormat=P","Fill=—","Direction=H","UseDPDF=Y")</f>
        <v>390.42</v>
      </c>
      <c r="Z8" s="13">
        <f>_xll.BDH("BLUE US Equity","SHORT_AND_LONG_TERM_DEBT","FQ3 2024","FQ3 2024","Currency=USD","Period=FQ","BEST_FPERIOD_OVERRIDE=FQ","FILING_STATUS=MR","SCALING_FORMAT=MLN","Sort=A","Dates=H","DateFormat=P","Fill=—","Direction=H","UseDPDF=Y")</f>
        <v>365.02300000000002</v>
      </c>
      <c r="AA8" s="13">
        <f>_xll.BDH("BLUE US Equity","SHORT_AND_LONG_TERM_DEBT","FQ4 2024","FQ4 2024","Currency=USD","Period=FQ","BEST_FPERIOD_OVERRIDE=FQ","FILING_STATUS=MR","SCALING_FORMAT=MLN","Sort=A","Dates=H","DateFormat=P","Fill=—","Direction=H","UseDPDF=Y")</f>
        <v>354.86799999999999</v>
      </c>
    </row>
    <row r="9" spans="1:27" x14ac:dyDescent="0.25">
      <c r="A9" s="10" t="s">
        <v>1340</v>
      </c>
      <c r="B9" s="10" t="s">
        <v>661</v>
      </c>
      <c r="C9" s="13">
        <f>_xll.BDH("BLUE US Equity","BS_ST_BORROW","FQ4 2018","FQ4 2018","Currency=USD","Period=FQ","BEST_FPERIOD_OVERRIDE=FQ","FILING_STATUS=MR","SCALING_FORMAT=MLN","Sort=A","Dates=H","DateFormat=P","Fill=—","Direction=H","UseDPDF=Y")</f>
        <v>0</v>
      </c>
      <c r="D9" s="13">
        <f>_xll.BDH("BLUE US Equity","BS_ST_BORROW","FQ1 2019","FQ1 2019","Currency=USD","Period=FQ","BEST_FPERIOD_OVERRIDE=FQ","FILING_STATUS=MR","SCALING_FORMAT=MLN","Sort=A","Dates=H","DateFormat=P","Fill=—","Direction=H","UseDPDF=Y")</f>
        <v>17.565999999999999</v>
      </c>
      <c r="E9" s="13">
        <f>_xll.BDH("BLUE US Equity","BS_ST_BORROW","FQ2 2019","FQ2 2019","Currency=USD","Period=FQ","BEST_FPERIOD_OVERRIDE=FQ","FILING_STATUS=MR","SCALING_FORMAT=MLN","Sort=A","Dates=H","DateFormat=P","Fill=—","Direction=H","UseDPDF=Y")</f>
        <v>18.872</v>
      </c>
      <c r="F9" s="13">
        <f>_xll.BDH("BLUE US Equity","BS_ST_BORROW","FQ3 2019","FQ3 2019","Currency=USD","Period=FQ","BEST_FPERIOD_OVERRIDE=FQ","FILING_STATUS=MR","SCALING_FORMAT=MLN","Sort=A","Dates=H","DateFormat=P","Fill=—","Direction=H","UseDPDF=Y")</f>
        <v>19.931000000000001</v>
      </c>
      <c r="G9" s="13">
        <f>_xll.BDH("BLUE US Equity","BS_ST_BORROW","FQ4 2019","FQ4 2019","Currency=USD","Period=FQ","BEST_FPERIOD_OVERRIDE=FQ","FILING_STATUS=MR","SCALING_FORMAT=MLN","Sort=A","Dates=H","DateFormat=P","Fill=—","Direction=H","UseDPDF=Y")</f>
        <v>20.175000000000001</v>
      </c>
      <c r="H9" s="13">
        <f>_xll.BDH("BLUE US Equity","BS_ST_BORROW","FQ1 2020","FQ1 2020","Currency=USD","Period=FQ","BEST_FPERIOD_OVERRIDE=FQ","FILING_STATUS=MR","SCALING_FORMAT=MLN","Sort=A","Dates=H","DateFormat=P","Fill=—","Direction=H","UseDPDF=Y")</f>
        <v>20.38</v>
      </c>
      <c r="I9" s="13">
        <f>_xll.BDH("BLUE US Equity","BS_ST_BORROW","FQ2 2020","FQ2 2020","Currency=USD","Period=FQ","BEST_FPERIOD_OVERRIDE=FQ","FILING_STATUS=MR","SCALING_FORMAT=MLN","Sort=A","Dates=H","DateFormat=P","Fill=—","Direction=H","UseDPDF=Y")</f>
        <v>20.954999999999998</v>
      </c>
      <c r="J9" s="13">
        <f>_xll.BDH("BLUE US Equity","BS_ST_BORROW","FQ3 2020","FQ3 2020","Currency=USD","Period=FQ","BEST_FPERIOD_OVERRIDE=FQ","FILING_STATUS=MR","SCALING_FORMAT=MLN","Sort=A","Dates=H","DateFormat=P","Fill=—","Direction=H","UseDPDF=Y")</f>
        <v>22.218</v>
      </c>
      <c r="K9" s="13">
        <f>_xll.BDH("BLUE US Equity","BS_ST_BORROW","FQ4 2020","FQ4 2020","Currency=USD","Period=FQ","BEST_FPERIOD_OVERRIDE=FQ","FILING_STATUS=MR","SCALING_FORMAT=MLN","Sort=A","Dates=H","DateFormat=P","Fill=—","Direction=H","UseDPDF=Y")</f>
        <v>9.7110000000000003</v>
      </c>
      <c r="L9" s="13">
        <f>_xll.BDH("BLUE US Equity","BS_ST_BORROW","FQ1 2021","FQ1 2021","Currency=USD","Period=FQ","BEST_FPERIOD_OVERRIDE=FQ","FILING_STATUS=MR","SCALING_FORMAT=MLN","Sort=A","Dates=H","DateFormat=P","Fill=—","Direction=H","UseDPDF=Y")</f>
        <v>28.062999999999999</v>
      </c>
      <c r="M9" s="13">
        <f>_xll.BDH("BLUE US Equity","BS_ST_BORROW","FQ2 2021","FQ2 2021","Currency=USD","Period=FQ","BEST_FPERIOD_OVERRIDE=FQ","FILING_STATUS=MR","SCALING_FORMAT=MLN","Sort=A","Dates=H","DateFormat=P","Fill=—","Direction=H","UseDPDF=Y")</f>
        <v>28.669</v>
      </c>
      <c r="N9" s="13">
        <f>_xll.BDH("BLUE US Equity","BS_ST_BORROW","FQ3 2021","FQ3 2021","Currency=USD","Period=FQ","BEST_FPERIOD_OVERRIDE=FQ","FILING_STATUS=MR","SCALING_FORMAT=MLN","Sort=A","Dates=H","DateFormat=P","Fill=—","Direction=H","UseDPDF=Y")</f>
        <v>29.440999999999999</v>
      </c>
      <c r="O9" s="13">
        <f>_xll.BDH("BLUE US Equity","BS_ST_BORROW","FQ4 2021","FQ4 2021","Currency=USD","Period=FQ","BEST_FPERIOD_OVERRIDE=FQ","FILING_STATUS=MR","SCALING_FORMAT=MLN","Sort=A","Dates=H","DateFormat=P","Fill=—","Direction=H","UseDPDF=Y")</f>
        <v>23.152000000000001</v>
      </c>
      <c r="P9" s="13">
        <f>_xll.BDH("BLUE US Equity","BS_ST_BORROW","FQ1 2022","FQ1 2022","Currency=USD","Period=FQ","BEST_FPERIOD_OVERRIDE=FQ","FILING_STATUS=MR","SCALING_FORMAT=MLN","Sort=A","Dates=H","DateFormat=P","Fill=—","Direction=H","UseDPDF=Y")</f>
        <v>25.51</v>
      </c>
      <c r="Q9" s="13">
        <f>_xll.BDH("BLUE US Equity","BS_ST_BORROW","FQ2 2022","FQ2 2022","Currency=USD","Period=FQ","BEST_FPERIOD_OVERRIDE=FQ","FILING_STATUS=MR","SCALING_FORMAT=MLN","Sort=A","Dates=H","DateFormat=P","Fill=—","Direction=H","UseDPDF=Y")</f>
        <v>48.445999999999998</v>
      </c>
      <c r="R9" s="13">
        <f>_xll.BDH("BLUE US Equity","BS_ST_BORROW","FQ3 2022","FQ3 2022","Currency=USD","Period=FQ","BEST_FPERIOD_OVERRIDE=FQ","FILING_STATUS=MR","SCALING_FORMAT=MLN","Sort=A","Dates=H","DateFormat=P","Fill=—","Direction=H","UseDPDF=Y")</f>
        <v>43.790999999999997</v>
      </c>
      <c r="S9" s="13">
        <f>_xll.BDH("BLUE US Equity","BS_ST_BORROW","FQ4 2022","FQ4 2022","Currency=USD","Period=FQ","BEST_FPERIOD_OVERRIDE=FQ","FILING_STATUS=MR","SCALING_FORMAT=MLN","Sort=A","Dates=H","DateFormat=P","Fill=—","Direction=H","UseDPDF=Y")</f>
        <v>88.248000000000005</v>
      </c>
      <c r="T9" s="13">
        <f>_xll.BDH("BLUE US Equity","BS_ST_BORROW","FQ1 2023","FQ1 2023","Currency=USD","Period=FQ","BEST_FPERIOD_OVERRIDE=FQ","FILING_STATUS=MR","SCALING_FORMAT=MLN","Sort=A","Dates=H","DateFormat=P","Fill=—","Direction=H","UseDPDF=Y")</f>
        <v>51.404000000000003</v>
      </c>
      <c r="U9" s="13">
        <f>_xll.BDH("BLUE US Equity","BS_ST_BORROW","FQ2 2023","FQ2 2023","Currency=USD","Period=FQ","BEST_FPERIOD_OVERRIDE=FQ","FILING_STATUS=MR","SCALING_FORMAT=MLN","Sort=A","Dates=H","DateFormat=P","Fill=—","Direction=H","UseDPDF=Y")</f>
        <v>67.590999999999994</v>
      </c>
      <c r="V9" s="13">
        <f>_xll.BDH("BLUE US Equity","BS_ST_BORROW","FQ3 2023","FQ3 2023","Currency=USD","Period=FQ","BEST_FPERIOD_OVERRIDE=FQ","FILING_STATUS=MR","SCALING_FORMAT=MLN","Sort=A","Dates=H","DateFormat=P","Fill=—","Direction=H","UseDPDF=Y")</f>
        <v>71.683999999999997</v>
      </c>
      <c r="W9" s="13">
        <f>_xll.BDH("BLUE US Equity","BS_ST_BORROW","FQ4 2023","FQ4 2023","Currency=USD","Period=FQ","BEST_FPERIOD_OVERRIDE=FQ","FILING_STATUS=MR","SCALING_FORMAT=MLN","Sort=A","Dates=H","DateFormat=P","Fill=—","Direction=H","UseDPDF=Y")</f>
        <v>105.907</v>
      </c>
      <c r="X9" s="13">
        <f>_xll.BDH("BLUE US Equity","BS_ST_BORROW","FQ1 2024","FQ1 2024","Currency=USD","Period=FQ","BEST_FPERIOD_OVERRIDE=FQ","FILING_STATUS=MR","SCALING_FORMAT=MLN","Sort=A","Dates=H","DateFormat=P","Fill=—","Direction=H","UseDPDF=Y")</f>
        <v>207.57</v>
      </c>
      <c r="Y9" s="13">
        <f>_xll.BDH("BLUE US Equity","BS_ST_BORROW","FQ2 2024","FQ2 2024","Currency=USD","Period=FQ","BEST_FPERIOD_OVERRIDE=FQ","FILING_STATUS=MR","SCALING_FORMAT=MLN","Sort=A","Dates=H","DateFormat=P","Fill=—","Direction=H","UseDPDF=Y")</f>
        <v>196.23</v>
      </c>
      <c r="Z9" s="13">
        <f>_xll.BDH("BLUE US Equity","BS_ST_BORROW","FQ3 2024","FQ3 2024","Currency=USD","Period=FQ","BEST_FPERIOD_OVERRIDE=FQ","FILING_STATUS=MR","SCALING_FORMAT=MLN","Sort=A","Dates=H","DateFormat=P","Fill=—","Direction=H","UseDPDF=Y")</f>
        <v>191.292</v>
      </c>
      <c r="AA9" s="13">
        <f>_xll.BDH("BLUE US Equity","BS_ST_BORROW","FQ4 2024","FQ4 2024","Currency=USD","Period=FQ","BEST_FPERIOD_OVERRIDE=FQ","FILING_STATUS=MR","SCALING_FORMAT=MLN","Sort=A","Dates=H","DateFormat=P","Fill=—","Direction=H","UseDPDF=Y")</f>
        <v>185.511</v>
      </c>
    </row>
    <row r="10" spans="1:27" x14ac:dyDescent="0.25">
      <c r="A10" s="10" t="s">
        <v>1341</v>
      </c>
      <c r="B10" s="10" t="s">
        <v>682</v>
      </c>
      <c r="C10" s="13">
        <f>_xll.BDH("BLUE US Equity","BS_LT_BORROW","FQ4 2018","FQ4 2018","Currency=USD","Period=FQ","BEST_FPERIOD_OVERRIDE=FQ","FILING_STATUS=MR","SCALING_FORMAT=MLN","Sort=A","Dates=H","DateFormat=P","Fill=—","Direction=H","UseDPDF=Y")</f>
        <v>153.31899999999999</v>
      </c>
      <c r="D10" s="13">
        <f>_xll.BDH("BLUE US Equity","BS_LT_BORROW","FQ1 2019","FQ1 2019","Currency=USD","Period=FQ","BEST_FPERIOD_OVERRIDE=FQ","FILING_STATUS=MR","SCALING_FORMAT=MLN","Sort=A","Dates=H","DateFormat=P","Fill=—","Direction=H","UseDPDF=Y")</f>
        <v>168.2</v>
      </c>
      <c r="E10" s="13">
        <f>_xll.BDH("BLUE US Equity","BS_LT_BORROW","FQ2 2019","FQ2 2019","Currency=USD","Period=FQ","BEST_FPERIOD_OVERRIDE=FQ","FILING_STATUS=MR","SCALING_FORMAT=MLN","Sort=A","Dates=H","DateFormat=P","Fill=—","Direction=H","UseDPDF=Y")</f>
        <v>175.35</v>
      </c>
      <c r="F10" s="13">
        <f>_xll.BDH("BLUE US Equity","BS_LT_BORROW","FQ3 2019","FQ3 2019","Currency=USD","Period=FQ","BEST_FPERIOD_OVERRIDE=FQ","FILING_STATUS=MR","SCALING_FORMAT=MLN","Sort=A","Dates=H","DateFormat=P","Fill=—","Direction=H","UseDPDF=Y")</f>
        <v>176.02600000000001</v>
      </c>
      <c r="G10" s="13">
        <f>_xll.BDH("BLUE US Equity","BS_LT_BORROW","FQ4 2019","FQ4 2019","Currency=USD","Period=FQ","BEST_FPERIOD_OVERRIDE=FQ","FILING_STATUS=MR","SCALING_FORMAT=MLN","Sort=A","Dates=H","DateFormat=P","Fill=—","Direction=H","UseDPDF=Y")</f>
        <v>170.81200000000001</v>
      </c>
      <c r="H10" s="13">
        <f>_xll.BDH("BLUE US Equity","BS_LT_BORROW","FQ1 2020","FQ1 2020","Currency=USD","Period=FQ","BEST_FPERIOD_OVERRIDE=FQ","FILING_STATUS=MR","SCALING_FORMAT=MLN","Sort=A","Dates=H","DateFormat=P","Fill=—","Direction=H","UseDPDF=Y")</f>
        <v>179.96199999999999</v>
      </c>
      <c r="I10" s="13">
        <f>_xll.BDH("BLUE US Equity","BS_LT_BORROW","FQ2 2020","FQ2 2020","Currency=USD","Period=FQ","BEST_FPERIOD_OVERRIDE=FQ","FILING_STATUS=MR","SCALING_FORMAT=MLN","Sort=A","Dates=H","DateFormat=P","Fill=—","Direction=H","UseDPDF=Y")</f>
        <v>174.56399999999999</v>
      </c>
      <c r="J10" s="13">
        <f>_xll.BDH("BLUE US Equity","BS_LT_BORROW","FQ3 2020","FQ3 2020","Currency=USD","Period=FQ","BEST_FPERIOD_OVERRIDE=FQ","FILING_STATUS=MR","SCALING_FORMAT=MLN","Sort=A","Dates=H","DateFormat=P","Fill=—","Direction=H","UseDPDF=Y")</f>
        <v>173.07499999999999</v>
      </c>
      <c r="K10" s="13">
        <f>_xll.BDH("BLUE US Equity","BS_LT_BORROW","FQ4 2020","FQ4 2020","Currency=USD","Period=FQ","BEST_FPERIOD_OVERRIDE=FQ","FILING_STATUS=MR","SCALING_FORMAT=MLN","Sort=A","Dates=H","DateFormat=P","Fill=—","Direction=H","UseDPDF=Y")</f>
        <v>55.707000000000001</v>
      </c>
      <c r="L10" s="13">
        <f>_xll.BDH("BLUE US Equity","BS_LT_BORROW","FQ1 2021","FQ1 2021","Currency=USD","Period=FQ","BEST_FPERIOD_OVERRIDE=FQ","FILING_STATUS=MR","SCALING_FORMAT=MLN","Sort=A","Dates=H","DateFormat=P","Fill=—","Direction=H","UseDPDF=Y")</f>
        <v>177.702</v>
      </c>
      <c r="M10" s="13">
        <f>_xll.BDH("BLUE US Equity","BS_LT_BORROW","FQ2 2021","FQ2 2021","Currency=USD","Period=FQ","BEST_FPERIOD_OVERRIDE=FQ","FILING_STATUS=MR","SCALING_FORMAT=MLN","Sort=A","Dates=H","DateFormat=P","Fill=—","Direction=H","UseDPDF=Y")</f>
        <v>169.93299999999999</v>
      </c>
      <c r="N10" s="13">
        <f>_xll.BDH("BLUE US Equity","BS_LT_BORROW","FQ3 2021","FQ3 2021","Currency=USD","Period=FQ","BEST_FPERIOD_OVERRIDE=FQ","FILING_STATUS=MR","SCALING_FORMAT=MLN","Sort=A","Dates=H","DateFormat=P","Fill=—","Direction=H","UseDPDF=Y")</f>
        <v>152.126</v>
      </c>
      <c r="O10" s="13">
        <f>_xll.BDH("BLUE US Equity","BS_LT_BORROW","FQ4 2021","FQ4 2021","Currency=USD","Period=FQ","BEST_FPERIOD_OVERRIDE=FQ","FILING_STATUS=MR","SCALING_FORMAT=MLN","Sort=A","Dates=H","DateFormat=P","Fill=—","Direction=H","UseDPDF=Y")</f>
        <v>66.432000000000002</v>
      </c>
      <c r="P10" s="13">
        <f>_xll.BDH("BLUE US Equity","BS_LT_BORROW","FQ1 2022","FQ1 2022","Currency=USD","Period=FQ","BEST_FPERIOD_OVERRIDE=FQ","FILING_STATUS=MR","SCALING_FORMAT=MLN","Sort=A","Dates=H","DateFormat=P","Fill=—","Direction=H","UseDPDF=Y")</f>
        <v>84.828000000000003</v>
      </c>
      <c r="Q10" s="13">
        <f>_xll.BDH("BLUE US Equity","BS_LT_BORROW","FQ2 2022","FQ2 2022","Currency=USD","Period=FQ","BEST_FPERIOD_OVERRIDE=FQ","FILING_STATUS=MR","SCALING_FORMAT=MLN","Sort=A","Dates=H","DateFormat=P","Fill=—","Direction=H","UseDPDF=Y")</f>
        <v>244.52199999999999</v>
      </c>
      <c r="R10" s="13">
        <f>_xll.BDH("BLUE US Equity","BS_LT_BORROW","FQ3 2022","FQ3 2022","Currency=USD","Period=FQ","BEST_FPERIOD_OVERRIDE=FQ","FILING_STATUS=MR","SCALING_FORMAT=MLN","Sort=A","Dates=H","DateFormat=P","Fill=—","Direction=H","UseDPDF=Y")</f>
        <v>234.422</v>
      </c>
      <c r="S10" s="13">
        <f>_xll.BDH("BLUE US Equity","BS_LT_BORROW","FQ4 2022","FQ4 2022","Currency=USD","Period=FQ","BEST_FPERIOD_OVERRIDE=FQ","FILING_STATUS=MR","SCALING_FORMAT=MLN","Sort=A","Dates=H","DateFormat=P","Fill=—","Direction=H","UseDPDF=Y")</f>
        <v>278.81</v>
      </c>
      <c r="T10" s="13">
        <f>_xll.BDH("BLUE US Equity","BS_LT_BORROW","FQ1 2023","FQ1 2023","Currency=USD","Period=FQ","BEST_FPERIOD_OVERRIDE=FQ","FILING_STATUS=MR","SCALING_FORMAT=MLN","Sort=A","Dates=H","DateFormat=P","Fill=—","Direction=H","UseDPDF=Y")</f>
        <v>221.971</v>
      </c>
      <c r="U10" s="13">
        <f>_xll.BDH("BLUE US Equity","BS_LT_BORROW","FQ2 2023","FQ2 2023","Currency=USD","Period=FQ","BEST_FPERIOD_OVERRIDE=FQ","FILING_STATUS=MR","SCALING_FORMAT=MLN","Sort=A","Dates=H","DateFormat=P","Fill=—","Direction=H","UseDPDF=Y")</f>
        <v>239.26599999999999</v>
      </c>
      <c r="V10" s="13">
        <f>_xll.BDH("BLUE US Equity","BS_LT_BORROW","FQ3 2023","FQ3 2023","Currency=USD","Period=FQ","BEST_FPERIOD_OVERRIDE=FQ","FILING_STATUS=MR","SCALING_FORMAT=MLN","Sort=A","Dates=H","DateFormat=P","Fill=—","Direction=H","UseDPDF=Y")</f>
        <v>232.023</v>
      </c>
      <c r="W10" s="13">
        <f>_xll.BDH("BLUE US Equity","BS_LT_BORROW","FQ4 2023","FQ4 2023","Currency=USD","Period=FQ","BEST_FPERIOD_OVERRIDE=FQ","FILING_STATUS=MR","SCALING_FORMAT=MLN","Sort=A","Dates=H","DateFormat=P","Fill=—","Direction=H","UseDPDF=Y")</f>
        <v>224.41900000000001</v>
      </c>
      <c r="X10" s="13">
        <f>_xll.BDH("BLUE US Equity","BS_LT_BORROW","FQ1 2024","FQ1 2024","Currency=USD","Period=FQ","BEST_FPERIOD_OVERRIDE=FQ","FILING_STATUS=MR","SCALING_FORMAT=MLN","Sort=A","Dates=H","DateFormat=P","Fill=—","Direction=H","UseDPDF=Y")</f>
        <v>206.77199999999999</v>
      </c>
      <c r="Y10" s="13">
        <f>_xll.BDH("BLUE US Equity","BS_LT_BORROW","FQ2 2024","FQ2 2024","Currency=USD","Period=FQ","BEST_FPERIOD_OVERRIDE=FQ","FILING_STATUS=MR","SCALING_FORMAT=MLN","Sort=A","Dates=H","DateFormat=P","Fill=—","Direction=H","UseDPDF=Y")</f>
        <v>194.19</v>
      </c>
      <c r="Z10" s="13">
        <f>_xll.BDH("BLUE US Equity","BS_LT_BORROW","FQ3 2024","FQ3 2024","Currency=USD","Period=FQ","BEST_FPERIOD_OVERRIDE=FQ","FILING_STATUS=MR","SCALING_FORMAT=MLN","Sort=A","Dates=H","DateFormat=P","Fill=—","Direction=H","UseDPDF=Y")</f>
        <v>173.73099999999999</v>
      </c>
      <c r="AA10" s="13">
        <f>_xll.BDH("BLUE US Equity","BS_LT_BORROW","FQ4 2024","FQ4 2024","Currency=USD","Period=FQ","BEST_FPERIOD_OVERRIDE=FQ","FILING_STATUS=MR","SCALING_FORMAT=MLN","Sort=A","Dates=H","DateFormat=P","Fill=—","Direction=H","UseDPDF=Y")</f>
        <v>169.357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1342</v>
      </c>
      <c r="B14" s="10" t="s">
        <v>1343</v>
      </c>
      <c r="C14" s="14" t="str">
        <f>_xll.BDH("BLUE US Equity","EBITDA_TO_INTEREST_EXPN","FQ4 2018","FQ4 2018","Currency=USD","Period=FQ","BEST_FPERIOD_OVERRIDE=FQ","FILING_STATUS=MR","FA_ADJUSTED=GAAP","Sort=A","Dates=H","DateFormat=P","Fill=—","Direction=H","UseDPDF=Y")</f>
        <v>—</v>
      </c>
      <c r="D14" s="14" t="str">
        <f>_xll.BDH("BLUE US Equity","EBITDA_TO_INTEREST_EXPN","FQ1 2019","FQ1 2019","Currency=USD","Period=FQ","BEST_FPERIOD_OVERRIDE=FQ","FILING_STATUS=MR","FA_ADJUSTED=GAAP","Sort=A","Dates=H","DateFormat=P","Fill=—","Direction=H","UseDPDF=Y")</f>
        <v>—</v>
      </c>
      <c r="E14" s="14" t="str">
        <f>_xll.BDH("BLUE US Equity","EBITDA_TO_INTEREST_EXPN","FQ2 2019","FQ2 2019","Currency=USD","Period=FQ","BEST_FPERIOD_OVERRIDE=FQ","FILING_STATUS=MR","FA_ADJUSTED=GAAP","Sort=A","Dates=H","DateFormat=P","Fill=—","Direction=H","UseDPDF=Y")</f>
        <v>—</v>
      </c>
      <c r="F14" s="14" t="str">
        <f>_xll.BDH("BLUE US Equity","EBITDA_TO_INTEREST_EXPN","FQ3 2019","FQ3 2019","Currency=USD","Period=FQ","BEST_FPERIOD_OVERRIDE=FQ","FILING_STATUS=MR","FA_ADJUSTED=GAAP","Sort=A","Dates=H","DateFormat=P","Fill=—","Direction=H","UseDPDF=Y")</f>
        <v>—</v>
      </c>
      <c r="G14" s="14" t="str">
        <f>_xll.BDH("BLUE US Equity","EBITDA_TO_INTEREST_EXPN","FQ4 2019","FQ4 2019","Currency=USD","Period=FQ","BEST_FPERIOD_OVERRIDE=FQ","FILING_STATUS=MR","FA_ADJUSTED=GAAP","Sort=A","Dates=H","DateFormat=P","Fill=—","Direction=H","UseDPDF=Y")</f>
        <v>—</v>
      </c>
      <c r="H14" s="14" t="str">
        <f>_xll.BDH("BLUE US Equity","EBITDA_TO_INTEREST_EXPN","FQ1 2020","FQ1 2020","Currency=USD","Period=FQ","BEST_FPERIOD_OVERRIDE=FQ","FILING_STATUS=MR","FA_ADJUSTED=GAAP","Sort=A","Dates=H","DateFormat=P","Fill=—","Direction=H","UseDPDF=Y")</f>
        <v>—</v>
      </c>
      <c r="I14" s="14" t="str">
        <f>_xll.BDH("BLUE US Equity","EBITDA_TO_INTEREST_EXPN","FQ2 2020","FQ2 2020","Currency=USD","Period=FQ","BEST_FPERIOD_OVERRIDE=FQ","FILING_STATUS=MR","FA_ADJUSTED=GAAP","Sort=A","Dates=H","DateFormat=P","Fill=—","Direction=H","UseDPDF=Y")</f>
        <v>—</v>
      </c>
      <c r="J14" s="14" t="str">
        <f>_xll.BDH("BLUE US Equity","EBITDA_TO_INTEREST_EXPN","FQ3 2020","FQ3 2020","Currency=USD","Period=FQ","BEST_FPERIOD_OVERRIDE=FQ","FILING_STATUS=MR","FA_ADJUSTED=GAAP","Sort=A","Dates=H","DateFormat=P","Fill=—","Direction=H","UseDPDF=Y")</f>
        <v>—</v>
      </c>
      <c r="K14" s="14" t="str">
        <f>_xll.BDH("BLUE US Equity","EBITDA_TO_INTEREST_EXPN","FQ4 2020","FQ4 2020","Currency=USD","Period=FQ","BEST_FPERIOD_OVERRIDE=FQ","FILING_STATUS=MR","FA_ADJUSTED=GAAP","Sort=A","Dates=H","DateFormat=P","Fill=—","Direction=H","UseDPDF=Y")</f>
        <v>—</v>
      </c>
      <c r="L14" s="14" t="str">
        <f>_xll.BDH("BLUE US Equity","EBITDA_TO_INTEREST_EXPN","FQ1 2021","FQ1 2021","Currency=USD","Period=FQ","BEST_FPERIOD_OVERRIDE=FQ","FILING_STATUS=MR","FA_ADJUSTED=GAAP","Sort=A","Dates=H","DateFormat=P","Fill=—","Direction=H","UseDPDF=Y")</f>
        <v>—</v>
      </c>
      <c r="M14" s="14" t="str">
        <f>_xll.BDH("BLUE US Equity","EBITDA_TO_INTEREST_EXPN","FQ2 2021","FQ2 2021","Currency=USD","Period=FQ","BEST_FPERIOD_OVERRIDE=FQ","FILING_STATUS=MR","FA_ADJUSTED=GAAP","Sort=A","Dates=H","DateFormat=P","Fill=—","Direction=H","UseDPDF=Y")</f>
        <v>—</v>
      </c>
      <c r="N14" s="14" t="str">
        <f>_xll.BDH("BLUE US Equity","EBITDA_TO_INTEREST_EXPN","FQ3 2021","FQ3 2021","Currency=USD","Period=FQ","BEST_FPERIOD_OVERRIDE=FQ","FILING_STATUS=MR","FA_ADJUSTED=GAAP","Sort=A","Dates=H","DateFormat=P","Fill=—","Direction=H","UseDPDF=Y")</f>
        <v>—</v>
      </c>
      <c r="O14" s="14" t="str">
        <f>_xll.BDH("BLUE US Equity","EBITDA_TO_INTEREST_EXPN","FQ4 2021","FQ4 2021","Currency=USD","Period=FQ","BEST_FPERIOD_OVERRIDE=FQ","FILING_STATUS=MR","FA_ADJUSTED=GAAP","Sort=A","Dates=H","DateFormat=P","Fill=—","Direction=H","UseDPDF=Y")</f>
        <v>—</v>
      </c>
      <c r="P14" s="14" t="str">
        <f>_xll.BDH("BLUE US Equity","EBITDA_TO_INTEREST_EXPN","FQ1 2022","FQ1 2022","Currency=USD","Period=FQ","BEST_FPERIOD_OVERRIDE=FQ","FILING_STATUS=MR","FA_ADJUSTED=GAAP","Sort=A","Dates=H","DateFormat=P","Fill=—","Direction=H","UseDPDF=Y")</f>
        <v>—</v>
      </c>
      <c r="Q14" s="14" t="str">
        <f>_xll.BDH("BLUE US Equity","EBITDA_TO_INTEREST_EXPN","FQ2 2022","FQ2 2022","Currency=USD","Period=FQ","BEST_FPERIOD_OVERRIDE=FQ","FILING_STATUS=MR","FA_ADJUSTED=GAAP","Sort=A","Dates=H","DateFormat=P","Fill=—","Direction=H","UseDPDF=Y")</f>
        <v>—</v>
      </c>
      <c r="R14" s="14" t="str">
        <f>_xll.BDH("BLUE US Equity","EBITDA_TO_INTEREST_EXPN","FQ3 2022","FQ3 2022","Currency=USD","Period=FQ","BEST_FPERIOD_OVERRIDE=FQ","FILING_STATUS=MR","FA_ADJUSTED=GAAP","Sort=A","Dates=H","DateFormat=P","Fill=—","Direction=H","UseDPDF=Y")</f>
        <v>—</v>
      </c>
      <c r="S14" s="14">
        <f>_xll.BDH("BLUE US Equity","EBITDA_TO_INTEREST_EXPN","FQ4 2022","FQ4 2022","Currency=USD","Period=FQ","BEST_FPERIOD_OVERRIDE=FQ","FILING_STATUS=MR","FA_ADJUSTED=GAAP","Sort=A","Dates=H","DateFormat=P","Fill=—","Direction=H","UseDPDF=Y")</f>
        <v>10.5886</v>
      </c>
      <c r="T14" s="14">
        <f>_xll.BDH("BLUE US Equity","EBITDA_TO_INTEREST_EXPN","FQ1 2023","FQ1 2023","Currency=USD","Period=FQ","BEST_FPERIOD_OVERRIDE=FQ","FILING_STATUS=MR","FA_ADJUSTED=GAAP","Sort=A","Dates=H","DateFormat=P","Fill=—","Direction=H","UseDPDF=Y")</f>
        <v>4.2808000000000002</v>
      </c>
      <c r="U14" s="14">
        <f>_xll.BDH("BLUE US Equity","EBITDA_TO_INTEREST_EXPN","FQ2 2023","FQ2 2023","Currency=USD","Period=FQ","BEST_FPERIOD_OVERRIDE=FQ","FILING_STATUS=MR","FA_ADJUSTED=GAAP","Sort=A","Dates=H","DateFormat=P","Fill=—","Direction=H","UseDPDF=Y")</f>
        <v>-17.211200000000002</v>
      </c>
      <c r="V14" s="14">
        <f>_xll.BDH("BLUE US Equity","EBITDA_TO_INTEREST_EXPN","FQ3 2023","FQ3 2023","Currency=USD","Period=FQ","BEST_FPERIOD_OVERRIDE=FQ","FILING_STATUS=MR","FA_ADJUSTED=GAAP","Sort=A","Dates=H","DateFormat=P","Fill=—","Direction=H","UseDPDF=Y")</f>
        <v>-20.150300000000001</v>
      </c>
      <c r="W14" s="14">
        <f>_xll.BDH("BLUE US Equity","EBITDA_TO_INTEREST_EXPN","FQ4 2023","FQ4 2023","Currency=USD","Period=FQ","BEST_FPERIOD_OVERRIDE=FQ","FILING_STATUS=MR","FA_ADJUSTED=GAAP","Sort=A","Dates=H","DateFormat=P","Fill=—","Direction=H","UseDPDF=Y")</f>
        <v>-3.5022000000000002</v>
      </c>
      <c r="X14" s="14">
        <f>_xll.BDH("BLUE US Equity","EBITDA_TO_INTEREST_EXPN","FQ1 2024","FQ1 2024","Currency=USD","Period=FQ","BEST_FPERIOD_OVERRIDE=FQ","FILING_STATUS=MR","FA_ADJUSTED=GAAP","Sort=A","Dates=H","DateFormat=P","Fill=—","Direction=H","UseDPDF=Y")</f>
        <v>-13.1967</v>
      </c>
      <c r="Y14" s="14">
        <f>_xll.BDH("BLUE US Equity","EBITDA_TO_INTEREST_EXPN","FQ2 2024","FQ2 2024","Currency=USD","Period=FQ","BEST_FPERIOD_OVERRIDE=FQ","FILING_STATUS=MR","FA_ADJUSTED=GAAP","Sort=A","Dates=H","DateFormat=P","Fill=—","Direction=H","UseDPDF=Y")</f>
        <v>-13.321099999999999</v>
      </c>
      <c r="Z14" s="14">
        <f>_xll.BDH("BLUE US Equity","EBITDA_TO_INTEREST_EXPN","FQ3 2024","FQ3 2024","Currency=USD","Period=FQ","BEST_FPERIOD_OVERRIDE=FQ","FILING_STATUS=MR","FA_ADJUSTED=GAAP","Sort=A","Dates=H","DateFormat=P","Fill=—","Direction=H","UseDPDF=Y")</f>
        <v>-8.9260999999999999</v>
      </c>
      <c r="AA14" s="14">
        <f>_xll.BDH("BLUE US Equity","EBITDA_TO_INTEREST_EXPN","FQ4 2024","FQ4 2024","Currency=USD","Period=FQ","BEST_FPERIOD_OVERRIDE=FQ","FILING_STATUS=MR","FA_ADJUSTED=GAAP","Sort=A","Dates=H","DateFormat=P","Fill=—","Direction=H","UseDPDF=Y")</f>
        <v>-4.5282</v>
      </c>
    </row>
    <row r="15" spans="1:27" x14ac:dyDescent="0.25">
      <c r="A15" s="10" t="s">
        <v>1344</v>
      </c>
      <c r="B15" s="10" t="s">
        <v>1345</v>
      </c>
      <c r="C15" s="14" t="str">
        <f>_xll.BDH("BLUE US Equity","EBITDA_LES_CAP_EXPEND_TO_INT_EXP","FQ4 2018","FQ4 2018","Currency=USD","Period=FQ","BEST_FPERIOD_OVERRIDE=FQ","FILING_STATUS=MR","FA_ADJUSTED=GAAP","Sort=A","Dates=H","DateFormat=P","Fill=—","Direction=H","UseDPDF=Y")</f>
        <v>—</v>
      </c>
      <c r="D15" s="14" t="str">
        <f>_xll.BDH("BLUE US Equity","EBITDA_LES_CAP_EXPEND_TO_INT_EXP","FQ1 2019","FQ1 2019","Currency=USD","Period=FQ","BEST_FPERIOD_OVERRIDE=FQ","FILING_STATUS=MR","FA_ADJUSTED=GAAP","Sort=A","Dates=H","DateFormat=P","Fill=—","Direction=H","UseDPDF=Y")</f>
        <v>—</v>
      </c>
      <c r="E15" s="14" t="str">
        <f>_xll.BDH("BLUE US Equity","EBITDA_LES_CAP_EXPEND_TO_INT_EXP","FQ2 2019","FQ2 2019","Currency=USD","Period=FQ","BEST_FPERIOD_OVERRIDE=FQ","FILING_STATUS=MR","FA_ADJUSTED=GAAP","Sort=A","Dates=H","DateFormat=P","Fill=—","Direction=H","UseDPDF=Y")</f>
        <v>—</v>
      </c>
      <c r="F15" s="14" t="str">
        <f>_xll.BDH("BLUE US Equity","EBITDA_LES_CAP_EXPEND_TO_INT_EXP","FQ3 2019","FQ3 2019","Currency=USD","Period=FQ","BEST_FPERIOD_OVERRIDE=FQ","FILING_STATUS=MR","FA_ADJUSTED=GAAP","Sort=A","Dates=H","DateFormat=P","Fill=—","Direction=H","UseDPDF=Y")</f>
        <v>—</v>
      </c>
      <c r="G15" s="14" t="str">
        <f>_xll.BDH("BLUE US Equity","EBITDA_LES_CAP_EXPEND_TO_INT_EXP","FQ4 2019","FQ4 2019","Currency=USD","Period=FQ","BEST_FPERIOD_OVERRIDE=FQ","FILING_STATUS=MR","FA_ADJUSTED=GAAP","Sort=A","Dates=H","DateFormat=P","Fill=—","Direction=H","UseDPDF=Y")</f>
        <v>—</v>
      </c>
      <c r="H15" s="14" t="str">
        <f>_xll.BDH("BLUE US Equity","EBITDA_LES_CAP_EXPEND_TO_INT_EXP","FQ1 2020","FQ1 2020","Currency=USD","Period=FQ","BEST_FPERIOD_OVERRIDE=FQ","FILING_STATUS=MR","FA_ADJUSTED=GAAP","Sort=A","Dates=H","DateFormat=P","Fill=—","Direction=H","UseDPDF=Y")</f>
        <v>—</v>
      </c>
      <c r="I15" s="14" t="str">
        <f>_xll.BDH("BLUE US Equity","EBITDA_LES_CAP_EXPEND_TO_INT_EXP","FQ2 2020","FQ2 2020","Currency=USD","Period=FQ","BEST_FPERIOD_OVERRIDE=FQ","FILING_STATUS=MR","FA_ADJUSTED=GAAP","Sort=A","Dates=H","DateFormat=P","Fill=—","Direction=H","UseDPDF=Y")</f>
        <v>—</v>
      </c>
      <c r="J15" s="14" t="str">
        <f>_xll.BDH("BLUE US Equity","EBITDA_LES_CAP_EXPEND_TO_INT_EXP","FQ3 2020","FQ3 2020","Currency=USD","Period=FQ","BEST_FPERIOD_OVERRIDE=FQ","FILING_STATUS=MR","FA_ADJUSTED=GAAP","Sort=A","Dates=H","DateFormat=P","Fill=—","Direction=H","UseDPDF=Y")</f>
        <v>—</v>
      </c>
      <c r="K15" s="14" t="str">
        <f>_xll.BDH("BLUE US Equity","EBITDA_LES_CAP_EXPEND_TO_INT_EXP","FQ4 2020","FQ4 2020","Currency=USD","Period=FQ","BEST_FPERIOD_OVERRIDE=FQ","FILING_STATUS=MR","FA_ADJUSTED=GAAP","Sort=A","Dates=H","DateFormat=P","Fill=—","Direction=H","UseDPDF=Y")</f>
        <v>—</v>
      </c>
      <c r="L15" s="14" t="str">
        <f>_xll.BDH("BLUE US Equity","EBITDA_LES_CAP_EXPEND_TO_INT_EXP","FQ1 2021","FQ1 2021","Currency=USD","Period=FQ","BEST_FPERIOD_OVERRIDE=FQ","FILING_STATUS=MR","FA_ADJUSTED=GAAP","Sort=A","Dates=H","DateFormat=P","Fill=—","Direction=H","UseDPDF=Y")</f>
        <v>—</v>
      </c>
      <c r="M15" s="14" t="str">
        <f>_xll.BDH("BLUE US Equity","EBITDA_LES_CAP_EXPEND_TO_INT_EXP","FQ2 2021","FQ2 2021","Currency=USD","Period=FQ","BEST_FPERIOD_OVERRIDE=FQ","FILING_STATUS=MR","FA_ADJUSTED=GAAP","Sort=A","Dates=H","DateFormat=P","Fill=—","Direction=H","UseDPDF=Y")</f>
        <v>—</v>
      </c>
      <c r="N15" s="14" t="str">
        <f>_xll.BDH("BLUE US Equity","EBITDA_LES_CAP_EXPEND_TO_INT_EXP","FQ3 2021","FQ3 2021","Currency=USD","Period=FQ","BEST_FPERIOD_OVERRIDE=FQ","FILING_STATUS=MR","FA_ADJUSTED=GAAP","Sort=A","Dates=H","DateFormat=P","Fill=—","Direction=H","UseDPDF=Y")</f>
        <v>—</v>
      </c>
      <c r="O15" s="14" t="str">
        <f>_xll.BDH("BLUE US Equity","EBITDA_LES_CAP_EXPEND_TO_INT_EXP","FQ4 2021","FQ4 2021","Currency=USD","Period=FQ","BEST_FPERIOD_OVERRIDE=FQ","FILING_STATUS=MR","FA_ADJUSTED=GAAP","Sort=A","Dates=H","DateFormat=P","Fill=—","Direction=H","UseDPDF=Y")</f>
        <v>—</v>
      </c>
      <c r="P15" s="14" t="str">
        <f>_xll.BDH("BLUE US Equity","EBITDA_LES_CAP_EXPEND_TO_INT_EXP","FQ1 2022","FQ1 2022","Currency=USD","Period=FQ","BEST_FPERIOD_OVERRIDE=FQ","FILING_STATUS=MR","FA_ADJUSTED=GAAP","Sort=A","Dates=H","DateFormat=P","Fill=—","Direction=H","UseDPDF=Y")</f>
        <v>—</v>
      </c>
      <c r="Q15" s="14" t="str">
        <f>_xll.BDH("BLUE US Equity","EBITDA_LES_CAP_EXPEND_TO_INT_EXP","FQ2 2022","FQ2 2022","Currency=USD","Period=FQ","BEST_FPERIOD_OVERRIDE=FQ","FILING_STATUS=MR","FA_ADJUSTED=GAAP","Sort=A","Dates=H","DateFormat=P","Fill=—","Direction=H","UseDPDF=Y")</f>
        <v>—</v>
      </c>
      <c r="R15" s="14" t="str">
        <f>_xll.BDH("BLUE US Equity","EBITDA_LES_CAP_EXPEND_TO_INT_EXP","FQ3 2022","FQ3 2022","Currency=USD","Period=FQ","BEST_FPERIOD_OVERRIDE=FQ","FILING_STATUS=MR","FA_ADJUSTED=GAAP","Sort=A","Dates=H","DateFormat=P","Fill=—","Direction=H","UseDPDF=Y")</f>
        <v>—</v>
      </c>
      <c r="S15" s="14">
        <f>_xll.BDH("BLUE US Equity","EBITDA_LES_CAP_EXPEND_TO_INT_EXP","FQ4 2022","FQ4 2022","Currency=USD","Period=FQ","BEST_FPERIOD_OVERRIDE=FQ","FILING_STATUS=MR","FA_ADJUSTED=GAAP","Sort=A","Dates=H","DateFormat=P","Fill=—","Direction=H","UseDPDF=Y")</f>
        <v>10.5715</v>
      </c>
      <c r="T15" s="14">
        <f>_xll.BDH("BLUE US Equity","EBITDA_LES_CAP_EXPEND_TO_INT_EXP","FQ1 2023","FQ1 2023","Currency=USD","Period=FQ","BEST_FPERIOD_OVERRIDE=FQ","FILING_STATUS=MR","FA_ADJUSTED=GAAP","Sort=A","Dates=H","DateFormat=P","Fill=—","Direction=H","UseDPDF=Y")</f>
        <v>4.2264999999999997</v>
      </c>
      <c r="U15" s="14">
        <f>_xll.BDH("BLUE US Equity","EBITDA_LES_CAP_EXPEND_TO_INT_EXP","FQ2 2023","FQ2 2023","Currency=USD","Period=FQ","BEST_FPERIOD_OVERRIDE=FQ","FILING_STATUS=MR","FA_ADJUSTED=GAAP","Sort=A","Dates=H","DateFormat=P","Fill=—","Direction=H","UseDPDF=Y")</f>
        <v>-17.3992</v>
      </c>
      <c r="V15" s="14">
        <f>_xll.BDH("BLUE US Equity","EBITDA_LES_CAP_EXPEND_TO_INT_EXP","FQ3 2023","FQ3 2023","Currency=USD","Period=FQ","BEST_FPERIOD_OVERRIDE=FQ","FILING_STATUS=MR","FA_ADJUSTED=GAAP","Sort=A","Dates=H","DateFormat=P","Fill=—","Direction=H","UseDPDF=Y")</f>
        <v>-20.623100000000001</v>
      </c>
      <c r="W15" s="14">
        <f>_xll.BDH("BLUE US Equity","EBITDA_LES_CAP_EXPEND_TO_INT_EXP","FQ4 2023","FQ4 2023","Currency=USD","Period=FQ","BEST_FPERIOD_OVERRIDE=FQ","FILING_STATUS=MR","FA_ADJUSTED=GAAP","Sort=A","Dates=H","DateFormat=P","Fill=—","Direction=H","UseDPDF=Y")</f>
        <v>-3.5764999999999998</v>
      </c>
      <c r="X15" s="14">
        <f>_xll.BDH("BLUE US Equity","EBITDA_LES_CAP_EXPEND_TO_INT_EXP","FQ1 2024","FQ1 2024","Currency=USD","Period=FQ","BEST_FPERIOD_OVERRIDE=FQ","FILING_STATUS=MR","FA_ADJUSTED=GAAP","Sort=A","Dates=H","DateFormat=P","Fill=—","Direction=H","UseDPDF=Y")</f>
        <v>-13.562200000000001</v>
      </c>
      <c r="Y15" s="14">
        <f>_xll.BDH("BLUE US Equity","EBITDA_LES_CAP_EXPEND_TO_INT_EXP","FQ2 2024","FQ2 2024","Currency=USD","Period=FQ","BEST_FPERIOD_OVERRIDE=FQ","FILING_STATUS=MR","FA_ADJUSTED=GAAP","Sort=A","Dates=H","DateFormat=P","Fill=—","Direction=H","UseDPDF=Y")</f>
        <v>-13.331899999999999</v>
      </c>
      <c r="Z15" s="14">
        <f>_xll.BDH("BLUE US Equity","EBITDA_LES_CAP_EXPEND_TO_INT_EXP","FQ3 2024","FQ3 2024","Currency=USD","Period=FQ","BEST_FPERIOD_OVERRIDE=FQ","FILING_STATUS=MR","FA_ADJUSTED=GAAP","Sort=A","Dates=H","DateFormat=P","Fill=—","Direction=H","UseDPDF=Y")</f>
        <v>-8.9746000000000006</v>
      </c>
      <c r="AA15" s="14">
        <f>_xll.BDH("BLUE US Equity","EBITDA_LES_CAP_EXPEND_TO_INT_EXP","FQ4 2024","FQ4 2024","Currency=USD","Period=FQ","BEST_FPERIOD_OVERRIDE=FQ","FILING_STATUS=MR","FA_ADJUSTED=GAAP","Sort=A","Dates=H","DateFormat=P","Fill=—","Direction=H","UseDPDF=Y")</f>
        <v>-4.6029</v>
      </c>
    </row>
    <row r="16" spans="1:27" x14ac:dyDescent="0.25">
      <c r="A16" s="10" t="s">
        <v>1346</v>
      </c>
      <c r="B16" s="10" t="s">
        <v>1347</v>
      </c>
      <c r="C16" s="14" t="str">
        <f>_xll.BDH("BLUE US Equity","OPER_INC_TO_INT_EXP","FQ4 2018","FQ4 2018","Currency=USD","Period=FQ","BEST_FPERIOD_OVERRIDE=FQ","FILING_STATUS=MR","FA_ADJUSTED=GAAP","Sort=A","Dates=H","DateFormat=P","Fill=—","Direction=H","UseDPDF=Y")</f>
        <v>—</v>
      </c>
      <c r="D16" s="14" t="str">
        <f>_xll.BDH("BLUE US Equity","OPER_INC_TO_INT_EXP","FQ1 2019","FQ1 2019","Currency=USD","Period=FQ","BEST_FPERIOD_OVERRIDE=FQ","FILING_STATUS=MR","FA_ADJUSTED=GAAP","Sort=A","Dates=H","DateFormat=P","Fill=—","Direction=H","UseDPDF=Y")</f>
        <v>—</v>
      </c>
      <c r="E16" s="14" t="str">
        <f>_xll.BDH("BLUE US Equity","OPER_INC_TO_INT_EXP","FQ2 2019","FQ2 2019","Currency=USD","Period=FQ","BEST_FPERIOD_OVERRIDE=FQ","FILING_STATUS=MR","FA_ADJUSTED=GAAP","Sort=A","Dates=H","DateFormat=P","Fill=—","Direction=H","UseDPDF=Y")</f>
        <v>—</v>
      </c>
      <c r="F16" s="14" t="str">
        <f>_xll.BDH("BLUE US Equity","OPER_INC_TO_INT_EXP","FQ3 2019","FQ3 2019","Currency=USD","Period=FQ","BEST_FPERIOD_OVERRIDE=FQ","FILING_STATUS=MR","FA_ADJUSTED=GAAP","Sort=A","Dates=H","DateFormat=P","Fill=—","Direction=H","UseDPDF=Y")</f>
        <v>—</v>
      </c>
      <c r="G16" s="14" t="str">
        <f>_xll.BDH("BLUE US Equity","OPER_INC_TO_INT_EXP","FQ4 2019","FQ4 2019","Currency=USD","Period=FQ","BEST_FPERIOD_OVERRIDE=FQ","FILING_STATUS=MR","FA_ADJUSTED=GAAP","Sort=A","Dates=H","DateFormat=P","Fill=—","Direction=H","UseDPDF=Y")</f>
        <v>—</v>
      </c>
      <c r="H16" s="14" t="str">
        <f>_xll.BDH("BLUE US Equity","OPER_INC_TO_INT_EXP","FQ1 2020","FQ1 2020","Currency=USD","Period=FQ","BEST_FPERIOD_OVERRIDE=FQ","FILING_STATUS=MR","FA_ADJUSTED=GAAP","Sort=A","Dates=H","DateFormat=P","Fill=—","Direction=H","UseDPDF=Y")</f>
        <v>—</v>
      </c>
      <c r="I16" s="14" t="str">
        <f>_xll.BDH("BLUE US Equity","OPER_INC_TO_INT_EXP","FQ2 2020","FQ2 2020","Currency=USD","Period=FQ","BEST_FPERIOD_OVERRIDE=FQ","FILING_STATUS=MR","FA_ADJUSTED=GAAP","Sort=A","Dates=H","DateFormat=P","Fill=—","Direction=H","UseDPDF=Y")</f>
        <v>—</v>
      </c>
      <c r="J16" s="14" t="str">
        <f>_xll.BDH("BLUE US Equity","OPER_INC_TO_INT_EXP","FQ3 2020","FQ3 2020","Currency=USD","Period=FQ","BEST_FPERIOD_OVERRIDE=FQ","FILING_STATUS=MR","FA_ADJUSTED=GAAP","Sort=A","Dates=H","DateFormat=P","Fill=—","Direction=H","UseDPDF=Y")</f>
        <v>—</v>
      </c>
      <c r="K16" s="14" t="str">
        <f>_xll.BDH("BLUE US Equity","OPER_INC_TO_INT_EXP","FQ4 2020","FQ4 2020","Currency=USD","Period=FQ","BEST_FPERIOD_OVERRIDE=FQ","FILING_STATUS=MR","FA_ADJUSTED=GAAP","Sort=A","Dates=H","DateFormat=P","Fill=—","Direction=H","UseDPDF=Y")</f>
        <v>—</v>
      </c>
      <c r="L16" s="14" t="str">
        <f>_xll.BDH("BLUE US Equity","OPER_INC_TO_INT_EXP","FQ1 2021","FQ1 2021","Currency=USD","Period=FQ","BEST_FPERIOD_OVERRIDE=FQ","FILING_STATUS=MR","FA_ADJUSTED=GAAP","Sort=A","Dates=H","DateFormat=P","Fill=—","Direction=H","UseDPDF=Y")</f>
        <v>—</v>
      </c>
      <c r="M16" s="14" t="str">
        <f>_xll.BDH("BLUE US Equity","OPER_INC_TO_INT_EXP","FQ2 2021","FQ2 2021","Currency=USD","Period=FQ","BEST_FPERIOD_OVERRIDE=FQ","FILING_STATUS=MR","FA_ADJUSTED=GAAP","Sort=A","Dates=H","DateFormat=P","Fill=—","Direction=H","UseDPDF=Y")</f>
        <v>—</v>
      </c>
      <c r="N16" s="14" t="str">
        <f>_xll.BDH("BLUE US Equity","OPER_INC_TO_INT_EXP","FQ3 2021","FQ3 2021","Currency=USD","Period=FQ","BEST_FPERIOD_OVERRIDE=FQ","FILING_STATUS=MR","FA_ADJUSTED=GAAP","Sort=A","Dates=H","DateFormat=P","Fill=—","Direction=H","UseDPDF=Y")</f>
        <v>—</v>
      </c>
      <c r="O16" s="14" t="str">
        <f>_xll.BDH("BLUE US Equity","OPER_INC_TO_INT_EXP","FQ4 2021","FQ4 2021","Currency=USD","Period=FQ","BEST_FPERIOD_OVERRIDE=FQ","FILING_STATUS=MR","FA_ADJUSTED=GAAP","Sort=A","Dates=H","DateFormat=P","Fill=—","Direction=H","UseDPDF=Y")</f>
        <v>—</v>
      </c>
      <c r="P16" s="14" t="str">
        <f>_xll.BDH("BLUE US Equity","OPER_INC_TO_INT_EXP","FQ1 2022","FQ1 2022","Currency=USD","Period=FQ","BEST_FPERIOD_OVERRIDE=FQ","FILING_STATUS=MR","FA_ADJUSTED=GAAP","Sort=A","Dates=H","DateFormat=P","Fill=—","Direction=H","UseDPDF=Y")</f>
        <v>—</v>
      </c>
      <c r="Q16" s="14" t="str">
        <f>_xll.BDH("BLUE US Equity","OPER_INC_TO_INT_EXP","FQ2 2022","FQ2 2022","Currency=USD","Period=FQ","BEST_FPERIOD_OVERRIDE=FQ","FILING_STATUS=MR","FA_ADJUSTED=GAAP","Sort=A","Dates=H","DateFormat=P","Fill=—","Direction=H","UseDPDF=Y")</f>
        <v>—</v>
      </c>
      <c r="R16" s="14" t="str">
        <f>_xll.BDH("BLUE US Equity","OPER_INC_TO_INT_EXP","FQ3 2022","FQ3 2022","Currency=USD","Period=FQ","BEST_FPERIOD_OVERRIDE=FQ","FILING_STATUS=MR","FA_ADJUSTED=GAAP","Sort=A","Dates=H","DateFormat=P","Fill=—","Direction=H","UseDPDF=Y")</f>
        <v>—</v>
      </c>
      <c r="S16" s="14">
        <f>_xll.BDH("BLUE US Equity","OPER_INC_TO_INT_EXP","FQ4 2022","FQ4 2022","Currency=USD","Period=FQ","BEST_FPERIOD_OVERRIDE=FQ","FILING_STATUS=MR","FA_ADJUSTED=GAAP","Sort=A","Dates=H","DateFormat=P","Fill=—","Direction=H","UseDPDF=Y")</f>
        <v>9.8611000000000004</v>
      </c>
      <c r="T16" s="14">
        <f>_xll.BDH("BLUE US Equity","OPER_INC_TO_INT_EXP","FQ1 2023","FQ1 2023","Currency=USD","Period=FQ","BEST_FPERIOD_OVERRIDE=FQ","FILING_STATUS=MR","FA_ADJUSTED=GAAP","Sort=A","Dates=H","DateFormat=P","Fill=—","Direction=H","UseDPDF=Y")</f>
        <v>2.5164</v>
      </c>
      <c r="U16" s="14">
        <f>_xll.BDH("BLUE US Equity","OPER_INC_TO_INT_EXP","FQ2 2023","FQ2 2023","Currency=USD","Period=FQ","BEST_FPERIOD_OVERRIDE=FQ","FILING_STATUS=MR","FA_ADJUSTED=GAAP","Sort=A","Dates=H","DateFormat=P","Fill=—","Direction=H","UseDPDF=Y")</f>
        <v>-19.124500000000001</v>
      </c>
      <c r="V16" s="14">
        <f>_xll.BDH("BLUE US Equity","OPER_INC_TO_INT_EXP","FQ3 2023","FQ3 2023","Currency=USD","Period=FQ","BEST_FPERIOD_OVERRIDE=FQ","FILING_STATUS=MR","FA_ADJUSTED=GAAP","Sort=A","Dates=H","DateFormat=P","Fill=—","Direction=H","UseDPDF=Y")</f>
        <v>-22.27</v>
      </c>
      <c r="W16" s="14">
        <f>_xll.BDH("BLUE US Equity","OPER_INC_TO_INT_EXP","FQ4 2023","FQ4 2023","Currency=USD","Period=FQ","BEST_FPERIOD_OVERRIDE=FQ","FILING_STATUS=MR","FA_ADJUSTED=GAAP","Sort=A","Dates=H","DateFormat=P","Fill=—","Direction=H","UseDPDF=Y")</f>
        <v>-5.0555000000000003</v>
      </c>
      <c r="X16" s="14">
        <f>_xll.BDH("BLUE US Equity","OPER_INC_TO_INT_EXP","FQ1 2024","FQ1 2024","Currency=USD","Period=FQ","BEST_FPERIOD_OVERRIDE=FQ","FILING_STATUS=MR","FA_ADJUSTED=GAAP","Sort=A","Dates=H","DateFormat=P","Fill=—","Direction=H","UseDPDF=Y")</f>
        <v>-16.205100000000002</v>
      </c>
      <c r="Y16" s="14">
        <f>_xll.BDH("BLUE US Equity","OPER_INC_TO_INT_EXP","FQ2 2024","FQ2 2024","Currency=USD","Period=FQ","BEST_FPERIOD_OVERRIDE=FQ","FILING_STATUS=MR","FA_ADJUSTED=GAAP","Sort=A","Dates=H","DateFormat=P","Fill=—","Direction=H","UseDPDF=Y")</f>
        <v>-16.209800000000001</v>
      </c>
      <c r="Z16" s="14">
        <f>_xll.BDH("BLUE US Equity","OPER_INC_TO_INT_EXP","FQ3 2024","FQ3 2024","Currency=USD","Period=FQ","BEST_FPERIOD_OVERRIDE=FQ","FILING_STATUS=MR","FA_ADJUSTED=GAAP","Sort=A","Dates=H","DateFormat=P","Fill=—","Direction=H","UseDPDF=Y")</f>
        <v>-11.5817</v>
      </c>
      <c r="AA16" s="14">
        <f>_xll.BDH("BLUE US Equity","OPER_INC_TO_INT_EXP","FQ4 2024","FQ4 2024","Currency=USD","Period=FQ","BEST_FPERIOD_OVERRIDE=FQ","FILING_STATUS=MR","FA_ADJUSTED=GAAP","Sort=A","Dates=H","DateFormat=P","Fill=—","Direction=H","UseDPDF=Y")</f>
        <v>-5.6158000000000001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422</v>
      </c>
      <c r="B19" s="10" t="s">
        <v>302</v>
      </c>
      <c r="C19" s="13">
        <f>_xll.BDH("BLUE US Equity","IS_INT_EXPENSE","FQ4 2018","FQ4 2018","Currency=USD","Period=FQ","BEST_FPERIOD_OVERRIDE=FQ","FILING_STATUS=MR","SCALING_FORMAT=MLN","FA_ADJUSTED=GAAP","Sort=A","Dates=H","DateFormat=P","Fill=—","Direction=H","UseDPDF=Y")</f>
        <v>0</v>
      </c>
      <c r="D19" s="13">
        <f>_xll.BDH("BLUE US Equity","IS_INT_EXPENSE","FQ1 2019","FQ1 2019","Currency=USD","Period=FQ","BEST_FPERIOD_OVERRIDE=FQ","FILING_STATUS=MR","SCALING_FORMAT=MLN","FA_ADJUSTED=GAAP","Sort=A","Dates=H","DateFormat=P","Fill=—","Direction=H","UseDPDF=Y")</f>
        <v>0</v>
      </c>
      <c r="E19" s="13">
        <f>_xll.BDH("BLUE US Equity","IS_INT_EXPENSE","FQ2 2019","FQ2 2019","Currency=USD","Period=FQ","BEST_FPERIOD_OVERRIDE=FQ","FILING_STATUS=MR","SCALING_FORMAT=MLN","FA_ADJUSTED=GAAP","Sort=A","Dates=H","DateFormat=P","Fill=—","Direction=H","UseDPDF=Y")</f>
        <v>0</v>
      </c>
      <c r="F19" s="13">
        <f>_xll.BDH("BLUE US Equity","IS_INT_EXPENSE","FQ3 2019","FQ3 2019","Currency=USD","Period=FQ","BEST_FPERIOD_OVERRIDE=FQ","FILING_STATUS=MR","SCALING_FORMAT=MLN","FA_ADJUSTED=GAAP","Sort=A","Dates=H","DateFormat=P","Fill=—","Direction=H","UseDPDF=Y")</f>
        <v>0</v>
      </c>
      <c r="G19" s="13">
        <f>_xll.BDH("BLUE US Equity","IS_INT_EXPENSE","FQ4 2019","FQ4 2019","Currency=USD","Period=FQ","BEST_FPERIOD_OVERRIDE=FQ","FILING_STATUS=MR","SCALING_FORMAT=MLN","FA_ADJUSTED=GAAP","Sort=A","Dates=H","DateFormat=P","Fill=—","Direction=H","UseDPDF=Y")</f>
        <v>0</v>
      </c>
      <c r="H19" s="13">
        <f>_xll.BDH("BLUE US Equity","IS_INT_EXPENSE","FQ1 2020","FQ1 2020","Currency=USD","Period=FQ","BEST_FPERIOD_OVERRIDE=FQ","FILING_STATUS=MR","SCALING_FORMAT=MLN","FA_ADJUSTED=GAAP","Sort=A","Dates=H","DateFormat=P","Fill=—","Direction=H","UseDPDF=Y")</f>
        <v>0</v>
      </c>
      <c r="I19" s="13">
        <f>_xll.BDH("BLUE US Equity","IS_INT_EXPENSE","FQ2 2020","FQ2 2020","Currency=USD","Period=FQ","BEST_FPERIOD_OVERRIDE=FQ","FILING_STATUS=MR","SCALING_FORMAT=MLN","FA_ADJUSTED=GAAP","Sort=A","Dates=H","DateFormat=P","Fill=—","Direction=H","UseDPDF=Y")</f>
        <v>0</v>
      </c>
      <c r="J19" s="13">
        <f>_xll.BDH("BLUE US Equity","IS_INT_EXPENSE","FQ3 2020","FQ3 2020","Currency=USD","Period=FQ","BEST_FPERIOD_OVERRIDE=FQ","FILING_STATUS=MR","SCALING_FORMAT=MLN","FA_ADJUSTED=GAAP","Sort=A","Dates=H","DateFormat=P","Fill=—","Direction=H","UseDPDF=Y")</f>
        <v>0</v>
      </c>
      <c r="K19" s="13">
        <f>_xll.BDH("BLUE US Equity","IS_INT_EXPENSE","FQ4 2020","FQ4 2020","Currency=USD","Period=FQ","BEST_FPERIOD_OVERRIDE=FQ","FILING_STATUS=MR","SCALING_FORMAT=MLN","FA_ADJUSTED=GAAP","Sort=A","Dates=H","DateFormat=P","Fill=—","Direction=H","UseDPDF=Y")</f>
        <v>0</v>
      </c>
      <c r="L19" s="13">
        <f>_xll.BDH("BLUE US Equity","IS_INT_EXPENSE","FQ1 2021","FQ1 2021","Currency=USD","Period=FQ","BEST_FPERIOD_OVERRIDE=FQ","FILING_STATUS=MR","SCALING_FORMAT=MLN","FA_ADJUSTED=GAAP","Sort=A","Dates=H","DateFormat=P","Fill=—","Direction=H","UseDPDF=Y")</f>
        <v>0</v>
      </c>
      <c r="M19" s="13">
        <f>_xll.BDH("BLUE US Equity","IS_INT_EXPENSE","FQ2 2021","FQ2 2021","Currency=USD","Period=FQ","BEST_FPERIOD_OVERRIDE=FQ","FILING_STATUS=MR","SCALING_FORMAT=MLN","FA_ADJUSTED=GAAP","Sort=A","Dates=H","DateFormat=P","Fill=—","Direction=H","UseDPDF=Y")</f>
        <v>0</v>
      </c>
      <c r="N19" s="13">
        <f>_xll.BDH("BLUE US Equity","IS_INT_EXPENSE","FQ3 2021","FQ3 2021","Currency=USD","Period=FQ","BEST_FPERIOD_OVERRIDE=FQ","FILING_STATUS=MR","SCALING_FORMAT=MLN","FA_ADJUSTED=GAAP","Sort=A","Dates=H","DateFormat=P","Fill=—","Direction=H","UseDPDF=Y")</f>
        <v>0</v>
      </c>
      <c r="O19" s="13">
        <f>_xll.BDH("BLUE US Equity","IS_INT_EXPENSE","FQ4 2021","FQ4 2021","Currency=USD","Period=FQ","BEST_FPERIOD_OVERRIDE=FQ","FILING_STATUS=MR","SCALING_FORMAT=MLN","FA_ADJUSTED=GAAP","Sort=A","Dates=H","DateFormat=P","Fill=—","Direction=H","UseDPDF=Y")</f>
        <v>0</v>
      </c>
      <c r="P19" s="13">
        <f>_xll.BDH("BLUE US Equity","IS_INT_EXPENSE","FQ1 2022","FQ1 2022","Currency=USD","Period=FQ","BEST_FPERIOD_OVERRIDE=FQ","FILING_STATUS=MR","SCALING_FORMAT=MLN","FA_ADJUSTED=GAAP","Sort=A","Dates=H","DateFormat=P","Fill=—","Direction=H","UseDPDF=Y")</f>
        <v>0</v>
      </c>
      <c r="Q19" s="13">
        <f>_xll.BDH("BLUE US Equity","IS_INT_EXPENSE","FQ2 2022","FQ2 2022","Currency=USD","Period=FQ","BEST_FPERIOD_OVERRIDE=FQ","FILING_STATUS=MR","SCALING_FORMAT=MLN","FA_ADJUSTED=GAAP","Sort=A","Dates=H","DateFormat=P","Fill=—","Direction=H","UseDPDF=Y")</f>
        <v>0</v>
      </c>
      <c r="R19" s="13">
        <f>_xll.BDH("BLUE US Equity","IS_INT_EXPENSE","FQ3 2022","FQ3 2022","Currency=USD","Period=FQ","BEST_FPERIOD_OVERRIDE=FQ","FILING_STATUS=MR","SCALING_FORMAT=MLN","FA_ADJUSTED=GAAP","Sort=A","Dates=H","DateFormat=P","Fill=—","Direction=H","UseDPDF=Y")</f>
        <v>0</v>
      </c>
      <c r="S19" s="13">
        <f>_xll.BDH("BLUE US Equity","IS_INT_EXPENSE","FQ4 2022","FQ4 2022","Currency=USD","Period=FQ","BEST_FPERIOD_OVERRIDE=FQ","FILING_STATUS=MR","SCALING_FORMAT=MLN","FA_ADJUSTED=GAAP","Sort=A","Dates=H","DateFormat=P","Fill=—","Direction=H","UseDPDF=Y")</f>
        <v>6.3220000000000001</v>
      </c>
      <c r="T19" s="13">
        <f>_xll.BDH("BLUE US Equity","IS_INT_EXPENSE","FQ1 2023","FQ1 2023","Currency=USD","Period=FQ","BEST_FPERIOD_OVERRIDE=FQ","FILING_STATUS=MR","SCALING_FORMAT=MLN","FA_ADJUSTED=GAAP","Sort=A","Dates=H","DateFormat=P","Fill=—","Direction=H","UseDPDF=Y")</f>
        <v>4.2699999999999996</v>
      </c>
      <c r="U19" s="13">
        <f>_xll.BDH("BLUE US Equity","IS_INT_EXPENSE","FQ2 2023","FQ2 2023","Currency=USD","Period=FQ","BEST_FPERIOD_OVERRIDE=FQ","FILING_STATUS=MR","SCALING_FORMAT=MLN","FA_ADJUSTED=GAAP","Sort=A","Dates=H","DateFormat=P","Fill=—","Direction=H","UseDPDF=Y")</f>
        <v>3.75</v>
      </c>
      <c r="V19" s="13">
        <f>_xll.BDH("BLUE US Equity","IS_INT_EXPENSE","FQ3 2023","FQ3 2023","Currency=USD","Period=FQ","BEST_FPERIOD_OVERRIDE=FQ","FILING_STATUS=MR","SCALING_FORMAT=MLN","FA_ADJUSTED=GAAP","Sort=A","Dates=H","DateFormat=P","Fill=—","Direction=H","UseDPDF=Y")</f>
        <v>4.3109999999999999</v>
      </c>
      <c r="W19" s="13">
        <f>_xll.BDH("BLUE US Equity","IS_INT_EXPENSE","FQ4 2023","FQ4 2023","Currency=USD","Period=FQ","BEST_FPERIOD_OVERRIDE=FQ","FILING_STATUS=MR","SCALING_FORMAT=MLN","FA_ADJUSTED=GAAP","Sort=A","Dates=H","DateFormat=P","Fill=—","Direction=H","UseDPDF=Y")</f>
        <v>16.353000000000002</v>
      </c>
      <c r="X19" s="13">
        <f>_xll.BDH("BLUE US Equity","IS_INT_EXPENSE","FQ1 2024","FQ1 2024","Currency=USD","Period=FQ","BEST_FPERIOD_OVERRIDE=FQ","FILING_STATUS=MR","SCALING_FORMAT=MLN","FA_ADJUSTED=GAAP","Sort=A","Dates=H","DateFormat=P","Fill=—","Direction=H","UseDPDF=Y")</f>
        <v>4.8559999999999999</v>
      </c>
      <c r="Y19" s="13">
        <f>_xll.BDH("BLUE US Equity","IS_INT_EXPENSE","FQ2 2024","FQ2 2024","Currency=USD","Period=FQ","BEST_FPERIOD_OVERRIDE=FQ","FILING_STATUS=MR","SCALING_FORMAT=MLN","FA_ADJUSTED=GAAP","Sort=A","Dates=H","DateFormat=P","Fill=—","Direction=H","UseDPDF=Y")</f>
        <v>5.4530000000000003</v>
      </c>
      <c r="Z19" s="13">
        <f>_xll.BDH("BLUE US Equity","IS_INT_EXPENSE","FQ3 2024","FQ3 2024","Currency=USD","Period=FQ","BEST_FPERIOD_OVERRIDE=FQ","FILING_STATUS=MR","SCALING_FORMAT=MLN","FA_ADJUSTED=GAAP","Sort=A","Dates=H","DateFormat=P","Fill=—","Direction=H","UseDPDF=Y")</f>
        <v>5.7779999999999996</v>
      </c>
      <c r="AA19" s="13">
        <f>_xll.BDH("BLUE US Equity","IS_INT_EXPENSE","FQ4 2024","FQ4 2024","Currency=USD","Period=FQ","BEST_FPERIOD_OVERRIDE=FQ","FILING_STATUS=MR","SCALING_FORMAT=MLN","FA_ADJUSTED=GAAP","Sort=A","Dates=H","DateFormat=P","Fill=—","Direction=H","UseDPDF=Y")</f>
        <v>6.492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1348</v>
      </c>
      <c r="B21" s="10" t="s">
        <v>1349</v>
      </c>
      <c r="C21" s="14">
        <f>_xll.BDH("BLUE US Equity","COM_EQY_TO_TOT_ASSET","FQ4 2018","FQ4 2018","Currency=USD","Period=FQ","BEST_FPERIOD_OVERRIDE=FQ","FILING_STATUS=MR","Sort=A","Dates=H","DateFormat=P","Fill=—","Direction=H","UseDPDF=Y")</f>
        <v>84.048199999999994</v>
      </c>
      <c r="D21" s="14">
        <f>_xll.BDH("BLUE US Equity","COM_EQY_TO_TOT_ASSET","FQ1 2019","FQ1 2019","Currency=USD","Period=FQ","BEST_FPERIOD_OVERRIDE=FQ","FILING_STATUS=MR","Sort=A","Dates=H","DateFormat=P","Fill=—","Direction=H","UseDPDF=Y")</f>
        <v>82.861999999999995</v>
      </c>
      <c r="E21" s="14">
        <f>_xll.BDH("BLUE US Equity","COM_EQY_TO_TOT_ASSET","FQ2 2019","FQ2 2019","Currency=USD","Period=FQ","BEST_FPERIOD_OVERRIDE=FQ","FILING_STATUS=MR","Sort=A","Dates=H","DateFormat=P","Fill=—","Direction=H","UseDPDF=Y")</f>
        <v>80.874700000000004</v>
      </c>
      <c r="F21" s="14">
        <f>_xll.BDH("BLUE US Equity","COM_EQY_TO_TOT_ASSET","FQ3 2019","FQ3 2019","Currency=USD","Period=FQ","BEST_FPERIOD_OVERRIDE=FQ","FILING_STATUS=MR","Sort=A","Dates=H","DateFormat=P","Fill=—","Direction=H","UseDPDF=Y")</f>
        <v>77.777000000000001</v>
      </c>
      <c r="G21" s="14">
        <f>_xll.BDH("BLUE US Equity","COM_EQY_TO_TOT_ASSET","FQ4 2019","FQ4 2019","Currency=USD","Period=FQ","BEST_FPERIOD_OVERRIDE=FQ","FILING_STATUS=MR","Sort=A","Dates=H","DateFormat=P","Fill=—","Direction=H","UseDPDF=Y")</f>
        <v>74.387799999999999</v>
      </c>
      <c r="H21" s="14">
        <f>_xll.BDH("BLUE US Equity","COM_EQY_TO_TOT_ASSET","FQ1 2020","FQ1 2020","Currency=USD","Period=FQ","BEST_FPERIOD_OVERRIDE=FQ","FILING_STATUS=MR","Sort=A","Dates=H","DateFormat=P","Fill=—","Direction=H","UseDPDF=Y")</f>
        <v>73.273799999999994</v>
      </c>
      <c r="I21" s="14">
        <f>_xll.BDH("BLUE US Equity","COM_EQY_TO_TOT_ASSET","FQ2 2020","FQ2 2020","Currency=USD","Period=FQ","BEST_FPERIOD_OVERRIDE=FQ","FILING_STATUS=MR","Sort=A","Dates=H","DateFormat=P","Fill=—","Direction=H","UseDPDF=Y")</f>
        <v>79.800700000000006</v>
      </c>
      <c r="J21" s="14">
        <f>_xll.BDH("BLUE US Equity","COM_EQY_TO_TOT_ASSET","FQ3 2020","FQ3 2020","Currency=USD","Period=FQ","BEST_FPERIOD_OVERRIDE=FQ","FILING_STATUS=MR","Sort=A","Dates=H","DateFormat=P","Fill=—","Direction=H","UseDPDF=Y")</f>
        <v>78.284899999999993</v>
      </c>
      <c r="K21" s="14">
        <f>_xll.BDH("BLUE US Equity","COM_EQY_TO_TOT_ASSET","FQ4 2020","FQ4 2020","Currency=USD","Period=FQ","BEST_FPERIOD_OVERRIDE=FQ","FILING_STATUS=MR","Sort=A","Dates=H","DateFormat=P","Fill=—","Direction=H","UseDPDF=Y")</f>
        <v>76.0732</v>
      </c>
      <c r="L21" s="14">
        <f>_xll.BDH("BLUE US Equity","COM_EQY_TO_TOT_ASSET","FQ1 2021","FQ1 2021","Currency=USD","Period=FQ","BEST_FPERIOD_OVERRIDE=FQ","FILING_STATUS=MR","Sort=A","Dates=H","DateFormat=P","Fill=—","Direction=H","UseDPDF=Y")</f>
        <v>73.312700000000007</v>
      </c>
      <c r="M21" s="14">
        <f>_xll.BDH("BLUE US Equity","COM_EQY_TO_TOT_ASSET","FQ2 2021","FQ2 2021","Currency=USD","Period=FQ","BEST_FPERIOD_OVERRIDE=FQ","FILING_STATUS=MR","Sort=A","Dates=H","DateFormat=P","Fill=—","Direction=H","UseDPDF=Y")</f>
        <v>67.692599999999999</v>
      </c>
      <c r="N21" s="14">
        <f>_xll.BDH("BLUE US Equity","COM_EQY_TO_TOT_ASSET","FQ3 2021","FQ3 2021","Currency=USD","Period=FQ","BEST_FPERIOD_OVERRIDE=FQ","FILING_STATUS=MR","Sort=A","Dates=H","DateFormat=P","Fill=—","Direction=H","UseDPDF=Y")</f>
        <v>64.981999999999999</v>
      </c>
      <c r="O21" s="14">
        <f>_xll.BDH("BLUE US Equity","COM_EQY_TO_TOT_ASSET","FQ4 2021","FQ4 2021","Currency=USD","Period=FQ","BEST_FPERIOD_OVERRIDE=FQ","FILING_STATUS=MR","Sort=A","Dates=H","DateFormat=P","Fill=—","Direction=H","UseDPDF=Y")</f>
        <v>63.031300000000002</v>
      </c>
      <c r="P21" s="14">
        <f>_xll.BDH("BLUE US Equity","COM_EQY_TO_TOT_ASSET","FQ1 2022","FQ1 2022","Currency=USD","Period=FQ","BEST_FPERIOD_OVERRIDE=FQ","FILING_STATUS=MR","Sort=A","Dates=H","DateFormat=P","Fill=—","Direction=H","UseDPDF=Y")</f>
        <v>53.609200000000001</v>
      </c>
      <c r="Q21" s="14">
        <f>_xll.BDH("BLUE US Equity","COM_EQY_TO_TOT_ASSET","FQ2 2022","FQ2 2022","Currency=USD","Period=FQ","BEST_FPERIOD_OVERRIDE=FQ","FILING_STATUS=MR","Sort=A","Dates=H","DateFormat=P","Fill=—","Direction=H","UseDPDF=Y")</f>
        <v>31.401399999999999</v>
      </c>
      <c r="R21" s="14">
        <f>_xll.BDH("BLUE US Equity","COM_EQY_TO_TOT_ASSET","FQ3 2022","FQ3 2022","Currency=USD","Period=FQ","BEST_FPERIOD_OVERRIDE=FQ","FILING_STATUS=MR","Sort=A","Dates=H","DateFormat=P","Fill=—","Direction=H","UseDPDF=Y")</f>
        <v>30.543700000000001</v>
      </c>
      <c r="S21" s="14">
        <f>_xll.BDH("BLUE US Equity","COM_EQY_TO_TOT_ASSET","FQ4 2022","FQ4 2022","Currency=USD","Period=FQ","BEST_FPERIOD_OVERRIDE=FQ","FILING_STATUS=MR","Sort=A","Dates=H","DateFormat=P","Fill=—","Direction=H","UseDPDF=Y")</f>
        <v>23.5749</v>
      </c>
      <c r="T21" s="14">
        <f>_xll.BDH("BLUE US Equity","COM_EQY_TO_TOT_ASSET","FQ1 2023","FQ1 2023","Currency=USD","Period=FQ","BEST_FPERIOD_OVERRIDE=FQ","FILING_STATUS=MR","Sort=A","Dates=H","DateFormat=P","Fill=—","Direction=H","UseDPDF=Y")</f>
        <v>51.208500000000001</v>
      </c>
      <c r="U21" s="14">
        <f>_xll.BDH("BLUE US Equity","COM_EQY_TO_TOT_ASSET","FQ2 2023","FQ2 2023","Currency=USD","Period=FQ","BEST_FPERIOD_OVERRIDE=FQ","FILING_STATUS=MR","Sort=A","Dates=H","DateFormat=P","Fill=—","Direction=H","UseDPDF=Y")</f>
        <v>43.566800000000001</v>
      </c>
      <c r="V21" s="14">
        <f>_xll.BDH("BLUE US Equity","COM_EQY_TO_TOT_ASSET","FQ3 2023","FQ3 2023","Currency=USD","Period=FQ","BEST_FPERIOD_OVERRIDE=FQ","FILING_STATUS=MR","Sort=A","Dates=H","DateFormat=P","Fill=—","Direction=H","UseDPDF=Y")</f>
        <v>36.266800000000003</v>
      </c>
      <c r="W21" s="14">
        <f>_xll.BDH("BLUE US Equity","COM_EQY_TO_TOT_ASSET","FQ4 2023","FQ4 2023","Currency=USD","Period=FQ","BEST_FPERIOD_OVERRIDE=FQ","FILING_STATUS=MR","Sort=A","Dates=H","DateFormat=P","Fill=—","Direction=H","UseDPDF=Y")</f>
        <v>31.419499999999999</v>
      </c>
      <c r="X21" s="14">
        <f>_xll.BDH("BLUE US Equity","COM_EQY_TO_TOT_ASSET","FQ1 2024","FQ1 2024","Currency=USD","Period=FQ","BEST_FPERIOD_OVERRIDE=FQ","FILING_STATUS=MR","Sort=A","Dates=H","DateFormat=P","Fill=—","Direction=H","UseDPDF=Y")</f>
        <v>20.752099999999999</v>
      </c>
      <c r="Y21" s="14">
        <f>_xll.BDH("BLUE US Equity","COM_EQY_TO_TOT_ASSET","FQ2 2024","FQ2 2024","Currency=USD","Period=FQ","BEST_FPERIOD_OVERRIDE=FQ","FILING_STATUS=MR","Sort=A","Dates=H","DateFormat=P","Fill=—","Direction=H","UseDPDF=Y")</f>
        <v>9.7178000000000004</v>
      </c>
      <c r="Z21" s="14">
        <f>_xll.BDH("BLUE US Equity","COM_EQY_TO_TOT_ASSET","FQ3 2024","FQ3 2024","Currency=USD","Period=FQ","BEST_FPERIOD_OVERRIDE=FQ","FILING_STATUS=MR","Sort=A","Dates=H","DateFormat=P","Fill=—","Direction=H","UseDPDF=Y")</f>
        <v>-1.2442</v>
      </c>
      <c r="AA21" s="14">
        <f>_xll.BDH("BLUE US Equity","COM_EQY_TO_TOT_ASSET","FQ4 2024","FQ4 2024","Currency=USD","Period=FQ","BEST_FPERIOD_OVERRIDE=FQ","FILING_STATUS=MR","Sort=A","Dates=H","DateFormat=P","Fill=—","Direction=H","UseDPDF=Y")</f>
        <v>-6.8517999999999999</v>
      </c>
    </row>
    <row r="22" spans="1:27" x14ac:dyDescent="0.25">
      <c r="A22" s="10" t="s">
        <v>1350</v>
      </c>
      <c r="B22" s="10" t="s">
        <v>1351</v>
      </c>
      <c r="C22" s="14">
        <f>_xll.BDH("BLUE US Equity","LT_DEBT_TO_TOT_EQY","FQ4 2018","FQ4 2018","Currency=USD","Period=FQ","BEST_FPERIOD_OVERRIDE=FQ","FILING_STATUS=MR","Sort=A","Dates=H","DateFormat=P","Fill=—","Direction=H","UseDPDF=Y")</f>
        <v>8.1333000000000002</v>
      </c>
      <c r="D22" s="14">
        <f>_xll.BDH("BLUE US Equity","LT_DEBT_TO_TOT_EQY","FQ1 2019","FQ1 2019","Currency=USD","Period=FQ","BEST_FPERIOD_OVERRIDE=FQ","FILING_STATUS=MR","Sort=A","Dates=H","DateFormat=P","Fill=—","Direction=H","UseDPDF=Y")</f>
        <v>9.4916</v>
      </c>
      <c r="E22" s="14">
        <f>_xll.BDH("BLUE US Equity","LT_DEBT_TO_TOT_EQY","FQ2 2019","FQ2 2019","Currency=USD","Period=FQ","BEST_FPERIOD_OVERRIDE=FQ","FILING_STATUS=MR","Sort=A","Dates=H","DateFormat=P","Fill=—","Direction=H","UseDPDF=Y")</f>
        <v>10.7158</v>
      </c>
      <c r="F22" s="14">
        <f>_xll.BDH("BLUE US Equity","LT_DEBT_TO_TOT_EQY","FQ3 2019","FQ3 2019","Currency=USD","Period=FQ","BEST_FPERIOD_OVERRIDE=FQ","FILING_STATUS=MR","Sort=A","Dates=H","DateFormat=P","Fill=—","Direction=H","UseDPDF=Y")</f>
        <v>11.960599999999999</v>
      </c>
      <c r="G22" s="14">
        <f>_xll.BDH("BLUE US Equity","LT_DEBT_TO_TOT_EQY","FQ4 2019","FQ4 2019","Currency=USD","Period=FQ","BEST_FPERIOD_OVERRIDE=FQ","FILING_STATUS=MR","Sort=A","Dates=H","DateFormat=P","Fill=—","Direction=H","UseDPDF=Y")</f>
        <v>13.2928</v>
      </c>
      <c r="H22" s="14">
        <f>_xll.BDH("BLUE US Equity","LT_DEBT_TO_TOT_EQY","FQ1 2020","FQ1 2020","Currency=USD","Period=FQ","BEST_FPERIOD_OVERRIDE=FQ","FILING_STATUS=MR","Sort=A","Dates=H","DateFormat=P","Fill=—","Direction=H","UseDPDF=Y")</f>
        <v>16.061800000000002</v>
      </c>
      <c r="I22" s="14">
        <f>_xll.BDH("BLUE US Equity","LT_DEBT_TO_TOT_EQY","FQ2 2020","FQ2 2020","Currency=USD","Period=FQ","BEST_FPERIOD_OVERRIDE=FQ","FILING_STATUS=MR","Sort=A","Dates=H","DateFormat=P","Fill=—","Direction=H","UseDPDF=Y")</f>
        <v>10.3782</v>
      </c>
      <c r="J22" s="14">
        <f>_xll.BDH("BLUE US Equity","LT_DEBT_TO_TOT_EQY","FQ3 2020","FQ3 2020","Currency=USD","Period=FQ","BEST_FPERIOD_OVERRIDE=FQ","FILING_STATUS=MR","Sort=A","Dates=H","DateFormat=P","Fill=—","Direction=H","UseDPDF=Y")</f>
        <v>11.363899999999999</v>
      </c>
      <c r="K22" s="14">
        <f>_xll.BDH("BLUE US Equity","LT_DEBT_TO_TOT_EQY","FQ4 2020","FQ4 2020","Currency=USD","Period=FQ","BEST_FPERIOD_OVERRIDE=FQ","FILING_STATUS=MR","Sort=A","Dates=H","DateFormat=P","Fill=—","Direction=H","UseDPDF=Y")</f>
        <v>4.1109999999999998</v>
      </c>
      <c r="L22" s="14">
        <f>_xll.BDH("BLUE US Equity","LT_DEBT_TO_TOT_EQY","FQ1 2021","FQ1 2021","Currency=USD","Period=FQ","BEST_FPERIOD_OVERRIDE=FQ","FILING_STATUS=MR","Sort=A","Dates=H","DateFormat=P","Fill=—","Direction=H","UseDPDF=Y")</f>
        <v>14.804399999999999</v>
      </c>
      <c r="M22" s="14">
        <f>_xll.BDH("BLUE US Equity","LT_DEBT_TO_TOT_EQY","FQ2 2021","FQ2 2021","Currency=USD","Period=FQ","BEST_FPERIOD_OVERRIDE=FQ","FILING_STATUS=MR","Sort=A","Dates=H","DateFormat=P","Fill=—","Direction=H","UseDPDF=Y")</f>
        <v>17.259799999999998</v>
      </c>
      <c r="N22" s="14">
        <f>_xll.BDH("BLUE US Equity","LT_DEBT_TO_TOT_EQY","FQ3 2021","FQ3 2021","Currency=USD","Period=FQ","BEST_FPERIOD_OVERRIDE=FQ","FILING_STATUS=MR","Sort=A","Dates=H","DateFormat=P","Fill=—","Direction=H","UseDPDF=Y")</f>
        <v>17.475200000000001</v>
      </c>
      <c r="O22" s="14">
        <f>_xll.BDH("BLUE US Equity","LT_DEBT_TO_TOT_EQY","FQ4 2021","FQ4 2021","Currency=USD","Period=FQ","BEST_FPERIOD_OVERRIDE=FQ","FILING_STATUS=MR","Sort=A","Dates=H","DateFormat=P","Fill=—","Direction=H","UseDPDF=Y")</f>
        <v>17.749400000000001</v>
      </c>
      <c r="P22" s="14">
        <f>_xll.BDH("BLUE US Equity","LT_DEBT_TO_TOT_EQY","FQ1 2022","FQ1 2022","Currency=USD","Period=FQ","BEST_FPERIOD_OVERRIDE=FQ","FILING_STATUS=MR","Sort=A","Dates=H","DateFormat=P","Fill=—","Direction=H","UseDPDF=Y")</f>
        <v>32.222299999999997</v>
      </c>
      <c r="Q22" s="14">
        <f>_xll.BDH("BLUE US Equity","LT_DEBT_TO_TOT_EQY","FQ2 2022","FQ2 2022","Currency=USD","Period=FQ","BEST_FPERIOD_OVERRIDE=FQ","FILING_STATUS=MR","Sort=A","Dates=H","DateFormat=P","Fill=—","Direction=H","UseDPDF=Y")</f>
        <v>135.75810000000001</v>
      </c>
      <c r="R22" s="14">
        <f>_xll.BDH("BLUE US Equity","LT_DEBT_TO_TOT_EQY","FQ3 2022","FQ3 2022","Currency=USD","Period=FQ","BEST_FPERIOD_OVERRIDE=FQ","FILING_STATUS=MR","Sort=A","Dates=H","DateFormat=P","Fill=—","Direction=H","UseDPDF=Y")</f>
        <v>147.56790000000001</v>
      </c>
      <c r="S22" s="14">
        <f>_xll.BDH("BLUE US Equity","LT_DEBT_TO_TOT_EQY","FQ4 2022","FQ4 2022","Currency=USD","Period=FQ","BEST_FPERIOD_OVERRIDE=FQ","FILING_STATUS=MR","Sort=A","Dates=H","DateFormat=P","Fill=—","Direction=H","UseDPDF=Y")</f>
        <v>207.5514</v>
      </c>
      <c r="T22" s="14">
        <f>_xll.BDH("BLUE US Equity","LT_DEBT_TO_TOT_EQY","FQ1 2023","FQ1 2023","Currency=USD","Period=FQ","BEST_FPERIOD_OVERRIDE=FQ","FILING_STATUS=MR","Sort=A","Dates=H","DateFormat=P","Fill=—","Direction=H","UseDPDF=Y")</f>
        <v>62.572899999999997</v>
      </c>
      <c r="U22" s="14">
        <f>_xll.BDH("BLUE US Equity","LT_DEBT_TO_TOT_EQY","FQ2 2023","FQ2 2023","Currency=USD","Period=FQ","BEST_FPERIOD_OVERRIDE=FQ","FILING_STATUS=MR","Sort=A","Dates=H","DateFormat=P","Fill=—","Direction=H","UseDPDF=Y")</f>
        <v>82.785600000000002</v>
      </c>
      <c r="V22" s="14">
        <f>_xll.BDH("BLUE US Equity","LT_DEBT_TO_TOT_EQY","FQ3 2023","FQ3 2023","Currency=USD","Period=FQ","BEST_FPERIOD_OVERRIDE=FQ","FILING_STATUS=MR","Sort=A","Dates=H","DateFormat=P","Fill=—","Direction=H","UseDPDF=Y")</f>
        <v>104.26309999999999</v>
      </c>
      <c r="W22" s="14">
        <f>_xll.BDH("BLUE US Equity","LT_DEBT_TO_TOT_EQY","FQ4 2023","FQ4 2023","Currency=USD","Period=FQ","BEST_FPERIOD_OVERRIDE=FQ","FILING_STATUS=MR","Sort=A","Dates=H","DateFormat=P","Fill=—","Direction=H","UseDPDF=Y")</f>
        <v>115.36060000000001</v>
      </c>
      <c r="X22" s="14">
        <f>_xll.BDH("BLUE US Equity","LT_DEBT_TO_TOT_EQY","FQ1 2024","FQ1 2024","Currency=USD","Period=FQ","BEST_FPERIOD_OVERRIDE=FQ","FILING_STATUS=MR","Sort=A","Dates=H","DateFormat=P","Fill=—","Direction=H","UseDPDF=Y")</f>
        <v>157.78579999999999</v>
      </c>
      <c r="Y22" s="14">
        <f>_xll.BDH("BLUE US Equity","LT_DEBT_TO_TOT_EQY","FQ2 2024","FQ2 2024","Currency=USD","Period=FQ","BEST_FPERIOD_OVERRIDE=FQ","FILING_STATUS=MR","Sort=A","Dates=H","DateFormat=P","Fill=—","Direction=H","UseDPDF=Y")</f>
        <v>366.52760000000001</v>
      </c>
      <c r="Z22" s="14" t="str">
        <f>_xll.BDH("BLUE US Equity","LT_DEBT_TO_TOT_EQY","FQ3 2024","FQ3 2024","Currency=USD","Period=FQ","BEST_FPERIOD_OVERRIDE=FQ","FILING_STATUS=MR","Sort=A","Dates=H","DateFormat=P","Fill=—","Direction=H","UseDPDF=Y")</f>
        <v>—</v>
      </c>
      <c r="AA22" s="14" t="str">
        <f>_xll.BDH("BLUE US Equity","LT_DEBT_TO_TOT_EQY","FQ4 2024","FQ4 2024","Currency=USD","Period=FQ","BEST_FPERIOD_OVERRIDE=FQ","FILING_STATUS=MR","Sort=A","Dates=H","DateFormat=P","Fill=—","Direction=H","UseDPDF=Y")</f>
        <v>—</v>
      </c>
    </row>
    <row r="23" spans="1:27" x14ac:dyDescent="0.25">
      <c r="A23" s="10" t="s">
        <v>1352</v>
      </c>
      <c r="B23" s="10" t="s">
        <v>1353</v>
      </c>
      <c r="C23" s="14">
        <f>_xll.BDH("BLUE US Equity","LT_DEBT_TO_TOT_CAP","FQ4 2018","FQ4 2018","Currency=USD","Period=FQ","BEST_FPERIOD_OVERRIDE=FQ","FILING_STATUS=MR","Sort=A","Dates=H","DateFormat=P","Fill=—","Direction=H","UseDPDF=Y")</f>
        <v>7.5216000000000003</v>
      </c>
      <c r="D23" s="14">
        <f>_xll.BDH("BLUE US Equity","LT_DEBT_TO_TOT_CAP","FQ1 2019","FQ1 2019","Currency=USD","Period=FQ","BEST_FPERIOD_OVERRIDE=FQ","FILING_STATUS=MR","Sort=A","Dates=H","DateFormat=P","Fill=—","Direction=H","UseDPDF=Y")</f>
        <v>8.5909999999999993</v>
      </c>
      <c r="E23" s="14">
        <f>_xll.BDH("BLUE US Equity","LT_DEBT_TO_TOT_CAP","FQ2 2019","FQ2 2019","Currency=USD","Period=FQ","BEST_FPERIOD_OVERRIDE=FQ","FILING_STATUS=MR","Sort=A","Dates=H","DateFormat=P","Fill=—","Direction=H","UseDPDF=Y")</f>
        <v>9.5787999999999993</v>
      </c>
      <c r="F23" s="14">
        <f>_xll.BDH("BLUE US Equity","LT_DEBT_TO_TOT_CAP","FQ3 2019","FQ3 2019","Currency=USD","Period=FQ","BEST_FPERIOD_OVERRIDE=FQ","FILING_STATUS=MR","Sort=A","Dates=H","DateFormat=P","Fill=—","Direction=H","UseDPDF=Y")</f>
        <v>10.555199999999999</v>
      </c>
      <c r="G23" s="14">
        <f>_xll.BDH("BLUE US Equity","LT_DEBT_TO_TOT_CAP","FQ4 2019","FQ4 2019","Currency=USD","Period=FQ","BEST_FPERIOD_OVERRIDE=FQ","FILING_STATUS=MR","Sort=A","Dates=H","DateFormat=P","Fill=—","Direction=H","UseDPDF=Y")</f>
        <v>11.572800000000001</v>
      </c>
      <c r="H23" s="14">
        <f>_xll.BDH("BLUE US Equity","LT_DEBT_TO_TOT_CAP","FQ1 2020","FQ1 2020","Currency=USD","Period=FQ","BEST_FPERIOD_OVERRIDE=FQ","FILING_STATUS=MR","Sort=A","Dates=H","DateFormat=P","Fill=—","Direction=H","UseDPDF=Y")</f>
        <v>13.625500000000001</v>
      </c>
      <c r="I23" s="14">
        <f>_xll.BDH("BLUE US Equity","LT_DEBT_TO_TOT_CAP","FQ2 2020","FQ2 2020","Currency=USD","Period=FQ","BEST_FPERIOD_OVERRIDE=FQ","FILING_STATUS=MR","Sort=A","Dates=H","DateFormat=P","Fill=—","Direction=H","UseDPDF=Y")</f>
        <v>9.2973999999999997</v>
      </c>
      <c r="J23" s="14">
        <f>_xll.BDH("BLUE US Equity","LT_DEBT_TO_TOT_CAP","FQ3 2020","FQ3 2020","Currency=USD","Period=FQ","BEST_FPERIOD_OVERRIDE=FQ","FILING_STATUS=MR","Sort=A","Dates=H","DateFormat=P","Fill=—","Direction=H","UseDPDF=Y")</f>
        <v>10.0724</v>
      </c>
      <c r="K23" s="14">
        <f>_xll.BDH("BLUE US Equity","LT_DEBT_TO_TOT_CAP","FQ4 2020","FQ4 2020","Currency=USD","Period=FQ","BEST_FPERIOD_OVERRIDE=FQ","FILING_STATUS=MR","Sort=A","Dates=H","DateFormat=P","Fill=—","Direction=H","UseDPDF=Y")</f>
        <v>3.9217</v>
      </c>
      <c r="L23" s="14">
        <f>_xll.BDH("BLUE US Equity","LT_DEBT_TO_TOT_CAP","FQ1 2021","FQ1 2021","Currency=USD","Period=FQ","BEST_FPERIOD_OVERRIDE=FQ","FILING_STATUS=MR","Sort=A","Dates=H","DateFormat=P","Fill=—","Direction=H","UseDPDF=Y")</f>
        <v>12.638</v>
      </c>
      <c r="M23" s="14">
        <f>_xll.BDH("BLUE US Equity","LT_DEBT_TO_TOT_CAP","FQ2 2021","FQ2 2021","Currency=USD","Period=FQ","BEST_FPERIOD_OVERRIDE=FQ","FILING_STATUS=MR","Sort=A","Dates=H","DateFormat=P","Fill=—","Direction=H","UseDPDF=Y")</f>
        <v>14.3626</v>
      </c>
      <c r="N23" s="14">
        <f>_xll.BDH("BLUE US Equity","LT_DEBT_TO_TOT_CAP","FQ3 2021","FQ3 2021","Currency=USD","Period=FQ","BEST_FPERIOD_OVERRIDE=FQ","FILING_STATUS=MR","Sort=A","Dates=H","DateFormat=P","Fill=—","Direction=H","UseDPDF=Y")</f>
        <v>14.4594</v>
      </c>
      <c r="O23" s="14">
        <f>_xll.BDH("BLUE US Equity","LT_DEBT_TO_TOT_CAP","FQ4 2021","FQ4 2021","Currency=USD","Period=FQ","BEST_FPERIOD_OVERRIDE=FQ","FILING_STATUS=MR","Sort=A","Dates=H","DateFormat=P","Fill=—","Direction=H","UseDPDF=Y")</f>
        <v>14.3215</v>
      </c>
      <c r="P23" s="14">
        <f>_xll.BDH("BLUE US Equity","LT_DEBT_TO_TOT_CAP","FQ1 2022","FQ1 2022","Currency=USD","Period=FQ","BEST_FPERIOD_OVERRIDE=FQ","FILING_STATUS=MR","Sort=A","Dates=H","DateFormat=P","Fill=—","Direction=H","UseDPDF=Y")</f>
        <v>22.7057</v>
      </c>
      <c r="Q23" s="14">
        <f>_xll.BDH("BLUE US Equity","LT_DEBT_TO_TOT_CAP","FQ2 2022","FQ2 2022","Currency=USD","Period=FQ","BEST_FPERIOD_OVERRIDE=FQ","FILING_STATUS=MR","Sort=A","Dates=H","DateFormat=P","Fill=—","Direction=H","UseDPDF=Y")</f>
        <v>51.686799999999998</v>
      </c>
      <c r="R23" s="14">
        <f>_xll.BDH("BLUE US Equity","LT_DEBT_TO_TOT_CAP","FQ3 2022","FQ3 2022","Currency=USD","Period=FQ","BEST_FPERIOD_OVERRIDE=FQ","FILING_STATUS=MR","Sort=A","Dates=H","DateFormat=P","Fill=—","Direction=H","UseDPDF=Y")</f>
        <v>53.634900000000002</v>
      </c>
      <c r="S23" s="14">
        <f>_xll.BDH("BLUE US Equity","LT_DEBT_TO_TOT_CAP","FQ4 2022","FQ4 2022","Currency=USD","Period=FQ","BEST_FPERIOD_OVERRIDE=FQ","FILING_STATUS=MR","Sort=A","Dates=H","DateFormat=P","Fill=—","Direction=H","UseDPDF=Y")</f>
        <v>55.607300000000002</v>
      </c>
      <c r="T23" s="14">
        <f>_xll.BDH("BLUE US Equity","LT_DEBT_TO_TOT_CAP","FQ1 2023","FQ1 2023","Currency=USD","Period=FQ","BEST_FPERIOD_OVERRIDE=FQ","FILING_STATUS=MR","Sort=A","Dates=H","DateFormat=P","Fill=—","Direction=H","UseDPDF=Y")</f>
        <v>35.339199999999998</v>
      </c>
      <c r="U23" s="14">
        <f>_xll.BDH("BLUE US Equity","LT_DEBT_TO_TOT_CAP","FQ2 2023","FQ2 2023","Currency=USD","Period=FQ","BEST_FPERIOD_OVERRIDE=FQ","FILING_STATUS=MR","Sort=A","Dates=H","DateFormat=P","Fill=—","Direction=H","UseDPDF=Y")</f>
        <v>40.153700000000001</v>
      </c>
      <c r="V23" s="14">
        <f>_xll.BDH("BLUE US Equity","LT_DEBT_TO_TOT_CAP","FQ3 2023","FQ3 2023","Currency=USD","Period=FQ","BEST_FPERIOD_OVERRIDE=FQ","FILING_STATUS=MR","Sort=A","Dates=H","DateFormat=P","Fill=—","Direction=H","UseDPDF=Y")</f>
        <v>44.090499999999999</v>
      </c>
      <c r="W23" s="14">
        <f>_xll.BDH("BLUE US Equity","LT_DEBT_TO_TOT_CAP","FQ4 2023","FQ4 2023","Currency=USD","Period=FQ","BEST_FPERIOD_OVERRIDE=FQ","FILING_STATUS=MR","Sort=A","Dates=H","DateFormat=P","Fill=—","Direction=H","UseDPDF=Y")</f>
        <v>42.757599999999996</v>
      </c>
      <c r="X23" s="14">
        <f>_xll.BDH("BLUE US Equity","LT_DEBT_TO_TOT_CAP","FQ1 2024","FQ1 2024","Currency=USD","Period=FQ","BEST_FPERIOD_OVERRIDE=FQ","FILING_STATUS=MR","Sort=A","Dates=H","DateFormat=P","Fill=—","Direction=H","UseDPDF=Y")</f>
        <v>37.912799999999997</v>
      </c>
      <c r="Y23" s="14">
        <f>_xll.BDH("BLUE US Equity","LT_DEBT_TO_TOT_CAP","FQ2 2024","FQ2 2024","Currency=USD","Period=FQ","BEST_FPERIOD_OVERRIDE=FQ","FILING_STATUS=MR","Sort=A","Dates=H","DateFormat=P","Fill=—","Direction=H","UseDPDF=Y")</f>
        <v>43.7956</v>
      </c>
      <c r="Z23" s="14">
        <f>_xll.BDH("BLUE US Equity","LT_DEBT_TO_TOT_CAP","FQ3 2024","FQ3 2024","Currency=USD","Period=FQ","BEST_FPERIOD_OVERRIDE=FQ","FILING_STATUS=MR","Sort=A","Dates=H","DateFormat=P","Fill=—","Direction=H","UseDPDF=Y")</f>
        <v>48.3611</v>
      </c>
      <c r="AA23" s="14">
        <f>_xll.BDH("BLUE US Equity","LT_DEBT_TO_TOT_CAP","FQ4 2024","FQ4 2024","Currency=USD","Period=FQ","BEST_FPERIOD_OVERRIDE=FQ","FILING_STATUS=MR","Sort=A","Dates=H","DateFormat=P","Fill=—","Direction=H","UseDPDF=Y")</f>
        <v>52.378300000000003</v>
      </c>
    </row>
    <row r="24" spans="1:27" x14ac:dyDescent="0.25">
      <c r="A24" s="10" t="s">
        <v>1354</v>
      </c>
      <c r="B24" s="10" t="s">
        <v>1355</v>
      </c>
      <c r="C24" s="14">
        <f>_xll.BDH("BLUE US Equity","LT_DEBT_TO_TOT_ASSET","FQ4 2018","FQ4 2018","Currency=USD","Period=FQ","BEST_FPERIOD_OVERRIDE=FQ","FILING_STATUS=MR","Sort=A","Dates=H","DateFormat=P","Fill=—","Direction=H","UseDPDF=Y")</f>
        <v>6.8358999999999996</v>
      </c>
      <c r="D24" s="14">
        <f>_xll.BDH("BLUE US Equity","LT_DEBT_TO_TOT_ASSET","FQ1 2019","FQ1 2019","Currency=USD","Period=FQ","BEST_FPERIOD_OVERRIDE=FQ","FILING_STATUS=MR","Sort=A","Dates=H","DateFormat=P","Fill=—","Direction=H","UseDPDF=Y")</f>
        <v>7.8648999999999996</v>
      </c>
      <c r="E24" s="14">
        <f>_xll.BDH("BLUE US Equity","LT_DEBT_TO_TOT_ASSET","FQ2 2019","FQ2 2019","Currency=USD","Period=FQ","BEST_FPERIOD_OVERRIDE=FQ","FILING_STATUS=MR","Sort=A","Dates=H","DateFormat=P","Fill=—","Direction=H","UseDPDF=Y")</f>
        <v>8.6662999999999997</v>
      </c>
      <c r="F24" s="14">
        <f>_xll.BDH("BLUE US Equity","LT_DEBT_TO_TOT_ASSET","FQ3 2019","FQ3 2019","Currency=USD","Period=FQ","BEST_FPERIOD_OVERRIDE=FQ","FILING_STATUS=MR","Sort=A","Dates=H","DateFormat=P","Fill=—","Direction=H","UseDPDF=Y")</f>
        <v>9.3026</v>
      </c>
      <c r="G24" s="14">
        <f>_xll.BDH("BLUE US Equity","LT_DEBT_TO_TOT_ASSET","FQ4 2019","FQ4 2019","Currency=USD","Period=FQ","BEST_FPERIOD_OVERRIDE=FQ","FILING_STATUS=MR","Sort=A","Dates=H","DateFormat=P","Fill=—","Direction=H","UseDPDF=Y")</f>
        <v>9.8881999999999994</v>
      </c>
      <c r="H24" s="14">
        <f>_xll.BDH("BLUE US Equity","LT_DEBT_TO_TOT_ASSET","FQ1 2020","FQ1 2020","Currency=USD","Period=FQ","BEST_FPERIOD_OVERRIDE=FQ","FILING_STATUS=MR","Sort=A","Dates=H","DateFormat=P","Fill=—","Direction=H","UseDPDF=Y")</f>
        <v>11.7691</v>
      </c>
      <c r="I24" s="14">
        <f>_xll.BDH("BLUE US Equity","LT_DEBT_TO_TOT_ASSET","FQ2 2020","FQ2 2020","Currency=USD","Period=FQ","BEST_FPERIOD_OVERRIDE=FQ","FILING_STATUS=MR","Sort=A","Dates=H","DateFormat=P","Fill=—","Direction=H","UseDPDF=Y")</f>
        <v>8.2818000000000005</v>
      </c>
      <c r="J24" s="14">
        <f>_xll.BDH("BLUE US Equity","LT_DEBT_TO_TOT_ASSET","FQ3 2020","FQ3 2020","Currency=USD","Period=FQ","BEST_FPERIOD_OVERRIDE=FQ","FILING_STATUS=MR","Sort=A","Dates=H","DateFormat=P","Fill=—","Direction=H","UseDPDF=Y")</f>
        <v>8.8962000000000003</v>
      </c>
      <c r="K24" s="14">
        <f>_xll.BDH("BLUE US Equity","LT_DEBT_TO_TOT_ASSET","FQ4 2020","FQ4 2020","Currency=USD","Period=FQ","BEST_FPERIOD_OVERRIDE=FQ","FILING_STATUS=MR","Sort=A","Dates=H","DateFormat=P","Fill=—","Direction=H","UseDPDF=Y")</f>
        <v>3.1274000000000002</v>
      </c>
      <c r="L24" s="14">
        <f>_xll.BDH("BLUE US Equity","LT_DEBT_TO_TOT_ASSET","FQ1 2021","FQ1 2021","Currency=USD","Period=FQ","BEST_FPERIOD_OVERRIDE=FQ","FILING_STATUS=MR","Sort=A","Dates=H","DateFormat=P","Fill=—","Direction=H","UseDPDF=Y")</f>
        <v>10.8535</v>
      </c>
      <c r="M24" s="14">
        <f>_xll.BDH("BLUE US Equity","LT_DEBT_TO_TOT_ASSET","FQ2 2021","FQ2 2021","Currency=USD","Period=FQ","BEST_FPERIOD_OVERRIDE=FQ","FILING_STATUS=MR","Sort=A","Dates=H","DateFormat=P","Fill=—","Direction=H","UseDPDF=Y")</f>
        <v>11.6836</v>
      </c>
      <c r="N24" s="14">
        <f>_xll.BDH("BLUE US Equity","LT_DEBT_TO_TOT_ASSET","FQ3 2021","FQ3 2021","Currency=USD","Period=FQ","BEST_FPERIOD_OVERRIDE=FQ","FILING_STATUS=MR","Sort=A","Dates=H","DateFormat=P","Fill=—","Direction=H","UseDPDF=Y")</f>
        <v>11.355700000000001</v>
      </c>
      <c r="O24" s="14">
        <f>_xll.BDH("BLUE US Equity","LT_DEBT_TO_TOT_ASSET","FQ4 2021","FQ4 2021","Currency=USD","Period=FQ","BEST_FPERIOD_OVERRIDE=FQ","FILING_STATUS=MR","Sort=A","Dates=H","DateFormat=P","Fill=—","Direction=H","UseDPDF=Y")</f>
        <v>11.1877</v>
      </c>
      <c r="P24" s="14">
        <f>_xll.BDH("BLUE US Equity","LT_DEBT_TO_TOT_ASSET","FQ1 2022","FQ1 2022","Currency=USD","Period=FQ","BEST_FPERIOD_OVERRIDE=FQ","FILING_STATUS=MR","Sort=A","Dates=H","DateFormat=P","Fill=—","Direction=H","UseDPDF=Y")</f>
        <v>17.274100000000001</v>
      </c>
      <c r="Q24" s="14">
        <f>_xll.BDH("BLUE US Equity","LT_DEBT_TO_TOT_ASSET","FQ2 2022","FQ2 2022","Currency=USD","Period=FQ","BEST_FPERIOD_OVERRIDE=FQ","FILING_STATUS=MR","Sort=A","Dates=H","DateFormat=P","Fill=—","Direction=H","UseDPDF=Y")</f>
        <v>42.63</v>
      </c>
      <c r="R24" s="14">
        <f>_xll.BDH("BLUE US Equity","LT_DEBT_TO_TOT_ASSET","FQ3 2022","FQ3 2022","Currency=USD","Period=FQ","BEST_FPERIOD_OVERRIDE=FQ","FILING_STATUS=MR","Sort=A","Dates=H","DateFormat=P","Fill=—","Direction=H","UseDPDF=Y")</f>
        <v>45.072699999999998</v>
      </c>
      <c r="S24" s="14">
        <f>_xll.BDH("BLUE US Equity","LT_DEBT_TO_TOT_ASSET","FQ4 2022","FQ4 2022","Currency=USD","Period=FQ","BEST_FPERIOD_OVERRIDE=FQ","FILING_STATUS=MR","Sort=A","Dates=H","DateFormat=P","Fill=—","Direction=H","UseDPDF=Y")</f>
        <v>48.93</v>
      </c>
      <c r="T24" s="14">
        <f>_xll.BDH("BLUE US Equity","LT_DEBT_TO_TOT_ASSET","FQ1 2023","FQ1 2023","Currency=USD","Period=FQ","BEST_FPERIOD_OVERRIDE=FQ","FILING_STATUS=MR","Sort=A","Dates=H","DateFormat=P","Fill=—","Direction=H","UseDPDF=Y")</f>
        <v>32.042700000000004</v>
      </c>
      <c r="U24" s="14">
        <f>_xll.BDH("BLUE US Equity","LT_DEBT_TO_TOT_ASSET","FQ2 2023","FQ2 2023","Currency=USD","Period=FQ","BEST_FPERIOD_OVERRIDE=FQ","FILING_STATUS=MR","Sort=A","Dates=H","DateFormat=P","Fill=—","Direction=H","UseDPDF=Y")</f>
        <v>36.067</v>
      </c>
      <c r="V24" s="14">
        <f>_xll.BDH("BLUE US Equity","LT_DEBT_TO_TOT_ASSET","FQ3 2023","FQ3 2023","Currency=USD","Period=FQ","BEST_FPERIOD_OVERRIDE=FQ","FILING_STATUS=MR","Sort=A","Dates=H","DateFormat=P","Fill=—","Direction=H","UseDPDF=Y")</f>
        <v>37.812899999999999</v>
      </c>
      <c r="W24" s="14">
        <f>_xll.BDH("BLUE US Equity","LT_DEBT_TO_TOT_ASSET","FQ4 2023","FQ4 2023","Currency=USD","Period=FQ","BEST_FPERIOD_OVERRIDE=FQ","FILING_STATUS=MR","Sort=A","Dates=H","DateFormat=P","Fill=—","Direction=H","UseDPDF=Y")</f>
        <v>36.245699999999999</v>
      </c>
      <c r="X24" s="14">
        <f>_xll.BDH("BLUE US Equity","LT_DEBT_TO_TOT_ASSET","FQ1 2024","FQ1 2024","Currency=USD","Period=FQ","BEST_FPERIOD_OVERRIDE=FQ","FILING_STATUS=MR","Sort=A","Dates=H","DateFormat=P","Fill=—","Direction=H","UseDPDF=Y")</f>
        <v>32.743899999999996</v>
      </c>
      <c r="Y24" s="14">
        <f>_xll.BDH("BLUE US Equity","LT_DEBT_TO_TOT_ASSET","FQ2 2024","FQ2 2024","Currency=USD","Period=FQ","BEST_FPERIOD_OVERRIDE=FQ","FILING_STATUS=MR","Sort=A","Dates=H","DateFormat=P","Fill=—","Direction=H","UseDPDF=Y")</f>
        <v>35.618600000000001</v>
      </c>
      <c r="Z24" s="14">
        <f>_xll.BDH("BLUE US Equity","LT_DEBT_TO_TOT_ASSET","FQ3 2024","FQ3 2024","Currency=USD","Period=FQ","BEST_FPERIOD_OVERRIDE=FQ","FILING_STATUS=MR","Sort=A","Dates=H","DateFormat=P","Fill=—","Direction=H","UseDPDF=Y")</f>
        <v>37.356999999999999</v>
      </c>
      <c r="AA24" s="14">
        <f>_xll.BDH("BLUE US Equity","LT_DEBT_TO_TOT_ASSET","FQ4 2024","FQ4 2024","Currency=USD","Period=FQ","BEST_FPERIOD_OVERRIDE=FQ","FILING_STATUS=MR","Sort=A","Dates=H","DateFormat=P","Fill=—","Direction=H","UseDPDF=Y")</f>
        <v>36.798200000000001</v>
      </c>
    </row>
    <row r="25" spans="1:27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1356</v>
      </c>
      <c r="B26" s="10" t="s">
        <v>1357</v>
      </c>
      <c r="C26" s="14">
        <f>_xll.BDH("BLUE US Equity","TOT_DEBT_TO_TOT_EQY","FQ4 2018","FQ4 2018","Currency=USD","Period=FQ","BEST_FPERIOD_OVERRIDE=FQ","FILING_STATUS=MR","Sort=A","Dates=H","DateFormat=P","Fill=—","Direction=H","UseDPDF=Y")</f>
        <v>8.1333000000000002</v>
      </c>
      <c r="D26" s="14">
        <f>_xll.BDH("BLUE US Equity","TOT_DEBT_TO_TOT_EQY","FQ1 2019","FQ1 2019","Currency=USD","Period=FQ","BEST_FPERIOD_OVERRIDE=FQ","FILING_STATUS=MR","Sort=A","Dates=H","DateFormat=P","Fill=—","Direction=H","UseDPDF=Y")</f>
        <v>10.482799999999999</v>
      </c>
      <c r="E26" s="14">
        <f>_xll.BDH("BLUE US Equity","TOT_DEBT_TO_TOT_EQY","FQ2 2019","FQ2 2019","Currency=USD","Period=FQ","BEST_FPERIOD_OVERRIDE=FQ","FILING_STATUS=MR","Sort=A","Dates=H","DateFormat=P","Fill=—","Direction=H","UseDPDF=Y")</f>
        <v>11.869</v>
      </c>
      <c r="F26" s="14">
        <f>_xll.BDH("BLUE US Equity","TOT_DEBT_TO_TOT_EQY","FQ3 2019","FQ3 2019","Currency=USD","Period=FQ","BEST_FPERIOD_OVERRIDE=FQ","FILING_STATUS=MR","Sort=A","Dates=H","DateFormat=P","Fill=—","Direction=H","UseDPDF=Y")</f>
        <v>13.3149</v>
      </c>
      <c r="G26" s="14">
        <f>_xll.BDH("BLUE US Equity","TOT_DEBT_TO_TOT_EQY","FQ4 2019","FQ4 2019","Currency=USD","Period=FQ","BEST_FPERIOD_OVERRIDE=FQ","FILING_STATUS=MR","Sort=A","Dates=H","DateFormat=P","Fill=—","Direction=H","UseDPDF=Y")</f>
        <v>14.8629</v>
      </c>
      <c r="H26" s="14">
        <f>_xll.BDH("BLUE US Equity","TOT_DEBT_TO_TOT_EQY","FQ1 2020","FQ1 2020","Currency=USD","Period=FQ","BEST_FPERIOD_OVERRIDE=FQ","FILING_STATUS=MR","Sort=A","Dates=H","DateFormat=P","Fill=—","Direction=H","UseDPDF=Y")</f>
        <v>17.880800000000001</v>
      </c>
      <c r="I26" s="14">
        <f>_xll.BDH("BLUE US Equity","TOT_DEBT_TO_TOT_EQY","FQ2 2020","FQ2 2020","Currency=USD","Period=FQ","BEST_FPERIOD_OVERRIDE=FQ","FILING_STATUS=MR","Sort=A","Dates=H","DateFormat=P","Fill=—","Direction=H","UseDPDF=Y")</f>
        <v>11.624000000000001</v>
      </c>
      <c r="J26" s="14">
        <f>_xll.BDH("BLUE US Equity","TOT_DEBT_TO_TOT_EQY","FQ3 2020","FQ3 2020","Currency=USD","Period=FQ","BEST_FPERIOD_OVERRIDE=FQ","FILING_STATUS=MR","Sort=A","Dates=H","DateFormat=P","Fill=—","Direction=H","UseDPDF=Y")</f>
        <v>12.822699999999999</v>
      </c>
      <c r="K26" s="14">
        <f>_xll.BDH("BLUE US Equity","TOT_DEBT_TO_TOT_EQY","FQ4 2020","FQ4 2020","Currency=USD","Period=FQ","BEST_FPERIOD_OVERRIDE=FQ","FILING_STATUS=MR","Sort=A","Dates=H","DateFormat=P","Fill=—","Direction=H","UseDPDF=Y")</f>
        <v>4.8277000000000001</v>
      </c>
      <c r="L26" s="14">
        <f>_xll.BDH("BLUE US Equity","TOT_DEBT_TO_TOT_EQY","FQ1 2021","FQ1 2021","Currency=USD","Period=FQ","BEST_FPERIOD_OVERRIDE=FQ","FILING_STATUS=MR","Sort=A","Dates=H","DateFormat=P","Fill=—","Direction=H","UseDPDF=Y")</f>
        <v>17.142299999999999</v>
      </c>
      <c r="M26" s="14">
        <f>_xll.BDH("BLUE US Equity","TOT_DEBT_TO_TOT_EQY","FQ2 2021","FQ2 2021","Currency=USD","Period=FQ","BEST_FPERIOD_OVERRIDE=FQ","FILING_STATUS=MR","Sort=A","Dates=H","DateFormat=P","Fill=—","Direction=H","UseDPDF=Y")</f>
        <v>20.171600000000002</v>
      </c>
      <c r="N26" s="14">
        <f>_xll.BDH("BLUE US Equity","TOT_DEBT_TO_TOT_EQY","FQ3 2021","FQ3 2021","Currency=USD","Period=FQ","BEST_FPERIOD_OVERRIDE=FQ","FILING_STATUS=MR","Sort=A","Dates=H","DateFormat=P","Fill=—","Direction=H","UseDPDF=Y")</f>
        <v>20.857099999999999</v>
      </c>
      <c r="O26" s="14">
        <f>_xll.BDH("BLUE US Equity","TOT_DEBT_TO_TOT_EQY","FQ4 2021","FQ4 2021","Currency=USD","Period=FQ","BEST_FPERIOD_OVERRIDE=FQ","FILING_STATUS=MR","Sort=A","Dates=H","DateFormat=P","Fill=—","Direction=H","UseDPDF=Y")</f>
        <v>23.935199999999998</v>
      </c>
      <c r="P26" s="14">
        <f>_xll.BDH("BLUE US Equity","TOT_DEBT_TO_TOT_EQY","FQ1 2022","FQ1 2022","Currency=USD","Period=FQ","BEST_FPERIOD_OVERRIDE=FQ","FILING_STATUS=MR","Sort=A","Dates=H","DateFormat=P","Fill=—","Direction=H","UseDPDF=Y")</f>
        <v>41.912300000000002</v>
      </c>
      <c r="Q26" s="14">
        <f>_xll.BDH("BLUE US Equity","TOT_DEBT_TO_TOT_EQY","FQ2 2022","FQ2 2022","Currency=USD","Period=FQ","BEST_FPERIOD_OVERRIDE=FQ","FILING_STATUS=MR","Sort=A","Dates=H","DateFormat=P","Fill=—","Direction=H","UseDPDF=Y")</f>
        <v>162.65520000000001</v>
      </c>
      <c r="R26" s="14">
        <f>_xll.BDH("BLUE US Equity","TOT_DEBT_TO_TOT_EQY","FQ3 2022","FQ3 2022","Currency=USD","Period=FQ","BEST_FPERIOD_OVERRIDE=FQ","FILING_STATUS=MR","Sort=A","Dates=H","DateFormat=P","Fill=—","Direction=H","UseDPDF=Y")</f>
        <v>175.13419999999999</v>
      </c>
      <c r="S26" s="14">
        <f>_xll.BDH("BLUE US Equity","TOT_DEBT_TO_TOT_EQY","FQ4 2022","FQ4 2022","Currency=USD","Period=FQ","BEST_FPERIOD_OVERRIDE=FQ","FILING_STATUS=MR","Sort=A","Dates=H","DateFormat=P","Fill=—","Direction=H","UseDPDF=Y")</f>
        <v>273.2448</v>
      </c>
      <c r="T26" s="14">
        <f>_xll.BDH("BLUE US Equity","TOT_DEBT_TO_TOT_EQY","FQ1 2023","FQ1 2023","Currency=USD","Period=FQ","BEST_FPERIOD_OVERRIDE=FQ","FILING_STATUS=MR","Sort=A","Dates=H","DateFormat=P","Fill=—","Direction=H","UseDPDF=Y")</f>
        <v>77.063500000000005</v>
      </c>
      <c r="U26" s="14">
        <f>_xll.BDH("BLUE US Equity","TOT_DEBT_TO_TOT_EQY","FQ2 2023","FQ2 2023","Currency=USD","Period=FQ","BEST_FPERIOD_OVERRIDE=FQ","FILING_STATUS=MR","Sort=A","Dates=H","DateFormat=P","Fill=—","Direction=H","UseDPDF=Y")</f>
        <v>106.17189999999999</v>
      </c>
      <c r="V26" s="14">
        <f>_xll.BDH("BLUE US Equity","TOT_DEBT_TO_TOT_EQY","FQ3 2023","FQ3 2023","Currency=USD","Period=FQ","BEST_FPERIOD_OVERRIDE=FQ","FILING_STATUS=MR","Sort=A","Dates=H","DateFormat=P","Fill=—","Direction=H","UseDPDF=Y")</f>
        <v>136.47540000000001</v>
      </c>
      <c r="W26" s="14">
        <f>_xll.BDH("BLUE US Equity","TOT_DEBT_TO_TOT_EQY","FQ4 2023","FQ4 2023","Currency=USD","Period=FQ","BEST_FPERIOD_OVERRIDE=FQ","FILING_STATUS=MR","Sort=A","Dates=H","DateFormat=P","Fill=—","Direction=H","UseDPDF=Y")</f>
        <v>169.80109999999999</v>
      </c>
      <c r="X26" s="14">
        <f>_xll.BDH("BLUE US Equity","TOT_DEBT_TO_TOT_EQY","FQ1 2024","FQ1 2024","Currency=USD","Period=FQ","BEST_FPERIOD_OVERRIDE=FQ","FILING_STATUS=MR","Sort=A","Dates=H","DateFormat=P","Fill=—","Direction=H","UseDPDF=Y")</f>
        <v>316.18060000000003</v>
      </c>
      <c r="Y26" s="14">
        <f>_xll.BDH("BLUE US Equity","TOT_DEBT_TO_TOT_EQY","FQ2 2024","FQ2 2024","Currency=USD","Period=FQ","BEST_FPERIOD_OVERRIDE=FQ","FILING_STATUS=MR","Sort=A","Dates=H","DateFormat=P","Fill=—","Direction=H","UseDPDF=Y")</f>
        <v>736.90570000000002</v>
      </c>
      <c r="Z26" s="14" t="str">
        <f>_xll.BDH("BLUE US Equity","TOT_DEBT_TO_TOT_EQY","FQ3 2024","FQ3 2024","Currency=USD","Period=FQ","BEST_FPERIOD_OVERRIDE=FQ","FILING_STATUS=MR","Sort=A","Dates=H","DateFormat=P","Fill=—","Direction=H","UseDPDF=Y")</f>
        <v>—</v>
      </c>
      <c r="AA26" s="14" t="str">
        <f>_xll.BDH("BLUE US Equity","TOT_DEBT_TO_TOT_EQY","FQ4 2024","FQ4 2024","Currency=USD","Period=FQ","BEST_FPERIOD_OVERRIDE=FQ","FILING_STATUS=MR","Sort=A","Dates=H","DateFormat=P","Fill=—","Direction=H","UseDPDF=Y")</f>
        <v>—</v>
      </c>
    </row>
    <row r="27" spans="1:27" x14ac:dyDescent="0.25">
      <c r="A27" s="10" t="s">
        <v>1358</v>
      </c>
      <c r="B27" s="10" t="s">
        <v>174</v>
      </c>
      <c r="C27" s="14">
        <f>_xll.BDH("BLUE US Equity","TOT_DEBT_TO_TOT_CAP","FQ4 2018","FQ4 2018","Currency=USD","Period=FQ","BEST_FPERIOD_OVERRIDE=FQ","FILING_STATUS=MR","Sort=A","Dates=H","DateFormat=P","Fill=—","Direction=H","UseDPDF=Y")</f>
        <v>7.5216000000000003</v>
      </c>
      <c r="D27" s="14">
        <f>_xll.BDH("BLUE US Equity","TOT_DEBT_TO_TOT_CAP","FQ1 2019","FQ1 2019","Currency=USD","Period=FQ","BEST_FPERIOD_OVERRIDE=FQ","FILING_STATUS=MR","Sort=A","Dates=H","DateFormat=P","Fill=—","Direction=H","UseDPDF=Y")</f>
        <v>9.4882000000000009</v>
      </c>
      <c r="E27" s="14">
        <f>_xll.BDH("BLUE US Equity","TOT_DEBT_TO_TOT_CAP","FQ2 2019","FQ2 2019","Currency=USD","Period=FQ","BEST_FPERIOD_OVERRIDE=FQ","FILING_STATUS=MR","Sort=A","Dates=H","DateFormat=P","Fill=—","Direction=H","UseDPDF=Y")</f>
        <v>10.6098</v>
      </c>
      <c r="F27" s="14">
        <f>_xll.BDH("BLUE US Equity","TOT_DEBT_TO_TOT_CAP","FQ3 2019","FQ3 2019","Currency=USD","Period=FQ","BEST_FPERIOD_OVERRIDE=FQ","FILING_STATUS=MR","Sort=A","Dates=H","DateFormat=P","Fill=—","Direction=H","UseDPDF=Y")</f>
        <v>11.750400000000001</v>
      </c>
      <c r="G27" s="14">
        <f>_xll.BDH("BLUE US Equity","TOT_DEBT_TO_TOT_CAP","FQ4 2019","FQ4 2019","Currency=USD","Period=FQ","BEST_FPERIOD_OVERRIDE=FQ","FILING_STATUS=MR","Sort=A","Dates=H","DateFormat=P","Fill=—","Direction=H","UseDPDF=Y")</f>
        <v>12.9397</v>
      </c>
      <c r="H27" s="14">
        <f>_xll.BDH("BLUE US Equity","TOT_DEBT_TO_TOT_CAP","FQ1 2020","FQ1 2020","Currency=USD","Period=FQ","BEST_FPERIOD_OVERRIDE=FQ","FILING_STATUS=MR","Sort=A","Dates=H","DateFormat=P","Fill=—","Direction=H","UseDPDF=Y")</f>
        <v>15.1685</v>
      </c>
      <c r="I27" s="14">
        <f>_xll.BDH("BLUE US Equity","TOT_DEBT_TO_TOT_CAP","FQ2 2020","FQ2 2020","Currency=USD","Period=FQ","BEST_FPERIOD_OVERRIDE=FQ","FILING_STATUS=MR","Sort=A","Dates=H","DateFormat=P","Fill=—","Direction=H","UseDPDF=Y")</f>
        <v>10.413500000000001</v>
      </c>
      <c r="J27" s="14">
        <f>_xll.BDH("BLUE US Equity","TOT_DEBT_TO_TOT_CAP","FQ3 2020","FQ3 2020","Currency=USD","Period=FQ","BEST_FPERIOD_OVERRIDE=FQ","FILING_STATUS=MR","Sort=A","Dates=H","DateFormat=P","Fill=—","Direction=H","UseDPDF=Y")</f>
        <v>11.365399999999999</v>
      </c>
      <c r="K27" s="14">
        <f>_xll.BDH("BLUE US Equity","TOT_DEBT_TO_TOT_CAP","FQ4 2020","FQ4 2020","Currency=USD","Period=FQ","BEST_FPERIOD_OVERRIDE=FQ","FILING_STATUS=MR","Sort=A","Dates=H","DateFormat=P","Fill=—","Direction=H","UseDPDF=Y")</f>
        <v>4.6054000000000004</v>
      </c>
      <c r="L27" s="14">
        <f>_xll.BDH("BLUE US Equity","TOT_DEBT_TO_TOT_CAP","FQ1 2021","FQ1 2021","Currency=USD","Period=FQ","BEST_FPERIOD_OVERRIDE=FQ","FILING_STATUS=MR","Sort=A","Dates=H","DateFormat=P","Fill=—","Direction=H","UseDPDF=Y")</f>
        <v>14.633800000000001</v>
      </c>
      <c r="M27" s="14">
        <f>_xll.BDH("BLUE US Equity","TOT_DEBT_TO_TOT_CAP","FQ2 2021","FQ2 2021","Currency=USD","Period=FQ","BEST_FPERIOD_OVERRIDE=FQ","FILING_STATUS=MR","Sort=A","Dates=H","DateFormat=P","Fill=—","Direction=H","UseDPDF=Y")</f>
        <v>16.785699999999999</v>
      </c>
      <c r="N27" s="14">
        <f>_xll.BDH("BLUE US Equity","TOT_DEBT_TO_TOT_CAP","FQ3 2021","FQ3 2021","Currency=USD","Period=FQ","BEST_FPERIOD_OVERRIDE=FQ","FILING_STATUS=MR","Sort=A","Dates=H","DateFormat=P","Fill=—","Direction=H","UseDPDF=Y")</f>
        <v>17.2577</v>
      </c>
      <c r="O27" s="14">
        <f>_xll.BDH("BLUE US Equity","TOT_DEBT_TO_TOT_CAP","FQ4 2021","FQ4 2021","Currency=USD","Period=FQ","BEST_FPERIOD_OVERRIDE=FQ","FILING_STATUS=MR","Sort=A","Dates=H","DateFormat=P","Fill=—","Direction=H","UseDPDF=Y")</f>
        <v>19.3127</v>
      </c>
      <c r="P27" s="14">
        <f>_xll.BDH("BLUE US Equity","TOT_DEBT_TO_TOT_CAP","FQ1 2022","FQ1 2022","Currency=USD","Period=FQ","BEST_FPERIOD_OVERRIDE=FQ","FILING_STATUS=MR","Sort=A","Dates=H","DateFormat=P","Fill=—","Direction=H","UseDPDF=Y")</f>
        <v>29.533999999999999</v>
      </c>
      <c r="Q27" s="14">
        <f>_xll.BDH("BLUE US Equity","TOT_DEBT_TO_TOT_CAP","FQ2 2022","FQ2 2022","Currency=USD","Period=FQ","BEST_FPERIOD_OVERRIDE=FQ","FILING_STATUS=MR","Sort=A","Dates=H","DateFormat=P","Fill=—","Direction=H","UseDPDF=Y")</f>
        <v>61.927300000000002</v>
      </c>
      <c r="R27" s="14">
        <f>_xll.BDH("BLUE US Equity","TOT_DEBT_TO_TOT_CAP","FQ3 2022","FQ3 2022","Currency=USD","Period=FQ","BEST_FPERIOD_OVERRIDE=FQ","FILING_STATUS=MR","Sort=A","Dates=H","DateFormat=P","Fill=—","Direction=H","UseDPDF=Y")</f>
        <v>63.6541</v>
      </c>
      <c r="S27" s="14">
        <f>_xll.BDH("BLUE US Equity","TOT_DEBT_TO_TOT_CAP","FQ4 2022","FQ4 2022","Currency=USD","Period=FQ","BEST_FPERIOD_OVERRIDE=FQ","FILING_STATUS=MR","Sort=A","Dates=H","DateFormat=P","Fill=—","Direction=H","UseDPDF=Y")</f>
        <v>73.207899999999995</v>
      </c>
      <c r="T27" s="14">
        <f>_xll.BDH("BLUE US Equity","TOT_DEBT_TO_TOT_CAP","FQ1 2023","FQ1 2023","Currency=USD","Period=FQ","BEST_FPERIOD_OVERRIDE=FQ","FILING_STATUS=MR","Sort=A","Dates=H","DateFormat=P","Fill=—","Direction=H","UseDPDF=Y")</f>
        <v>43.523099999999999</v>
      </c>
      <c r="U27" s="14">
        <f>_xll.BDH("BLUE US Equity","TOT_DEBT_TO_TOT_CAP","FQ2 2023","FQ2 2023","Currency=USD","Period=FQ","BEST_FPERIOD_OVERRIDE=FQ","FILING_STATUS=MR","Sort=A","Dates=H","DateFormat=P","Fill=—","Direction=H","UseDPDF=Y")</f>
        <v>51.4968</v>
      </c>
      <c r="V27" s="14">
        <f>_xll.BDH("BLUE US Equity","TOT_DEBT_TO_TOT_CAP","FQ3 2023","FQ3 2023","Currency=USD","Period=FQ","BEST_FPERIOD_OVERRIDE=FQ","FILING_STATUS=MR","Sort=A","Dates=H","DateFormat=P","Fill=—","Direction=H","UseDPDF=Y")</f>
        <v>57.712299999999999</v>
      </c>
      <c r="W27" s="14">
        <f>_xll.BDH("BLUE US Equity","TOT_DEBT_TO_TOT_CAP","FQ4 2023","FQ4 2023","Currency=USD","Period=FQ","BEST_FPERIOD_OVERRIDE=FQ","FILING_STATUS=MR","Sort=A","Dates=H","DateFormat=P","Fill=—","Direction=H","UseDPDF=Y")</f>
        <v>62.935699999999997</v>
      </c>
      <c r="X27" s="14">
        <f>_xll.BDH("BLUE US Equity","TOT_DEBT_TO_TOT_CAP","FQ1 2024","FQ1 2024","Currency=USD","Period=FQ","BEST_FPERIOD_OVERRIDE=FQ","FILING_STATUS=MR","Sort=A","Dates=H","DateFormat=P","Fill=—","Direction=H","UseDPDF=Y")</f>
        <v>75.971999999999994</v>
      </c>
      <c r="Y27" s="14">
        <f>_xll.BDH("BLUE US Equity","TOT_DEBT_TO_TOT_CAP","FQ2 2024","FQ2 2024","Currency=USD","Period=FQ","BEST_FPERIOD_OVERRIDE=FQ","FILING_STATUS=MR","Sort=A","Dates=H","DateFormat=P","Fill=—","Direction=H","UseDPDF=Y")</f>
        <v>88.051199999999994</v>
      </c>
      <c r="Z27" s="14">
        <f>_xll.BDH("BLUE US Equity","TOT_DEBT_TO_TOT_CAP","FQ3 2024","FQ3 2024","Currency=USD","Period=FQ","BEST_FPERIOD_OVERRIDE=FQ","FILING_STATUS=MR","Sort=A","Dates=H","DateFormat=P","Fill=—","Direction=H","UseDPDF=Y")</f>
        <v>101.61060000000001</v>
      </c>
      <c r="AA27" s="14">
        <f>_xll.BDH("BLUE US Equity","TOT_DEBT_TO_TOT_CAP","FQ4 2024","FQ4 2024","Currency=USD","Period=FQ","BEST_FPERIOD_OVERRIDE=FQ","FILING_STATUS=MR","Sort=A","Dates=H","DateFormat=P","Fill=—","Direction=H","UseDPDF=Y")</f>
        <v>109.75279999999999</v>
      </c>
    </row>
    <row r="28" spans="1:27" x14ac:dyDescent="0.25">
      <c r="A28" s="10" t="s">
        <v>1359</v>
      </c>
      <c r="B28" s="10" t="s">
        <v>1360</v>
      </c>
      <c r="C28" s="14">
        <f>_xll.BDH("BLUE US Equity","TOT_DEBT_TO_TOT_ASSET","FQ4 2018","FQ4 2018","Currency=USD","Period=FQ","BEST_FPERIOD_OVERRIDE=FQ","FILING_STATUS=MR","Sort=A","Dates=H","DateFormat=P","Fill=—","Direction=H","UseDPDF=Y")</f>
        <v>6.8358999999999996</v>
      </c>
      <c r="D28" s="14">
        <f>_xll.BDH("BLUE US Equity","TOT_DEBT_TO_TOT_ASSET","FQ1 2019","FQ1 2019","Currency=USD","Period=FQ","BEST_FPERIOD_OVERRIDE=FQ","FILING_STATUS=MR","Sort=A","Dates=H","DateFormat=P","Fill=—","Direction=H","UseDPDF=Y")</f>
        <v>8.6862999999999992</v>
      </c>
      <c r="E28" s="14">
        <f>_xll.BDH("BLUE US Equity","TOT_DEBT_TO_TOT_ASSET","FQ2 2019","FQ2 2019","Currency=USD","Period=FQ","BEST_FPERIOD_OVERRIDE=FQ","FILING_STATUS=MR","Sort=A","Dates=H","DateFormat=P","Fill=—","Direction=H","UseDPDF=Y")</f>
        <v>9.5991</v>
      </c>
      <c r="F28" s="14">
        <f>_xll.BDH("BLUE US Equity","TOT_DEBT_TO_TOT_ASSET","FQ3 2019","FQ3 2019","Currency=USD","Period=FQ","BEST_FPERIOD_OVERRIDE=FQ","FILING_STATUS=MR","Sort=A","Dates=H","DateFormat=P","Fill=—","Direction=H","UseDPDF=Y")</f>
        <v>10.3559</v>
      </c>
      <c r="G28" s="14">
        <f>_xll.BDH("BLUE US Equity","TOT_DEBT_TO_TOT_ASSET","FQ4 2019","FQ4 2019","Currency=USD","Period=FQ","BEST_FPERIOD_OVERRIDE=FQ","FILING_STATUS=MR","Sort=A","Dates=H","DateFormat=P","Fill=—","Direction=H","UseDPDF=Y")</f>
        <v>11.0562</v>
      </c>
      <c r="H28" s="14">
        <f>_xll.BDH("BLUE US Equity","TOT_DEBT_TO_TOT_ASSET","FQ1 2020","FQ1 2020","Currency=USD","Period=FQ","BEST_FPERIOD_OVERRIDE=FQ","FILING_STATUS=MR","Sort=A","Dates=H","DateFormat=P","Fill=—","Direction=H","UseDPDF=Y")</f>
        <v>13.101900000000001</v>
      </c>
      <c r="I28" s="14">
        <f>_xll.BDH("BLUE US Equity","TOT_DEBT_TO_TOT_ASSET","FQ2 2020","FQ2 2020","Currency=USD","Period=FQ","BEST_FPERIOD_OVERRIDE=FQ","FILING_STATUS=MR","Sort=A","Dates=H","DateFormat=P","Fill=—","Direction=H","UseDPDF=Y")</f>
        <v>9.2759999999999998</v>
      </c>
      <c r="J28" s="14">
        <f>_xll.BDH("BLUE US Equity","TOT_DEBT_TO_TOT_ASSET","FQ3 2020","FQ3 2020","Currency=USD","Period=FQ","BEST_FPERIOD_OVERRIDE=FQ","FILING_STATUS=MR","Sort=A","Dates=H","DateFormat=P","Fill=—","Direction=H","UseDPDF=Y")</f>
        <v>10.0383</v>
      </c>
      <c r="K28" s="14">
        <f>_xll.BDH("BLUE US Equity","TOT_DEBT_TO_TOT_ASSET","FQ4 2020","FQ4 2020","Currency=USD","Period=FQ","BEST_FPERIOD_OVERRIDE=FQ","FILING_STATUS=MR","Sort=A","Dates=H","DateFormat=P","Fill=—","Direction=H","UseDPDF=Y")</f>
        <v>3.6726000000000001</v>
      </c>
      <c r="L28" s="14">
        <f>_xll.BDH("BLUE US Equity","TOT_DEBT_TO_TOT_ASSET","FQ1 2021","FQ1 2021","Currency=USD","Period=FQ","BEST_FPERIOD_OVERRIDE=FQ","FILING_STATUS=MR","Sort=A","Dates=H","DateFormat=P","Fill=—","Direction=H","UseDPDF=Y")</f>
        <v>12.567500000000001</v>
      </c>
      <c r="M28" s="14">
        <f>_xll.BDH("BLUE US Equity","TOT_DEBT_TO_TOT_ASSET","FQ2 2021","FQ2 2021","Currency=USD","Period=FQ","BEST_FPERIOD_OVERRIDE=FQ","FILING_STATUS=MR","Sort=A","Dates=H","DateFormat=P","Fill=—","Direction=H","UseDPDF=Y")</f>
        <v>13.6547</v>
      </c>
      <c r="N28" s="14">
        <f>_xll.BDH("BLUE US Equity","TOT_DEBT_TO_TOT_ASSET","FQ3 2021","FQ3 2021","Currency=USD","Period=FQ","BEST_FPERIOD_OVERRIDE=FQ","FILING_STATUS=MR","Sort=A","Dates=H","DateFormat=P","Fill=—","Direction=H","UseDPDF=Y")</f>
        <v>13.5534</v>
      </c>
      <c r="O28" s="14">
        <f>_xll.BDH("BLUE US Equity","TOT_DEBT_TO_TOT_ASSET","FQ4 2021","FQ4 2021","Currency=USD","Period=FQ","BEST_FPERIOD_OVERRIDE=FQ","FILING_STATUS=MR","Sort=A","Dates=H","DateFormat=P","Fill=—","Direction=H","UseDPDF=Y")</f>
        <v>15.0867</v>
      </c>
      <c r="P28" s="14">
        <f>_xll.BDH("BLUE US Equity","TOT_DEBT_TO_TOT_ASSET","FQ1 2022","FQ1 2022","Currency=USD","Period=FQ","BEST_FPERIOD_OVERRIDE=FQ","FILING_STATUS=MR","Sort=A","Dates=H","DateFormat=P","Fill=—","Direction=H","UseDPDF=Y")</f>
        <v>22.468800000000002</v>
      </c>
      <c r="Q28" s="14">
        <f>_xll.BDH("BLUE US Equity","TOT_DEBT_TO_TOT_ASSET","FQ2 2022","FQ2 2022","Currency=USD","Period=FQ","BEST_FPERIOD_OVERRIDE=FQ","FILING_STATUS=MR","Sort=A","Dates=H","DateFormat=P","Fill=—","Direction=H","UseDPDF=Y")</f>
        <v>51.076000000000001</v>
      </c>
      <c r="R28" s="14">
        <f>_xll.BDH("BLUE US Equity","TOT_DEBT_TO_TOT_ASSET","FQ3 2022","FQ3 2022","Currency=USD","Period=FQ","BEST_FPERIOD_OVERRIDE=FQ","FILING_STATUS=MR","Sort=A","Dates=H","DateFormat=P","Fill=—","Direction=H","UseDPDF=Y")</f>
        <v>53.492400000000004</v>
      </c>
      <c r="S28" s="14">
        <f>_xll.BDH("BLUE US Equity","TOT_DEBT_TO_TOT_ASSET","FQ4 2022","FQ4 2022","Currency=USD","Period=FQ","BEST_FPERIOD_OVERRIDE=FQ","FILING_STATUS=MR","Sort=A","Dates=H","DateFormat=P","Fill=—","Direction=H","UseDPDF=Y")</f>
        <v>64.417199999999994</v>
      </c>
      <c r="T28" s="14">
        <f>_xll.BDH("BLUE US Equity","TOT_DEBT_TO_TOT_ASSET","FQ1 2023","FQ1 2023","Currency=USD","Period=FQ","BEST_FPERIOD_OVERRIDE=FQ","FILING_STATUS=MR","Sort=A","Dates=H","DateFormat=P","Fill=—","Direction=H","UseDPDF=Y")</f>
        <v>39.463099999999997</v>
      </c>
      <c r="U28" s="14">
        <f>_xll.BDH("BLUE US Equity","TOT_DEBT_TO_TOT_ASSET","FQ2 2023","FQ2 2023","Currency=USD","Period=FQ","BEST_FPERIOD_OVERRIDE=FQ","FILING_STATUS=MR","Sort=A","Dates=H","DateFormat=P","Fill=—","Direction=H","UseDPDF=Y")</f>
        <v>46.255699999999997</v>
      </c>
      <c r="V28" s="14">
        <f>_xll.BDH("BLUE US Equity","TOT_DEBT_TO_TOT_ASSET","FQ3 2023","FQ3 2023","Currency=USD","Period=FQ","BEST_FPERIOD_OVERRIDE=FQ","FILING_STATUS=MR","Sort=A","Dates=H","DateFormat=P","Fill=—","Direction=H","UseDPDF=Y")</f>
        <v>49.4953</v>
      </c>
      <c r="W28" s="14">
        <f>_xll.BDH("BLUE US Equity","TOT_DEBT_TO_TOT_ASSET","FQ4 2023","FQ4 2023","Currency=USD","Period=FQ","BEST_FPERIOD_OVERRIDE=FQ","FILING_STATUS=MR","Sort=A","Dates=H","DateFormat=P","Fill=—","Direction=H","UseDPDF=Y")</f>
        <v>53.3506</v>
      </c>
      <c r="X28" s="14">
        <f>_xll.BDH("BLUE US Equity","TOT_DEBT_TO_TOT_ASSET","FQ1 2024","FQ1 2024","Currency=USD","Period=FQ","BEST_FPERIOD_OVERRIDE=FQ","FILING_STATUS=MR","Sort=A","Dates=H","DateFormat=P","Fill=—","Direction=H","UseDPDF=Y")</f>
        <v>65.614099999999993</v>
      </c>
      <c r="Y28" s="14">
        <f>_xll.BDH("BLUE US Equity","TOT_DEBT_TO_TOT_ASSET","FQ2 2024","FQ2 2024","Currency=USD","Period=FQ","BEST_FPERIOD_OVERRIDE=FQ","FILING_STATUS=MR","Sort=A","Dates=H","DateFormat=P","Fill=—","Direction=H","UseDPDF=Y")</f>
        <v>71.6113</v>
      </c>
      <c r="Z28" s="14">
        <f>_xll.BDH("BLUE US Equity","TOT_DEBT_TO_TOT_ASSET","FQ3 2024","FQ3 2024","Currency=USD","Period=FQ","BEST_FPERIOD_OVERRIDE=FQ","FILING_STATUS=MR","Sort=A","Dates=H","DateFormat=P","Fill=—","Direction=H","UseDPDF=Y")</f>
        <v>78.490099999999998</v>
      </c>
      <c r="AA28" s="14">
        <f>_xll.BDH("BLUE US Equity","TOT_DEBT_TO_TOT_ASSET","FQ4 2024","FQ4 2024","Currency=USD","Period=FQ","BEST_FPERIOD_OVERRIDE=FQ","FILING_STATUS=MR","Sort=A","Dates=H","DateFormat=P","Fill=—","Direction=H","UseDPDF=Y")</f>
        <v>77.106300000000005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1361</v>
      </c>
      <c r="B30" s="10" t="s">
        <v>742</v>
      </c>
      <c r="C30" s="14">
        <f>_xll.BDH("BLUE US Equity","NET_DEBT_TO_SHRHLDR_EQTY","FQ4 2018","FQ4 2018","Currency=USD","Period=FQ","BEST_FPERIOD_OVERRIDE=FQ","FILING_STATUS=MR","Sort=A","Dates=H","DateFormat=P","Fill=—","Direction=H","UseDPDF=Y")</f>
        <v>-92.203900000000004</v>
      </c>
      <c r="D30" s="14">
        <f>_xll.BDH("BLUE US Equity","NET_DEBT_TO_SHRHLDR_EQTY","FQ1 2019","FQ1 2019","Currency=USD","Period=FQ","BEST_FPERIOD_OVERRIDE=FQ","FILING_STATUS=MR","Sort=A","Dates=H","DateFormat=P","Fill=—","Direction=H","UseDPDF=Y")</f>
        <v>-87.184700000000007</v>
      </c>
      <c r="E30" s="14">
        <f>_xll.BDH("BLUE US Equity","NET_DEBT_TO_SHRHLDR_EQTY","FQ2 2019","FQ2 2019","Currency=USD","Period=FQ","BEST_FPERIOD_OVERRIDE=FQ","FILING_STATUS=MR","Sort=A","Dates=H","DateFormat=P","Fill=—","Direction=H","UseDPDF=Y")</f>
        <v>-82.351600000000005</v>
      </c>
      <c r="F30" s="14">
        <f>_xll.BDH("BLUE US Equity","NET_DEBT_TO_SHRHLDR_EQTY","FQ3 2019","FQ3 2019","Currency=USD","Period=FQ","BEST_FPERIOD_OVERRIDE=FQ","FILING_STATUS=MR","Sort=A","Dates=H","DateFormat=P","Fill=—","Direction=H","UseDPDF=Y")</f>
        <v>-82.212500000000006</v>
      </c>
      <c r="G30" s="14">
        <f>_xll.BDH("BLUE US Equity","NET_DEBT_TO_SHRHLDR_EQTY","FQ4 2019","FQ4 2019","Currency=USD","Period=FQ","BEST_FPERIOD_OVERRIDE=FQ","FILING_STATUS=MR","Sort=A","Dates=H","DateFormat=P","Fill=—","Direction=H","UseDPDF=Y")</f>
        <v>-81.477400000000003</v>
      </c>
      <c r="H30" s="14">
        <f>_xll.BDH("BLUE US Equity","NET_DEBT_TO_SHRHLDR_EQTY","FQ1 2020","FQ1 2020","Currency=USD","Period=FQ","BEST_FPERIOD_OVERRIDE=FQ","FILING_STATUS=MR","Sort=A","Dates=H","DateFormat=P","Fill=—","Direction=H","UseDPDF=Y")</f>
        <v>-73.008799999999994</v>
      </c>
      <c r="I30" s="14">
        <f>_xll.BDH("BLUE US Equity","NET_DEBT_TO_SHRHLDR_EQTY","FQ2 2020","FQ2 2020","Currency=USD","Period=FQ","BEST_FPERIOD_OVERRIDE=FQ","FILING_STATUS=MR","Sort=A","Dates=H","DateFormat=P","Fill=—","Direction=H","UseDPDF=Y")</f>
        <v>-83.427400000000006</v>
      </c>
      <c r="J30" s="14">
        <f>_xll.BDH("BLUE US Equity","NET_DEBT_TO_SHRHLDR_EQTY","FQ3 2020","FQ3 2020","Currency=USD","Period=FQ","BEST_FPERIOD_OVERRIDE=FQ","FILING_STATUS=MR","Sort=A","Dates=H","DateFormat=P","Fill=—","Direction=H","UseDPDF=Y")</f>
        <v>-81.586299999999994</v>
      </c>
      <c r="K30" s="14">
        <f>_xll.BDH("BLUE US Equity","NET_DEBT_TO_SHRHLDR_EQTY","FQ4 2020","FQ4 2020","Currency=USD","Period=FQ","BEST_FPERIOD_OVERRIDE=FQ","FILING_STATUS=MR","Sort=A","Dates=H","DateFormat=P","Fill=—","Direction=H","UseDPDF=Y")</f>
        <v>-49.906100000000002</v>
      </c>
      <c r="L30" s="14">
        <f>_xll.BDH("BLUE US Equity","NET_DEBT_TO_SHRHLDR_EQTY","FQ1 2021","FQ1 2021","Currency=USD","Period=FQ","BEST_FPERIOD_OVERRIDE=FQ","FILING_STATUS=MR","Sort=A","Dates=H","DateFormat=P","Fill=—","Direction=H","UseDPDF=Y")</f>
        <v>-73.961600000000004</v>
      </c>
      <c r="M30" s="14">
        <f>_xll.BDH("BLUE US Equity","NET_DEBT_TO_SHRHLDR_EQTY","FQ2 2021","FQ2 2021","Currency=USD","Period=FQ","BEST_FPERIOD_OVERRIDE=FQ","FILING_STATUS=MR","Sort=A","Dates=H","DateFormat=P","Fill=—","Direction=H","UseDPDF=Y")</f>
        <v>-75.467699999999994</v>
      </c>
      <c r="N30" s="14">
        <f>_xll.BDH("BLUE US Equity","NET_DEBT_TO_SHRHLDR_EQTY","FQ3 2021","FQ3 2021","Currency=USD","Period=FQ","BEST_FPERIOD_OVERRIDE=FQ","FILING_STATUS=MR","Sort=A","Dates=H","DateFormat=P","Fill=—","Direction=H","UseDPDF=Y")</f>
        <v>-90.653499999999994</v>
      </c>
      <c r="O30" s="14">
        <f>_xll.BDH("BLUE US Equity","NET_DEBT_TO_SHRHLDR_EQTY","FQ4 2021","FQ4 2021","Currency=USD","Period=FQ","BEST_FPERIOD_OVERRIDE=FQ","FILING_STATUS=MR","Sort=A","Dates=H","DateFormat=P","Fill=—","Direction=H","UseDPDF=Y")</f>
        <v>-82.033600000000007</v>
      </c>
      <c r="P30" s="14">
        <f>_xll.BDH("BLUE US Equity","NET_DEBT_TO_SHRHLDR_EQTY","FQ1 2022","FQ1 2022","Currency=USD","Period=FQ","BEST_FPERIOD_OVERRIDE=FQ","FILING_STATUS=MR","Sort=A","Dates=H","DateFormat=P","Fill=—","Direction=H","UseDPDF=Y")</f>
        <v>-59.370800000000003</v>
      </c>
      <c r="Q30" s="14">
        <f>_xll.BDH("BLUE US Equity","NET_DEBT_TO_SHRHLDR_EQTY","FQ2 2022","FQ2 2022","Currency=USD","Period=FQ","BEST_FPERIOD_OVERRIDE=FQ","FILING_STATUS=MR","Sort=A","Dates=H","DateFormat=P","Fill=—","Direction=H","UseDPDF=Y")</f>
        <v>66.5227</v>
      </c>
      <c r="R30" s="14">
        <f>_xll.BDH("BLUE US Equity","NET_DEBT_TO_SHRHLDR_EQTY","FQ3 2022","FQ3 2022","Currency=USD","Period=FQ","BEST_FPERIOD_OVERRIDE=FQ","FILING_STATUS=MR","Sort=A","Dates=H","DateFormat=P","Fill=—","Direction=H","UseDPDF=Y")</f>
        <v>86.35</v>
      </c>
      <c r="S30" s="14">
        <f>_xll.BDH("BLUE US Equity","NET_DEBT_TO_SHRHLDR_EQTY","FQ4 2022","FQ4 2022","Currency=USD","Period=FQ","BEST_FPERIOD_OVERRIDE=FQ","FILING_STATUS=MR","Sort=A","Dates=H","DateFormat=P","Fill=—","Direction=H","UseDPDF=Y")</f>
        <v>137.95339999999999</v>
      </c>
      <c r="T30" s="14">
        <f>_xll.BDH("BLUE US Equity","NET_DEBT_TO_SHRHLDR_EQTY","FQ1 2023","FQ1 2023","Currency=USD","Period=FQ","BEST_FPERIOD_OVERRIDE=FQ","FILING_STATUS=MR","Sort=A","Dates=H","DateFormat=P","Fill=—","Direction=H","UseDPDF=Y")</f>
        <v>-12.652100000000001</v>
      </c>
      <c r="U30" s="14">
        <f>_xll.BDH("BLUE US Equity","NET_DEBT_TO_SHRHLDR_EQTY","FQ2 2023","FQ2 2023","Currency=USD","Period=FQ","BEST_FPERIOD_OVERRIDE=FQ","FILING_STATUS=MR","Sort=A","Dates=H","DateFormat=P","Fill=—","Direction=H","UseDPDF=Y")</f>
        <v>21.297599999999999</v>
      </c>
      <c r="V30" s="14">
        <f>_xll.BDH("BLUE US Equity","NET_DEBT_TO_SHRHLDR_EQTY","FQ3 2023","FQ3 2023","Currency=USD","Period=FQ","BEST_FPERIOD_OVERRIDE=FQ","FILING_STATUS=MR","Sort=A","Dates=H","DateFormat=P","Fill=—","Direction=H","UseDPDF=Y")</f>
        <v>58.154200000000003</v>
      </c>
      <c r="W30" s="14">
        <f>_xll.BDH("BLUE US Equity","NET_DEBT_TO_SHRHLDR_EQTY","FQ4 2023","FQ4 2023","Currency=USD","Period=FQ","BEST_FPERIOD_OVERRIDE=FQ","FILING_STATUS=MR","Sort=A","Dates=H","DateFormat=P","Fill=—","Direction=H","UseDPDF=Y")</f>
        <v>55.809899999999999</v>
      </c>
      <c r="X30" s="14">
        <f>_xll.BDH("BLUE US Equity","NET_DEBT_TO_SHRHLDR_EQTY","FQ1 2024","FQ1 2024","Currency=USD","Period=FQ","BEST_FPERIOD_OVERRIDE=FQ","FILING_STATUS=MR","Sort=A","Dates=H","DateFormat=P","Fill=—","Direction=H","UseDPDF=Y")</f>
        <v>154.36949999999999</v>
      </c>
      <c r="Y30" s="14">
        <f>_xll.BDH("BLUE US Equity","NET_DEBT_TO_SHRHLDR_EQTY","FQ2 2024","FQ2 2024","Currency=USD","Period=FQ","BEST_FPERIOD_OVERRIDE=FQ","FILING_STATUS=MR","Sort=A","Dates=H","DateFormat=P","Fill=—","Direction=H","UseDPDF=Y")</f>
        <v>464.9837</v>
      </c>
      <c r="Z30" s="14" t="str">
        <f>_xll.BDH("BLUE US Equity","NET_DEBT_TO_SHRHLDR_EQTY","FQ3 2024","FQ3 2024","Currency=USD","Period=FQ","BEST_FPERIOD_OVERRIDE=FQ","FILING_STATUS=MR","Sort=A","Dates=H","DateFormat=P","Fill=—","Direction=H","UseDPDF=Y")</f>
        <v>—</v>
      </c>
      <c r="AA30" s="14" t="str">
        <f>_xll.BDH("BLUE US Equity","NET_DEBT_TO_SHRHLDR_EQTY","FQ4 2024","FQ4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1362</v>
      </c>
      <c r="B31" s="10" t="s">
        <v>1363</v>
      </c>
      <c r="C31" s="14">
        <f>_xll.BDH("BLUE US Equity","NET_DEBT_PCT_OF_TOT_CAPITAL","FQ4 2018","FQ4 2018","Currency=USD","Period=FQ","BEST_FPERIOD_OVERRIDE=FQ","FILING_STATUS=MR","Sort=A","Dates=H","DateFormat=P","Fill=—","Direction=H","UseDPDF=Y")</f>
        <v>-1182.6921</v>
      </c>
      <c r="D31" s="14">
        <f>_xll.BDH("BLUE US Equity","NET_DEBT_PCT_OF_TOT_CAPITAL","FQ1 2019","FQ1 2019","Currency=USD","Period=FQ","BEST_FPERIOD_OVERRIDE=FQ","FILING_STATUS=MR","Sort=A","Dates=H","DateFormat=P","Fill=—","Direction=H","UseDPDF=Y")</f>
        <v>-680.32</v>
      </c>
      <c r="E31" s="14">
        <f>_xll.BDH("BLUE US Equity","NET_DEBT_PCT_OF_TOT_CAPITAL","FQ2 2019","FQ2 2019","Currency=USD","Period=FQ","BEST_FPERIOD_OVERRIDE=FQ","FILING_STATUS=MR","Sort=A","Dates=H","DateFormat=P","Fill=—","Direction=H","UseDPDF=Y")</f>
        <v>-466.62329999999997</v>
      </c>
      <c r="F31" s="14">
        <f>_xll.BDH("BLUE US Equity","NET_DEBT_PCT_OF_TOT_CAPITAL","FQ3 2019","FQ3 2019","Currency=USD","Period=FQ","BEST_FPERIOD_OVERRIDE=FQ","FILING_STATUS=MR","Sort=A","Dates=H","DateFormat=P","Fill=—","Direction=H","UseDPDF=Y")</f>
        <v>-462.1934</v>
      </c>
      <c r="G31" s="14">
        <f>_xll.BDH("BLUE US Equity","NET_DEBT_PCT_OF_TOT_CAPITAL","FQ4 2019","FQ4 2019","Currency=USD","Period=FQ","BEST_FPERIOD_OVERRIDE=FQ","FILING_STATUS=MR","Sort=A","Dates=H","DateFormat=P","Fill=—","Direction=H","UseDPDF=Y")</f>
        <v>-439.88130000000001</v>
      </c>
      <c r="H31" s="14">
        <f>_xll.BDH("BLUE US Equity","NET_DEBT_PCT_OF_TOT_CAPITAL","FQ1 2020","FQ1 2020","Currency=USD","Period=FQ","BEST_FPERIOD_OVERRIDE=FQ","FILING_STATUS=MR","Sort=A","Dates=H","DateFormat=P","Fill=—","Direction=H","UseDPDF=Y")</f>
        <v>-270.49149999999997</v>
      </c>
      <c r="I31" s="14">
        <f>_xll.BDH("BLUE US Equity","NET_DEBT_PCT_OF_TOT_CAPITAL","FQ2 2020","FQ2 2020","Currency=USD","Period=FQ","BEST_FPERIOD_OVERRIDE=FQ","FILING_STATUS=MR","Sort=A","Dates=H","DateFormat=P","Fill=—","Direction=H","UseDPDF=Y")</f>
        <v>-503.404</v>
      </c>
      <c r="J31" s="14">
        <f>_xll.BDH("BLUE US Equity","NET_DEBT_PCT_OF_TOT_CAPITAL","FQ3 2020","FQ3 2020","Currency=USD","Period=FQ","BEST_FPERIOD_OVERRIDE=FQ","FILING_STATUS=MR","Sort=A","Dates=H","DateFormat=P","Fill=—","Direction=H","UseDPDF=Y")</f>
        <v>-443.07490000000001</v>
      </c>
      <c r="K31" s="14">
        <f>_xll.BDH("BLUE US Equity","NET_DEBT_PCT_OF_TOT_CAPITAL","FQ4 2020","FQ4 2020","Currency=USD","Period=FQ","BEST_FPERIOD_OVERRIDE=FQ","FILING_STATUS=MR","Sort=A","Dates=H","DateFormat=P","Fill=—","Direction=H","UseDPDF=Y")</f>
        <v>-99.624899999999997</v>
      </c>
      <c r="L31" s="14">
        <f>_xll.BDH("BLUE US Equity","NET_DEBT_PCT_OF_TOT_CAPITAL","FQ1 2021","FQ1 2021","Currency=USD","Period=FQ","BEST_FPERIOD_OVERRIDE=FQ","FILING_STATUS=MR","Sort=A","Dates=H","DateFormat=P","Fill=—","Direction=H","UseDPDF=Y")</f>
        <v>-284.04880000000003</v>
      </c>
      <c r="M31" s="14">
        <f>_xll.BDH("BLUE US Equity","NET_DEBT_PCT_OF_TOT_CAPITAL","FQ2 2021","FQ2 2021","Currency=USD","Period=FQ","BEST_FPERIOD_OVERRIDE=FQ","FILING_STATUS=MR","Sort=A","Dates=H","DateFormat=P","Fill=—","Direction=H","UseDPDF=Y")</f>
        <v>-307.6266</v>
      </c>
      <c r="N31" s="14">
        <f>_xll.BDH("BLUE US Equity","NET_DEBT_PCT_OF_TOT_CAPITAL","FQ3 2021","FQ3 2021","Currency=USD","Period=FQ","BEST_FPERIOD_OVERRIDE=FQ","FILING_STATUS=MR","Sort=A","Dates=H","DateFormat=P","Fill=—","Direction=H","UseDPDF=Y")</f>
        <v>-969.91669999999999</v>
      </c>
      <c r="O31" s="14">
        <f>_xll.BDH("BLUE US Equity","NET_DEBT_PCT_OF_TOT_CAPITAL","FQ4 2021","FQ4 2021","Currency=USD","Period=FQ","BEST_FPERIOD_OVERRIDE=FQ","FILING_STATUS=MR","Sort=A","Dates=H","DateFormat=P","Fill=—","Direction=H","UseDPDF=Y")</f>
        <v>-456.59539999999998</v>
      </c>
      <c r="P31" s="14">
        <f>_xll.BDH("BLUE US Equity","NET_DEBT_PCT_OF_TOT_CAPITAL","FQ1 2022","FQ1 2022","Currency=USD","Period=FQ","BEST_FPERIOD_OVERRIDE=FQ","FILING_STATUS=MR","Sort=A","Dates=H","DateFormat=P","Fill=—","Direction=H","UseDPDF=Y")</f>
        <v>-146.1285</v>
      </c>
      <c r="Q31" s="14">
        <f>_xll.BDH("BLUE US Equity","NET_DEBT_PCT_OF_TOT_CAPITAL","FQ2 2022","FQ2 2022","Currency=USD","Period=FQ","BEST_FPERIOD_OVERRIDE=FQ","FILING_STATUS=MR","Sort=A","Dates=H","DateFormat=P","Fill=—","Direction=H","UseDPDF=Y")</f>
        <v>39.948099999999997</v>
      </c>
      <c r="R31" s="14">
        <f>_xll.BDH("BLUE US Equity","NET_DEBT_PCT_OF_TOT_CAPITAL","FQ3 2022","FQ3 2022","Currency=USD","Period=FQ","BEST_FPERIOD_OVERRIDE=FQ","FILING_STATUS=MR","Sort=A","Dates=H","DateFormat=P","Fill=—","Direction=H","UseDPDF=Y")</f>
        <v>46.337499999999999</v>
      </c>
      <c r="S31" s="14">
        <f>_xll.BDH("BLUE US Equity","NET_DEBT_PCT_OF_TOT_CAPITAL","FQ4 2022","FQ4 2022","Currency=USD","Period=FQ","BEST_FPERIOD_OVERRIDE=FQ","FILING_STATUS=MR","Sort=A","Dates=H","DateFormat=P","Fill=—","Direction=H","UseDPDF=Y")</f>
        <v>57.975000000000001</v>
      </c>
      <c r="T31" s="14">
        <f>_xll.BDH("BLUE US Equity","NET_DEBT_PCT_OF_TOT_CAPITAL","FQ1 2023","FQ1 2023","Currency=USD","Period=FQ","BEST_FPERIOD_OVERRIDE=FQ","FILING_STATUS=MR","Sort=A","Dates=H","DateFormat=P","Fill=—","Direction=H","UseDPDF=Y")</f>
        <v>-14.4847</v>
      </c>
      <c r="U31" s="14">
        <f>_xll.BDH("BLUE US Equity","NET_DEBT_PCT_OF_TOT_CAPITAL","FQ2 2023","FQ2 2023","Currency=USD","Period=FQ","BEST_FPERIOD_OVERRIDE=FQ","FILING_STATUS=MR","Sort=A","Dates=H","DateFormat=P","Fill=—","Direction=H","UseDPDF=Y")</f>
        <v>17.5581</v>
      </c>
      <c r="V31" s="14">
        <f>_xll.BDH("BLUE US Equity","NET_DEBT_PCT_OF_TOT_CAPITAL","FQ3 2023","FQ3 2023","Currency=USD","Period=FQ","BEST_FPERIOD_OVERRIDE=FQ","FILING_STATUS=MR","Sort=A","Dates=H","DateFormat=P","Fill=—","Direction=H","UseDPDF=Y")</f>
        <v>36.770600000000002</v>
      </c>
      <c r="W31" s="14">
        <f>_xll.BDH("BLUE US Equity","NET_DEBT_PCT_OF_TOT_CAPITAL","FQ4 2023","FQ4 2023","Currency=USD","Period=FQ","BEST_FPERIOD_OVERRIDE=FQ","FILING_STATUS=MR","Sort=A","Dates=H","DateFormat=P","Fill=—","Direction=H","UseDPDF=Y")</f>
        <v>35.819200000000002</v>
      </c>
      <c r="X31" s="14">
        <f>_xll.BDH("BLUE US Equity","NET_DEBT_PCT_OF_TOT_CAPITAL","FQ1 2024","FQ1 2024","Currency=USD","Period=FQ","BEST_FPERIOD_OVERRIDE=FQ","FILING_STATUS=MR","Sort=A","Dates=H","DateFormat=P","Fill=—","Direction=H","UseDPDF=Y")</f>
        <v>60.687100000000001</v>
      </c>
      <c r="Y31" s="14">
        <f>_xll.BDH("BLUE US Equity","NET_DEBT_PCT_OF_TOT_CAPITAL","FQ2 2024","FQ2 2024","Currency=USD","Period=FQ","BEST_FPERIOD_OVERRIDE=FQ","FILING_STATUS=MR","Sort=A","Dates=H","DateFormat=P","Fill=—","Direction=H","UseDPDF=Y")</f>
        <v>82.300399999999996</v>
      </c>
      <c r="Z31" s="14">
        <f>_xll.BDH("BLUE US Equity","NET_DEBT_PCT_OF_TOT_CAPITAL","FQ3 2024","FQ3 2024","Currency=USD","Period=FQ","BEST_FPERIOD_OVERRIDE=FQ","FILING_STATUS=MR","Sort=A","Dates=H","DateFormat=P","Fill=—","Direction=H","UseDPDF=Y")</f>
        <v>102.00490000000001</v>
      </c>
      <c r="AA31" s="14">
        <f>_xll.BDH("BLUE US Equity","NET_DEBT_PCT_OF_TOT_CAPITAL","FQ4 2024","FQ4 2024","Currency=USD","Period=FQ","BEST_FPERIOD_OVERRIDE=FQ","FILING_STATUS=MR","Sort=A","Dates=H","DateFormat=P","Fill=—","Direction=H","UseDPDF=Y")</f>
        <v>112.08069999999999</v>
      </c>
    </row>
    <row r="32" spans="1:27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10" t="s">
        <v>78</v>
      </c>
      <c r="B33" s="10" t="s">
        <v>78</v>
      </c>
      <c r="C33" s="13">
        <f>_xll.BDH("BLUE US Equity","EBITDA","FQ4 2018","FQ4 2018","Currency=USD","Period=FQ","BEST_FPERIOD_OVERRIDE=FQ","FILING_STATUS=MR","SCALING_FORMAT=MLN","FA_ADJUSTED=GAAP","Sort=A","Dates=H","DateFormat=P","Fill=—","Direction=H","UseDPDF=Y")</f>
        <v>-152.416</v>
      </c>
      <c r="D33" s="13">
        <f>_xll.BDH("BLUE US Equity","EBITDA","FQ1 2019","FQ1 2019","Currency=USD","Period=FQ","BEST_FPERIOD_OVERRIDE=FQ","FILING_STATUS=MR","SCALING_FORMAT=MLN","FA_ADJUSTED=GAAP","Sort=A","Dates=H","DateFormat=P","Fill=—","Direction=H","UseDPDF=Y")</f>
        <v>-158.90799999999999</v>
      </c>
      <c r="E33" s="13">
        <f>_xll.BDH("BLUE US Equity","EBITDA","FQ2 2019","FQ2 2019","Currency=USD","Period=FQ","BEST_FPERIOD_OVERRIDE=FQ","FILING_STATUS=MR","SCALING_FORMAT=MLN","FA_ADJUSTED=GAAP","Sort=A","Dates=H","DateFormat=P","Fill=—","Direction=H","UseDPDF=Y")</f>
        <v>-189.73699999999999</v>
      </c>
      <c r="F33" s="13">
        <f>_xll.BDH("BLUE US Equity","EBITDA","FQ3 2019","FQ3 2019","Currency=USD","Period=FQ","BEST_FPERIOD_OVERRIDE=FQ","FILING_STATUS=MR","SCALING_FORMAT=MLN","FA_ADJUSTED=GAAP","Sort=A","Dates=H","DateFormat=P","Fill=—","Direction=H","UseDPDF=Y")</f>
        <v>-197.02600000000001</v>
      </c>
      <c r="G33" s="13">
        <f>_xll.BDH("BLUE US Equity","EBITDA","FQ4 2019","FQ4 2019","Currency=USD","Period=FQ","BEST_FPERIOD_OVERRIDE=FQ","FILING_STATUS=MR","SCALING_FORMAT=MLN","FA_ADJUSTED=GAAP","Sort=A","Dates=H","DateFormat=P","Fill=—","Direction=H","UseDPDF=Y")</f>
        <v>-216.376</v>
      </c>
      <c r="H33" s="13">
        <f>_xll.BDH("BLUE US Equity","EBITDA","FQ1 2020","FQ1 2020","Currency=USD","Period=FQ","BEST_FPERIOD_OVERRIDE=FQ","FILING_STATUS=MR","SCALING_FORMAT=MLN","FA_ADJUSTED=GAAP","Sort=A","Dates=H","DateFormat=P","Fill=—","Direction=H","UseDPDF=Y")</f>
        <v>-198.54499999999999</v>
      </c>
      <c r="I33" s="13">
        <f>_xll.BDH("BLUE US Equity","EBITDA","FQ2 2020","FQ2 2020","Currency=USD","Period=FQ","BEST_FPERIOD_OVERRIDE=FQ","FILING_STATUS=MR","SCALING_FORMAT=MLN","FA_ADJUSTED=GAAP","Sort=A","Dates=H","DateFormat=P","Fill=—","Direction=H","UseDPDF=Y")</f>
        <v>-21.395</v>
      </c>
      <c r="J33" s="13">
        <f>_xll.BDH("BLUE US Equity","EBITDA","FQ3 2020","FQ3 2020","Currency=USD","Period=FQ","BEST_FPERIOD_OVERRIDE=FQ","FILING_STATUS=MR","SCALING_FORMAT=MLN","FA_ADJUSTED=GAAP","Sort=A","Dates=H","DateFormat=P","Fill=—","Direction=H","UseDPDF=Y")</f>
        <v>-184.74600000000001</v>
      </c>
      <c r="K33" s="13">
        <f>_xll.BDH("BLUE US Equity","EBITDA","FQ4 2020","FQ4 2020","Currency=USD","Period=FQ","BEST_FPERIOD_OVERRIDE=FQ","FILING_STATUS=MR","SCALING_FORMAT=MLN","FA_ADJUSTED=GAAP","Sort=A","Dates=H","DateFormat=P","Fill=—","Direction=H","UseDPDF=Y")</f>
        <v>-134.40899999999999</v>
      </c>
      <c r="L33" s="13">
        <f>_xll.BDH("BLUE US Equity","EBITDA","FQ1 2021","FQ1 2021","Currency=USD","Period=FQ","BEST_FPERIOD_OVERRIDE=FQ","FILING_STATUS=MR","SCALING_FORMAT=MLN","FA_ADJUSTED=GAAP","Sort=A","Dates=H","DateFormat=P","Fill=—","Direction=H","UseDPDF=Y")</f>
        <v>-140.73400000000001</v>
      </c>
      <c r="M33" s="13">
        <f>_xll.BDH("BLUE US Equity","EBITDA","FQ2 2021","FQ2 2021","Currency=USD","Period=FQ","BEST_FPERIOD_OVERRIDE=FQ","FILING_STATUS=MR","SCALING_FORMAT=MLN","FA_ADJUSTED=GAAP","Sort=A","Dates=H","DateFormat=P","Fill=—","Direction=H","UseDPDF=Y")</f>
        <v>-234.845</v>
      </c>
      <c r="N33" s="13">
        <f>_xll.BDH("BLUE US Equity","EBITDA","FQ3 2021","FQ3 2021","Currency=USD","Period=FQ","BEST_FPERIOD_OVERRIDE=FQ","FILING_STATUS=MR","SCALING_FORMAT=MLN","FA_ADJUSTED=GAAP","Sort=A","Dates=H","DateFormat=P","Fill=—","Direction=H","UseDPDF=Y")</f>
        <v>-148.46700000000001</v>
      </c>
      <c r="O33" s="13">
        <f>_xll.BDH("BLUE US Equity","EBITDA","FQ4 2021","FQ4 2021","Currency=USD","Period=FQ","BEST_FPERIOD_OVERRIDE=FQ","FILING_STATUS=MR","SCALING_FORMAT=MLN","FA_ADJUSTED=GAAP","Sort=A","Dates=H","DateFormat=P","Fill=—","Direction=H","UseDPDF=Y")</f>
        <v>-133.35300000000001</v>
      </c>
      <c r="P33" s="13">
        <f>_xll.BDH("BLUE US Equity","EBITDA","FQ1 2022","FQ1 2022","Currency=USD","Period=FQ","BEST_FPERIOD_OVERRIDE=FQ","FILING_STATUS=MR","SCALING_FORMAT=MLN","FA_ADJUSTED=GAAP","Sort=A","Dates=H","DateFormat=P","Fill=—","Direction=H","UseDPDF=Y")</f>
        <v>-119.33199999999999</v>
      </c>
      <c r="Q33" s="13">
        <f>_xll.BDH("BLUE US Equity","EBITDA","FQ2 2022","FQ2 2022","Currency=USD","Period=FQ","BEST_FPERIOD_OVERRIDE=FQ","FILING_STATUS=MR","SCALING_FORMAT=MLN","FA_ADJUSTED=GAAP","Sort=A","Dates=H","DateFormat=P","Fill=—","Direction=H","UseDPDF=Y")</f>
        <v>-106.056</v>
      </c>
      <c r="R33" s="13">
        <f>_xll.BDH("BLUE US Equity","EBITDA","FQ3 2022","FQ3 2022","Currency=USD","Period=FQ","BEST_FPERIOD_OVERRIDE=FQ","FILING_STATUS=MR","SCALING_FORMAT=MLN","FA_ADJUSTED=GAAP","Sort=A","Dates=H","DateFormat=P","Fill=—","Direction=H","UseDPDF=Y")</f>
        <v>-83.394000000000005</v>
      </c>
      <c r="S33" s="13">
        <f>_xll.BDH("BLUE US Equity","EBITDA","FQ4 2022","FQ4 2022","Currency=USD","Period=FQ","BEST_FPERIOD_OVERRIDE=FQ","FILING_STATUS=MR","SCALING_FORMAT=MLN","FA_ADJUSTED=GAAP","Sort=A","Dates=H","DateFormat=P","Fill=—","Direction=H","UseDPDF=Y")</f>
        <v>66.941000000000003</v>
      </c>
      <c r="T33" s="13">
        <f>_xll.BDH("BLUE US Equity","EBITDA","FQ1 2023","FQ1 2023","Currency=USD","Period=FQ","BEST_FPERIOD_OVERRIDE=FQ","FILING_STATUS=MR","SCALING_FORMAT=MLN","FA_ADJUSTED=GAAP","Sort=A","Dates=H","DateFormat=P","Fill=—","Direction=H","UseDPDF=Y")</f>
        <v>18.279</v>
      </c>
      <c r="U33" s="13">
        <f>_xll.BDH("BLUE US Equity","EBITDA","FQ2 2023","FQ2 2023","Currency=USD","Period=FQ","BEST_FPERIOD_OVERRIDE=FQ","FILING_STATUS=MR","SCALING_FORMAT=MLN","FA_ADJUSTED=GAAP","Sort=A","Dates=H","DateFormat=P","Fill=—","Direction=H","UseDPDF=Y")</f>
        <v>-64.542000000000002</v>
      </c>
      <c r="V33" s="13">
        <f>_xll.BDH("BLUE US Equity","EBITDA","FQ3 2023","FQ3 2023","Currency=USD","Period=FQ","BEST_FPERIOD_OVERRIDE=FQ","FILING_STATUS=MR","SCALING_FORMAT=MLN","FA_ADJUSTED=GAAP","Sort=A","Dates=H","DateFormat=P","Fill=—","Direction=H","UseDPDF=Y")</f>
        <v>-86.867999999999995</v>
      </c>
      <c r="W33" s="13">
        <f>_xll.BDH("BLUE US Equity","EBITDA","FQ4 2023","FQ4 2023","Currency=USD","Period=FQ","BEST_FPERIOD_OVERRIDE=FQ","FILING_STATUS=MR","SCALING_FORMAT=MLN","FA_ADJUSTED=GAAP","Sort=A","Dates=H","DateFormat=P","Fill=—","Direction=H","UseDPDF=Y")</f>
        <v>-57.271999999999998</v>
      </c>
      <c r="X33" s="13">
        <f>_xll.BDH("BLUE US Equity","EBITDA","FQ1 2024","FQ1 2024","Currency=USD","Period=FQ","BEST_FPERIOD_OVERRIDE=FQ","FILING_STATUS=MR","SCALING_FORMAT=MLN","FA_ADJUSTED=GAAP","Sort=A","Dates=H","DateFormat=P","Fill=—","Direction=H","UseDPDF=Y")</f>
        <v>-64.082999999999998</v>
      </c>
      <c r="Y33" s="13">
        <f>_xll.BDH("BLUE US Equity","EBITDA","FQ2 2024","FQ2 2024","Currency=USD","Period=FQ","BEST_FPERIOD_OVERRIDE=FQ","FILING_STATUS=MR","SCALING_FORMAT=MLN","FA_ADJUSTED=GAAP","Sort=A","Dates=H","DateFormat=P","Fill=—","Direction=H","UseDPDF=Y")</f>
        <v>-72.64</v>
      </c>
      <c r="Z33" s="13">
        <f>_xll.BDH("BLUE US Equity","EBITDA","FQ3 2024","FQ3 2024","Currency=USD","Period=FQ","BEST_FPERIOD_OVERRIDE=FQ","FILING_STATUS=MR","SCALING_FORMAT=MLN","FA_ADJUSTED=GAAP","Sort=A","Dates=H","DateFormat=P","Fill=—","Direction=H","UseDPDF=Y")</f>
        <v>-51.575000000000003</v>
      </c>
      <c r="AA33" s="13">
        <f>_xll.BDH("BLUE US Equity","EBITDA","FQ4 2024","FQ4 2024","Currency=USD","Period=FQ","BEST_FPERIOD_OVERRIDE=FQ","FILING_STATUS=MR","SCALING_FORMAT=MLN","FA_ADJUSTED=GAAP","Sort=A","Dates=H","DateFormat=P","Fill=—","Direction=H","UseDPDF=Y")</f>
        <v>-29.396999999999998</v>
      </c>
    </row>
    <row r="34" spans="1:27" x14ac:dyDescent="0.25">
      <c r="A34" s="10" t="s">
        <v>1364</v>
      </c>
      <c r="B34" s="10" t="s">
        <v>1365</v>
      </c>
      <c r="C34" s="13">
        <f>_xll.BDH("BLUE US Equity","EBITDA_AFTER_CAPEX","FQ4 2018","FQ4 2018","Currency=USD","Period=FQ","BEST_FPERIOD_OVERRIDE=FQ","FILING_STATUS=MR","SCALING_FORMAT=MLN","FA_ADJUSTED=GAAP","Sort=A","Dates=H","DateFormat=P","Fill=—","Direction=H","UseDPDF=Y")</f>
        <v>-165.309</v>
      </c>
      <c r="D34" s="13">
        <f>_xll.BDH("BLUE US Equity","EBITDA_AFTER_CAPEX","FQ1 2019","FQ1 2019","Currency=USD","Period=FQ","BEST_FPERIOD_OVERRIDE=FQ","FILING_STATUS=MR","SCALING_FORMAT=MLN","FA_ADJUSTED=GAAP","Sort=A","Dates=H","DateFormat=P","Fill=—","Direction=H","UseDPDF=Y")</f>
        <v>-178.22900000000001</v>
      </c>
      <c r="E34" s="13">
        <f>_xll.BDH("BLUE US Equity","EBITDA_AFTER_CAPEX","FQ2 2019","FQ2 2019","Currency=USD","Period=FQ","BEST_FPERIOD_OVERRIDE=FQ","FILING_STATUS=MR","SCALING_FORMAT=MLN","FA_ADJUSTED=GAAP","Sort=A","Dates=H","DateFormat=P","Fill=—","Direction=H","UseDPDF=Y")</f>
        <v>-208.34100000000001</v>
      </c>
      <c r="F34" s="13">
        <f>_xll.BDH("BLUE US Equity","EBITDA_AFTER_CAPEX","FQ3 2019","FQ3 2019","Currency=USD","Period=FQ","BEST_FPERIOD_OVERRIDE=FQ","FILING_STATUS=MR","SCALING_FORMAT=MLN","FA_ADJUSTED=GAAP","Sort=A","Dates=H","DateFormat=P","Fill=—","Direction=H","UseDPDF=Y")</f>
        <v>-217.739</v>
      </c>
      <c r="G34" s="13">
        <f>_xll.BDH("BLUE US Equity","EBITDA_AFTER_CAPEX","FQ4 2019","FQ4 2019","Currency=USD","Period=FQ","BEST_FPERIOD_OVERRIDE=FQ","FILING_STATUS=MR","SCALING_FORMAT=MLN","FA_ADJUSTED=GAAP","Sort=A","Dates=H","DateFormat=P","Fill=—","Direction=H","UseDPDF=Y")</f>
        <v>-228.76599999999999</v>
      </c>
      <c r="H34" s="13">
        <f>_xll.BDH("BLUE US Equity","EBITDA_AFTER_CAPEX","FQ1 2020","FQ1 2020","Currency=USD","Period=FQ","BEST_FPERIOD_OVERRIDE=FQ","FILING_STATUS=MR","SCALING_FORMAT=MLN","FA_ADJUSTED=GAAP","Sort=A","Dates=H","DateFormat=P","Fill=—","Direction=H","UseDPDF=Y")</f>
        <v>-209.221</v>
      </c>
      <c r="I34" s="13">
        <f>_xll.BDH("BLUE US Equity","EBITDA_AFTER_CAPEX","FQ2 2020","FQ2 2020","Currency=USD","Period=FQ","BEST_FPERIOD_OVERRIDE=FQ","FILING_STATUS=MR","SCALING_FORMAT=MLN","FA_ADJUSTED=GAAP","Sort=A","Dates=H","DateFormat=P","Fill=—","Direction=H","UseDPDF=Y")</f>
        <v>-26.196999999999999</v>
      </c>
      <c r="J34" s="13">
        <f>_xll.BDH("BLUE US Equity","EBITDA_AFTER_CAPEX","FQ3 2020","FQ3 2020","Currency=USD","Period=FQ","BEST_FPERIOD_OVERRIDE=FQ","FILING_STATUS=MR","SCALING_FORMAT=MLN","FA_ADJUSTED=GAAP","Sort=A","Dates=H","DateFormat=P","Fill=—","Direction=H","UseDPDF=Y")</f>
        <v>-190.36600000000001</v>
      </c>
      <c r="K34" s="13">
        <f>_xll.BDH("BLUE US Equity","EBITDA_AFTER_CAPEX","FQ4 2020","FQ4 2020","Currency=USD","Period=FQ","BEST_FPERIOD_OVERRIDE=FQ","FILING_STATUS=MR","SCALING_FORMAT=MLN","FA_ADJUSTED=GAAP","Sort=A","Dates=H","DateFormat=P","Fill=—","Direction=H","UseDPDF=Y")</f>
        <v>-142.297</v>
      </c>
      <c r="L34" s="13">
        <f>_xll.BDH("BLUE US Equity","EBITDA_AFTER_CAPEX","FQ1 2021","FQ1 2021","Currency=USD","Period=FQ","BEST_FPERIOD_OVERRIDE=FQ","FILING_STATUS=MR","SCALING_FORMAT=MLN","FA_ADJUSTED=GAAP","Sort=A","Dates=H","DateFormat=P","Fill=—","Direction=H","UseDPDF=Y")</f>
        <v>-148.36000000000001</v>
      </c>
      <c r="M34" s="13">
        <f>_xll.BDH("BLUE US Equity","EBITDA_AFTER_CAPEX","FQ2 2021","FQ2 2021","Currency=USD","Period=FQ","BEST_FPERIOD_OVERRIDE=FQ","FILING_STATUS=MR","SCALING_FORMAT=MLN","FA_ADJUSTED=GAAP","Sort=A","Dates=H","DateFormat=P","Fill=—","Direction=H","UseDPDF=Y")</f>
        <v>-236.423</v>
      </c>
      <c r="N34" s="13">
        <f>_xll.BDH("BLUE US Equity","EBITDA_AFTER_CAPEX","FQ3 2021","FQ3 2021","Currency=USD","Period=FQ","BEST_FPERIOD_OVERRIDE=FQ","FILING_STATUS=MR","SCALING_FORMAT=MLN","FA_ADJUSTED=GAAP","Sort=A","Dates=H","DateFormat=P","Fill=—","Direction=H","UseDPDF=Y")</f>
        <v>-152.20699999999999</v>
      </c>
      <c r="O34" s="13">
        <f>_xll.BDH("BLUE US Equity","EBITDA_AFTER_CAPEX","FQ4 2021","FQ4 2021","Currency=USD","Period=FQ","BEST_FPERIOD_OVERRIDE=FQ","FILING_STATUS=MR","SCALING_FORMAT=MLN","FA_ADJUSTED=GAAP","Sort=A","Dates=H","DateFormat=P","Fill=—","Direction=H","UseDPDF=Y")</f>
        <v>-134.91200000000001</v>
      </c>
      <c r="P34" s="13">
        <f>_xll.BDH("BLUE US Equity","EBITDA_AFTER_CAPEX","FQ1 2022","FQ1 2022","Currency=USD","Period=FQ","BEST_FPERIOD_OVERRIDE=FQ","FILING_STATUS=MR","SCALING_FORMAT=MLN","FA_ADJUSTED=GAAP","Sort=A","Dates=H","DateFormat=P","Fill=—","Direction=H","UseDPDF=Y")</f>
        <v>-120.18899999999999</v>
      </c>
      <c r="Q34" s="13">
        <f>_xll.BDH("BLUE US Equity","EBITDA_AFTER_CAPEX","FQ2 2022","FQ2 2022","Currency=USD","Period=FQ","BEST_FPERIOD_OVERRIDE=FQ","FILING_STATUS=MR","SCALING_FORMAT=MLN","FA_ADJUSTED=GAAP","Sort=A","Dates=H","DateFormat=P","Fill=—","Direction=H","UseDPDF=Y")</f>
        <v>-112.035</v>
      </c>
      <c r="R34" s="13">
        <f>_xll.BDH("BLUE US Equity","EBITDA_AFTER_CAPEX","FQ3 2022","FQ3 2022","Currency=USD","Period=FQ","BEST_FPERIOD_OVERRIDE=FQ","FILING_STATUS=MR","SCALING_FORMAT=MLN","FA_ADJUSTED=GAAP","Sort=A","Dates=H","DateFormat=P","Fill=—","Direction=H","UseDPDF=Y")</f>
        <v>-84.658000000000001</v>
      </c>
      <c r="S34" s="13">
        <f>_xll.BDH("BLUE US Equity","EBITDA_AFTER_CAPEX","FQ4 2022","FQ4 2022","Currency=USD","Period=FQ","BEST_FPERIOD_OVERRIDE=FQ","FILING_STATUS=MR","SCALING_FORMAT=MLN","FA_ADJUSTED=GAAP","Sort=A","Dates=H","DateFormat=P","Fill=—","Direction=H","UseDPDF=Y")</f>
        <v>66.832999999999998</v>
      </c>
      <c r="T34" s="13">
        <f>_xll.BDH("BLUE US Equity","EBITDA_AFTER_CAPEX","FQ1 2023","FQ1 2023","Currency=USD","Period=FQ","BEST_FPERIOD_OVERRIDE=FQ","FILING_STATUS=MR","SCALING_FORMAT=MLN","FA_ADJUSTED=GAAP","Sort=A","Dates=H","DateFormat=P","Fill=—","Direction=H","UseDPDF=Y")</f>
        <v>18.047000000000001</v>
      </c>
      <c r="U34" s="13">
        <f>_xll.BDH("BLUE US Equity","EBITDA_AFTER_CAPEX","FQ2 2023","FQ2 2023","Currency=USD","Period=FQ","BEST_FPERIOD_OVERRIDE=FQ","FILING_STATUS=MR","SCALING_FORMAT=MLN","FA_ADJUSTED=GAAP","Sort=A","Dates=H","DateFormat=P","Fill=—","Direction=H","UseDPDF=Y")</f>
        <v>-65.247</v>
      </c>
      <c r="V34" s="13">
        <f>_xll.BDH("BLUE US Equity","EBITDA_AFTER_CAPEX","FQ3 2023","FQ3 2023","Currency=USD","Period=FQ","BEST_FPERIOD_OVERRIDE=FQ","FILING_STATUS=MR","SCALING_FORMAT=MLN","FA_ADJUSTED=GAAP","Sort=A","Dates=H","DateFormat=P","Fill=—","Direction=H","UseDPDF=Y")</f>
        <v>-88.906000000000006</v>
      </c>
      <c r="W34" s="13">
        <f>_xll.BDH("BLUE US Equity","EBITDA_AFTER_CAPEX","FQ4 2023","FQ4 2023","Currency=USD","Period=FQ","BEST_FPERIOD_OVERRIDE=FQ","FILING_STATUS=MR","SCALING_FORMAT=MLN","FA_ADJUSTED=GAAP","Sort=A","Dates=H","DateFormat=P","Fill=—","Direction=H","UseDPDF=Y")</f>
        <v>-58.485999999999997</v>
      </c>
      <c r="X34" s="13">
        <f>_xll.BDH("BLUE US Equity","EBITDA_AFTER_CAPEX","FQ1 2024","FQ1 2024","Currency=USD","Period=FQ","BEST_FPERIOD_OVERRIDE=FQ","FILING_STATUS=MR","SCALING_FORMAT=MLN","FA_ADJUSTED=GAAP","Sort=A","Dates=H","DateFormat=P","Fill=—","Direction=H","UseDPDF=Y")</f>
        <v>-65.858000000000004</v>
      </c>
      <c r="Y34" s="13">
        <f>_xll.BDH("BLUE US Equity","EBITDA_AFTER_CAPEX","FQ2 2024","FQ2 2024","Currency=USD","Period=FQ","BEST_FPERIOD_OVERRIDE=FQ","FILING_STATUS=MR","SCALING_FORMAT=MLN","FA_ADJUSTED=GAAP","Sort=A","Dates=H","DateFormat=P","Fill=—","Direction=H","UseDPDF=Y")</f>
        <v>-72.698999999999998</v>
      </c>
      <c r="Z34" s="13">
        <f>_xll.BDH("BLUE US Equity","EBITDA_AFTER_CAPEX","FQ3 2024","FQ3 2024","Currency=USD","Period=FQ","BEST_FPERIOD_OVERRIDE=FQ","FILING_STATUS=MR","SCALING_FORMAT=MLN","FA_ADJUSTED=GAAP","Sort=A","Dates=H","DateFormat=P","Fill=—","Direction=H","UseDPDF=Y")</f>
        <v>-51.854999999999997</v>
      </c>
      <c r="AA34" s="13">
        <f>_xll.BDH("BLUE US Equity","EBITDA_AFTER_CAPEX","FQ4 2024","FQ4 2024","Currency=USD","Period=FQ","BEST_FPERIOD_OVERRIDE=FQ","FILING_STATUS=MR","SCALING_FORMAT=MLN","FA_ADJUSTED=GAAP","Sort=A","Dates=H","DateFormat=P","Fill=—","Direction=H","UseDPDF=Y")</f>
        <v>-29.882000000000001</v>
      </c>
    </row>
    <row r="35" spans="1:27" x14ac:dyDescent="0.25">
      <c r="A35" s="10" t="s">
        <v>141</v>
      </c>
      <c r="B35" s="10" t="s">
        <v>99</v>
      </c>
      <c r="C35" s="13">
        <f>_xll.BDH("BLUE US Equity","IS_OPER_INC","FQ4 2018","FQ4 2018","Currency=USD","Period=FQ","BEST_FPERIOD_OVERRIDE=FQ","FILING_STATUS=MR","SCALING_FORMAT=MLN","FA_ADJUSTED=GAAP","Sort=A","Dates=H","DateFormat=P","Fill=—","Direction=H","UseDPDF=Y")</f>
        <v>-156.96100000000001</v>
      </c>
      <c r="D35" s="13">
        <f>_xll.BDH("BLUE US Equity","IS_OPER_INC","FQ1 2019","FQ1 2019","Currency=USD","Period=FQ","BEST_FPERIOD_OVERRIDE=FQ","FILING_STATUS=MR","SCALING_FORMAT=MLN","FA_ADJUSTED=GAAP","Sort=A","Dates=H","DateFormat=P","Fill=—","Direction=H","UseDPDF=Y")</f>
        <v>-171.17400000000001</v>
      </c>
      <c r="E35" s="13">
        <f>_xll.BDH("BLUE US Equity","IS_OPER_INC","FQ2 2019","FQ2 2019","Currency=USD","Period=FQ","BEST_FPERIOD_OVERRIDE=FQ","FILING_STATUS=MR","SCALING_FORMAT=MLN","FA_ADJUSTED=GAAP","Sort=A","Dates=H","DateFormat=P","Fill=—","Direction=H","UseDPDF=Y")</f>
        <v>-202.702</v>
      </c>
      <c r="F35" s="13">
        <f>_xll.BDH("BLUE US Equity","IS_OPER_INC","FQ3 2019","FQ3 2019","Currency=USD","Period=FQ","BEST_FPERIOD_OVERRIDE=FQ","FILING_STATUS=MR","SCALING_FORMAT=MLN","FA_ADJUSTED=GAAP","Sort=A","Dates=H","DateFormat=P","Fill=—","Direction=H","UseDPDF=Y")</f>
        <v>-210.416</v>
      </c>
      <c r="G35" s="13">
        <f>_xll.BDH("BLUE US Equity","IS_OPER_INC","FQ4 2019","FQ4 2019","Currency=USD","Period=FQ","BEST_FPERIOD_OVERRIDE=FQ","FILING_STATUS=MR","SCALING_FORMAT=MLN","FA_ADJUSTED=GAAP","Sort=A","Dates=H","DateFormat=P","Fill=—","Direction=H","UseDPDF=Y")</f>
        <v>-230.53399999999999</v>
      </c>
      <c r="H35" s="13">
        <f>_xll.BDH("BLUE US Equity","IS_OPER_INC","FQ1 2020","FQ1 2020","Currency=USD","Period=FQ","BEST_FPERIOD_OVERRIDE=FQ","FILING_STATUS=MR","SCALING_FORMAT=MLN","FA_ADJUSTED=GAAP","Sort=A","Dates=H","DateFormat=P","Fill=—","Direction=H","UseDPDF=Y")</f>
        <v>-203.42500000000001</v>
      </c>
      <c r="I35" s="13">
        <f>_xll.BDH("BLUE US Equity","IS_OPER_INC","FQ2 2020","FQ2 2020","Currency=USD","Period=FQ","BEST_FPERIOD_OVERRIDE=FQ","FILING_STATUS=MR","SCALING_FORMAT=MLN","FA_ADJUSTED=GAAP","Sort=A","Dates=H","DateFormat=P","Fill=—","Direction=H","UseDPDF=Y")</f>
        <v>-25.945</v>
      </c>
      <c r="J35" s="13">
        <f>_xll.BDH("BLUE US Equity","IS_OPER_INC","FQ3 2020","FQ3 2020","Currency=USD","Period=FQ","BEST_FPERIOD_OVERRIDE=FQ","FILING_STATUS=MR","SCALING_FORMAT=MLN","FA_ADJUSTED=GAAP","Sort=A","Dates=H","DateFormat=P","Fill=—","Direction=H","UseDPDF=Y")</f>
        <v>-189.69399999999999</v>
      </c>
      <c r="K35" s="13">
        <f>_xll.BDH("BLUE US Equity","IS_OPER_INC","FQ4 2020","FQ4 2020","Currency=USD","Period=FQ","BEST_FPERIOD_OVERRIDE=FQ","FILING_STATUS=MR","SCALING_FORMAT=MLN","FA_ADJUSTED=GAAP","Sort=A","Dates=H","DateFormat=P","Fill=—","Direction=H","UseDPDF=Y")</f>
        <v>-139.387</v>
      </c>
      <c r="L35" s="13">
        <f>_xll.BDH("BLUE US Equity","IS_OPER_INC","FQ1 2021","FQ1 2021","Currency=USD","Period=FQ","BEST_FPERIOD_OVERRIDE=FQ","FILING_STATUS=MR","SCALING_FORMAT=MLN","FA_ADJUSTED=GAAP","Sort=A","Dates=H","DateFormat=P","Fill=—","Direction=H","UseDPDF=Y")</f>
        <v>-146.09399999999999</v>
      </c>
      <c r="M35" s="13">
        <f>_xll.BDH("BLUE US Equity","IS_OPER_INC","FQ2 2021","FQ2 2021","Currency=USD","Period=FQ","BEST_FPERIOD_OVERRIDE=FQ","FILING_STATUS=MR","SCALING_FORMAT=MLN","FA_ADJUSTED=GAAP","Sort=A","Dates=H","DateFormat=P","Fill=—","Direction=H","UseDPDF=Y")</f>
        <v>-240.83799999999999</v>
      </c>
      <c r="N35" s="13">
        <f>_xll.BDH("BLUE US Equity","IS_OPER_INC","FQ3 2021","FQ3 2021","Currency=USD","Period=FQ","BEST_FPERIOD_OVERRIDE=FQ","FILING_STATUS=MR","SCALING_FORMAT=MLN","FA_ADJUSTED=GAAP","Sort=A","Dates=H","DateFormat=P","Fill=—","Direction=H","UseDPDF=Y")</f>
        <v>-154.44900000000001</v>
      </c>
      <c r="O35" s="13">
        <f>_xll.BDH("BLUE US Equity","IS_OPER_INC","FQ4 2021","FQ4 2021","Currency=USD","Period=FQ","BEST_FPERIOD_OVERRIDE=FQ","FILING_STATUS=MR","SCALING_FORMAT=MLN","FA_ADJUSTED=GAAP","Sort=A","Dates=H","DateFormat=P","Fill=—","Direction=H","UseDPDF=Y")</f>
        <v>-135.667</v>
      </c>
      <c r="P35" s="13">
        <f>_xll.BDH("BLUE US Equity","IS_OPER_INC","FQ1 2022","FQ1 2022","Currency=USD","Period=FQ","BEST_FPERIOD_OVERRIDE=FQ","FILING_STATUS=MR","SCALING_FORMAT=MLN","FA_ADJUSTED=GAAP","Sort=A","Dates=H","DateFormat=P","Fill=—","Direction=H","UseDPDF=Y")</f>
        <v>-120.346</v>
      </c>
      <c r="Q35" s="13">
        <f>_xll.BDH("BLUE US Equity","IS_OPER_INC","FQ2 2022","FQ2 2022","Currency=USD","Period=FQ","BEST_FPERIOD_OVERRIDE=FQ","FILING_STATUS=MR","SCALING_FORMAT=MLN","FA_ADJUSTED=GAAP","Sort=A","Dates=H","DateFormat=P","Fill=—","Direction=H","UseDPDF=Y")</f>
        <v>-107.4</v>
      </c>
      <c r="R35" s="13">
        <f>_xll.BDH("BLUE US Equity","IS_OPER_INC","FQ3 2022","FQ3 2022","Currency=USD","Period=FQ","BEST_FPERIOD_OVERRIDE=FQ","FILING_STATUS=MR","SCALING_FORMAT=MLN","FA_ADJUSTED=GAAP","Sort=A","Dates=H","DateFormat=P","Fill=—","Direction=H","UseDPDF=Y")</f>
        <v>-84.781000000000006</v>
      </c>
      <c r="S35" s="13">
        <f>_xll.BDH("BLUE US Equity","IS_OPER_INC","FQ4 2022","FQ4 2022","Currency=USD","Period=FQ","BEST_FPERIOD_OVERRIDE=FQ","FILING_STATUS=MR","SCALING_FORMAT=MLN","FA_ADJUSTED=GAAP","Sort=A","Dates=H","DateFormat=P","Fill=—","Direction=H","UseDPDF=Y")</f>
        <v>62.341999999999999</v>
      </c>
      <c r="T35" s="13">
        <f>_xll.BDH("BLUE US Equity","IS_OPER_INC","FQ1 2023","FQ1 2023","Currency=USD","Period=FQ","BEST_FPERIOD_OVERRIDE=FQ","FILING_STATUS=MR","SCALING_FORMAT=MLN","FA_ADJUSTED=GAAP","Sort=A","Dates=H","DateFormat=P","Fill=—","Direction=H","UseDPDF=Y")</f>
        <v>10.744999999999999</v>
      </c>
      <c r="U35" s="13">
        <f>_xll.BDH("BLUE US Equity","IS_OPER_INC","FQ2 2023","FQ2 2023","Currency=USD","Period=FQ","BEST_FPERIOD_OVERRIDE=FQ","FILING_STATUS=MR","SCALING_FORMAT=MLN","FA_ADJUSTED=GAAP","Sort=A","Dates=H","DateFormat=P","Fill=—","Direction=H","UseDPDF=Y")</f>
        <v>-71.716999999999999</v>
      </c>
      <c r="V35" s="13">
        <f>_xll.BDH("BLUE US Equity","IS_OPER_INC","FQ3 2023","FQ3 2023","Currency=USD","Period=FQ","BEST_FPERIOD_OVERRIDE=FQ","FILING_STATUS=MR","SCALING_FORMAT=MLN","FA_ADJUSTED=GAAP","Sort=A","Dates=H","DateFormat=P","Fill=—","Direction=H","UseDPDF=Y")</f>
        <v>-96.006</v>
      </c>
      <c r="W35" s="13">
        <f>_xll.BDH("BLUE US Equity","IS_OPER_INC","FQ4 2023","FQ4 2023","Currency=USD","Period=FQ","BEST_FPERIOD_OVERRIDE=FQ","FILING_STATUS=MR","SCALING_FORMAT=MLN","FA_ADJUSTED=GAAP","Sort=A","Dates=H","DateFormat=P","Fill=—","Direction=H","UseDPDF=Y")</f>
        <v>-82.673000000000002</v>
      </c>
      <c r="X35" s="13">
        <f>_xll.BDH("BLUE US Equity","IS_OPER_INC","FQ1 2024","FQ1 2024","Currency=USD","Period=FQ","BEST_FPERIOD_OVERRIDE=FQ","FILING_STATUS=MR","SCALING_FORMAT=MLN","FA_ADJUSTED=GAAP","Sort=A","Dates=H","DateFormat=P","Fill=—","Direction=H","UseDPDF=Y")</f>
        <v>-78.691999999999993</v>
      </c>
      <c r="Y35" s="13">
        <f>_xll.BDH("BLUE US Equity","IS_OPER_INC","FQ2 2024","FQ2 2024","Currency=USD","Period=FQ","BEST_FPERIOD_OVERRIDE=FQ","FILING_STATUS=MR","SCALING_FORMAT=MLN","FA_ADJUSTED=GAAP","Sort=A","Dates=H","DateFormat=P","Fill=—","Direction=H","UseDPDF=Y")</f>
        <v>-88.391999999999996</v>
      </c>
      <c r="Z35" s="13">
        <f>_xll.BDH("BLUE US Equity","IS_OPER_INC","FQ3 2024","FQ3 2024","Currency=USD","Period=FQ","BEST_FPERIOD_OVERRIDE=FQ","FILING_STATUS=MR","SCALING_FORMAT=MLN","FA_ADJUSTED=GAAP","Sort=A","Dates=H","DateFormat=P","Fill=—","Direction=H","UseDPDF=Y")</f>
        <v>-66.918999999999997</v>
      </c>
      <c r="AA35" s="13">
        <f>_xll.BDH("BLUE US Equity","IS_OPER_INC","FQ4 2024","FQ4 2024","Currency=USD","Period=FQ","BEST_FPERIOD_OVERRIDE=FQ","FILING_STATUS=MR","SCALING_FORMAT=MLN","FA_ADJUSTED=GAAP","Sort=A","Dates=H","DateFormat=P","Fill=—","Direction=H","UseDPDF=Y")</f>
        <v>-36.457999999999998</v>
      </c>
    </row>
    <row r="36" spans="1:27" x14ac:dyDescent="0.25">
      <c r="A36" s="7" t="s">
        <v>90</v>
      </c>
      <c r="B36" s="7"/>
      <c r="C36" s="7" t="s">
        <v>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3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188</v>
      </c>
      <c r="B6" s="10" t="s">
        <v>189</v>
      </c>
      <c r="C6" s="12" t="s">
        <v>1339</v>
      </c>
      <c r="D6" s="12" t="s">
        <v>190</v>
      </c>
      <c r="E6" s="12" t="s">
        <v>190</v>
      </c>
      <c r="F6" s="12" t="s">
        <v>190</v>
      </c>
      <c r="G6" s="12" t="s">
        <v>190</v>
      </c>
      <c r="H6" s="12" t="s">
        <v>190</v>
      </c>
      <c r="I6" s="12" t="s">
        <v>190</v>
      </c>
      <c r="J6" s="12" t="s">
        <v>190</v>
      </c>
      <c r="K6" s="12" t="s">
        <v>190</v>
      </c>
      <c r="L6" s="12" t="s">
        <v>190</v>
      </c>
      <c r="M6" s="12" t="s">
        <v>190</v>
      </c>
      <c r="N6" s="12" t="s">
        <v>190</v>
      </c>
      <c r="O6" s="12" t="s">
        <v>190</v>
      </c>
      <c r="P6" s="12" t="s">
        <v>190</v>
      </c>
      <c r="Q6" s="12" t="s">
        <v>190</v>
      </c>
      <c r="R6" s="12" t="s">
        <v>190</v>
      </c>
      <c r="S6" s="12" t="s">
        <v>190</v>
      </c>
      <c r="T6" s="12" t="s">
        <v>190</v>
      </c>
      <c r="U6" s="12" t="s">
        <v>190</v>
      </c>
      <c r="V6" s="12" t="s">
        <v>190</v>
      </c>
      <c r="W6" s="12" t="s">
        <v>190</v>
      </c>
      <c r="X6" s="12" t="s">
        <v>190</v>
      </c>
      <c r="Y6" s="12" t="s">
        <v>190</v>
      </c>
      <c r="Z6" s="12" t="s">
        <v>190</v>
      </c>
      <c r="AA6" s="12" t="s">
        <v>190</v>
      </c>
    </row>
    <row r="7" spans="1:27" x14ac:dyDescent="0.25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1289</v>
      </c>
      <c r="B8" s="10" t="s">
        <v>264</v>
      </c>
      <c r="C8" s="13">
        <f>_xll.BDH("BLUE US Equity","TOT_DEBT_EX_OPERATING_LEA_LIABS","FQ4 2018","FQ4 2018","Currency=USD","Period=FQ","BEST_FPERIOD_OVERRIDE=FQ","FILING_STATUS=MR","SCALING_FORMAT=MLN","Sort=A","Dates=H","DateFormat=P","Fill=—","Direction=H","UseDPDF=Y")</f>
        <v>153.31899999999999</v>
      </c>
      <c r="D8" s="13">
        <f>_xll.BDH("BLUE US Equity","TOT_DEBT_EX_OPERATING_LEA_LIABS","FQ1 2019","FQ1 2019","Currency=USD","Period=FQ","BEST_FPERIOD_OVERRIDE=FQ","FILING_STATUS=MR","SCALING_FORMAT=MLN","Sort=A","Dates=H","DateFormat=P","Fill=—","Direction=H","UseDPDF=Y")</f>
        <v>0</v>
      </c>
      <c r="E8" s="13">
        <f>_xll.BDH("BLUE US Equity","TOT_DEBT_EX_OPERATING_LEA_LIABS","FQ2 2019","FQ2 2019","Currency=USD","Period=FQ","BEST_FPERIOD_OVERRIDE=FQ","FILING_STATUS=MR","SCALING_FORMAT=MLN","Sort=A","Dates=H","DateFormat=P","Fill=—","Direction=H","UseDPDF=Y")</f>
        <v>0</v>
      </c>
      <c r="F8" s="13">
        <f>_xll.BDH("BLUE US Equity","TOT_DEBT_EX_OPERATING_LEA_LIABS","FQ3 2019","FQ3 2019","Currency=USD","Period=FQ","BEST_FPERIOD_OVERRIDE=FQ","FILING_STATUS=MR","SCALING_FORMAT=MLN","Sort=A","Dates=H","DateFormat=P","Fill=—","Direction=H","UseDPDF=Y")</f>
        <v>0</v>
      </c>
      <c r="G8" s="13">
        <f>_xll.BDH("BLUE US Equity","TOT_DEBT_EX_OPERATING_LEA_LIABS","FQ4 2019","FQ4 2019","Currency=USD","Period=FQ","BEST_FPERIOD_OVERRIDE=FQ","FILING_STATUS=MR","SCALING_FORMAT=MLN","Sort=A","Dates=H","DateFormat=P","Fill=—","Direction=H","UseDPDF=Y")</f>
        <v>0</v>
      </c>
      <c r="H8" s="13">
        <f>_xll.BDH("BLUE US Equity","TOT_DEBT_EX_OPERATING_LEA_LIABS","FQ1 2020","FQ1 2020","Currency=USD","Period=FQ","BEST_FPERIOD_OVERRIDE=FQ","FILING_STATUS=MR","SCALING_FORMAT=MLN","Sort=A","Dates=H","DateFormat=P","Fill=—","Direction=H","UseDPDF=Y")</f>
        <v>0</v>
      </c>
      <c r="I8" s="13">
        <f>_xll.BDH("BLUE US Equity","TOT_DEBT_EX_OPERATING_LEA_LIABS","FQ2 2020","FQ2 2020","Currency=USD","Period=FQ","BEST_FPERIOD_OVERRIDE=FQ","FILING_STATUS=MR","SCALING_FORMAT=MLN","Sort=A","Dates=H","DateFormat=P","Fill=—","Direction=H","UseDPDF=Y")</f>
        <v>0</v>
      </c>
      <c r="J8" s="13">
        <f>_xll.BDH("BLUE US Equity","TOT_DEBT_EX_OPERATING_LEA_LIABS","FQ3 2020","FQ3 2020","Currency=USD","Period=FQ","BEST_FPERIOD_OVERRIDE=FQ","FILING_STATUS=MR","SCALING_FORMAT=MLN","Sort=A","Dates=H","DateFormat=P","Fill=—","Direction=H","UseDPDF=Y")</f>
        <v>0</v>
      </c>
      <c r="K8" s="13">
        <f>_xll.BDH("BLUE US Equity","TOT_DEBT_EX_OPERATING_LEA_LIABS","FQ4 2020","FQ4 2020","Currency=USD","Period=FQ","BEST_FPERIOD_OVERRIDE=FQ","FILING_STATUS=MR","SCALING_FORMAT=MLN","Sort=A","Dates=H","DateFormat=P","Fill=—","Direction=H","UseDPDF=Y")</f>
        <v>0</v>
      </c>
      <c r="L8" s="13">
        <f>_xll.BDH("BLUE US Equity","TOT_DEBT_EX_OPERATING_LEA_LIABS","FQ1 2021","FQ1 2021","Currency=USD","Period=FQ","BEST_FPERIOD_OVERRIDE=FQ","FILING_STATUS=MR","SCALING_FORMAT=MLN","Sort=A","Dates=H","DateFormat=P","Fill=—","Direction=H","UseDPDF=Y")</f>
        <v>0</v>
      </c>
      <c r="M8" s="13">
        <f>_xll.BDH("BLUE US Equity","TOT_DEBT_EX_OPERATING_LEA_LIABS","FQ2 2021","FQ2 2021","Currency=USD","Period=FQ","BEST_FPERIOD_OVERRIDE=FQ","FILING_STATUS=MR","SCALING_FORMAT=MLN","Sort=A","Dates=H","DateFormat=P","Fill=—","Direction=H","UseDPDF=Y")</f>
        <v>0</v>
      </c>
      <c r="N8" s="13">
        <f>_xll.BDH("BLUE US Equity","TOT_DEBT_EX_OPERATING_LEA_LIABS","FQ3 2021","FQ3 2021","Currency=USD","Period=FQ","BEST_FPERIOD_OVERRIDE=FQ","FILING_STATUS=MR","SCALING_FORMAT=MLN","Sort=A","Dates=H","DateFormat=P","Fill=—","Direction=H","UseDPDF=Y")</f>
        <v>0</v>
      </c>
      <c r="O8" s="13">
        <f>_xll.BDH("BLUE US Equity","TOT_DEBT_EX_OPERATING_LEA_LIABS","FQ4 2021","FQ4 2021","Currency=USD","Period=FQ","BEST_FPERIOD_OVERRIDE=FQ","FILING_STATUS=MR","SCALING_FORMAT=MLN","Sort=A","Dates=H","DateFormat=P","Fill=—","Direction=H","UseDPDF=Y")</f>
        <v>0</v>
      </c>
      <c r="P8" s="13">
        <f>_xll.BDH("BLUE US Equity","TOT_DEBT_EX_OPERATING_LEA_LIABS","FQ1 2022","FQ1 2022","Currency=USD","Period=FQ","BEST_FPERIOD_OVERRIDE=FQ","FILING_STATUS=MR","SCALING_FORMAT=MLN","Sort=A","Dates=H","DateFormat=P","Fill=—","Direction=H","UseDPDF=Y")</f>
        <v>0</v>
      </c>
      <c r="Q8" s="13">
        <f>_xll.BDH("BLUE US Equity","TOT_DEBT_EX_OPERATING_LEA_LIABS","FQ2 2022","FQ2 2022","Currency=USD","Period=FQ","BEST_FPERIOD_OVERRIDE=FQ","FILING_STATUS=MR","SCALING_FORMAT=MLN","Sort=A","Dates=H","DateFormat=P","Fill=—","Direction=H","UseDPDF=Y")</f>
        <v>0</v>
      </c>
      <c r="R8" s="13">
        <f>_xll.BDH("BLUE US Equity","TOT_DEBT_EX_OPERATING_LEA_LIABS","FQ3 2022","FQ3 2022","Currency=USD","Period=FQ","BEST_FPERIOD_OVERRIDE=FQ","FILING_STATUS=MR","SCALING_FORMAT=MLN","Sort=A","Dates=H","DateFormat=P","Fill=—","Direction=H","UseDPDF=Y")</f>
        <v>0</v>
      </c>
      <c r="S8" s="13">
        <f>_xll.BDH("BLUE US Equity","TOT_DEBT_EX_OPERATING_LEA_LIABS","FQ4 2022","FQ4 2022","Currency=USD","Period=FQ","BEST_FPERIOD_OVERRIDE=FQ","FILING_STATUS=MR","SCALING_FORMAT=MLN","Sort=A","Dates=H","DateFormat=P","Fill=—","Direction=H","UseDPDF=Y")</f>
        <v>0</v>
      </c>
      <c r="T8" s="13">
        <f>_xll.BDH("BLUE US Equity","TOT_DEBT_EX_OPERATING_LEA_LIABS","FQ1 2023","FQ1 2023","Currency=USD","Period=FQ","BEST_FPERIOD_OVERRIDE=FQ","FILING_STATUS=MR","SCALING_FORMAT=MLN","Sort=A","Dates=H","DateFormat=P","Fill=—","Direction=H","UseDPDF=Y")</f>
        <v>0</v>
      </c>
      <c r="U8" s="13">
        <f>_xll.BDH("BLUE US Equity","TOT_DEBT_EX_OPERATING_LEA_LIABS","FQ2 2023","FQ2 2023","Currency=USD","Period=FQ","BEST_FPERIOD_OVERRIDE=FQ","FILING_STATUS=MR","SCALING_FORMAT=MLN","Sort=A","Dates=H","DateFormat=P","Fill=—","Direction=H","UseDPDF=Y")</f>
        <v>0</v>
      </c>
      <c r="V8" s="13">
        <f>_xll.BDH("BLUE US Equity","TOT_DEBT_EX_OPERATING_LEA_LIABS","FQ3 2023","FQ3 2023","Currency=USD","Period=FQ","BEST_FPERIOD_OVERRIDE=FQ","FILING_STATUS=MR","SCALING_FORMAT=MLN","Sort=A","Dates=H","DateFormat=P","Fill=—","Direction=H","UseDPDF=Y")</f>
        <v>0</v>
      </c>
      <c r="W8" s="13">
        <f>_xll.BDH("BLUE US Equity","TOT_DEBT_EX_OPERATING_LEA_LIABS","FQ4 2023","FQ4 2023","Currency=USD","Period=FQ","BEST_FPERIOD_OVERRIDE=FQ","FILING_STATUS=MR","SCALING_FORMAT=MLN","Sort=A","Dates=H","DateFormat=P","Fill=—","Direction=H","UseDPDF=Y")</f>
        <v>0</v>
      </c>
      <c r="X8" s="13">
        <f>_xll.BDH("BLUE US Equity","TOT_DEBT_EX_OPERATING_LEA_LIABS","FQ1 2024","FQ1 2024","Currency=USD","Period=FQ","BEST_FPERIOD_OVERRIDE=FQ","FILING_STATUS=MR","SCALING_FORMAT=MLN","Sort=A","Dates=H","DateFormat=P","Fill=—","Direction=H","UseDPDF=Y")</f>
        <v>209.29599999999999</v>
      </c>
      <c r="Y8" s="13">
        <f>_xll.BDH("BLUE US Equity","TOT_DEBT_EX_OPERATING_LEA_LIABS","FQ2 2024","FQ2 2024","Currency=USD","Period=FQ","BEST_FPERIOD_OVERRIDE=FQ","FILING_STATUS=MR","SCALING_FORMAT=MLN","Sort=A","Dates=H","DateFormat=P","Fill=—","Direction=H","UseDPDF=Y")</f>
        <v>190.833</v>
      </c>
      <c r="Z8" s="13">
        <f>_xll.BDH("BLUE US Equity","TOT_DEBT_EX_OPERATING_LEA_LIABS","FQ3 2024","FQ3 2024","Currency=USD","Period=FQ","BEST_FPERIOD_OVERRIDE=FQ","FILING_STATUS=MR","SCALING_FORMAT=MLN","Sort=A","Dates=H","DateFormat=P","Fill=—","Direction=H","UseDPDF=Y")</f>
        <v>172.45599999999999</v>
      </c>
      <c r="AA8" s="13">
        <f>_xll.BDH("BLUE US Equity","TOT_DEBT_EX_OPERATING_LEA_LIABS","FQ4 2024","FQ4 2024","Currency=USD","Period=FQ","BEST_FPERIOD_OVERRIDE=FQ","FILING_STATUS=MR","SCALING_FORMAT=MLN","Sort=A","Dates=H","DateFormat=P","Fill=—","Direction=H","UseDPDF=Y")</f>
        <v>168.18</v>
      </c>
    </row>
    <row r="9" spans="1:27" x14ac:dyDescent="0.25">
      <c r="A9" s="10" t="s">
        <v>1340</v>
      </c>
      <c r="B9" s="10" t="s">
        <v>1367</v>
      </c>
      <c r="C9" s="13">
        <f>_xll.BDH("BLUE US Equity","ST_DEBT_EX_OPERATING_LEASE_LIABS","FQ4 2018","FQ4 2018","Currency=USD","Period=FQ","BEST_FPERIOD_OVERRIDE=FQ","FILING_STATUS=MR","SCALING_FORMAT=MLN","Sort=A","Dates=H","DateFormat=P","Fill=—","Direction=H","UseDPDF=Y")</f>
        <v>0</v>
      </c>
      <c r="D9" s="13">
        <f>_xll.BDH("BLUE US Equity","ST_DEBT_EX_OPERATING_LEASE_LIABS","FQ1 2019","FQ1 2019","Currency=USD","Period=FQ","BEST_FPERIOD_OVERRIDE=FQ","FILING_STATUS=MR","SCALING_FORMAT=MLN","Sort=A","Dates=H","DateFormat=P","Fill=—","Direction=H","UseDPDF=Y")</f>
        <v>0</v>
      </c>
      <c r="E9" s="13">
        <f>_xll.BDH("BLUE US Equity","ST_DEBT_EX_OPERATING_LEASE_LIABS","FQ2 2019","FQ2 2019","Currency=USD","Period=FQ","BEST_FPERIOD_OVERRIDE=FQ","FILING_STATUS=MR","SCALING_FORMAT=MLN","Sort=A","Dates=H","DateFormat=P","Fill=—","Direction=H","UseDPDF=Y")</f>
        <v>0</v>
      </c>
      <c r="F9" s="13">
        <f>_xll.BDH("BLUE US Equity","ST_DEBT_EX_OPERATING_LEASE_LIABS","FQ3 2019","FQ3 2019","Currency=USD","Period=FQ","BEST_FPERIOD_OVERRIDE=FQ","FILING_STATUS=MR","SCALING_FORMAT=MLN","Sort=A","Dates=H","DateFormat=P","Fill=—","Direction=H","UseDPDF=Y")</f>
        <v>0</v>
      </c>
      <c r="G9" s="13">
        <f>_xll.BDH("BLUE US Equity","ST_DEBT_EX_OPERATING_LEASE_LIABS","FQ4 2019","FQ4 2019","Currency=USD","Period=FQ","BEST_FPERIOD_OVERRIDE=FQ","FILING_STATUS=MR","SCALING_FORMAT=MLN","Sort=A","Dates=H","DateFormat=P","Fill=—","Direction=H","UseDPDF=Y")</f>
        <v>0</v>
      </c>
      <c r="H9" s="13">
        <f>_xll.BDH("BLUE US Equity","ST_DEBT_EX_OPERATING_LEASE_LIABS","FQ1 2020","FQ1 2020","Currency=USD","Period=FQ","BEST_FPERIOD_OVERRIDE=FQ","FILING_STATUS=MR","SCALING_FORMAT=MLN","Sort=A","Dates=H","DateFormat=P","Fill=—","Direction=H","UseDPDF=Y")</f>
        <v>0</v>
      </c>
      <c r="I9" s="13">
        <f>_xll.BDH("BLUE US Equity","ST_DEBT_EX_OPERATING_LEASE_LIABS","FQ2 2020","FQ2 2020","Currency=USD","Period=FQ","BEST_FPERIOD_OVERRIDE=FQ","FILING_STATUS=MR","SCALING_FORMAT=MLN","Sort=A","Dates=H","DateFormat=P","Fill=—","Direction=H","UseDPDF=Y")</f>
        <v>0</v>
      </c>
      <c r="J9" s="13">
        <f>_xll.BDH("BLUE US Equity","ST_DEBT_EX_OPERATING_LEASE_LIABS","FQ3 2020","FQ3 2020","Currency=USD","Period=FQ","BEST_FPERIOD_OVERRIDE=FQ","FILING_STATUS=MR","SCALING_FORMAT=MLN","Sort=A","Dates=H","DateFormat=P","Fill=—","Direction=H","UseDPDF=Y")</f>
        <v>0</v>
      </c>
      <c r="K9" s="13">
        <f>_xll.BDH("BLUE US Equity","ST_DEBT_EX_OPERATING_LEASE_LIABS","FQ4 2020","FQ4 2020","Currency=USD","Period=FQ","BEST_FPERIOD_OVERRIDE=FQ","FILING_STATUS=MR","SCALING_FORMAT=MLN","Sort=A","Dates=H","DateFormat=P","Fill=—","Direction=H","UseDPDF=Y")</f>
        <v>0</v>
      </c>
      <c r="L9" s="13">
        <f>_xll.BDH("BLUE US Equity","ST_DEBT_EX_OPERATING_LEASE_LIABS","FQ1 2021","FQ1 2021","Currency=USD","Period=FQ","BEST_FPERIOD_OVERRIDE=FQ","FILING_STATUS=MR","SCALING_FORMAT=MLN","Sort=A","Dates=H","DateFormat=P","Fill=—","Direction=H","UseDPDF=Y")</f>
        <v>0</v>
      </c>
      <c r="M9" s="13">
        <f>_xll.BDH("BLUE US Equity","ST_DEBT_EX_OPERATING_LEASE_LIABS","FQ2 2021","FQ2 2021","Currency=USD","Period=FQ","BEST_FPERIOD_OVERRIDE=FQ","FILING_STATUS=MR","SCALING_FORMAT=MLN","Sort=A","Dates=H","DateFormat=P","Fill=—","Direction=H","UseDPDF=Y")</f>
        <v>0</v>
      </c>
      <c r="N9" s="13">
        <f>_xll.BDH("BLUE US Equity","ST_DEBT_EX_OPERATING_LEASE_LIABS","FQ3 2021","FQ3 2021","Currency=USD","Period=FQ","BEST_FPERIOD_OVERRIDE=FQ","FILING_STATUS=MR","SCALING_FORMAT=MLN","Sort=A","Dates=H","DateFormat=P","Fill=—","Direction=H","UseDPDF=Y")</f>
        <v>0</v>
      </c>
      <c r="O9" s="13">
        <f>_xll.BDH("BLUE US Equity","ST_DEBT_EX_OPERATING_LEASE_LIABS","FQ4 2021","FQ4 2021","Currency=USD","Period=FQ","BEST_FPERIOD_OVERRIDE=FQ","FILING_STATUS=MR","SCALING_FORMAT=MLN","Sort=A","Dates=H","DateFormat=P","Fill=—","Direction=H","UseDPDF=Y")</f>
        <v>0</v>
      </c>
      <c r="P9" s="13">
        <f>_xll.BDH("BLUE US Equity","ST_DEBT_EX_OPERATING_LEASE_LIABS","FQ1 2022","FQ1 2022","Currency=USD","Period=FQ","BEST_FPERIOD_OVERRIDE=FQ","FILING_STATUS=MR","SCALING_FORMAT=MLN","Sort=A","Dates=H","DateFormat=P","Fill=—","Direction=H","UseDPDF=Y")</f>
        <v>0</v>
      </c>
      <c r="Q9" s="13">
        <f>_xll.BDH("BLUE US Equity","ST_DEBT_EX_OPERATING_LEASE_LIABS","FQ2 2022","FQ2 2022","Currency=USD","Period=FQ","BEST_FPERIOD_OVERRIDE=FQ","FILING_STATUS=MR","SCALING_FORMAT=MLN","Sort=A","Dates=H","DateFormat=P","Fill=—","Direction=H","UseDPDF=Y")</f>
        <v>0</v>
      </c>
      <c r="R9" s="13">
        <f>_xll.BDH("BLUE US Equity","ST_DEBT_EX_OPERATING_LEASE_LIABS","FQ3 2022","FQ3 2022","Currency=USD","Period=FQ","BEST_FPERIOD_OVERRIDE=FQ","FILING_STATUS=MR","SCALING_FORMAT=MLN","Sort=A","Dates=H","DateFormat=P","Fill=—","Direction=H","UseDPDF=Y")</f>
        <v>0</v>
      </c>
      <c r="S9" s="13">
        <f>_xll.BDH("BLUE US Equity","ST_DEBT_EX_OPERATING_LEASE_LIABS","FQ4 2022","FQ4 2022","Currency=USD","Period=FQ","BEST_FPERIOD_OVERRIDE=FQ","FILING_STATUS=MR","SCALING_FORMAT=MLN","Sort=A","Dates=H","DateFormat=P","Fill=—","Direction=H","UseDPDF=Y")</f>
        <v>0</v>
      </c>
      <c r="T9" s="13">
        <f>_xll.BDH("BLUE US Equity","ST_DEBT_EX_OPERATING_LEASE_LIABS","FQ1 2023","FQ1 2023","Currency=USD","Period=FQ","BEST_FPERIOD_OVERRIDE=FQ","FILING_STATUS=MR","SCALING_FORMAT=MLN","Sort=A","Dates=H","DateFormat=P","Fill=—","Direction=H","UseDPDF=Y")</f>
        <v>0</v>
      </c>
      <c r="U9" s="13">
        <f>_xll.BDH("BLUE US Equity","ST_DEBT_EX_OPERATING_LEASE_LIABS","FQ2 2023","FQ2 2023","Currency=USD","Period=FQ","BEST_FPERIOD_OVERRIDE=FQ","FILING_STATUS=MR","SCALING_FORMAT=MLN","Sort=A","Dates=H","DateFormat=P","Fill=—","Direction=H","UseDPDF=Y")</f>
        <v>0</v>
      </c>
      <c r="V9" s="13">
        <f>_xll.BDH("BLUE US Equity","ST_DEBT_EX_OPERATING_LEASE_LIABS","FQ3 2023","FQ3 2023","Currency=USD","Period=FQ","BEST_FPERIOD_OVERRIDE=FQ","FILING_STATUS=MR","SCALING_FORMAT=MLN","Sort=A","Dates=H","DateFormat=P","Fill=—","Direction=H","UseDPDF=Y")</f>
        <v>0</v>
      </c>
      <c r="W9" s="13">
        <f>_xll.BDH("BLUE US Equity","ST_DEBT_EX_OPERATING_LEASE_LIABS","FQ4 2023","FQ4 2023","Currency=USD","Period=FQ","BEST_FPERIOD_OVERRIDE=FQ","FILING_STATUS=MR","SCALING_FORMAT=MLN","Sort=A","Dates=H","DateFormat=P","Fill=—","Direction=H","UseDPDF=Y")</f>
        <v>0</v>
      </c>
      <c r="X9" s="13">
        <f>_xll.BDH("BLUE US Equity","ST_DEBT_EX_OPERATING_LEASE_LIABS","FQ1 2024","FQ1 2024","Currency=USD","Period=FQ","BEST_FPERIOD_OVERRIDE=FQ","FILING_STATUS=MR","SCALING_FORMAT=MLN","Sort=A","Dates=H","DateFormat=P","Fill=—","Direction=H","UseDPDF=Y")</f>
        <v>183.20699999999999</v>
      </c>
      <c r="Y9" s="13">
        <f>_xll.BDH("BLUE US Equity","ST_DEBT_EX_OPERATING_LEASE_LIABS","FQ2 2024","FQ2 2024","Currency=USD","Period=FQ","BEST_FPERIOD_OVERRIDE=FQ","FILING_STATUS=MR","SCALING_FORMAT=MLN","Sort=A","Dates=H","DateFormat=P","Fill=—","Direction=H","UseDPDF=Y")</f>
        <v>171.178</v>
      </c>
      <c r="Z9" s="13">
        <f>_xll.BDH("BLUE US Equity","ST_DEBT_EX_OPERATING_LEASE_LIABS","FQ3 2024","FQ3 2024","Currency=USD","Period=FQ","BEST_FPERIOD_OVERRIDE=FQ","FILING_STATUS=MR","SCALING_FORMAT=MLN","Sort=A","Dates=H","DateFormat=P","Fill=—","Direction=H","UseDPDF=Y")</f>
        <v>166.78100000000001</v>
      </c>
      <c r="AA9" s="13">
        <f>_xll.BDH("BLUE US Equity","ST_DEBT_EX_OPERATING_LEASE_LIABS","FQ4 2024","FQ4 2024","Currency=USD","Period=FQ","BEST_FPERIOD_OVERRIDE=FQ","FILING_STATUS=MR","SCALING_FORMAT=MLN","Sort=A","Dates=H","DateFormat=P","Fill=—","Direction=H","UseDPDF=Y")</f>
        <v>160.38399999999999</v>
      </c>
    </row>
    <row r="10" spans="1:27" x14ac:dyDescent="0.25">
      <c r="A10" s="10" t="s">
        <v>1341</v>
      </c>
      <c r="B10" s="10" t="s">
        <v>1368</v>
      </c>
      <c r="C10" s="13">
        <f>_xll.BDH("BLUE US Equity","LT_DEBT_EX_OPERATING_LEASE_LIABS","FQ4 2018","FQ4 2018","Currency=USD","Period=FQ","BEST_FPERIOD_OVERRIDE=FQ","FILING_STATUS=MR","SCALING_FORMAT=MLN","Sort=A","Dates=H","DateFormat=P","Fill=—","Direction=H","UseDPDF=Y")</f>
        <v>153.31899999999999</v>
      </c>
      <c r="D10" s="13">
        <f>_xll.BDH("BLUE US Equity","LT_DEBT_EX_OPERATING_LEASE_LIABS","FQ1 2019","FQ1 2019","Currency=USD","Period=FQ","BEST_FPERIOD_OVERRIDE=FQ","FILING_STATUS=MR","SCALING_FORMAT=MLN","Sort=A","Dates=H","DateFormat=P","Fill=—","Direction=H","UseDPDF=Y")</f>
        <v>0</v>
      </c>
      <c r="E10" s="13">
        <f>_xll.BDH("BLUE US Equity","LT_DEBT_EX_OPERATING_LEASE_LIABS","FQ2 2019","FQ2 2019","Currency=USD","Period=FQ","BEST_FPERIOD_OVERRIDE=FQ","FILING_STATUS=MR","SCALING_FORMAT=MLN","Sort=A","Dates=H","DateFormat=P","Fill=—","Direction=H","UseDPDF=Y")</f>
        <v>0</v>
      </c>
      <c r="F10" s="13">
        <f>_xll.BDH("BLUE US Equity","LT_DEBT_EX_OPERATING_LEASE_LIABS","FQ3 2019","FQ3 2019","Currency=USD","Period=FQ","BEST_FPERIOD_OVERRIDE=FQ","FILING_STATUS=MR","SCALING_FORMAT=MLN","Sort=A","Dates=H","DateFormat=P","Fill=—","Direction=H","UseDPDF=Y")</f>
        <v>0</v>
      </c>
      <c r="G10" s="13">
        <f>_xll.BDH("BLUE US Equity","LT_DEBT_EX_OPERATING_LEASE_LIABS","FQ4 2019","FQ4 2019","Currency=USD","Period=FQ","BEST_FPERIOD_OVERRIDE=FQ","FILING_STATUS=MR","SCALING_FORMAT=MLN","Sort=A","Dates=H","DateFormat=P","Fill=—","Direction=H","UseDPDF=Y")</f>
        <v>0</v>
      </c>
      <c r="H10" s="13">
        <f>_xll.BDH("BLUE US Equity","LT_DEBT_EX_OPERATING_LEASE_LIABS","FQ1 2020","FQ1 2020","Currency=USD","Period=FQ","BEST_FPERIOD_OVERRIDE=FQ","FILING_STATUS=MR","SCALING_FORMAT=MLN","Sort=A","Dates=H","DateFormat=P","Fill=—","Direction=H","UseDPDF=Y")</f>
        <v>0</v>
      </c>
      <c r="I10" s="13">
        <f>_xll.BDH("BLUE US Equity","LT_DEBT_EX_OPERATING_LEASE_LIABS","FQ2 2020","FQ2 2020","Currency=USD","Period=FQ","BEST_FPERIOD_OVERRIDE=FQ","FILING_STATUS=MR","SCALING_FORMAT=MLN","Sort=A","Dates=H","DateFormat=P","Fill=—","Direction=H","UseDPDF=Y")</f>
        <v>0</v>
      </c>
      <c r="J10" s="13">
        <f>_xll.BDH("BLUE US Equity","LT_DEBT_EX_OPERATING_LEASE_LIABS","FQ3 2020","FQ3 2020","Currency=USD","Period=FQ","BEST_FPERIOD_OVERRIDE=FQ","FILING_STATUS=MR","SCALING_FORMAT=MLN","Sort=A","Dates=H","DateFormat=P","Fill=—","Direction=H","UseDPDF=Y")</f>
        <v>0</v>
      </c>
      <c r="K10" s="13">
        <f>_xll.BDH("BLUE US Equity","LT_DEBT_EX_OPERATING_LEASE_LIABS","FQ4 2020","FQ4 2020","Currency=USD","Period=FQ","BEST_FPERIOD_OVERRIDE=FQ","FILING_STATUS=MR","SCALING_FORMAT=MLN","Sort=A","Dates=H","DateFormat=P","Fill=—","Direction=H","UseDPDF=Y")</f>
        <v>0</v>
      </c>
      <c r="L10" s="13">
        <f>_xll.BDH("BLUE US Equity","LT_DEBT_EX_OPERATING_LEASE_LIABS","FQ1 2021","FQ1 2021","Currency=USD","Period=FQ","BEST_FPERIOD_OVERRIDE=FQ","FILING_STATUS=MR","SCALING_FORMAT=MLN","Sort=A","Dates=H","DateFormat=P","Fill=—","Direction=H","UseDPDF=Y")</f>
        <v>0</v>
      </c>
      <c r="M10" s="13">
        <f>_xll.BDH("BLUE US Equity","LT_DEBT_EX_OPERATING_LEASE_LIABS","FQ2 2021","FQ2 2021","Currency=USD","Period=FQ","BEST_FPERIOD_OVERRIDE=FQ","FILING_STATUS=MR","SCALING_FORMAT=MLN","Sort=A","Dates=H","DateFormat=P","Fill=—","Direction=H","UseDPDF=Y")</f>
        <v>0</v>
      </c>
      <c r="N10" s="13">
        <f>_xll.BDH("BLUE US Equity","LT_DEBT_EX_OPERATING_LEASE_LIABS","FQ3 2021","FQ3 2021","Currency=USD","Period=FQ","BEST_FPERIOD_OVERRIDE=FQ","FILING_STATUS=MR","SCALING_FORMAT=MLN","Sort=A","Dates=H","DateFormat=P","Fill=—","Direction=H","UseDPDF=Y")</f>
        <v>0</v>
      </c>
      <c r="O10" s="13">
        <f>_xll.BDH("BLUE US Equity","LT_DEBT_EX_OPERATING_LEASE_LIABS","FQ4 2021","FQ4 2021","Currency=USD","Period=FQ","BEST_FPERIOD_OVERRIDE=FQ","FILING_STATUS=MR","SCALING_FORMAT=MLN","Sort=A","Dates=H","DateFormat=P","Fill=—","Direction=H","UseDPDF=Y")</f>
        <v>0</v>
      </c>
      <c r="P10" s="13">
        <f>_xll.BDH("BLUE US Equity","LT_DEBT_EX_OPERATING_LEASE_LIABS","FQ1 2022","FQ1 2022","Currency=USD","Period=FQ","BEST_FPERIOD_OVERRIDE=FQ","FILING_STATUS=MR","SCALING_FORMAT=MLN","Sort=A","Dates=H","DateFormat=P","Fill=—","Direction=H","UseDPDF=Y")</f>
        <v>0</v>
      </c>
      <c r="Q10" s="13">
        <f>_xll.BDH("BLUE US Equity","LT_DEBT_EX_OPERATING_LEASE_LIABS","FQ2 2022","FQ2 2022","Currency=USD","Period=FQ","BEST_FPERIOD_OVERRIDE=FQ","FILING_STATUS=MR","SCALING_FORMAT=MLN","Sort=A","Dates=H","DateFormat=P","Fill=—","Direction=H","UseDPDF=Y")</f>
        <v>0</v>
      </c>
      <c r="R10" s="13">
        <f>_xll.BDH("BLUE US Equity","LT_DEBT_EX_OPERATING_LEASE_LIABS","FQ3 2022","FQ3 2022","Currency=USD","Period=FQ","BEST_FPERIOD_OVERRIDE=FQ","FILING_STATUS=MR","SCALING_FORMAT=MLN","Sort=A","Dates=H","DateFormat=P","Fill=—","Direction=H","UseDPDF=Y")</f>
        <v>0</v>
      </c>
      <c r="S10" s="13">
        <f>_xll.BDH("BLUE US Equity","LT_DEBT_EX_OPERATING_LEASE_LIABS","FQ4 2022","FQ4 2022","Currency=USD","Period=FQ","BEST_FPERIOD_OVERRIDE=FQ","FILING_STATUS=MR","SCALING_FORMAT=MLN","Sort=A","Dates=H","DateFormat=P","Fill=—","Direction=H","UseDPDF=Y")</f>
        <v>0</v>
      </c>
      <c r="T10" s="13">
        <f>_xll.BDH("BLUE US Equity","LT_DEBT_EX_OPERATING_LEASE_LIABS","FQ1 2023","FQ1 2023","Currency=USD","Period=FQ","BEST_FPERIOD_OVERRIDE=FQ","FILING_STATUS=MR","SCALING_FORMAT=MLN","Sort=A","Dates=H","DateFormat=P","Fill=—","Direction=H","UseDPDF=Y")</f>
        <v>0</v>
      </c>
      <c r="U10" s="13">
        <f>_xll.BDH("BLUE US Equity","LT_DEBT_EX_OPERATING_LEASE_LIABS","FQ2 2023","FQ2 2023","Currency=USD","Period=FQ","BEST_FPERIOD_OVERRIDE=FQ","FILING_STATUS=MR","SCALING_FORMAT=MLN","Sort=A","Dates=H","DateFormat=P","Fill=—","Direction=H","UseDPDF=Y")</f>
        <v>0</v>
      </c>
      <c r="V10" s="13">
        <f>_xll.BDH("BLUE US Equity","LT_DEBT_EX_OPERATING_LEASE_LIABS","FQ3 2023","FQ3 2023","Currency=USD","Period=FQ","BEST_FPERIOD_OVERRIDE=FQ","FILING_STATUS=MR","SCALING_FORMAT=MLN","Sort=A","Dates=H","DateFormat=P","Fill=—","Direction=H","UseDPDF=Y")</f>
        <v>0</v>
      </c>
      <c r="W10" s="13">
        <f>_xll.BDH("BLUE US Equity","LT_DEBT_EX_OPERATING_LEASE_LIABS","FQ4 2023","FQ4 2023","Currency=USD","Period=FQ","BEST_FPERIOD_OVERRIDE=FQ","FILING_STATUS=MR","SCALING_FORMAT=MLN","Sort=A","Dates=H","DateFormat=P","Fill=—","Direction=H","UseDPDF=Y")</f>
        <v>0</v>
      </c>
      <c r="X10" s="13">
        <f>_xll.BDH("BLUE US Equity","LT_DEBT_EX_OPERATING_LEASE_LIABS","FQ1 2024","FQ1 2024","Currency=USD","Period=FQ","BEST_FPERIOD_OVERRIDE=FQ","FILING_STATUS=MR","SCALING_FORMAT=MLN","Sort=A","Dates=H","DateFormat=P","Fill=—","Direction=H","UseDPDF=Y")</f>
        <v>26.088999999999999</v>
      </c>
      <c r="Y10" s="13">
        <f>_xll.BDH("BLUE US Equity","LT_DEBT_EX_OPERATING_LEASE_LIABS","FQ2 2024","FQ2 2024","Currency=USD","Period=FQ","BEST_FPERIOD_OVERRIDE=FQ","FILING_STATUS=MR","SCALING_FORMAT=MLN","Sort=A","Dates=H","DateFormat=P","Fill=—","Direction=H","UseDPDF=Y")</f>
        <v>19.655000000000001</v>
      </c>
      <c r="Z10" s="13">
        <f>_xll.BDH("BLUE US Equity","LT_DEBT_EX_OPERATING_LEASE_LIABS","FQ3 2024","FQ3 2024","Currency=USD","Period=FQ","BEST_FPERIOD_OVERRIDE=FQ","FILING_STATUS=MR","SCALING_FORMAT=MLN","Sort=A","Dates=H","DateFormat=P","Fill=—","Direction=H","UseDPDF=Y")</f>
        <v>5.6749999999999998</v>
      </c>
      <c r="AA10" s="13">
        <f>_xll.BDH("BLUE US Equity","LT_DEBT_EX_OPERATING_LEASE_LIABS","FQ4 2024","FQ4 2024","Currency=USD","Period=FQ","BEST_FPERIOD_OVERRIDE=FQ","FILING_STATUS=MR","SCALING_FORMAT=MLN","Sort=A","Dates=H","DateFormat=P","Fill=—","Direction=H","UseDPDF=Y")</f>
        <v>7.7960000000000003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0" t="s">
        <v>1342</v>
      </c>
      <c r="B14" s="10" t="s">
        <v>1369</v>
      </c>
      <c r="C14" s="14" t="str">
        <f>_xll.BDH("BLUE US Equity","EBITDA_AFT_OP_LEA_EXP_TO_INT_EXP","FQ4 2018","FQ4 2018","Currency=USD","Period=FQ","BEST_FPERIOD_OVERRIDE=FQ","FILING_STATUS=MR","FA_ADJUSTED=GAAP","Sort=A","Dates=H","DateFormat=P","Fill=—","Direction=H","UseDPDF=Y")</f>
        <v>—</v>
      </c>
      <c r="D14" s="14" t="str">
        <f>_xll.BDH("BLUE US Equity","EBITDA_AFT_OP_LEA_EXP_TO_INT_EXP","FQ1 2019","FQ1 2019","Currency=USD","Period=FQ","BEST_FPERIOD_OVERRIDE=FQ","FILING_STATUS=MR","FA_ADJUSTED=GAAP","Sort=A","Dates=H","DateFormat=P","Fill=—","Direction=H","UseDPDF=Y")</f>
        <v>—</v>
      </c>
      <c r="E14" s="14" t="str">
        <f>_xll.BDH("BLUE US Equity","EBITDA_AFT_OP_LEA_EXP_TO_INT_EXP","FQ2 2019","FQ2 2019","Currency=USD","Period=FQ","BEST_FPERIOD_OVERRIDE=FQ","FILING_STATUS=MR","FA_ADJUSTED=GAAP","Sort=A","Dates=H","DateFormat=P","Fill=—","Direction=H","UseDPDF=Y")</f>
        <v>—</v>
      </c>
      <c r="F14" s="14" t="str">
        <f>_xll.BDH("BLUE US Equity","EBITDA_AFT_OP_LEA_EXP_TO_INT_EXP","FQ3 2019","FQ3 2019","Currency=USD","Period=FQ","BEST_FPERIOD_OVERRIDE=FQ","FILING_STATUS=MR","FA_ADJUSTED=GAAP","Sort=A","Dates=H","DateFormat=P","Fill=—","Direction=H","UseDPDF=Y")</f>
        <v>—</v>
      </c>
      <c r="G14" s="14" t="str">
        <f>_xll.BDH("BLUE US Equity","EBITDA_AFT_OP_LEA_EXP_TO_INT_EXP","FQ4 2019","FQ4 2019","Currency=USD","Period=FQ","BEST_FPERIOD_OVERRIDE=FQ","FILING_STATUS=MR","FA_ADJUSTED=GAAP","Sort=A","Dates=H","DateFormat=P","Fill=—","Direction=H","UseDPDF=Y")</f>
        <v>—</v>
      </c>
      <c r="H14" s="14" t="str">
        <f>_xll.BDH("BLUE US Equity","EBITDA_AFT_OP_LEA_EXP_TO_INT_EXP","FQ1 2020","FQ1 2020","Currency=USD","Period=FQ","BEST_FPERIOD_OVERRIDE=FQ","FILING_STATUS=MR","FA_ADJUSTED=GAAP","Sort=A","Dates=H","DateFormat=P","Fill=—","Direction=H","UseDPDF=Y")</f>
        <v>—</v>
      </c>
      <c r="I14" s="14" t="str">
        <f>_xll.BDH("BLUE US Equity","EBITDA_AFT_OP_LEA_EXP_TO_INT_EXP","FQ2 2020","FQ2 2020","Currency=USD","Period=FQ","BEST_FPERIOD_OVERRIDE=FQ","FILING_STATUS=MR","FA_ADJUSTED=GAAP","Sort=A","Dates=H","DateFormat=P","Fill=—","Direction=H","UseDPDF=Y")</f>
        <v>—</v>
      </c>
      <c r="J14" s="14" t="str">
        <f>_xll.BDH("BLUE US Equity","EBITDA_AFT_OP_LEA_EXP_TO_INT_EXP","FQ3 2020","FQ3 2020","Currency=USD","Period=FQ","BEST_FPERIOD_OVERRIDE=FQ","FILING_STATUS=MR","FA_ADJUSTED=GAAP","Sort=A","Dates=H","DateFormat=P","Fill=—","Direction=H","UseDPDF=Y")</f>
        <v>—</v>
      </c>
      <c r="K14" s="14" t="str">
        <f>_xll.BDH("BLUE US Equity","EBITDA_AFT_OP_LEA_EXP_TO_INT_EXP","FQ4 2020","FQ4 2020","Currency=USD","Period=FQ","BEST_FPERIOD_OVERRIDE=FQ","FILING_STATUS=MR","FA_ADJUSTED=GAAP","Sort=A","Dates=H","DateFormat=P","Fill=—","Direction=H","UseDPDF=Y")</f>
        <v>—</v>
      </c>
      <c r="L14" s="14" t="str">
        <f>_xll.BDH("BLUE US Equity","EBITDA_AFT_OP_LEA_EXP_TO_INT_EXP","FQ1 2021","FQ1 2021","Currency=USD","Period=FQ","BEST_FPERIOD_OVERRIDE=FQ","FILING_STATUS=MR","FA_ADJUSTED=GAAP","Sort=A","Dates=H","DateFormat=P","Fill=—","Direction=H","UseDPDF=Y")</f>
        <v>—</v>
      </c>
      <c r="M14" s="14" t="str">
        <f>_xll.BDH("BLUE US Equity","EBITDA_AFT_OP_LEA_EXP_TO_INT_EXP","FQ2 2021","FQ2 2021","Currency=USD","Period=FQ","BEST_FPERIOD_OVERRIDE=FQ","FILING_STATUS=MR","FA_ADJUSTED=GAAP","Sort=A","Dates=H","DateFormat=P","Fill=—","Direction=H","UseDPDF=Y")</f>
        <v>—</v>
      </c>
      <c r="N14" s="14" t="str">
        <f>_xll.BDH("BLUE US Equity","EBITDA_AFT_OP_LEA_EXP_TO_INT_EXP","FQ3 2021","FQ3 2021","Currency=USD","Period=FQ","BEST_FPERIOD_OVERRIDE=FQ","FILING_STATUS=MR","FA_ADJUSTED=GAAP","Sort=A","Dates=H","DateFormat=P","Fill=—","Direction=H","UseDPDF=Y")</f>
        <v>—</v>
      </c>
      <c r="O14" s="14" t="str">
        <f>_xll.BDH("BLUE US Equity","EBITDA_AFT_OP_LEA_EXP_TO_INT_EXP","FQ4 2021","FQ4 2021","Currency=USD","Period=FQ","BEST_FPERIOD_OVERRIDE=FQ","FILING_STATUS=MR","FA_ADJUSTED=GAAP","Sort=A","Dates=H","DateFormat=P","Fill=—","Direction=H","UseDPDF=Y")</f>
        <v>—</v>
      </c>
      <c r="P14" s="14" t="str">
        <f>_xll.BDH("BLUE US Equity","EBITDA_AFT_OP_LEA_EXP_TO_INT_EXP","FQ1 2022","FQ1 2022","Currency=USD","Period=FQ","BEST_FPERIOD_OVERRIDE=FQ","FILING_STATUS=MR","FA_ADJUSTED=GAAP","Sort=A","Dates=H","DateFormat=P","Fill=—","Direction=H","UseDPDF=Y")</f>
        <v>—</v>
      </c>
      <c r="Q14" s="14" t="str">
        <f>_xll.BDH("BLUE US Equity","EBITDA_AFT_OP_LEA_EXP_TO_INT_EXP","FQ2 2022","FQ2 2022","Currency=USD","Period=FQ","BEST_FPERIOD_OVERRIDE=FQ","FILING_STATUS=MR","FA_ADJUSTED=GAAP","Sort=A","Dates=H","DateFormat=P","Fill=—","Direction=H","UseDPDF=Y")</f>
        <v>—</v>
      </c>
      <c r="R14" s="14" t="str">
        <f>_xll.BDH("BLUE US Equity","EBITDA_AFT_OP_LEA_EXP_TO_INT_EXP","FQ3 2022","FQ3 2022","Currency=USD","Period=FQ","BEST_FPERIOD_OVERRIDE=FQ","FILING_STATUS=MR","FA_ADJUSTED=GAAP","Sort=A","Dates=H","DateFormat=P","Fill=—","Direction=H","UseDPDF=Y")</f>
        <v>—</v>
      </c>
      <c r="S14" s="14">
        <f>_xll.BDH("BLUE US Equity","EBITDA_AFT_OP_LEA_EXP_TO_INT_EXP","FQ4 2022","FQ4 2022","Currency=USD","Period=FQ","BEST_FPERIOD_OVERRIDE=FQ","FILING_STATUS=MR","FA_ADJUSTED=GAAP","Sort=A","Dates=H","DateFormat=P","Fill=—","Direction=H","UseDPDF=Y")</f>
        <v>10.5886</v>
      </c>
      <c r="T14" s="14">
        <f>_xll.BDH("BLUE US Equity","EBITDA_AFT_OP_LEA_EXP_TO_INT_EXP","FQ1 2023","FQ1 2023","Currency=USD","Period=FQ","BEST_FPERIOD_OVERRIDE=FQ","FILING_STATUS=MR","FA_ADJUSTED=GAAP","Sort=A","Dates=H","DateFormat=P","Fill=—","Direction=H","UseDPDF=Y")</f>
        <v>3.9618000000000002</v>
      </c>
      <c r="U14" s="14">
        <f>_xll.BDH("BLUE US Equity","EBITDA_AFT_OP_LEA_EXP_TO_INT_EXP","FQ2 2023","FQ2 2023","Currency=USD","Period=FQ","BEST_FPERIOD_OVERRIDE=FQ","FILING_STATUS=MR","FA_ADJUSTED=GAAP","Sort=A","Dates=H","DateFormat=P","Fill=—","Direction=H","UseDPDF=Y")</f>
        <v>-17.503699999999998</v>
      </c>
      <c r="V14" s="14">
        <f>_xll.BDH("BLUE US Equity","EBITDA_AFT_OP_LEA_EXP_TO_INT_EXP","FQ3 2023","FQ3 2023","Currency=USD","Period=FQ","BEST_FPERIOD_OVERRIDE=FQ","FILING_STATUS=MR","FA_ADJUSTED=GAAP","Sort=A","Dates=H","DateFormat=P","Fill=—","Direction=H","UseDPDF=Y")</f>
        <v>-20.551100000000002</v>
      </c>
      <c r="W14" s="14">
        <f>_xll.BDH("BLUE US Equity","EBITDA_AFT_OP_LEA_EXP_TO_INT_EXP","FQ4 2023","FQ4 2023","Currency=USD","Period=FQ","BEST_FPERIOD_OVERRIDE=FQ","FILING_STATUS=MR","FA_ADJUSTED=GAAP","Sort=A","Dates=H","DateFormat=P","Fill=—","Direction=H","UseDPDF=Y")</f>
        <v>-3.5022000000000002</v>
      </c>
      <c r="X14" s="14">
        <f>_xll.BDH("BLUE US Equity","EBITDA_AFT_OP_LEA_EXP_TO_INT_EXP","FQ1 2024","FQ1 2024","Currency=USD","Period=FQ","BEST_FPERIOD_OVERRIDE=FQ","FILING_STATUS=MR","FA_ADJUSTED=GAAP","Sort=A","Dates=H","DateFormat=P","Fill=—","Direction=H","UseDPDF=Y")</f>
        <v>-13.019600000000001</v>
      </c>
      <c r="Y14" s="14">
        <f>_xll.BDH("BLUE US Equity","EBITDA_AFT_OP_LEA_EXP_TO_INT_EXP","FQ2 2024","FQ2 2024","Currency=USD","Period=FQ","BEST_FPERIOD_OVERRIDE=FQ","FILING_STATUS=MR","FA_ADJUSTED=GAAP","Sort=A","Dates=H","DateFormat=P","Fill=—","Direction=H","UseDPDF=Y")</f>
        <v>-13.1792</v>
      </c>
      <c r="Z14" s="14">
        <f>_xll.BDH("BLUE US Equity","EBITDA_AFT_OP_LEA_EXP_TO_INT_EXP","FQ3 2024","FQ3 2024","Currency=USD","Period=FQ","BEST_FPERIOD_OVERRIDE=FQ","FILING_STATUS=MR","FA_ADJUSTED=GAAP","Sort=A","Dates=H","DateFormat=P","Fill=—","Direction=H","UseDPDF=Y")</f>
        <v>-8.9260999999999999</v>
      </c>
      <c r="AA14" s="14">
        <f>_xll.BDH("BLUE US Equity","EBITDA_AFT_OP_LEA_EXP_TO_INT_EXP","FQ4 2024","FQ4 2024","Currency=USD","Period=FQ","BEST_FPERIOD_OVERRIDE=FQ","FILING_STATUS=MR","FA_ADJUSTED=GAAP","Sort=A","Dates=H","DateFormat=P","Fill=—","Direction=H","UseDPDF=Y")</f>
        <v>-3.4740000000000002</v>
      </c>
    </row>
    <row r="15" spans="1:27" x14ac:dyDescent="0.25">
      <c r="A15" s="10" t="s">
        <v>1344</v>
      </c>
      <c r="B15" s="10" t="s">
        <v>1370</v>
      </c>
      <c r="C15" s="14" t="str">
        <f>_xll.BDH("BLUE US Equity","EBITDA_AFT_CAPEX_OP_LEA_EX_INT","FQ4 2018","FQ4 2018","Currency=USD","Period=FQ","BEST_FPERIOD_OVERRIDE=FQ","FILING_STATUS=MR","FA_ADJUSTED=GAAP","Sort=A","Dates=H","DateFormat=P","Fill=—","Direction=H","UseDPDF=Y")</f>
        <v>—</v>
      </c>
      <c r="D15" s="14" t="str">
        <f>_xll.BDH("BLUE US Equity","EBITDA_AFT_CAPEX_OP_LEA_EX_INT","FQ1 2019","FQ1 2019","Currency=USD","Period=FQ","BEST_FPERIOD_OVERRIDE=FQ","FILING_STATUS=MR","FA_ADJUSTED=GAAP","Sort=A","Dates=H","DateFormat=P","Fill=—","Direction=H","UseDPDF=Y")</f>
        <v>—</v>
      </c>
      <c r="E15" s="14" t="str">
        <f>_xll.BDH("BLUE US Equity","EBITDA_AFT_CAPEX_OP_LEA_EX_INT","FQ2 2019","FQ2 2019","Currency=USD","Period=FQ","BEST_FPERIOD_OVERRIDE=FQ","FILING_STATUS=MR","FA_ADJUSTED=GAAP","Sort=A","Dates=H","DateFormat=P","Fill=—","Direction=H","UseDPDF=Y")</f>
        <v>—</v>
      </c>
      <c r="F15" s="14" t="str">
        <f>_xll.BDH("BLUE US Equity","EBITDA_AFT_CAPEX_OP_LEA_EX_INT","FQ3 2019","FQ3 2019","Currency=USD","Period=FQ","BEST_FPERIOD_OVERRIDE=FQ","FILING_STATUS=MR","FA_ADJUSTED=GAAP","Sort=A","Dates=H","DateFormat=P","Fill=—","Direction=H","UseDPDF=Y")</f>
        <v>—</v>
      </c>
      <c r="G15" s="14" t="str">
        <f>_xll.BDH("BLUE US Equity","EBITDA_AFT_CAPEX_OP_LEA_EX_INT","FQ4 2019","FQ4 2019","Currency=USD","Period=FQ","BEST_FPERIOD_OVERRIDE=FQ","FILING_STATUS=MR","FA_ADJUSTED=GAAP","Sort=A","Dates=H","DateFormat=P","Fill=—","Direction=H","UseDPDF=Y")</f>
        <v>—</v>
      </c>
      <c r="H15" s="14" t="str">
        <f>_xll.BDH("BLUE US Equity","EBITDA_AFT_CAPEX_OP_LEA_EX_INT","FQ1 2020","FQ1 2020","Currency=USD","Period=FQ","BEST_FPERIOD_OVERRIDE=FQ","FILING_STATUS=MR","FA_ADJUSTED=GAAP","Sort=A","Dates=H","DateFormat=P","Fill=—","Direction=H","UseDPDF=Y")</f>
        <v>—</v>
      </c>
      <c r="I15" s="14" t="str">
        <f>_xll.BDH("BLUE US Equity","EBITDA_AFT_CAPEX_OP_LEA_EX_INT","FQ2 2020","FQ2 2020","Currency=USD","Period=FQ","BEST_FPERIOD_OVERRIDE=FQ","FILING_STATUS=MR","FA_ADJUSTED=GAAP","Sort=A","Dates=H","DateFormat=P","Fill=—","Direction=H","UseDPDF=Y")</f>
        <v>—</v>
      </c>
      <c r="J15" s="14" t="str">
        <f>_xll.BDH("BLUE US Equity","EBITDA_AFT_CAPEX_OP_LEA_EX_INT","FQ3 2020","FQ3 2020","Currency=USD","Period=FQ","BEST_FPERIOD_OVERRIDE=FQ","FILING_STATUS=MR","FA_ADJUSTED=GAAP","Sort=A","Dates=H","DateFormat=P","Fill=—","Direction=H","UseDPDF=Y")</f>
        <v>—</v>
      </c>
      <c r="K15" s="14" t="str">
        <f>_xll.BDH("BLUE US Equity","EBITDA_AFT_CAPEX_OP_LEA_EX_INT","FQ4 2020","FQ4 2020","Currency=USD","Period=FQ","BEST_FPERIOD_OVERRIDE=FQ","FILING_STATUS=MR","FA_ADJUSTED=GAAP","Sort=A","Dates=H","DateFormat=P","Fill=—","Direction=H","UseDPDF=Y")</f>
        <v>—</v>
      </c>
      <c r="L15" s="14" t="str">
        <f>_xll.BDH("BLUE US Equity","EBITDA_AFT_CAPEX_OP_LEA_EX_INT","FQ1 2021","FQ1 2021","Currency=USD","Period=FQ","BEST_FPERIOD_OVERRIDE=FQ","FILING_STATUS=MR","FA_ADJUSTED=GAAP","Sort=A","Dates=H","DateFormat=P","Fill=—","Direction=H","UseDPDF=Y")</f>
        <v>—</v>
      </c>
      <c r="M15" s="14" t="str">
        <f>_xll.BDH("BLUE US Equity","EBITDA_AFT_CAPEX_OP_LEA_EX_INT","FQ2 2021","FQ2 2021","Currency=USD","Period=FQ","BEST_FPERIOD_OVERRIDE=FQ","FILING_STATUS=MR","FA_ADJUSTED=GAAP","Sort=A","Dates=H","DateFormat=P","Fill=—","Direction=H","UseDPDF=Y")</f>
        <v>—</v>
      </c>
      <c r="N15" s="14" t="str">
        <f>_xll.BDH("BLUE US Equity","EBITDA_AFT_CAPEX_OP_LEA_EX_INT","FQ3 2021","FQ3 2021","Currency=USD","Period=FQ","BEST_FPERIOD_OVERRIDE=FQ","FILING_STATUS=MR","FA_ADJUSTED=GAAP","Sort=A","Dates=H","DateFormat=P","Fill=—","Direction=H","UseDPDF=Y")</f>
        <v>—</v>
      </c>
      <c r="O15" s="14" t="str">
        <f>_xll.BDH("BLUE US Equity","EBITDA_AFT_CAPEX_OP_LEA_EX_INT","FQ4 2021","FQ4 2021","Currency=USD","Period=FQ","BEST_FPERIOD_OVERRIDE=FQ","FILING_STATUS=MR","FA_ADJUSTED=GAAP","Sort=A","Dates=H","DateFormat=P","Fill=—","Direction=H","UseDPDF=Y")</f>
        <v>—</v>
      </c>
      <c r="P15" s="14" t="str">
        <f>_xll.BDH("BLUE US Equity","EBITDA_AFT_CAPEX_OP_LEA_EX_INT","FQ1 2022","FQ1 2022","Currency=USD","Period=FQ","BEST_FPERIOD_OVERRIDE=FQ","FILING_STATUS=MR","FA_ADJUSTED=GAAP","Sort=A","Dates=H","DateFormat=P","Fill=—","Direction=H","UseDPDF=Y")</f>
        <v>—</v>
      </c>
      <c r="Q15" s="14" t="str">
        <f>_xll.BDH("BLUE US Equity","EBITDA_AFT_CAPEX_OP_LEA_EX_INT","FQ2 2022","FQ2 2022","Currency=USD","Period=FQ","BEST_FPERIOD_OVERRIDE=FQ","FILING_STATUS=MR","FA_ADJUSTED=GAAP","Sort=A","Dates=H","DateFormat=P","Fill=—","Direction=H","UseDPDF=Y")</f>
        <v>—</v>
      </c>
      <c r="R15" s="14" t="str">
        <f>_xll.BDH("BLUE US Equity","EBITDA_AFT_CAPEX_OP_LEA_EX_INT","FQ3 2022","FQ3 2022","Currency=USD","Period=FQ","BEST_FPERIOD_OVERRIDE=FQ","FILING_STATUS=MR","FA_ADJUSTED=GAAP","Sort=A","Dates=H","DateFormat=P","Fill=—","Direction=H","UseDPDF=Y")</f>
        <v>—</v>
      </c>
      <c r="S15" s="14">
        <f>_xll.BDH("BLUE US Equity","EBITDA_AFT_CAPEX_OP_LEA_EX_INT","FQ4 2022","FQ4 2022","Currency=USD","Period=FQ","BEST_FPERIOD_OVERRIDE=FQ","FILING_STATUS=MR","FA_ADJUSTED=GAAP","Sort=A","Dates=H","DateFormat=P","Fill=—","Direction=H","UseDPDF=Y")</f>
        <v>10.5715</v>
      </c>
      <c r="T15" s="14">
        <f>_xll.BDH("BLUE US Equity","EBITDA_AFT_CAPEX_OP_LEA_EX_INT","FQ1 2023","FQ1 2023","Currency=USD","Period=FQ","BEST_FPERIOD_OVERRIDE=FQ","FILING_STATUS=MR","FA_ADJUSTED=GAAP","Sort=A","Dates=H","DateFormat=P","Fill=—","Direction=H","UseDPDF=Y")</f>
        <v>3.9075000000000002</v>
      </c>
      <c r="U15" s="14">
        <f>_xll.BDH("BLUE US Equity","EBITDA_AFT_CAPEX_OP_LEA_EX_INT","FQ2 2023","FQ2 2023","Currency=USD","Period=FQ","BEST_FPERIOD_OVERRIDE=FQ","FILING_STATUS=MR","FA_ADJUSTED=GAAP","Sort=A","Dates=H","DateFormat=P","Fill=—","Direction=H","UseDPDF=Y")</f>
        <v>-17.691700000000001</v>
      </c>
      <c r="V15" s="14">
        <f>_xll.BDH("BLUE US Equity","EBITDA_AFT_CAPEX_OP_LEA_EX_INT","FQ3 2023","FQ3 2023","Currency=USD","Period=FQ","BEST_FPERIOD_OVERRIDE=FQ","FILING_STATUS=MR","FA_ADJUSTED=GAAP","Sort=A","Dates=H","DateFormat=P","Fill=—","Direction=H","UseDPDF=Y")</f>
        <v>-21.023900000000001</v>
      </c>
      <c r="W15" s="14">
        <f>_xll.BDH("BLUE US Equity","EBITDA_AFT_CAPEX_OP_LEA_EX_INT","FQ4 2023","FQ4 2023","Currency=USD","Period=FQ","BEST_FPERIOD_OVERRIDE=FQ","FILING_STATUS=MR","FA_ADJUSTED=GAAP","Sort=A","Dates=H","DateFormat=P","Fill=—","Direction=H","UseDPDF=Y")</f>
        <v>-3.5764999999999998</v>
      </c>
      <c r="X15" s="14">
        <f>_xll.BDH("BLUE US Equity","EBITDA_AFT_CAPEX_OP_LEA_EX_INT","FQ1 2024","FQ1 2024","Currency=USD","Period=FQ","BEST_FPERIOD_OVERRIDE=FQ","FILING_STATUS=MR","FA_ADJUSTED=GAAP","Sort=A","Dates=H","DateFormat=P","Fill=—","Direction=H","UseDPDF=Y")</f>
        <v>-13.3851</v>
      </c>
      <c r="Y15" s="14">
        <f>_xll.BDH("BLUE US Equity","EBITDA_AFT_CAPEX_OP_LEA_EX_INT","FQ2 2024","FQ2 2024","Currency=USD","Period=FQ","BEST_FPERIOD_OVERRIDE=FQ","FILING_STATUS=MR","FA_ADJUSTED=GAAP","Sort=A","Dates=H","DateFormat=P","Fill=—","Direction=H","UseDPDF=Y")</f>
        <v>-13.19</v>
      </c>
      <c r="Z15" s="14">
        <f>_xll.BDH("BLUE US Equity","EBITDA_AFT_CAPEX_OP_LEA_EX_INT","FQ3 2024","FQ3 2024","Currency=USD","Period=FQ","BEST_FPERIOD_OVERRIDE=FQ","FILING_STATUS=MR","FA_ADJUSTED=GAAP","Sort=A","Dates=H","DateFormat=P","Fill=—","Direction=H","UseDPDF=Y")</f>
        <v>-8.9746000000000006</v>
      </c>
      <c r="AA15" s="14">
        <f>_xll.BDH("BLUE US Equity","EBITDA_AFT_CAPEX_OP_LEA_EX_INT","FQ4 2024","FQ4 2024","Currency=USD","Period=FQ","BEST_FPERIOD_OVERRIDE=FQ","FILING_STATUS=MR","FA_ADJUSTED=GAAP","Sort=A","Dates=H","DateFormat=P","Fill=—","Direction=H","UseDPDF=Y")</f>
        <v>-3.5487000000000002</v>
      </c>
    </row>
    <row r="16" spans="1:27" x14ac:dyDescent="0.25">
      <c r="A16" s="10" t="s">
        <v>1346</v>
      </c>
      <c r="B16" s="10" t="s">
        <v>1371</v>
      </c>
      <c r="C16" s="14" t="str">
        <f>_xll.BDH("BLUE US Equity","EBIT_AFT_OP_LEA_EXPN_TO_INT_EXPN","FQ4 2018","FQ4 2018","Currency=USD","Period=FQ","BEST_FPERIOD_OVERRIDE=FQ","FILING_STATUS=MR","FA_ADJUSTED=GAAP","Sort=A","Dates=H","DateFormat=P","Fill=—","Direction=H","UseDPDF=Y")</f>
        <v>—</v>
      </c>
      <c r="D16" s="14" t="str">
        <f>_xll.BDH("BLUE US Equity","EBIT_AFT_OP_LEA_EXPN_TO_INT_EXPN","FQ1 2019","FQ1 2019","Currency=USD","Period=FQ","BEST_FPERIOD_OVERRIDE=FQ","FILING_STATUS=MR","FA_ADJUSTED=GAAP","Sort=A","Dates=H","DateFormat=P","Fill=—","Direction=H","UseDPDF=Y")</f>
        <v>—</v>
      </c>
      <c r="E16" s="14" t="str">
        <f>_xll.BDH("BLUE US Equity","EBIT_AFT_OP_LEA_EXPN_TO_INT_EXPN","FQ2 2019","FQ2 2019","Currency=USD","Period=FQ","BEST_FPERIOD_OVERRIDE=FQ","FILING_STATUS=MR","FA_ADJUSTED=GAAP","Sort=A","Dates=H","DateFormat=P","Fill=—","Direction=H","UseDPDF=Y")</f>
        <v>—</v>
      </c>
      <c r="F16" s="14" t="str">
        <f>_xll.BDH("BLUE US Equity","EBIT_AFT_OP_LEA_EXPN_TO_INT_EXPN","FQ3 2019","FQ3 2019","Currency=USD","Period=FQ","BEST_FPERIOD_OVERRIDE=FQ","FILING_STATUS=MR","FA_ADJUSTED=GAAP","Sort=A","Dates=H","DateFormat=P","Fill=—","Direction=H","UseDPDF=Y")</f>
        <v>—</v>
      </c>
      <c r="G16" s="14" t="str">
        <f>_xll.BDH("BLUE US Equity","EBIT_AFT_OP_LEA_EXPN_TO_INT_EXPN","FQ4 2019","FQ4 2019","Currency=USD","Period=FQ","BEST_FPERIOD_OVERRIDE=FQ","FILING_STATUS=MR","FA_ADJUSTED=GAAP","Sort=A","Dates=H","DateFormat=P","Fill=—","Direction=H","UseDPDF=Y")</f>
        <v>—</v>
      </c>
      <c r="H16" s="14" t="str">
        <f>_xll.BDH("BLUE US Equity","EBIT_AFT_OP_LEA_EXPN_TO_INT_EXPN","FQ1 2020","FQ1 2020","Currency=USD","Period=FQ","BEST_FPERIOD_OVERRIDE=FQ","FILING_STATUS=MR","FA_ADJUSTED=GAAP","Sort=A","Dates=H","DateFormat=P","Fill=—","Direction=H","UseDPDF=Y")</f>
        <v>—</v>
      </c>
      <c r="I16" s="14" t="str">
        <f>_xll.BDH("BLUE US Equity","EBIT_AFT_OP_LEA_EXPN_TO_INT_EXPN","FQ2 2020","FQ2 2020","Currency=USD","Period=FQ","BEST_FPERIOD_OVERRIDE=FQ","FILING_STATUS=MR","FA_ADJUSTED=GAAP","Sort=A","Dates=H","DateFormat=P","Fill=—","Direction=H","UseDPDF=Y")</f>
        <v>—</v>
      </c>
      <c r="J16" s="14" t="str">
        <f>_xll.BDH("BLUE US Equity","EBIT_AFT_OP_LEA_EXPN_TO_INT_EXPN","FQ3 2020","FQ3 2020","Currency=USD","Period=FQ","BEST_FPERIOD_OVERRIDE=FQ","FILING_STATUS=MR","FA_ADJUSTED=GAAP","Sort=A","Dates=H","DateFormat=P","Fill=—","Direction=H","UseDPDF=Y")</f>
        <v>—</v>
      </c>
      <c r="K16" s="14" t="str">
        <f>_xll.BDH("BLUE US Equity","EBIT_AFT_OP_LEA_EXPN_TO_INT_EXPN","FQ4 2020","FQ4 2020","Currency=USD","Period=FQ","BEST_FPERIOD_OVERRIDE=FQ","FILING_STATUS=MR","FA_ADJUSTED=GAAP","Sort=A","Dates=H","DateFormat=P","Fill=—","Direction=H","UseDPDF=Y")</f>
        <v>—</v>
      </c>
      <c r="L16" s="14" t="str">
        <f>_xll.BDH("BLUE US Equity","EBIT_AFT_OP_LEA_EXPN_TO_INT_EXPN","FQ1 2021","FQ1 2021","Currency=USD","Period=FQ","BEST_FPERIOD_OVERRIDE=FQ","FILING_STATUS=MR","FA_ADJUSTED=GAAP","Sort=A","Dates=H","DateFormat=P","Fill=—","Direction=H","UseDPDF=Y")</f>
        <v>—</v>
      </c>
      <c r="M16" s="14" t="str">
        <f>_xll.BDH("BLUE US Equity","EBIT_AFT_OP_LEA_EXPN_TO_INT_EXPN","FQ2 2021","FQ2 2021","Currency=USD","Period=FQ","BEST_FPERIOD_OVERRIDE=FQ","FILING_STATUS=MR","FA_ADJUSTED=GAAP","Sort=A","Dates=H","DateFormat=P","Fill=—","Direction=H","UseDPDF=Y")</f>
        <v>—</v>
      </c>
      <c r="N16" s="14" t="str">
        <f>_xll.BDH("BLUE US Equity","EBIT_AFT_OP_LEA_EXPN_TO_INT_EXPN","FQ3 2021","FQ3 2021","Currency=USD","Period=FQ","BEST_FPERIOD_OVERRIDE=FQ","FILING_STATUS=MR","FA_ADJUSTED=GAAP","Sort=A","Dates=H","DateFormat=P","Fill=—","Direction=H","UseDPDF=Y")</f>
        <v>—</v>
      </c>
      <c r="O16" s="14" t="str">
        <f>_xll.BDH("BLUE US Equity","EBIT_AFT_OP_LEA_EXPN_TO_INT_EXPN","FQ4 2021","FQ4 2021","Currency=USD","Period=FQ","BEST_FPERIOD_OVERRIDE=FQ","FILING_STATUS=MR","FA_ADJUSTED=GAAP","Sort=A","Dates=H","DateFormat=P","Fill=—","Direction=H","UseDPDF=Y")</f>
        <v>—</v>
      </c>
      <c r="P16" s="14" t="str">
        <f>_xll.BDH("BLUE US Equity","EBIT_AFT_OP_LEA_EXPN_TO_INT_EXPN","FQ1 2022","FQ1 2022","Currency=USD","Period=FQ","BEST_FPERIOD_OVERRIDE=FQ","FILING_STATUS=MR","FA_ADJUSTED=GAAP","Sort=A","Dates=H","DateFormat=P","Fill=—","Direction=H","UseDPDF=Y")</f>
        <v>—</v>
      </c>
      <c r="Q16" s="14" t="str">
        <f>_xll.BDH("BLUE US Equity","EBIT_AFT_OP_LEA_EXPN_TO_INT_EXPN","FQ2 2022","FQ2 2022","Currency=USD","Period=FQ","BEST_FPERIOD_OVERRIDE=FQ","FILING_STATUS=MR","FA_ADJUSTED=GAAP","Sort=A","Dates=H","DateFormat=P","Fill=—","Direction=H","UseDPDF=Y")</f>
        <v>—</v>
      </c>
      <c r="R16" s="14" t="str">
        <f>_xll.BDH("BLUE US Equity","EBIT_AFT_OP_LEA_EXPN_TO_INT_EXPN","FQ3 2022","FQ3 2022","Currency=USD","Period=FQ","BEST_FPERIOD_OVERRIDE=FQ","FILING_STATUS=MR","FA_ADJUSTED=GAAP","Sort=A","Dates=H","DateFormat=P","Fill=—","Direction=H","UseDPDF=Y")</f>
        <v>—</v>
      </c>
      <c r="S16" s="14">
        <f>_xll.BDH("BLUE US Equity","EBIT_AFT_OP_LEA_EXPN_TO_INT_EXPN","FQ4 2022","FQ4 2022","Currency=USD","Period=FQ","BEST_FPERIOD_OVERRIDE=FQ","FILING_STATUS=MR","FA_ADJUSTED=GAAP","Sort=A","Dates=H","DateFormat=P","Fill=—","Direction=H","UseDPDF=Y")</f>
        <v>9.8611000000000004</v>
      </c>
      <c r="T16" s="14">
        <f>_xll.BDH("BLUE US Equity","EBIT_AFT_OP_LEA_EXPN_TO_INT_EXPN","FQ1 2023","FQ1 2023","Currency=USD","Period=FQ","BEST_FPERIOD_OVERRIDE=FQ","FILING_STATUS=MR","FA_ADJUSTED=GAAP","Sort=A","Dates=H","DateFormat=P","Fill=—","Direction=H","UseDPDF=Y")</f>
        <v>2.5164</v>
      </c>
      <c r="U16" s="14">
        <f>_xll.BDH("BLUE US Equity","EBIT_AFT_OP_LEA_EXPN_TO_INT_EXPN","FQ2 2023","FQ2 2023","Currency=USD","Period=FQ","BEST_FPERIOD_OVERRIDE=FQ","FILING_STATUS=MR","FA_ADJUSTED=GAAP","Sort=A","Dates=H","DateFormat=P","Fill=—","Direction=H","UseDPDF=Y")</f>
        <v>-19.124500000000001</v>
      </c>
      <c r="V16" s="14">
        <f>_xll.BDH("BLUE US Equity","EBIT_AFT_OP_LEA_EXPN_TO_INT_EXPN","FQ3 2023","FQ3 2023","Currency=USD","Period=FQ","BEST_FPERIOD_OVERRIDE=FQ","FILING_STATUS=MR","FA_ADJUSTED=GAAP","Sort=A","Dates=H","DateFormat=P","Fill=—","Direction=H","UseDPDF=Y")</f>
        <v>-22.27</v>
      </c>
      <c r="W16" s="14">
        <f>_xll.BDH("BLUE US Equity","EBIT_AFT_OP_LEA_EXPN_TO_INT_EXPN","FQ4 2023","FQ4 2023","Currency=USD","Period=FQ","BEST_FPERIOD_OVERRIDE=FQ","FILING_STATUS=MR","FA_ADJUSTED=GAAP","Sort=A","Dates=H","DateFormat=P","Fill=—","Direction=H","UseDPDF=Y")</f>
        <v>-5.0555000000000003</v>
      </c>
      <c r="X16" s="14">
        <f>_xll.BDH("BLUE US Equity","EBIT_AFT_OP_LEA_EXPN_TO_INT_EXPN","FQ1 2024","FQ1 2024","Currency=USD","Period=FQ","BEST_FPERIOD_OVERRIDE=FQ","FILING_STATUS=MR","FA_ADJUSTED=GAAP","Sort=A","Dates=H","DateFormat=P","Fill=—","Direction=H","UseDPDF=Y")</f>
        <v>-16.205100000000002</v>
      </c>
      <c r="Y16" s="14">
        <f>_xll.BDH("BLUE US Equity","EBIT_AFT_OP_LEA_EXPN_TO_INT_EXPN","FQ2 2024","FQ2 2024","Currency=USD","Period=FQ","BEST_FPERIOD_OVERRIDE=FQ","FILING_STATUS=MR","FA_ADJUSTED=GAAP","Sort=A","Dates=H","DateFormat=P","Fill=—","Direction=H","UseDPDF=Y")</f>
        <v>-16.209800000000001</v>
      </c>
      <c r="Z16" s="14">
        <f>_xll.BDH("BLUE US Equity","EBIT_AFT_OP_LEA_EXPN_TO_INT_EXPN","FQ3 2024","FQ3 2024","Currency=USD","Period=FQ","BEST_FPERIOD_OVERRIDE=FQ","FILING_STATUS=MR","FA_ADJUSTED=GAAP","Sort=A","Dates=H","DateFormat=P","Fill=—","Direction=H","UseDPDF=Y")</f>
        <v>-11.5817</v>
      </c>
      <c r="AA16" s="14">
        <f>_xll.BDH("BLUE US Equity","EBIT_AFT_OP_LEA_EXPN_TO_INT_EXPN","FQ4 2024","FQ4 2024","Currency=USD","Period=FQ","BEST_FPERIOD_OVERRIDE=FQ","FILING_STATUS=MR","FA_ADJUSTED=GAAP","Sort=A","Dates=H","DateFormat=P","Fill=—","Direction=H","UseDPDF=Y")</f>
        <v>-5.6158000000000001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10" t="s">
        <v>422</v>
      </c>
      <c r="B19" s="10" t="s">
        <v>1372</v>
      </c>
      <c r="C19" s="13">
        <f>_xll.BDH("BLUE US Equity","INT_EXPN_AFTER_OPERATING_LEA_ACT","FQ4 2018","FQ4 2018","Currency=USD","Period=FQ","BEST_FPERIOD_OVERRIDE=FQ","FILING_STATUS=MR","SCALING_FORMAT=MLN","FA_ADJUSTED=GAAP","Sort=A","Dates=H","DateFormat=P","Fill=—","Direction=H","UseDPDF=Y")</f>
        <v>0</v>
      </c>
      <c r="D19" s="13">
        <f>_xll.BDH("BLUE US Equity","INT_EXPN_AFTER_OPERATING_LEA_ACT","FQ1 2019","FQ1 2019","Currency=USD","Period=FQ","BEST_FPERIOD_OVERRIDE=FQ","FILING_STATUS=MR","SCALING_FORMAT=MLN","FA_ADJUSTED=GAAP","Sort=A","Dates=H","DateFormat=P","Fill=—","Direction=H","UseDPDF=Y")</f>
        <v>0</v>
      </c>
      <c r="E19" s="13">
        <f>_xll.BDH("BLUE US Equity","INT_EXPN_AFTER_OPERATING_LEA_ACT","FQ2 2019","FQ2 2019","Currency=USD","Period=FQ","BEST_FPERIOD_OVERRIDE=FQ","FILING_STATUS=MR","SCALING_FORMAT=MLN","FA_ADJUSTED=GAAP","Sort=A","Dates=H","DateFormat=P","Fill=—","Direction=H","UseDPDF=Y")</f>
        <v>0</v>
      </c>
      <c r="F19" s="13">
        <f>_xll.BDH("BLUE US Equity","INT_EXPN_AFTER_OPERATING_LEA_ACT","FQ3 2019","FQ3 2019","Currency=USD","Period=FQ","BEST_FPERIOD_OVERRIDE=FQ","FILING_STATUS=MR","SCALING_FORMAT=MLN","FA_ADJUSTED=GAAP","Sort=A","Dates=H","DateFormat=P","Fill=—","Direction=H","UseDPDF=Y")</f>
        <v>0</v>
      </c>
      <c r="G19" s="13">
        <f>_xll.BDH("BLUE US Equity","INT_EXPN_AFTER_OPERATING_LEA_ACT","FQ4 2019","FQ4 2019","Currency=USD","Period=FQ","BEST_FPERIOD_OVERRIDE=FQ","FILING_STATUS=MR","SCALING_FORMAT=MLN","FA_ADJUSTED=GAAP","Sort=A","Dates=H","DateFormat=P","Fill=—","Direction=H","UseDPDF=Y")</f>
        <v>0</v>
      </c>
      <c r="H19" s="13">
        <f>_xll.BDH("BLUE US Equity","INT_EXPN_AFTER_OPERATING_LEA_ACT","FQ1 2020","FQ1 2020","Currency=USD","Period=FQ","BEST_FPERIOD_OVERRIDE=FQ","FILING_STATUS=MR","SCALING_FORMAT=MLN","FA_ADJUSTED=GAAP","Sort=A","Dates=H","DateFormat=P","Fill=—","Direction=H","UseDPDF=Y")</f>
        <v>0</v>
      </c>
      <c r="I19" s="13">
        <f>_xll.BDH("BLUE US Equity","INT_EXPN_AFTER_OPERATING_LEA_ACT","FQ2 2020","FQ2 2020","Currency=USD","Period=FQ","BEST_FPERIOD_OVERRIDE=FQ","FILING_STATUS=MR","SCALING_FORMAT=MLN","FA_ADJUSTED=GAAP","Sort=A","Dates=H","DateFormat=P","Fill=—","Direction=H","UseDPDF=Y")</f>
        <v>0</v>
      </c>
      <c r="J19" s="13">
        <f>_xll.BDH("BLUE US Equity","INT_EXPN_AFTER_OPERATING_LEA_ACT","FQ3 2020","FQ3 2020","Currency=USD","Period=FQ","BEST_FPERIOD_OVERRIDE=FQ","FILING_STATUS=MR","SCALING_FORMAT=MLN","FA_ADJUSTED=GAAP","Sort=A","Dates=H","DateFormat=P","Fill=—","Direction=H","UseDPDF=Y")</f>
        <v>0</v>
      </c>
      <c r="K19" s="13">
        <f>_xll.BDH("BLUE US Equity","INT_EXPN_AFTER_OPERATING_LEA_ACT","FQ4 2020","FQ4 2020","Currency=USD","Period=FQ","BEST_FPERIOD_OVERRIDE=FQ","FILING_STATUS=MR","SCALING_FORMAT=MLN","FA_ADJUSTED=GAAP","Sort=A","Dates=H","DateFormat=P","Fill=—","Direction=H","UseDPDF=Y")</f>
        <v>0</v>
      </c>
      <c r="L19" s="13">
        <f>_xll.BDH("BLUE US Equity","INT_EXPN_AFTER_OPERATING_LEA_ACT","FQ1 2021","FQ1 2021","Currency=USD","Period=FQ","BEST_FPERIOD_OVERRIDE=FQ","FILING_STATUS=MR","SCALING_FORMAT=MLN","FA_ADJUSTED=GAAP","Sort=A","Dates=H","DateFormat=P","Fill=—","Direction=H","UseDPDF=Y")</f>
        <v>0</v>
      </c>
      <c r="M19" s="13">
        <f>_xll.BDH("BLUE US Equity","INT_EXPN_AFTER_OPERATING_LEA_ACT","FQ2 2021","FQ2 2021","Currency=USD","Period=FQ","BEST_FPERIOD_OVERRIDE=FQ","FILING_STATUS=MR","SCALING_FORMAT=MLN","FA_ADJUSTED=GAAP","Sort=A","Dates=H","DateFormat=P","Fill=—","Direction=H","UseDPDF=Y")</f>
        <v>0</v>
      </c>
      <c r="N19" s="13">
        <f>_xll.BDH("BLUE US Equity","INT_EXPN_AFTER_OPERATING_LEA_ACT","FQ3 2021","FQ3 2021","Currency=USD","Period=FQ","BEST_FPERIOD_OVERRIDE=FQ","FILING_STATUS=MR","SCALING_FORMAT=MLN","FA_ADJUSTED=GAAP","Sort=A","Dates=H","DateFormat=P","Fill=—","Direction=H","UseDPDF=Y")</f>
        <v>0</v>
      </c>
      <c r="O19" s="13">
        <f>_xll.BDH("BLUE US Equity","INT_EXPN_AFTER_OPERATING_LEA_ACT","FQ4 2021","FQ4 2021","Currency=USD","Period=FQ","BEST_FPERIOD_OVERRIDE=FQ","FILING_STATUS=MR","SCALING_FORMAT=MLN","FA_ADJUSTED=GAAP","Sort=A","Dates=H","DateFormat=P","Fill=—","Direction=H","UseDPDF=Y")</f>
        <v>0</v>
      </c>
      <c r="P19" s="13">
        <f>_xll.BDH("BLUE US Equity","INT_EXPN_AFTER_OPERATING_LEA_ACT","FQ1 2022","FQ1 2022","Currency=USD","Period=FQ","BEST_FPERIOD_OVERRIDE=FQ","FILING_STATUS=MR","SCALING_FORMAT=MLN","FA_ADJUSTED=GAAP","Sort=A","Dates=H","DateFormat=P","Fill=—","Direction=H","UseDPDF=Y")</f>
        <v>0</v>
      </c>
      <c r="Q19" s="13">
        <f>_xll.BDH("BLUE US Equity","INT_EXPN_AFTER_OPERATING_LEA_ACT","FQ2 2022","FQ2 2022","Currency=USD","Period=FQ","BEST_FPERIOD_OVERRIDE=FQ","FILING_STATUS=MR","SCALING_FORMAT=MLN","FA_ADJUSTED=GAAP","Sort=A","Dates=H","DateFormat=P","Fill=—","Direction=H","UseDPDF=Y")</f>
        <v>0</v>
      </c>
      <c r="R19" s="13">
        <f>_xll.BDH("BLUE US Equity","INT_EXPN_AFTER_OPERATING_LEA_ACT","FQ3 2022","FQ3 2022","Currency=USD","Period=FQ","BEST_FPERIOD_OVERRIDE=FQ","FILING_STATUS=MR","SCALING_FORMAT=MLN","FA_ADJUSTED=GAAP","Sort=A","Dates=H","DateFormat=P","Fill=—","Direction=H","UseDPDF=Y")</f>
        <v>0</v>
      </c>
      <c r="S19" s="13">
        <f>_xll.BDH("BLUE US Equity","INT_EXPN_AFTER_OPERATING_LEA_ACT","FQ4 2022","FQ4 2022","Currency=USD","Period=FQ","BEST_FPERIOD_OVERRIDE=FQ","FILING_STATUS=MR","SCALING_FORMAT=MLN","FA_ADJUSTED=GAAP","Sort=A","Dates=H","DateFormat=P","Fill=—","Direction=H","UseDPDF=Y")</f>
        <v>6.3220000000000001</v>
      </c>
      <c r="T19" s="13">
        <f>_xll.BDH("BLUE US Equity","INT_EXPN_AFTER_OPERATING_LEA_ACT","FQ1 2023","FQ1 2023","Currency=USD","Period=FQ","BEST_FPERIOD_OVERRIDE=FQ","FILING_STATUS=MR","SCALING_FORMAT=MLN","FA_ADJUSTED=GAAP","Sort=A","Dates=H","DateFormat=P","Fill=—","Direction=H","UseDPDF=Y")</f>
        <v>4.2699999999999996</v>
      </c>
      <c r="U19" s="13">
        <f>_xll.BDH("BLUE US Equity","INT_EXPN_AFTER_OPERATING_LEA_ACT","FQ2 2023","FQ2 2023","Currency=USD","Period=FQ","BEST_FPERIOD_OVERRIDE=FQ","FILING_STATUS=MR","SCALING_FORMAT=MLN","FA_ADJUSTED=GAAP","Sort=A","Dates=H","DateFormat=P","Fill=—","Direction=H","UseDPDF=Y")</f>
        <v>3.75</v>
      </c>
      <c r="V19" s="13">
        <f>_xll.BDH("BLUE US Equity","INT_EXPN_AFTER_OPERATING_LEA_ACT","FQ3 2023","FQ3 2023","Currency=USD","Period=FQ","BEST_FPERIOD_OVERRIDE=FQ","FILING_STATUS=MR","SCALING_FORMAT=MLN","FA_ADJUSTED=GAAP","Sort=A","Dates=H","DateFormat=P","Fill=—","Direction=H","UseDPDF=Y")</f>
        <v>4.3109999999999999</v>
      </c>
      <c r="W19" s="13">
        <f>_xll.BDH("BLUE US Equity","INT_EXPN_AFTER_OPERATING_LEA_ACT","FQ4 2023","FQ4 2023","Currency=USD","Period=FQ","BEST_FPERIOD_OVERRIDE=FQ","FILING_STATUS=MR","SCALING_FORMAT=MLN","FA_ADJUSTED=GAAP","Sort=A","Dates=H","DateFormat=P","Fill=—","Direction=H","UseDPDF=Y")</f>
        <v>16.353000000000002</v>
      </c>
      <c r="X19" s="13">
        <f>_xll.BDH("BLUE US Equity","INT_EXPN_AFTER_OPERATING_LEA_ACT","FQ1 2024","FQ1 2024","Currency=USD","Period=FQ","BEST_FPERIOD_OVERRIDE=FQ","FILING_STATUS=MR","SCALING_FORMAT=MLN","FA_ADJUSTED=GAAP","Sort=A","Dates=H","DateFormat=P","Fill=—","Direction=H","UseDPDF=Y")</f>
        <v>4.8559999999999999</v>
      </c>
      <c r="Y19" s="13">
        <f>_xll.BDH("BLUE US Equity","INT_EXPN_AFTER_OPERATING_LEA_ACT","FQ2 2024","FQ2 2024","Currency=USD","Period=FQ","BEST_FPERIOD_OVERRIDE=FQ","FILING_STATUS=MR","SCALING_FORMAT=MLN","FA_ADJUSTED=GAAP","Sort=A","Dates=H","DateFormat=P","Fill=—","Direction=H","UseDPDF=Y")</f>
        <v>5.4530000000000003</v>
      </c>
      <c r="Z19" s="13">
        <f>_xll.BDH("BLUE US Equity","INT_EXPN_AFTER_OPERATING_LEA_ACT","FQ3 2024","FQ3 2024","Currency=USD","Period=FQ","BEST_FPERIOD_OVERRIDE=FQ","FILING_STATUS=MR","SCALING_FORMAT=MLN","FA_ADJUSTED=GAAP","Sort=A","Dates=H","DateFormat=P","Fill=—","Direction=H","UseDPDF=Y")</f>
        <v>5.7779999999999996</v>
      </c>
      <c r="AA19" s="13">
        <f>_xll.BDH("BLUE US Equity","INT_EXPN_AFTER_OPERATING_LEA_ACT","FQ4 2024","FQ4 2024","Currency=USD","Period=FQ","BEST_FPERIOD_OVERRIDE=FQ","FILING_STATUS=MR","SCALING_FORMAT=MLN","FA_ADJUSTED=GAAP","Sort=A","Dates=H","DateFormat=P","Fill=—","Direction=H","UseDPDF=Y")</f>
        <v>6.492</v>
      </c>
    </row>
    <row r="20" spans="1:27" x14ac:dyDescent="0.25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10" t="s">
        <v>1348</v>
      </c>
      <c r="B21" s="10" t="s">
        <v>1373</v>
      </c>
      <c r="C21" s="14">
        <f>_xll.BDH("BLUE US Equity","CE_TO_TOT_AST_LESS_OPER_LEA_AST","FQ4 2018","FQ4 2018","Currency=USD","Period=FQ","BEST_FPERIOD_OVERRIDE=FQ","FILING_STATUS=MR","Sort=A","Dates=H","DateFormat=P","Fill=—","Direction=H","UseDPDF=Y")</f>
        <v>84.048199999999994</v>
      </c>
      <c r="D21" s="14">
        <f>_xll.BDH("BLUE US Equity","CE_TO_TOT_AST_LESS_OPER_LEA_AST","FQ1 2019","FQ1 2019","Currency=USD","Period=FQ","BEST_FPERIOD_OVERRIDE=FQ","FILING_STATUS=MR","Sort=A","Dates=H","DateFormat=P","Fill=—","Direction=H","UseDPDF=Y")</f>
        <v>90.691000000000003</v>
      </c>
      <c r="E21" s="14">
        <f>_xll.BDH("BLUE US Equity","CE_TO_TOT_AST_LESS_OPER_LEA_AST","FQ2 2019","FQ2 2019","Currency=USD","Period=FQ","BEST_FPERIOD_OVERRIDE=FQ","FILING_STATUS=MR","Sort=A","Dates=H","DateFormat=P","Fill=—","Direction=H","UseDPDF=Y")</f>
        <v>89.303899999999999</v>
      </c>
      <c r="F21" s="14">
        <f>_xll.BDH("BLUE US Equity","CE_TO_TOT_AST_LESS_OPER_LEA_AST","FQ3 2019","FQ3 2019","Currency=USD","Period=FQ","BEST_FPERIOD_OVERRIDE=FQ","FILING_STATUS=MR","Sort=A","Dates=H","DateFormat=P","Fill=—","Direction=H","UseDPDF=Y")</f>
        <v>86.537800000000004</v>
      </c>
      <c r="G21" s="14">
        <f>_xll.BDH("BLUE US Equity","CE_TO_TOT_AST_LESS_OPER_LEA_AST","FQ4 2019","FQ4 2019","Currency=USD","Period=FQ","BEST_FPERIOD_OVERRIDE=FQ","FILING_STATUS=MR","Sort=A","Dates=H","DateFormat=P","Fill=—","Direction=H","UseDPDF=Y")</f>
        <v>83.357799999999997</v>
      </c>
      <c r="H21" s="14">
        <f>_xll.BDH("BLUE US Equity","CE_TO_TOT_AST_LESS_OPER_LEA_AST","FQ1 2020","FQ1 2020","Currency=USD","Period=FQ","BEST_FPERIOD_OVERRIDE=FQ","FILING_STATUS=MR","Sort=A","Dates=H","DateFormat=P","Fill=—","Direction=H","UseDPDF=Y")</f>
        <v>83.950500000000005</v>
      </c>
      <c r="I21" s="14">
        <f>_xll.BDH("BLUE US Equity","CE_TO_TOT_AST_LESS_OPER_LEA_AST","FQ2 2020","FQ2 2020","Currency=USD","Period=FQ","BEST_FPERIOD_OVERRIDE=FQ","FILING_STATUS=MR","Sort=A","Dates=H","DateFormat=P","Fill=—","Direction=H","UseDPDF=Y")</f>
        <v>87.682199999999995</v>
      </c>
      <c r="J21" s="14">
        <f>_xll.BDH("BLUE US Equity","CE_TO_TOT_AST_LESS_OPER_LEA_AST","FQ3 2020","FQ3 2020","Currency=USD","Period=FQ","BEST_FPERIOD_OVERRIDE=FQ","FILING_STATUS=MR","Sort=A","Dates=H","DateFormat=P","Fill=—","Direction=H","UseDPDF=Y")</f>
        <v>86.681399999999996</v>
      </c>
      <c r="K21" s="14">
        <f>_xll.BDH("BLUE US Equity","CE_TO_TOT_AST_LESS_OPER_LEA_AST","FQ4 2020","FQ4 2020","Currency=USD","Period=FQ","BEST_FPERIOD_OVERRIDE=FQ","FILING_STATUS=MR","Sort=A","Dates=H","DateFormat=P","Fill=—","Direction=H","UseDPDF=Y")</f>
        <v>79.072500000000005</v>
      </c>
      <c r="L21" s="14">
        <f>_xll.BDH("BLUE US Equity","CE_TO_TOT_AST_LESS_OPER_LEA_AST","FQ1 2021","FQ1 2021","Currency=USD","Period=FQ","BEST_FPERIOD_OVERRIDE=FQ","FILING_STATUS=MR","Sort=A","Dates=H","DateFormat=P","Fill=—","Direction=H","UseDPDF=Y")</f>
        <v>83.396500000000003</v>
      </c>
      <c r="M21" s="14">
        <f>_xll.BDH("BLUE US Equity","CE_TO_TOT_AST_LESS_OPER_LEA_AST","FQ2 2021","FQ2 2021","Currency=USD","Period=FQ","BEST_FPERIOD_OVERRIDE=FQ","FILING_STATUS=MR","Sort=A","Dates=H","DateFormat=P","Fill=—","Direction=H","UseDPDF=Y")</f>
        <v>77.925399999999996</v>
      </c>
      <c r="N21" s="14">
        <f>_xll.BDH("BLUE US Equity","CE_TO_TOT_AST_LESS_OPER_LEA_AST","FQ3 2021","FQ3 2021","Currency=USD","Period=FQ","BEST_FPERIOD_OVERRIDE=FQ","FILING_STATUS=MR","Sort=A","Dates=H","DateFormat=P","Fill=—","Direction=H","UseDPDF=Y")</f>
        <v>74.709900000000005</v>
      </c>
      <c r="O21" s="14">
        <f>_xll.BDH("BLUE US Equity","CE_TO_TOT_AST_LESS_OPER_LEA_AST","FQ4 2021","FQ4 2021","Currency=USD","Period=FQ","BEST_FPERIOD_OVERRIDE=FQ","FILING_STATUS=MR","Sort=A","Dates=H","DateFormat=P","Fill=—","Direction=H","UseDPDF=Y")</f>
        <v>74.518100000000004</v>
      </c>
      <c r="P21" s="14">
        <f>_xll.BDH("BLUE US Equity","CE_TO_TOT_AST_LESS_OPER_LEA_AST","FQ1 2022","FQ1 2022","Currency=USD","Period=FQ","BEST_FPERIOD_OVERRIDE=FQ","FILING_STATUS=MR","Sort=A","Dates=H","DateFormat=P","Fill=—","Direction=H","UseDPDF=Y")</f>
        <v>69.429599999999994</v>
      </c>
      <c r="Q21" s="14">
        <f>_xll.BDH("BLUE US Equity","CE_TO_TOT_AST_LESS_OPER_LEA_AST","FQ2 2022","FQ2 2022","Currency=USD","Period=FQ","BEST_FPERIOD_OVERRIDE=FQ","FILING_STATUS=MR","Sort=A","Dates=H","DateFormat=P","Fill=—","Direction=H","UseDPDF=Y")</f>
        <v>64.129900000000006</v>
      </c>
      <c r="R21" s="14">
        <f>_xll.BDH("BLUE US Equity","CE_TO_TOT_AST_LESS_OPER_LEA_AST","FQ3 2022","FQ3 2022","Currency=USD","Period=FQ","BEST_FPERIOD_OVERRIDE=FQ","FILING_STATUS=MR","Sort=A","Dates=H","DateFormat=P","Fill=—","Direction=H","UseDPDF=Y")</f>
        <v>68.646199999999993</v>
      </c>
      <c r="S21" s="14">
        <f>_xll.BDH("BLUE US Equity","CE_TO_TOT_AST_LESS_OPER_LEA_AST","FQ4 2022","FQ4 2022","Currency=USD","Period=FQ","BEST_FPERIOD_OVERRIDE=FQ","FILING_STATUS=MR","Sort=A","Dates=H","DateFormat=P","Fill=—","Direction=H","UseDPDF=Y")</f>
        <v>39.634599999999999</v>
      </c>
      <c r="T21" s="14">
        <f>_xll.BDH("BLUE US Equity","CE_TO_TOT_AST_LESS_OPER_LEA_AST","FQ1 2023","FQ1 2023","Currency=USD","Period=FQ","BEST_FPERIOD_OVERRIDE=FQ","FILING_STATUS=MR","Sort=A","Dates=H","DateFormat=P","Fill=—","Direction=H","UseDPDF=Y")</f>
        <v>83.945599999999999</v>
      </c>
      <c r="U21" s="14">
        <f>_xll.BDH("BLUE US Equity","CE_TO_TOT_AST_LESS_OPER_LEA_AST","FQ2 2023","FQ2 2023","Currency=USD","Period=FQ","BEST_FPERIOD_OVERRIDE=FQ","FILING_STATUS=MR","Sort=A","Dates=H","DateFormat=P","Fill=—","Direction=H","UseDPDF=Y")</f>
        <v>80.161900000000003</v>
      </c>
      <c r="V21" s="14">
        <f>_xll.BDH("BLUE US Equity","CE_TO_TOT_AST_LESS_OPER_LEA_AST","FQ3 2023","FQ3 2023","Currency=USD","Period=FQ","BEST_FPERIOD_OVERRIDE=FQ","FILING_STATUS=MR","Sort=A","Dates=H","DateFormat=P","Fill=—","Direction=H","UseDPDF=Y")</f>
        <v>69.784300000000002</v>
      </c>
      <c r="W21" s="14">
        <f>_xll.BDH("BLUE US Equity","CE_TO_TOT_AST_LESS_OPER_LEA_AST","FQ4 2023","FQ4 2023","Currency=USD","Period=FQ","BEST_FPERIOD_OVERRIDE=FQ","FILING_STATUS=MR","Sort=A","Dates=H","DateFormat=P","Fill=—","Direction=H","UseDPDF=Y")</f>
        <v>46.534599999999998</v>
      </c>
      <c r="X21" s="14">
        <f>_xll.BDH("BLUE US Equity","CE_TO_TOT_AST_LESS_OPER_LEA_AST","FQ1 2024","FQ1 2024","Currency=USD","Period=FQ","BEST_FPERIOD_OVERRIDE=FQ","FILING_STATUS=MR","Sort=A","Dates=H","DateFormat=P","Fill=—","Direction=H","UseDPDF=Y")</f>
        <v>30.037500000000001</v>
      </c>
      <c r="Y21" s="14">
        <f>_xll.BDH("BLUE US Equity","CE_TO_TOT_AST_LESS_OPER_LEA_AST","FQ2 2024","FQ2 2024","Currency=USD","Period=FQ","BEST_FPERIOD_OVERRIDE=FQ","FILING_STATUS=MR","Sort=A","Dates=H","DateFormat=P","Fill=—","Direction=H","UseDPDF=Y")</f>
        <v>14.8828</v>
      </c>
      <c r="Z21" s="14">
        <f>_xll.BDH("BLUE US Equity","CE_TO_TOT_AST_LESS_OPER_LEA_AST","FQ3 2024","FQ3 2024","Currency=USD","Period=FQ","BEST_FPERIOD_OVERRIDE=FQ","FILING_STATUS=MR","Sort=A","Dates=H","DateFormat=P","Fill=—","Direction=H","UseDPDF=Y")</f>
        <v>-2.0520999999999998</v>
      </c>
      <c r="AA21" s="14">
        <f>_xll.BDH("BLUE US Equity","CE_TO_TOT_AST_LESS_OPER_LEA_AST","FQ4 2024","FQ4 2024","Currency=USD","Period=FQ","BEST_FPERIOD_OVERRIDE=FQ","FILING_STATUS=MR","Sort=A","Dates=H","DateFormat=P","Fill=—","Direction=H","UseDPDF=Y")</f>
        <v>-11.129</v>
      </c>
    </row>
    <row r="22" spans="1:27" x14ac:dyDescent="0.25">
      <c r="A22" s="10" t="s">
        <v>1350</v>
      </c>
      <c r="B22" s="10" t="s">
        <v>1374</v>
      </c>
      <c r="C22" s="14">
        <f>_xll.BDH("BLUE US Equity","LT_DBT_EX_OPER_LEA_LIABS_TO_EQTY","FQ4 2018","FQ4 2018","Currency=USD","Period=FQ","BEST_FPERIOD_OVERRIDE=FQ","FILING_STATUS=MR","Sort=A","Dates=H","DateFormat=P","Fill=—","Direction=H","UseDPDF=Y")</f>
        <v>8.1333000000000002</v>
      </c>
      <c r="D22" s="14">
        <f>_xll.BDH("BLUE US Equity","LT_DBT_EX_OPER_LEA_LIABS_TO_EQTY","FQ1 2019","FQ1 2019","Currency=USD","Period=FQ","BEST_FPERIOD_OVERRIDE=FQ","FILING_STATUS=MR","Sort=A","Dates=H","DateFormat=P","Fill=—","Direction=H","UseDPDF=Y")</f>
        <v>0</v>
      </c>
      <c r="E22" s="14">
        <f>_xll.BDH("BLUE US Equity","LT_DBT_EX_OPER_LEA_LIABS_TO_EQTY","FQ2 2019","FQ2 2019","Currency=USD","Period=FQ","BEST_FPERIOD_OVERRIDE=FQ","FILING_STATUS=MR","Sort=A","Dates=H","DateFormat=P","Fill=—","Direction=H","UseDPDF=Y")</f>
        <v>0</v>
      </c>
      <c r="F22" s="14">
        <f>_xll.BDH("BLUE US Equity","LT_DBT_EX_OPER_LEA_LIABS_TO_EQTY","FQ3 2019","FQ3 2019","Currency=USD","Period=FQ","BEST_FPERIOD_OVERRIDE=FQ","FILING_STATUS=MR","Sort=A","Dates=H","DateFormat=P","Fill=—","Direction=H","UseDPDF=Y")</f>
        <v>0</v>
      </c>
      <c r="G22" s="14">
        <f>_xll.BDH("BLUE US Equity","LT_DBT_EX_OPER_LEA_LIABS_TO_EQTY","FQ4 2019","FQ4 2019","Currency=USD","Period=FQ","BEST_FPERIOD_OVERRIDE=FQ","FILING_STATUS=MR","Sort=A","Dates=H","DateFormat=P","Fill=—","Direction=H","UseDPDF=Y")</f>
        <v>0</v>
      </c>
      <c r="H22" s="14">
        <f>_xll.BDH("BLUE US Equity","LT_DBT_EX_OPER_LEA_LIABS_TO_EQTY","FQ1 2020","FQ1 2020","Currency=USD","Period=FQ","BEST_FPERIOD_OVERRIDE=FQ","FILING_STATUS=MR","Sort=A","Dates=H","DateFormat=P","Fill=—","Direction=H","UseDPDF=Y")</f>
        <v>0</v>
      </c>
      <c r="I22" s="14">
        <f>_xll.BDH("BLUE US Equity","LT_DBT_EX_OPER_LEA_LIABS_TO_EQTY","FQ2 2020","FQ2 2020","Currency=USD","Period=FQ","BEST_FPERIOD_OVERRIDE=FQ","FILING_STATUS=MR","Sort=A","Dates=H","DateFormat=P","Fill=—","Direction=H","UseDPDF=Y")</f>
        <v>0</v>
      </c>
      <c r="J22" s="14">
        <f>_xll.BDH("BLUE US Equity","LT_DBT_EX_OPER_LEA_LIABS_TO_EQTY","FQ3 2020","FQ3 2020","Currency=USD","Period=FQ","BEST_FPERIOD_OVERRIDE=FQ","FILING_STATUS=MR","Sort=A","Dates=H","DateFormat=P","Fill=—","Direction=H","UseDPDF=Y")</f>
        <v>0</v>
      </c>
      <c r="K22" s="14">
        <f>_xll.BDH("BLUE US Equity","LT_DBT_EX_OPER_LEA_LIABS_TO_EQTY","FQ4 2020","FQ4 2020","Currency=USD","Period=FQ","BEST_FPERIOD_OVERRIDE=FQ","FILING_STATUS=MR","Sort=A","Dates=H","DateFormat=P","Fill=—","Direction=H","UseDPDF=Y")</f>
        <v>0</v>
      </c>
      <c r="L22" s="14">
        <f>_xll.BDH("BLUE US Equity","LT_DBT_EX_OPER_LEA_LIABS_TO_EQTY","FQ1 2021","FQ1 2021","Currency=USD","Period=FQ","BEST_FPERIOD_OVERRIDE=FQ","FILING_STATUS=MR","Sort=A","Dates=H","DateFormat=P","Fill=—","Direction=H","UseDPDF=Y")</f>
        <v>0</v>
      </c>
      <c r="M22" s="14">
        <f>_xll.BDH("BLUE US Equity","LT_DBT_EX_OPER_LEA_LIABS_TO_EQTY","FQ2 2021","FQ2 2021","Currency=USD","Period=FQ","BEST_FPERIOD_OVERRIDE=FQ","FILING_STATUS=MR","Sort=A","Dates=H","DateFormat=P","Fill=—","Direction=H","UseDPDF=Y")</f>
        <v>0</v>
      </c>
      <c r="N22" s="14">
        <f>_xll.BDH("BLUE US Equity","LT_DBT_EX_OPER_LEA_LIABS_TO_EQTY","FQ3 2021","FQ3 2021","Currency=USD","Period=FQ","BEST_FPERIOD_OVERRIDE=FQ","FILING_STATUS=MR","Sort=A","Dates=H","DateFormat=P","Fill=—","Direction=H","UseDPDF=Y")</f>
        <v>0</v>
      </c>
      <c r="O22" s="14">
        <f>_xll.BDH("BLUE US Equity","LT_DBT_EX_OPER_LEA_LIABS_TO_EQTY","FQ4 2021","FQ4 2021","Currency=USD","Period=FQ","BEST_FPERIOD_OVERRIDE=FQ","FILING_STATUS=MR","Sort=A","Dates=H","DateFormat=P","Fill=—","Direction=H","UseDPDF=Y")</f>
        <v>0</v>
      </c>
      <c r="P22" s="14">
        <f>_xll.BDH("BLUE US Equity","LT_DBT_EX_OPER_LEA_LIABS_TO_EQTY","FQ1 2022","FQ1 2022","Currency=USD","Period=FQ","BEST_FPERIOD_OVERRIDE=FQ","FILING_STATUS=MR","Sort=A","Dates=H","DateFormat=P","Fill=—","Direction=H","UseDPDF=Y")</f>
        <v>0</v>
      </c>
      <c r="Q22" s="14">
        <f>_xll.BDH("BLUE US Equity","LT_DBT_EX_OPER_LEA_LIABS_TO_EQTY","FQ2 2022","FQ2 2022","Currency=USD","Period=FQ","BEST_FPERIOD_OVERRIDE=FQ","FILING_STATUS=MR","Sort=A","Dates=H","DateFormat=P","Fill=—","Direction=H","UseDPDF=Y")</f>
        <v>0</v>
      </c>
      <c r="R22" s="14">
        <f>_xll.BDH("BLUE US Equity","LT_DBT_EX_OPER_LEA_LIABS_TO_EQTY","FQ3 2022","FQ3 2022","Currency=USD","Period=FQ","BEST_FPERIOD_OVERRIDE=FQ","FILING_STATUS=MR","Sort=A","Dates=H","DateFormat=P","Fill=—","Direction=H","UseDPDF=Y")</f>
        <v>0</v>
      </c>
      <c r="S22" s="14">
        <f>_xll.BDH("BLUE US Equity","LT_DBT_EX_OPER_LEA_LIABS_TO_EQTY","FQ4 2022","FQ4 2022","Currency=USD","Period=FQ","BEST_FPERIOD_OVERRIDE=FQ","FILING_STATUS=MR","Sort=A","Dates=H","DateFormat=P","Fill=—","Direction=H","UseDPDF=Y")</f>
        <v>0</v>
      </c>
      <c r="T22" s="14">
        <f>_xll.BDH("BLUE US Equity","LT_DBT_EX_OPER_LEA_LIABS_TO_EQTY","FQ1 2023","FQ1 2023","Currency=USD","Period=FQ","BEST_FPERIOD_OVERRIDE=FQ","FILING_STATUS=MR","Sort=A","Dates=H","DateFormat=P","Fill=—","Direction=H","UseDPDF=Y")</f>
        <v>0</v>
      </c>
      <c r="U22" s="14">
        <f>_xll.BDH("BLUE US Equity","LT_DBT_EX_OPER_LEA_LIABS_TO_EQTY","FQ2 2023","FQ2 2023","Currency=USD","Period=FQ","BEST_FPERIOD_OVERRIDE=FQ","FILING_STATUS=MR","Sort=A","Dates=H","DateFormat=P","Fill=—","Direction=H","UseDPDF=Y")</f>
        <v>0</v>
      </c>
      <c r="V22" s="14">
        <f>_xll.BDH("BLUE US Equity","LT_DBT_EX_OPER_LEA_LIABS_TO_EQTY","FQ3 2023","FQ3 2023","Currency=USD","Period=FQ","BEST_FPERIOD_OVERRIDE=FQ","FILING_STATUS=MR","Sort=A","Dates=H","DateFormat=P","Fill=—","Direction=H","UseDPDF=Y")</f>
        <v>0</v>
      </c>
      <c r="W22" s="14">
        <f>_xll.BDH("BLUE US Equity","LT_DBT_EX_OPER_LEA_LIABS_TO_EQTY","FQ4 2023","FQ4 2023","Currency=USD","Period=FQ","BEST_FPERIOD_OVERRIDE=FQ","FILING_STATUS=MR","Sort=A","Dates=H","DateFormat=P","Fill=—","Direction=H","UseDPDF=Y")</f>
        <v>0</v>
      </c>
      <c r="X22" s="14">
        <f>_xll.BDH("BLUE US Equity","LT_DBT_EX_OPER_LEA_LIABS_TO_EQTY","FQ1 2024","FQ1 2024","Currency=USD","Period=FQ","BEST_FPERIOD_OVERRIDE=FQ","FILING_STATUS=MR","Sort=A","Dates=H","DateFormat=P","Fill=—","Direction=H","UseDPDF=Y")</f>
        <v>19.908300000000001</v>
      </c>
      <c r="Y22" s="14">
        <f>_xll.BDH("BLUE US Equity","LT_DBT_EX_OPER_LEA_LIABS_TO_EQTY","FQ2 2024","FQ2 2024","Currency=USD","Period=FQ","BEST_FPERIOD_OVERRIDE=FQ","FILING_STATUS=MR","Sort=A","Dates=H","DateFormat=P","Fill=—","Direction=H","UseDPDF=Y")</f>
        <v>37.098199999999999</v>
      </c>
      <c r="Z22" s="14" t="str">
        <f>_xll.BDH("BLUE US Equity","LT_DBT_EX_OPER_LEA_LIABS_TO_EQTY","FQ3 2024","FQ3 2024","Currency=USD","Period=FQ","BEST_FPERIOD_OVERRIDE=FQ","FILING_STATUS=MR","Sort=A","Dates=H","DateFormat=P","Fill=—","Direction=H","UseDPDF=Y")</f>
        <v>—</v>
      </c>
      <c r="AA22" s="14" t="str">
        <f>_xll.BDH("BLUE US Equity","LT_DBT_EX_OPER_LEA_LIABS_TO_EQTY","FQ4 2024","FQ4 2024","Currency=USD","Period=FQ","BEST_FPERIOD_OVERRIDE=FQ","FILING_STATUS=MR","Sort=A","Dates=H","DateFormat=P","Fill=—","Direction=H","UseDPDF=Y")</f>
        <v>—</v>
      </c>
    </row>
    <row r="23" spans="1:27" x14ac:dyDescent="0.25">
      <c r="A23" s="10" t="s">
        <v>1352</v>
      </c>
      <c r="B23" s="10" t="s">
        <v>1375</v>
      </c>
      <c r="C23" s="14">
        <f>_xll.BDH("BLUE US Equity","LT_DBT_TO_CPTL_EX_OPER_LEA_LIABS","FQ4 2018","FQ4 2018","Currency=USD","Period=FQ","BEST_FPERIOD_OVERRIDE=FQ","FILING_STATUS=MR","Sort=A","Dates=H","DateFormat=P","Fill=—","Direction=H","UseDPDF=Y")</f>
        <v>7.5216000000000003</v>
      </c>
      <c r="D23" s="14">
        <f>_xll.BDH("BLUE US Equity","LT_DBT_TO_CPTL_EX_OPER_LEA_LIABS","FQ1 2019","FQ1 2019","Currency=USD","Period=FQ","BEST_FPERIOD_OVERRIDE=FQ","FILING_STATUS=MR","Sort=A","Dates=H","DateFormat=P","Fill=—","Direction=H","UseDPDF=Y")</f>
        <v>0</v>
      </c>
      <c r="E23" s="14">
        <f>_xll.BDH("BLUE US Equity","LT_DBT_TO_CPTL_EX_OPER_LEA_LIABS","FQ2 2019","FQ2 2019","Currency=USD","Period=FQ","BEST_FPERIOD_OVERRIDE=FQ","FILING_STATUS=MR","Sort=A","Dates=H","DateFormat=P","Fill=—","Direction=H","UseDPDF=Y")</f>
        <v>0</v>
      </c>
      <c r="F23" s="14">
        <f>_xll.BDH("BLUE US Equity","LT_DBT_TO_CPTL_EX_OPER_LEA_LIABS","FQ3 2019","FQ3 2019","Currency=USD","Period=FQ","BEST_FPERIOD_OVERRIDE=FQ","FILING_STATUS=MR","Sort=A","Dates=H","DateFormat=P","Fill=—","Direction=H","UseDPDF=Y")</f>
        <v>0</v>
      </c>
      <c r="G23" s="14">
        <f>_xll.BDH("BLUE US Equity","LT_DBT_TO_CPTL_EX_OPER_LEA_LIABS","FQ4 2019","FQ4 2019","Currency=USD","Period=FQ","BEST_FPERIOD_OVERRIDE=FQ","FILING_STATUS=MR","Sort=A","Dates=H","DateFormat=P","Fill=—","Direction=H","UseDPDF=Y")</f>
        <v>0</v>
      </c>
      <c r="H23" s="14">
        <f>_xll.BDH("BLUE US Equity","LT_DBT_TO_CPTL_EX_OPER_LEA_LIABS","FQ1 2020","FQ1 2020","Currency=USD","Period=FQ","BEST_FPERIOD_OVERRIDE=FQ","FILING_STATUS=MR","Sort=A","Dates=H","DateFormat=P","Fill=—","Direction=H","UseDPDF=Y")</f>
        <v>0</v>
      </c>
      <c r="I23" s="14">
        <f>_xll.BDH("BLUE US Equity","LT_DBT_TO_CPTL_EX_OPER_LEA_LIABS","FQ2 2020","FQ2 2020","Currency=USD","Period=FQ","BEST_FPERIOD_OVERRIDE=FQ","FILING_STATUS=MR","Sort=A","Dates=H","DateFormat=P","Fill=—","Direction=H","UseDPDF=Y")</f>
        <v>0</v>
      </c>
      <c r="J23" s="14">
        <f>_xll.BDH("BLUE US Equity","LT_DBT_TO_CPTL_EX_OPER_LEA_LIABS","FQ3 2020","FQ3 2020","Currency=USD","Period=FQ","BEST_FPERIOD_OVERRIDE=FQ","FILING_STATUS=MR","Sort=A","Dates=H","DateFormat=P","Fill=—","Direction=H","UseDPDF=Y")</f>
        <v>0</v>
      </c>
      <c r="K23" s="14">
        <f>_xll.BDH("BLUE US Equity","LT_DBT_TO_CPTL_EX_OPER_LEA_LIABS","FQ4 2020","FQ4 2020","Currency=USD","Period=FQ","BEST_FPERIOD_OVERRIDE=FQ","FILING_STATUS=MR","Sort=A","Dates=H","DateFormat=P","Fill=—","Direction=H","UseDPDF=Y")</f>
        <v>0</v>
      </c>
      <c r="L23" s="14">
        <f>_xll.BDH("BLUE US Equity","LT_DBT_TO_CPTL_EX_OPER_LEA_LIABS","FQ1 2021","FQ1 2021","Currency=USD","Period=FQ","BEST_FPERIOD_OVERRIDE=FQ","FILING_STATUS=MR","Sort=A","Dates=H","DateFormat=P","Fill=—","Direction=H","UseDPDF=Y")</f>
        <v>0</v>
      </c>
      <c r="M23" s="14">
        <f>_xll.BDH("BLUE US Equity","LT_DBT_TO_CPTL_EX_OPER_LEA_LIABS","FQ2 2021","FQ2 2021","Currency=USD","Period=FQ","BEST_FPERIOD_OVERRIDE=FQ","FILING_STATUS=MR","Sort=A","Dates=H","DateFormat=P","Fill=—","Direction=H","UseDPDF=Y")</f>
        <v>0</v>
      </c>
      <c r="N23" s="14">
        <f>_xll.BDH("BLUE US Equity","LT_DBT_TO_CPTL_EX_OPER_LEA_LIABS","FQ3 2021","FQ3 2021","Currency=USD","Period=FQ","BEST_FPERIOD_OVERRIDE=FQ","FILING_STATUS=MR","Sort=A","Dates=H","DateFormat=P","Fill=—","Direction=H","UseDPDF=Y")</f>
        <v>0</v>
      </c>
      <c r="O23" s="14">
        <f>_xll.BDH("BLUE US Equity","LT_DBT_TO_CPTL_EX_OPER_LEA_LIABS","FQ4 2021","FQ4 2021","Currency=USD","Period=FQ","BEST_FPERIOD_OVERRIDE=FQ","FILING_STATUS=MR","Sort=A","Dates=H","DateFormat=P","Fill=—","Direction=H","UseDPDF=Y")</f>
        <v>0</v>
      </c>
      <c r="P23" s="14">
        <f>_xll.BDH("BLUE US Equity","LT_DBT_TO_CPTL_EX_OPER_LEA_LIABS","FQ1 2022","FQ1 2022","Currency=USD","Period=FQ","BEST_FPERIOD_OVERRIDE=FQ","FILING_STATUS=MR","Sort=A","Dates=H","DateFormat=P","Fill=—","Direction=H","UseDPDF=Y")</f>
        <v>0</v>
      </c>
      <c r="Q23" s="14">
        <f>_xll.BDH("BLUE US Equity","LT_DBT_TO_CPTL_EX_OPER_LEA_LIABS","FQ2 2022","FQ2 2022","Currency=USD","Period=FQ","BEST_FPERIOD_OVERRIDE=FQ","FILING_STATUS=MR","Sort=A","Dates=H","DateFormat=P","Fill=—","Direction=H","UseDPDF=Y")</f>
        <v>0</v>
      </c>
      <c r="R23" s="14">
        <f>_xll.BDH("BLUE US Equity","LT_DBT_TO_CPTL_EX_OPER_LEA_LIABS","FQ3 2022","FQ3 2022","Currency=USD","Period=FQ","BEST_FPERIOD_OVERRIDE=FQ","FILING_STATUS=MR","Sort=A","Dates=H","DateFormat=P","Fill=—","Direction=H","UseDPDF=Y")</f>
        <v>0</v>
      </c>
      <c r="S23" s="14">
        <f>_xll.BDH("BLUE US Equity","LT_DBT_TO_CPTL_EX_OPER_LEA_LIABS","FQ4 2022","FQ4 2022","Currency=USD","Period=FQ","BEST_FPERIOD_OVERRIDE=FQ","FILING_STATUS=MR","Sort=A","Dates=H","DateFormat=P","Fill=—","Direction=H","UseDPDF=Y")</f>
        <v>0</v>
      </c>
      <c r="T23" s="14">
        <f>_xll.BDH("BLUE US Equity","LT_DBT_TO_CPTL_EX_OPER_LEA_LIABS","FQ1 2023","FQ1 2023","Currency=USD","Period=FQ","BEST_FPERIOD_OVERRIDE=FQ","FILING_STATUS=MR","Sort=A","Dates=H","DateFormat=P","Fill=—","Direction=H","UseDPDF=Y")</f>
        <v>0</v>
      </c>
      <c r="U23" s="14">
        <f>_xll.BDH("BLUE US Equity","LT_DBT_TO_CPTL_EX_OPER_LEA_LIABS","FQ2 2023","FQ2 2023","Currency=USD","Period=FQ","BEST_FPERIOD_OVERRIDE=FQ","FILING_STATUS=MR","Sort=A","Dates=H","DateFormat=P","Fill=—","Direction=H","UseDPDF=Y")</f>
        <v>0</v>
      </c>
      <c r="V23" s="14">
        <f>_xll.BDH("BLUE US Equity","LT_DBT_TO_CPTL_EX_OPER_LEA_LIABS","FQ3 2023","FQ3 2023","Currency=USD","Period=FQ","BEST_FPERIOD_OVERRIDE=FQ","FILING_STATUS=MR","Sort=A","Dates=H","DateFormat=P","Fill=—","Direction=H","UseDPDF=Y")</f>
        <v>0</v>
      </c>
      <c r="W23" s="14">
        <f>_xll.BDH("BLUE US Equity","LT_DBT_TO_CPTL_EX_OPER_LEA_LIABS","FQ4 2023","FQ4 2023","Currency=USD","Period=FQ","BEST_FPERIOD_OVERRIDE=FQ","FILING_STATUS=MR","Sort=A","Dates=H","DateFormat=P","Fill=—","Direction=H","UseDPDF=Y")</f>
        <v>0</v>
      </c>
      <c r="X23" s="14">
        <f>_xll.BDH("BLUE US Equity","LT_DBT_TO_CPTL_EX_OPER_LEA_LIABS","FQ1 2024","FQ1 2024","Currency=USD","Period=FQ","BEST_FPERIOD_OVERRIDE=FQ","FILING_STATUS=MR","Sort=A","Dates=H","DateFormat=P","Fill=—","Direction=H","UseDPDF=Y")</f>
        <v>7.6654999999999998</v>
      </c>
      <c r="Y23" s="14">
        <f>_xll.BDH("BLUE US Equity","LT_DBT_TO_CPTL_EX_OPER_LEA_LIABS","FQ2 2024","FQ2 2024","Currency=USD","Period=FQ","BEST_FPERIOD_OVERRIDE=FQ","FILING_STATUS=MR","Sort=A","Dates=H","DateFormat=P","Fill=—","Direction=H","UseDPDF=Y")</f>
        <v>8.0615000000000006</v>
      </c>
      <c r="Z23" s="14">
        <f>_xll.BDH("BLUE US Equity","LT_DBT_TO_CPTL_EX_OPER_LEA_LIABS","FQ3 2024","FQ3 2024","Currency=USD","Period=FQ","BEST_FPERIOD_OVERRIDE=FQ","FILING_STATUS=MR","Sort=A","Dates=H","DateFormat=P","Fill=—","Direction=H","UseDPDF=Y")</f>
        <v>3.4049</v>
      </c>
      <c r="AA23" s="14">
        <f>_xll.BDH("BLUE US Equity","LT_DBT_TO_CPTL_EX_OPER_LEA_LIABS","FQ4 2024","FQ4 2024","Currency=USD","Period=FQ","BEST_FPERIOD_OVERRIDE=FQ","FILING_STATUS=MR","Sort=A","Dates=H","DateFormat=P","Fill=—","Direction=H","UseDPDF=Y")</f>
        <v>5.7053000000000003</v>
      </c>
    </row>
    <row r="24" spans="1:27" x14ac:dyDescent="0.25">
      <c r="A24" s="10" t="s">
        <v>1354</v>
      </c>
      <c r="B24" s="10" t="s">
        <v>1376</v>
      </c>
      <c r="C24" s="14">
        <f>_xll.BDH("BLUE US Equity","LT_DBT_AST_EX_OP_LEA_LIAB_AST","FQ4 2018","FQ4 2018","Currency=USD","Period=FQ","BEST_FPERIOD_OVERRIDE=FQ","FILING_STATUS=MR","Sort=A","Dates=H","DateFormat=P","Fill=—","Direction=H","UseDPDF=Y")</f>
        <v>6.8358999999999996</v>
      </c>
      <c r="D24" s="14">
        <f>_xll.BDH("BLUE US Equity","LT_DBT_AST_EX_OP_LEA_LIAB_AST","FQ1 2019","FQ1 2019","Currency=USD","Period=FQ","BEST_FPERIOD_OVERRIDE=FQ","FILING_STATUS=MR","Sort=A","Dates=H","DateFormat=P","Fill=—","Direction=H","UseDPDF=Y")</f>
        <v>0</v>
      </c>
      <c r="E24" s="14">
        <f>_xll.BDH("BLUE US Equity","LT_DBT_AST_EX_OP_LEA_LIAB_AST","FQ2 2019","FQ2 2019","Currency=USD","Period=FQ","BEST_FPERIOD_OVERRIDE=FQ","FILING_STATUS=MR","Sort=A","Dates=H","DateFormat=P","Fill=—","Direction=H","UseDPDF=Y")</f>
        <v>0</v>
      </c>
      <c r="F24" s="14">
        <f>_xll.BDH("BLUE US Equity","LT_DBT_AST_EX_OP_LEA_LIAB_AST","FQ3 2019","FQ3 2019","Currency=USD","Period=FQ","BEST_FPERIOD_OVERRIDE=FQ","FILING_STATUS=MR","Sort=A","Dates=H","DateFormat=P","Fill=—","Direction=H","UseDPDF=Y")</f>
        <v>0</v>
      </c>
      <c r="G24" s="14">
        <f>_xll.BDH("BLUE US Equity","LT_DBT_AST_EX_OP_LEA_LIAB_AST","FQ4 2019","FQ4 2019","Currency=USD","Period=FQ","BEST_FPERIOD_OVERRIDE=FQ","FILING_STATUS=MR","Sort=A","Dates=H","DateFormat=P","Fill=—","Direction=H","UseDPDF=Y")</f>
        <v>0</v>
      </c>
      <c r="H24" s="14">
        <f>_xll.BDH("BLUE US Equity","LT_DBT_AST_EX_OP_LEA_LIAB_AST","FQ1 2020","FQ1 2020","Currency=USD","Period=FQ","BEST_FPERIOD_OVERRIDE=FQ","FILING_STATUS=MR","Sort=A","Dates=H","DateFormat=P","Fill=—","Direction=H","UseDPDF=Y")</f>
        <v>0</v>
      </c>
      <c r="I24" s="14">
        <f>_xll.BDH("BLUE US Equity","LT_DBT_AST_EX_OP_LEA_LIAB_AST","FQ2 2020","FQ2 2020","Currency=USD","Period=FQ","BEST_FPERIOD_OVERRIDE=FQ","FILING_STATUS=MR","Sort=A","Dates=H","DateFormat=P","Fill=—","Direction=H","UseDPDF=Y")</f>
        <v>0</v>
      </c>
      <c r="J24" s="14">
        <f>_xll.BDH("BLUE US Equity","LT_DBT_AST_EX_OP_LEA_LIAB_AST","FQ3 2020","FQ3 2020","Currency=USD","Period=FQ","BEST_FPERIOD_OVERRIDE=FQ","FILING_STATUS=MR","Sort=A","Dates=H","DateFormat=P","Fill=—","Direction=H","UseDPDF=Y")</f>
        <v>0</v>
      </c>
      <c r="K24" s="14">
        <f>_xll.BDH("BLUE US Equity","LT_DBT_AST_EX_OP_LEA_LIAB_AST","FQ4 2020","FQ4 2020","Currency=USD","Period=FQ","BEST_FPERIOD_OVERRIDE=FQ","FILING_STATUS=MR","Sort=A","Dates=H","DateFormat=P","Fill=—","Direction=H","UseDPDF=Y")</f>
        <v>0</v>
      </c>
      <c r="L24" s="14">
        <f>_xll.BDH("BLUE US Equity","LT_DBT_AST_EX_OP_LEA_LIAB_AST","FQ1 2021","FQ1 2021","Currency=USD","Period=FQ","BEST_FPERIOD_OVERRIDE=FQ","FILING_STATUS=MR","Sort=A","Dates=H","DateFormat=P","Fill=—","Direction=H","UseDPDF=Y")</f>
        <v>0</v>
      </c>
      <c r="M24" s="14">
        <f>_xll.BDH("BLUE US Equity","LT_DBT_AST_EX_OP_LEA_LIAB_AST","FQ2 2021","FQ2 2021","Currency=USD","Period=FQ","BEST_FPERIOD_OVERRIDE=FQ","FILING_STATUS=MR","Sort=A","Dates=H","DateFormat=P","Fill=—","Direction=H","UseDPDF=Y")</f>
        <v>0</v>
      </c>
      <c r="N24" s="14">
        <f>_xll.BDH("BLUE US Equity","LT_DBT_AST_EX_OP_LEA_LIAB_AST","FQ3 2021","FQ3 2021","Currency=USD","Period=FQ","BEST_FPERIOD_OVERRIDE=FQ","FILING_STATUS=MR","Sort=A","Dates=H","DateFormat=P","Fill=—","Direction=H","UseDPDF=Y")</f>
        <v>0</v>
      </c>
      <c r="O24" s="14">
        <f>_xll.BDH("BLUE US Equity","LT_DBT_AST_EX_OP_LEA_LIAB_AST","FQ4 2021","FQ4 2021","Currency=USD","Period=FQ","BEST_FPERIOD_OVERRIDE=FQ","FILING_STATUS=MR","Sort=A","Dates=H","DateFormat=P","Fill=—","Direction=H","UseDPDF=Y")</f>
        <v>0</v>
      </c>
      <c r="P24" s="14">
        <f>_xll.BDH("BLUE US Equity","LT_DBT_AST_EX_OP_LEA_LIAB_AST","FQ1 2022","FQ1 2022","Currency=USD","Period=FQ","BEST_FPERIOD_OVERRIDE=FQ","FILING_STATUS=MR","Sort=A","Dates=H","DateFormat=P","Fill=—","Direction=H","UseDPDF=Y")</f>
        <v>0</v>
      </c>
      <c r="Q24" s="14">
        <f>_xll.BDH("BLUE US Equity","LT_DBT_AST_EX_OP_LEA_LIAB_AST","FQ2 2022","FQ2 2022","Currency=USD","Period=FQ","BEST_FPERIOD_OVERRIDE=FQ","FILING_STATUS=MR","Sort=A","Dates=H","DateFormat=P","Fill=—","Direction=H","UseDPDF=Y")</f>
        <v>0</v>
      </c>
      <c r="R24" s="14">
        <f>_xll.BDH("BLUE US Equity","LT_DBT_AST_EX_OP_LEA_LIAB_AST","FQ3 2022","FQ3 2022","Currency=USD","Period=FQ","BEST_FPERIOD_OVERRIDE=FQ","FILING_STATUS=MR","Sort=A","Dates=H","DateFormat=P","Fill=—","Direction=H","UseDPDF=Y")</f>
        <v>0</v>
      </c>
      <c r="S24" s="14">
        <f>_xll.BDH("BLUE US Equity","LT_DBT_AST_EX_OP_LEA_LIAB_AST","FQ4 2022","FQ4 2022","Currency=USD","Period=FQ","BEST_FPERIOD_OVERRIDE=FQ","FILING_STATUS=MR","Sort=A","Dates=H","DateFormat=P","Fill=—","Direction=H","UseDPDF=Y")</f>
        <v>0</v>
      </c>
      <c r="T24" s="14">
        <f>_xll.BDH("BLUE US Equity","LT_DBT_AST_EX_OP_LEA_LIAB_AST","FQ1 2023","FQ1 2023","Currency=USD","Period=FQ","BEST_FPERIOD_OVERRIDE=FQ","FILING_STATUS=MR","Sort=A","Dates=H","DateFormat=P","Fill=—","Direction=H","UseDPDF=Y")</f>
        <v>0</v>
      </c>
      <c r="U24" s="14">
        <f>_xll.BDH("BLUE US Equity","LT_DBT_AST_EX_OP_LEA_LIAB_AST","FQ2 2023","FQ2 2023","Currency=USD","Period=FQ","BEST_FPERIOD_OVERRIDE=FQ","FILING_STATUS=MR","Sort=A","Dates=H","DateFormat=P","Fill=—","Direction=H","UseDPDF=Y")</f>
        <v>0</v>
      </c>
      <c r="V24" s="14">
        <f>_xll.BDH("BLUE US Equity","LT_DBT_AST_EX_OP_LEA_LIAB_AST","FQ3 2023","FQ3 2023","Currency=USD","Period=FQ","BEST_FPERIOD_OVERRIDE=FQ","FILING_STATUS=MR","Sort=A","Dates=H","DateFormat=P","Fill=—","Direction=H","UseDPDF=Y")</f>
        <v>0</v>
      </c>
      <c r="W24" s="14">
        <f>_xll.BDH("BLUE US Equity","LT_DBT_AST_EX_OP_LEA_LIAB_AST","FQ4 2023","FQ4 2023","Currency=USD","Period=FQ","BEST_FPERIOD_OVERRIDE=FQ","FILING_STATUS=MR","Sort=A","Dates=H","DateFormat=P","Fill=—","Direction=H","UseDPDF=Y")</f>
        <v>0</v>
      </c>
      <c r="X24" s="14">
        <f>_xll.BDH("BLUE US Equity","LT_DBT_AST_EX_OP_LEA_LIAB_AST","FQ1 2024","FQ1 2024","Currency=USD","Period=FQ","BEST_FPERIOD_OVERRIDE=FQ","FILING_STATUS=MR","Sort=A","Dates=H","DateFormat=P","Fill=—","Direction=H","UseDPDF=Y")</f>
        <v>5.98</v>
      </c>
      <c r="Y24" s="14">
        <f>_xll.BDH("BLUE US Equity","LT_DBT_AST_EX_OP_LEA_LIAB_AST","FQ2 2024","FQ2 2024","Currency=USD","Period=FQ","BEST_FPERIOD_OVERRIDE=FQ","FILING_STATUS=MR","Sort=A","Dates=H","DateFormat=P","Fill=—","Direction=H","UseDPDF=Y")</f>
        <v>5.5213000000000001</v>
      </c>
      <c r="Z24" s="14">
        <f>_xll.BDH("BLUE US Equity","LT_DBT_AST_EX_OP_LEA_LIAB_AST","FQ3 2024","FQ3 2024","Currency=USD","Period=FQ","BEST_FPERIOD_OVERRIDE=FQ","FILING_STATUS=MR","Sort=A","Dates=H","DateFormat=P","Fill=—","Direction=H","UseDPDF=Y")</f>
        <v>2.0127000000000002</v>
      </c>
      <c r="AA24" s="14">
        <f>_xll.BDH("BLUE US Equity","LT_DBT_AST_EX_OP_LEA_LIAB_AST","FQ4 2024","FQ4 2024","Currency=USD","Period=FQ","BEST_FPERIOD_OVERRIDE=FQ","FILING_STATUS=MR","Sort=A","Dates=H","DateFormat=P","Fill=—","Direction=H","UseDPDF=Y")</f>
        <v>2.7513999999999998</v>
      </c>
    </row>
    <row r="25" spans="1:27" x14ac:dyDescent="0.25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0" t="s">
        <v>1356</v>
      </c>
      <c r="B26" s="10" t="s">
        <v>1377</v>
      </c>
      <c r="C26" s="14">
        <f>_xll.BDH("BLUE US Equity","TOT_DBT_EX_OP_LEA_LIABS_TO_EQTY","FQ4 2018","FQ4 2018","Currency=USD","Period=FQ","BEST_FPERIOD_OVERRIDE=FQ","FILING_STATUS=MR","Sort=A","Dates=H","DateFormat=P","Fill=—","Direction=H","UseDPDF=Y")</f>
        <v>8.1333000000000002</v>
      </c>
      <c r="D26" s="14">
        <f>_xll.BDH("BLUE US Equity","TOT_DBT_EX_OP_LEA_LIABS_TO_EQTY","FQ1 2019","FQ1 2019","Currency=USD","Period=FQ","BEST_FPERIOD_OVERRIDE=FQ","FILING_STATUS=MR","Sort=A","Dates=H","DateFormat=P","Fill=—","Direction=H","UseDPDF=Y")</f>
        <v>0</v>
      </c>
      <c r="E26" s="14">
        <f>_xll.BDH("BLUE US Equity","TOT_DBT_EX_OP_LEA_LIABS_TO_EQTY","FQ2 2019","FQ2 2019","Currency=USD","Period=FQ","BEST_FPERIOD_OVERRIDE=FQ","FILING_STATUS=MR","Sort=A","Dates=H","DateFormat=P","Fill=—","Direction=H","UseDPDF=Y")</f>
        <v>0</v>
      </c>
      <c r="F26" s="14">
        <f>_xll.BDH("BLUE US Equity","TOT_DBT_EX_OP_LEA_LIABS_TO_EQTY","FQ3 2019","FQ3 2019","Currency=USD","Period=FQ","BEST_FPERIOD_OVERRIDE=FQ","FILING_STATUS=MR","Sort=A","Dates=H","DateFormat=P","Fill=—","Direction=H","UseDPDF=Y")</f>
        <v>0</v>
      </c>
      <c r="G26" s="14">
        <f>_xll.BDH("BLUE US Equity","TOT_DBT_EX_OP_LEA_LIABS_TO_EQTY","FQ4 2019","FQ4 2019","Currency=USD","Period=FQ","BEST_FPERIOD_OVERRIDE=FQ","FILING_STATUS=MR","Sort=A","Dates=H","DateFormat=P","Fill=—","Direction=H","UseDPDF=Y")</f>
        <v>0</v>
      </c>
      <c r="H26" s="14">
        <f>_xll.BDH("BLUE US Equity","TOT_DBT_EX_OP_LEA_LIABS_TO_EQTY","FQ1 2020","FQ1 2020","Currency=USD","Period=FQ","BEST_FPERIOD_OVERRIDE=FQ","FILING_STATUS=MR","Sort=A","Dates=H","DateFormat=P","Fill=—","Direction=H","UseDPDF=Y")</f>
        <v>0</v>
      </c>
      <c r="I26" s="14">
        <f>_xll.BDH("BLUE US Equity","TOT_DBT_EX_OP_LEA_LIABS_TO_EQTY","FQ2 2020","FQ2 2020","Currency=USD","Period=FQ","BEST_FPERIOD_OVERRIDE=FQ","FILING_STATUS=MR","Sort=A","Dates=H","DateFormat=P","Fill=—","Direction=H","UseDPDF=Y")</f>
        <v>0</v>
      </c>
      <c r="J26" s="14">
        <f>_xll.BDH("BLUE US Equity","TOT_DBT_EX_OP_LEA_LIABS_TO_EQTY","FQ3 2020","FQ3 2020","Currency=USD","Period=FQ","BEST_FPERIOD_OVERRIDE=FQ","FILING_STATUS=MR","Sort=A","Dates=H","DateFormat=P","Fill=—","Direction=H","UseDPDF=Y")</f>
        <v>0</v>
      </c>
      <c r="K26" s="14">
        <f>_xll.BDH("BLUE US Equity","TOT_DBT_EX_OP_LEA_LIABS_TO_EQTY","FQ4 2020","FQ4 2020","Currency=USD","Period=FQ","BEST_FPERIOD_OVERRIDE=FQ","FILING_STATUS=MR","Sort=A","Dates=H","DateFormat=P","Fill=—","Direction=H","UseDPDF=Y")</f>
        <v>0</v>
      </c>
      <c r="L26" s="14">
        <f>_xll.BDH("BLUE US Equity","TOT_DBT_EX_OP_LEA_LIABS_TO_EQTY","FQ1 2021","FQ1 2021","Currency=USD","Period=FQ","BEST_FPERIOD_OVERRIDE=FQ","FILING_STATUS=MR","Sort=A","Dates=H","DateFormat=P","Fill=—","Direction=H","UseDPDF=Y")</f>
        <v>0</v>
      </c>
      <c r="M26" s="14">
        <f>_xll.BDH("BLUE US Equity","TOT_DBT_EX_OP_LEA_LIABS_TO_EQTY","FQ2 2021","FQ2 2021","Currency=USD","Period=FQ","BEST_FPERIOD_OVERRIDE=FQ","FILING_STATUS=MR","Sort=A","Dates=H","DateFormat=P","Fill=—","Direction=H","UseDPDF=Y")</f>
        <v>0</v>
      </c>
      <c r="N26" s="14">
        <f>_xll.BDH("BLUE US Equity","TOT_DBT_EX_OP_LEA_LIABS_TO_EQTY","FQ3 2021","FQ3 2021","Currency=USD","Period=FQ","BEST_FPERIOD_OVERRIDE=FQ","FILING_STATUS=MR","Sort=A","Dates=H","DateFormat=P","Fill=—","Direction=H","UseDPDF=Y")</f>
        <v>0</v>
      </c>
      <c r="O26" s="14">
        <f>_xll.BDH("BLUE US Equity","TOT_DBT_EX_OP_LEA_LIABS_TO_EQTY","FQ4 2021","FQ4 2021","Currency=USD","Period=FQ","BEST_FPERIOD_OVERRIDE=FQ","FILING_STATUS=MR","Sort=A","Dates=H","DateFormat=P","Fill=—","Direction=H","UseDPDF=Y")</f>
        <v>0</v>
      </c>
      <c r="P26" s="14">
        <f>_xll.BDH("BLUE US Equity","TOT_DBT_EX_OP_LEA_LIABS_TO_EQTY","FQ1 2022","FQ1 2022","Currency=USD","Period=FQ","BEST_FPERIOD_OVERRIDE=FQ","FILING_STATUS=MR","Sort=A","Dates=H","DateFormat=P","Fill=—","Direction=H","UseDPDF=Y")</f>
        <v>0</v>
      </c>
      <c r="Q26" s="14">
        <f>_xll.BDH("BLUE US Equity","TOT_DBT_EX_OP_LEA_LIABS_TO_EQTY","FQ2 2022","FQ2 2022","Currency=USD","Period=FQ","BEST_FPERIOD_OVERRIDE=FQ","FILING_STATUS=MR","Sort=A","Dates=H","DateFormat=P","Fill=—","Direction=H","UseDPDF=Y")</f>
        <v>0</v>
      </c>
      <c r="R26" s="14">
        <f>_xll.BDH("BLUE US Equity","TOT_DBT_EX_OP_LEA_LIABS_TO_EQTY","FQ3 2022","FQ3 2022","Currency=USD","Period=FQ","BEST_FPERIOD_OVERRIDE=FQ","FILING_STATUS=MR","Sort=A","Dates=H","DateFormat=P","Fill=—","Direction=H","UseDPDF=Y")</f>
        <v>0</v>
      </c>
      <c r="S26" s="14">
        <f>_xll.BDH("BLUE US Equity","TOT_DBT_EX_OP_LEA_LIABS_TO_EQTY","FQ4 2022","FQ4 2022","Currency=USD","Period=FQ","BEST_FPERIOD_OVERRIDE=FQ","FILING_STATUS=MR","Sort=A","Dates=H","DateFormat=P","Fill=—","Direction=H","UseDPDF=Y")</f>
        <v>0</v>
      </c>
      <c r="T26" s="14">
        <f>_xll.BDH("BLUE US Equity","TOT_DBT_EX_OP_LEA_LIABS_TO_EQTY","FQ1 2023","FQ1 2023","Currency=USD","Period=FQ","BEST_FPERIOD_OVERRIDE=FQ","FILING_STATUS=MR","Sort=A","Dates=H","DateFormat=P","Fill=—","Direction=H","UseDPDF=Y")</f>
        <v>0</v>
      </c>
      <c r="U26" s="14">
        <f>_xll.BDH("BLUE US Equity","TOT_DBT_EX_OP_LEA_LIABS_TO_EQTY","FQ2 2023","FQ2 2023","Currency=USD","Period=FQ","BEST_FPERIOD_OVERRIDE=FQ","FILING_STATUS=MR","Sort=A","Dates=H","DateFormat=P","Fill=—","Direction=H","UseDPDF=Y")</f>
        <v>0</v>
      </c>
      <c r="V26" s="14">
        <f>_xll.BDH("BLUE US Equity","TOT_DBT_EX_OP_LEA_LIABS_TO_EQTY","FQ3 2023","FQ3 2023","Currency=USD","Period=FQ","BEST_FPERIOD_OVERRIDE=FQ","FILING_STATUS=MR","Sort=A","Dates=H","DateFormat=P","Fill=—","Direction=H","UseDPDF=Y")</f>
        <v>0</v>
      </c>
      <c r="W26" s="14">
        <f>_xll.BDH("BLUE US Equity","TOT_DBT_EX_OP_LEA_LIABS_TO_EQTY","FQ4 2023","FQ4 2023","Currency=USD","Period=FQ","BEST_FPERIOD_OVERRIDE=FQ","FILING_STATUS=MR","Sort=A","Dates=H","DateFormat=P","Fill=—","Direction=H","UseDPDF=Y")</f>
        <v>0</v>
      </c>
      <c r="X26" s="14">
        <f>_xll.BDH("BLUE US Equity","TOT_DBT_EX_OP_LEA_LIABS_TO_EQTY","FQ1 2024","FQ1 2024","Currency=USD","Period=FQ","BEST_FPERIOD_OVERRIDE=FQ","FILING_STATUS=MR","Sort=A","Dates=H","DateFormat=P","Fill=—","Direction=H","UseDPDF=Y")</f>
        <v>159.71190000000001</v>
      </c>
      <c r="Y26" s="14">
        <f>_xll.BDH("BLUE US Equity","TOT_DBT_EX_OP_LEA_LIABS_TO_EQTY","FQ2 2024","FQ2 2024","Currency=USD","Period=FQ","BEST_FPERIOD_OVERRIDE=FQ","FILING_STATUS=MR","Sort=A","Dates=H","DateFormat=P","Fill=—","Direction=H","UseDPDF=Y")</f>
        <v>360.19139999999999</v>
      </c>
      <c r="Z26" s="14" t="str">
        <f>_xll.BDH("BLUE US Equity","TOT_DBT_EX_OP_LEA_LIABS_TO_EQTY","FQ3 2024","FQ3 2024","Currency=USD","Period=FQ","BEST_FPERIOD_OVERRIDE=FQ","FILING_STATUS=MR","Sort=A","Dates=H","DateFormat=P","Fill=—","Direction=H","UseDPDF=Y")</f>
        <v>—</v>
      </c>
      <c r="AA26" s="14" t="str">
        <f>_xll.BDH("BLUE US Equity","TOT_DBT_EX_OP_LEA_LIABS_TO_EQTY","FQ4 2024","FQ4 2024","Currency=USD","Period=FQ","BEST_FPERIOD_OVERRIDE=FQ","FILING_STATUS=MR","Sort=A","Dates=H","DateFormat=P","Fill=—","Direction=H","UseDPDF=Y")</f>
        <v>—</v>
      </c>
    </row>
    <row r="27" spans="1:27" x14ac:dyDescent="0.25">
      <c r="A27" s="10" t="s">
        <v>1358</v>
      </c>
      <c r="B27" s="10" t="s">
        <v>267</v>
      </c>
      <c r="C27" s="14">
        <f>_xll.BDH("BLUE US Equity","TOT_DBT_TO_CPTL_EX_OP_LEA_LIABS","FQ4 2018","FQ4 2018","Currency=USD","Period=FQ","BEST_FPERIOD_OVERRIDE=FQ","FILING_STATUS=MR","Sort=A","Dates=H","DateFormat=P","Fill=—","Direction=H","UseDPDF=Y")</f>
        <v>7.5216000000000003</v>
      </c>
      <c r="D27" s="14">
        <f>_xll.BDH("BLUE US Equity","TOT_DBT_TO_CPTL_EX_OP_LEA_LIABS","FQ1 2019","FQ1 2019","Currency=USD","Period=FQ","BEST_FPERIOD_OVERRIDE=FQ","FILING_STATUS=MR","Sort=A","Dates=H","DateFormat=P","Fill=—","Direction=H","UseDPDF=Y")</f>
        <v>0</v>
      </c>
      <c r="E27" s="14">
        <f>_xll.BDH("BLUE US Equity","TOT_DBT_TO_CPTL_EX_OP_LEA_LIABS","FQ2 2019","FQ2 2019","Currency=USD","Period=FQ","BEST_FPERIOD_OVERRIDE=FQ","FILING_STATUS=MR","Sort=A","Dates=H","DateFormat=P","Fill=—","Direction=H","UseDPDF=Y")</f>
        <v>0</v>
      </c>
      <c r="F27" s="14">
        <f>_xll.BDH("BLUE US Equity","TOT_DBT_TO_CPTL_EX_OP_LEA_LIABS","FQ3 2019","FQ3 2019","Currency=USD","Period=FQ","BEST_FPERIOD_OVERRIDE=FQ","FILING_STATUS=MR","Sort=A","Dates=H","DateFormat=P","Fill=—","Direction=H","UseDPDF=Y")</f>
        <v>0</v>
      </c>
      <c r="G27" s="14">
        <f>_xll.BDH("BLUE US Equity","TOT_DBT_TO_CPTL_EX_OP_LEA_LIABS","FQ4 2019","FQ4 2019","Currency=USD","Period=FQ","BEST_FPERIOD_OVERRIDE=FQ","FILING_STATUS=MR","Sort=A","Dates=H","DateFormat=P","Fill=—","Direction=H","UseDPDF=Y")</f>
        <v>0</v>
      </c>
      <c r="H27" s="14">
        <f>_xll.BDH("BLUE US Equity","TOT_DBT_TO_CPTL_EX_OP_LEA_LIABS","FQ1 2020","FQ1 2020","Currency=USD","Period=FQ","BEST_FPERIOD_OVERRIDE=FQ","FILING_STATUS=MR","Sort=A","Dates=H","DateFormat=P","Fill=—","Direction=H","UseDPDF=Y")</f>
        <v>0</v>
      </c>
      <c r="I27" s="14">
        <f>_xll.BDH("BLUE US Equity","TOT_DBT_TO_CPTL_EX_OP_LEA_LIABS","FQ2 2020","FQ2 2020","Currency=USD","Period=FQ","BEST_FPERIOD_OVERRIDE=FQ","FILING_STATUS=MR","Sort=A","Dates=H","DateFormat=P","Fill=—","Direction=H","UseDPDF=Y")</f>
        <v>0</v>
      </c>
      <c r="J27" s="14">
        <f>_xll.BDH("BLUE US Equity","TOT_DBT_TO_CPTL_EX_OP_LEA_LIABS","FQ3 2020","FQ3 2020","Currency=USD","Period=FQ","BEST_FPERIOD_OVERRIDE=FQ","FILING_STATUS=MR","Sort=A","Dates=H","DateFormat=P","Fill=—","Direction=H","UseDPDF=Y")</f>
        <v>0</v>
      </c>
      <c r="K27" s="14">
        <f>_xll.BDH("BLUE US Equity","TOT_DBT_TO_CPTL_EX_OP_LEA_LIABS","FQ4 2020","FQ4 2020","Currency=USD","Period=FQ","BEST_FPERIOD_OVERRIDE=FQ","FILING_STATUS=MR","Sort=A","Dates=H","DateFormat=P","Fill=—","Direction=H","UseDPDF=Y")</f>
        <v>0</v>
      </c>
      <c r="L27" s="14">
        <f>_xll.BDH("BLUE US Equity","TOT_DBT_TO_CPTL_EX_OP_LEA_LIABS","FQ1 2021","FQ1 2021","Currency=USD","Period=FQ","BEST_FPERIOD_OVERRIDE=FQ","FILING_STATUS=MR","Sort=A","Dates=H","DateFormat=P","Fill=—","Direction=H","UseDPDF=Y")</f>
        <v>0</v>
      </c>
      <c r="M27" s="14">
        <f>_xll.BDH("BLUE US Equity","TOT_DBT_TO_CPTL_EX_OP_LEA_LIABS","FQ2 2021","FQ2 2021","Currency=USD","Period=FQ","BEST_FPERIOD_OVERRIDE=FQ","FILING_STATUS=MR","Sort=A","Dates=H","DateFormat=P","Fill=—","Direction=H","UseDPDF=Y")</f>
        <v>0</v>
      </c>
      <c r="N27" s="14">
        <f>_xll.BDH("BLUE US Equity","TOT_DBT_TO_CPTL_EX_OP_LEA_LIABS","FQ3 2021","FQ3 2021","Currency=USD","Period=FQ","BEST_FPERIOD_OVERRIDE=FQ","FILING_STATUS=MR","Sort=A","Dates=H","DateFormat=P","Fill=—","Direction=H","UseDPDF=Y")</f>
        <v>0</v>
      </c>
      <c r="O27" s="14">
        <f>_xll.BDH("BLUE US Equity","TOT_DBT_TO_CPTL_EX_OP_LEA_LIABS","FQ4 2021","FQ4 2021","Currency=USD","Period=FQ","BEST_FPERIOD_OVERRIDE=FQ","FILING_STATUS=MR","Sort=A","Dates=H","DateFormat=P","Fill=—","Direction=H","UseDPDF=Y")</f>
        <v>0</v>
      </c>
      <c r="P27" s="14">
        <f>_xll.BDH("BLUE US Equity","TOT_DBT_TO_CPTL_EX_OP_LEA_LIABS","FQ1 2022","FQ1 2022","Currency=USD","Period=FQ","BEST_FPERIOD_OVERRIDE=FQ","FILING_STATUS=MR","Sort=A","Dates=H","DateFormat=P","Fill=—","Direction=H","UseDPDF=Y")</f>
        <v>0</v>
      </c>
      <c r="Q27" s="14">
        <f>_xll.BDH("BLUE US Equity","TOT_DBT_TO_CPTL_EX_OP_LEA_LIABS","FQ2 2022","FQ2 2022","Currency=USD","Period=FQ","BEST_FPERIOD_OVERRIDE=FQ","FILING_STATUS=MR","Sort=A","Dates=H","DateFormat=P","Fill=—","Direction=H","UseDPDF=Y")</f>
        <v>0</v>
      </c>
      <c r="R27" s="14">
        <f>_xll.BDH("BLUE US Equity","TOT_DBT_TO_CPTL_EX_OP_LEA_LIABS","FQ3 2022","FQ3 2022","Currency=USD","Period=FQ","BEST_FPERIOD_OVERRIDE=FQ","FILING_STATUS=MR","Sort=A","Dates=H","DateFormat=P","Fill=—","Direction=H","UseDPDF=Y")</f>
        <v>0</v>
      </c>
      <c r="S27" s="14">
        <f>_xll.BDH("BLUE US Equity","TOT_DBT_TO_CPTL_EX_OP_LEA_LIABS","FQ4 2022","FQ4 2022","Currency=USD","Period=FQ","BEST_FPERIOD_OVERRIDE=FQ","FILING_STATUS=MR","Sort=A","Dates=H","DateFormat=P","Fill=—","Direction=H","UseDPDF=Y")</f>
        <v>0</v>
      </c>
      <c r="T27" s="14">
        <f>_xll.BDH("BLUE US Equity","TOT_DBT_TO_CPTL_EX_OP_LEA_LIABS","FQ1 2023","FQ1 2023","Currency=USD","Period=FQ","BEST_FPERIOD_OVERRIDE=FQ","FILING_STATUS=MR","Sort=A","Dates=H","DateFormat=P","Fill=—","Direction=H","UseDPDF=Y")</f>
        <v>0</v>
      </c>
      <c r="U27" s="14">
        <f>_xll.BDH("BLUE US Equity","TOT_DBT_TO_CPTL_EX_OP_LEA_LIABS","FQ2 2023","FQ2 2023","Currency=USD","Period=FQ","BEST_FPERIOD_OVERRIDE=FQ","FILING_STATUS=MR","Sort=A","Dates=H","DateFormat=P","Fill=—","Direction=H","UseDPDF=Y")</f>
        <v>0</v>
      </c>
      <c r="V27" s="14">
        <f>_xll.BDH("BLUE US Equity","TOT_DBT_TO_CPTL_EX_OP_LEA_LIABS","FQ3 2023","FQ3 2023","Currency=USD","Period=FQ","BEST_FPERIOD_OVERRIDE=FQ","FILING_STATUS=MR","Sort=A","Dates=H","DateFormat=P","Fill=—","Direction=H","UseDPDF=Y")</f>
        <v>0</v>
      </c>
      <c r="W27" s="14">
        <f>_xll.BDH("BLUE US Equity","TOT_DBT_TO_CPTL_EX_OP_LEA_LIABS","FQ4 2023","FQ4 2023","Currency=USD","Period=FQ","BEST_FPERIOD_OVERRIDE=FQ","FILING_STATUS=MR","Sort=A","Dates=H","DateFormat=P","Fill=—","Direction=H","UseDPDF=Y")</f>
        <v>0</v>
      </c>
      <c r="X27" s="14">
        <f>_xll.BDH("BLUE US Equity","TOT_DBT_TO_CPTL_EX_OP_LEA_LIABS","FQ1 2024","FQ1 2024","Currency=USD","Period=FQ","BEST_FPERIOD_OVERRIDE=FQ","FILING_STATUS=MR","Sort=A","Dates=H","DateFormat=P","Fill=—","Direction=H","UseDPDF=Y")</f>
        <v>61.495800000000003</v>
      </c>
      <c r="Y27" s="14">
        <f>_xll.BDH("BLUE US Equity","TOT_DBT_TO_CPTL_EX_OP_LEA_LIABS","FQ2 2024","FQ2 2024","Currency=USD","Period=FQ","BEST_FPERIOD_OVERRIDE=FQ","FILING_STATUS=MR","Sort=A","Dates=H","DateFormat=P","Fill=—","Direction=H","UseDPDF=Y")</f>
        <v>78.269900000000007</v>
      </c>
      <c r="Z27" s="14">
        <f>_xll.BDH("BLUE US Equity","TOT_DBT_TO_CPTL_EX_OP_LEA_LIABS","FQ3 2024","FQ3 2024","Currency=USD","Period=FQ","BEST_FPERIOD_OVERRIDE=FQ","FILING_STATUS=MR","Sort=A","Dates=H","DateFormat=P","Fill=—","Direction=H","UseDPDF=Y")</f>
        <v>103.47150000000001</v>
      </c>
      <c r="AA27" s="14">
        <f>_xll.BDH("BLUE US Equity","TOT_DBT_TO_CPTL_EX_OP_LEA_LIABS","FQ4 2024","FQ4 2024","Currency=USD","Period=FQ","BEST_FPERIOD_OVERRIDE=FQ","FILING_STATUS=MR","Sort=A","Dates=H","DateFormat=P","Fill=—","Direction=H","UseDPDF=Y")</f>
        <v>123.0771</v>
      </c>
    </row>
    <row r="28" spans="1:27" x14ac:dyDescent="0.25">
      <c r="A28" s="10" t="s">
        <v>1359</v>
      </c>
      <c r="B28" s="10" t="s">
        <v>1378</v>
      </c>
      <c r="C28" s="14">
        <f>_xll.BDH("BLUE US Equity","TOT_DBT_AST_EX_OP_LEA_LIAB_AST","FQ4 2018","FQ4 2018","Currency=USD","Period=FQ","BEST_FPERIOD_OVERRIDE=FQ","FILING_STATUS=MR","Sort=A","Dates=H","DateFormat=P","Fill=—","Direction=H","UseDPDF=Y")</f>
        <v>6.8358999999999996</v>
      </c>
      <c r="D28" s="14">
        <f>_xll.BDH("BLUE US Equity","TOT_DBT_AST_EX_OP_LEA_LIAB_AST","FQ1 2019","FQ1 2019","Currency=USD","Period=FQ","BEST_FPERIOD_OVERRIDE=FQ","FILING_STATUS=MR","Sort=A","Dates=H","DateFormat=P","Fill=—","Direction=H","UseDPDF=Y")</f>
        <v>0</v>
      </c>
      <c r="E28" s="14">
        <f>_xll.BDH("BLUE US Equity","TOT_DBT_AST_EX_OP_LEA_LIAB_AST","FQ2 2019","FQ2 2019","Currency=USD","Period=FQ","BEST_FPERIOD_OVERRIDE=FQ","FILING_STATUS=MR","Sort=A","Dates=H","DateFormat=P","Fill=—","Direction=H","UseDPDF=Y")</f>
        <v>0</v>
      </c>
      <c r="F28" s="14">
        <f>_xll.BDH("BLUE US Equity","TOT_DBT_AST_EX_OP_LEA_LIAB_AST","FQ3 2019","FQ3 2019","Currency=USD","Period=FQ","BEST_FPERIOD_OVERRIDE=FQ","FILING_STATUS=MR","Sort=A","Dates=H","DateFormat=P","Fill=—","Direction=H","UseDPDF=Y")</f>
        <v>0</v>
      </c>
      <c r="G28" s="14">
        <f>_xll.BDH("BLUE US Equity","TOT_DBT_AST_EX_OP_LEA_LIAB_AST","FQ4 2019","FQ4 2019","Currency=USD","Period=FQ","BEST_FPERIOD_OVERRIDE=FQ","FILING_STATUS=MR","Sort=A","Dates=H","DateFormat=P","Fill=—","Direction=H","UseDPDF=Y")</f>
        <v>0</v>
      </c>
      <c r="H28" s="14">
        <f>_xll.BDH("BLUE US Equity","TOT_DBT_AST_EX_OP_LEA_LIAB_AST","FQ1 2020","FQ1 2020","Currency=USD","Period=FQ","BEST_FPERIOD_OVERRIDE=FQ","FILING_STATUS=MR","Sort=A","Dates=H","DateFormat=P","Fill=—","Direction=H","UseDPDF=Y")</f>
        <v>0</v>
      </c>
      <c r="I28" s="14">
        <f>_xll.BDH("BLUE US Equity","TOT_DBT_AST_EX_OP_LEA_LIAB_AST","FQ2 2020","FQ2 2020","Currency=USD","Period=FQ","BEST_FPERIOD_OVERRIDE=FQ","FILING_STATUS=MR","Sort=A","Dates=H","DateFormat=P","Fill=—","Direction=H","UseDPDF=Y")</f>
        <v>0</v>
      </c>
      <c r="J28" s="14">
        <f>_xll.BDH("BLUE US Equity","TOT_DBT_AST_EX_OP_LEA_LIAB_AST","FQ3 2020","FQ3 2020","Currency=USD","Period=FQ","BEST_FPERIOD_OVERRIDE=FQ","FILING_STATUS=MR","Sort=A","Dates=H","DateFormat=P","Fill=—","Direction=H","UseDPDF=Y")</f>
        <v>0</v>
      </c>
      <c r="K28" s="14">
        <f>_xll.BDH("BLUE US Equity","TOT_DBT_AST_EX_OP_LEA_LIAB_AST","FQ4 2020","FQ4 2020","Currency=USD","Period=FQ","BEST_FPERIOD_OVERRIDE=FQ","FILING_STATUS=MR","Sort=A","Dates=H","DateFormat=P","Fill=—","Direction=H","UseDPDF=Y")</f>
        <v>0</v>
      </c>
      <c r="L28" s="14">
        <f>_xll.BDH("BLUE US Equity","TOT_DBT_AST_EX_OP_LEA_LIAB_AST","FQ1 2021","FQ1 2021","Currency=USD","Period=FQ","BEST_FPERIOD_OVERRIDE=FQ","FILING_STATUS=MR","Sort=A","Dates=H","DateFormat=P","Fill=—","Direction=H","UseDPDF=Y")</f>
        <v>0</v>
      </c>
      <c r="M28" s="14">
        <f>_xll.BDH("BLUE US Equity","TOT_DBT_AST_EX_OP_LEA_LIAB_AST","FQ2 2021","FQ2 2021","Currency=USD","Period=FQ","BEST_FPERIOD_OVERRIDE=FQ","FILING_STATUS=MR","Sort=A","Dates=H","DateFormat=P","Fill=—","Direction=H","UseDPDF=Y")</f>
        <v>0</v>
      </c>
      <c r="N28" s="14">
        <f>_xll.BDH("BLUE US Equity","TOT_DBT_AST_EX_OP_LEA_LIAB_AST","FQ3 2021","FQ3 2021","Currency=USD","Period=FQ","BEST_FPERIOD_OVERRIDE=FQ","FILING_STATUS=MR","Sort=A","Dates=H","DateFormat=P","Fill=—","Direction=H","UseDPDF=Y")</f>
        <v>0</v>
      </c>
      <c r="O28" s="14">
        <f>_xll.BDH("BLUE US Equity","TOT_DBT_AST_EX_OP_LEA_LIAB_AST","FQ4 2021","FQ4 2021","Currency=USD","Period=FQ","BEST_FPERIOD_OVERRIDE=FQ","FILING_STATUS=MR","Sort=A","Dates=H","DateFormat=P","Fill=—","Direction=H","UseDPDF=Y")</f>
        <v>0</v>
      </c>
      <c r="P28" s="14">
        <f>_xll.BDH("BLUE US Equity","TOT_DBT_AST_EX_OP_LEA_LIAB_AST","FQ1 2022","FQ1 2022","Currency=USD","Period=FQ","BEST_FPERIOD_OVERRIDE=FQ","FILING_STATUS=MR","Sort=A","Dates=H","DateFormat=P","Fill=—","Direction=H","UseDPDF=Y")</f>
        <v>0</v>
      </c>
      <c r="Q28" s="14">
        <f>_xll.BDH("BLUE US Equity","TOT_DBT_AST_EX_OP_LEA_LIAB_AST","FQ2 2022","FQ2 2022","Currency=USD","Period=FQ","BEST_FPERIOD_OVERRIDE=FQ","FILING_STATUS=MR","Sort=A","Dates=H","DateFormat=P","Fill=—","Direction=H","UseDPDF=Y")</f>
        <v>0</v>
      </c>
      <c r="R28" s="14">
        <f>_xll.BDH("BLUE US Equity","TOT_DBT_AST_EX_OP_LEA_LIAB_AST","FQ3 2022","FQ3 2022","Currency=USD","Period=FQ","BEST_FPERIOD_OVERRIDE=FQ","FILING_STATUS=MR","Sort=A","Dates=H","DateFormat=P","Fill=—","Direction=H","UseDPDF=Y")</f>
        <v>0</v>
      </c>
      <c r="S28" s="14">
        <f>_xll.BDH("BLUE US Equity","TOT_DBT_AST_EX_OP_LEA_LIAB_AST","FQ4 2022","FQ4 2022","Currency=USD","Period=FQ","BEST_FPERIOD_OVERRIDE=FQ","FILING_STATUS=MR","Sort=A","Dates=H","DateFormat=P","Fill=—","Direction=H","UseDPDF=Y")</f>
        <v>0</v>
      </c>
      <c r="T28" s="14">
        <f>_xll.BDH("BLUE US Equity","TOT_DBT_AST_EX_OP_LEA_LIAB_AST","FQ1 2023","FQ1 2023","Currency=USD","Period=FQ","BEST_FPERIOD_OVERRIDE=FQ","FILING_STATUS=MR","Sort=A","Dates=H","DateFormat=P","Fill=—","Direction=H","UseDPDF=Y")</f>
        <v>0</v>
      </c>
      <c r="U28" s="14">
        <f>_xll.BDH("BLUE US Equity","TOT_DBT_AST_EX_OP_LEA_LIAB_AST","FQ2 2023","FQ2 2023","Currency=USD","Period=FQ","BEST_FPERIOD_OVERRIDE=FQ","FILING_STATUS=MR","Sort=A","Dates=H","DateFormat=P","Fill=—","Direction=H","UseDPDF=Y")</f>
        <v>0</v>
      </c>
      <c r="V28" s="14">
        <f>_xll.BDH("BLUE US Equity","TOT_DBT_AST_EX_OP_LEA_LIAB_AST","FQ3 2023","FQ3 2023","Currency=USD","Period=FQ","BEST_FPERIOD_OVERRIDE=FQ","FILING_STATUS=MR","Sort=A","Dates=H","DateFormat=P","Fill=—","Direction=H","UseDPDF=Y")</f>
        <v>0</v>
      </c>
      <c r="W28" s="14">
        <f>_xll.BDH("BLUE US Equity","TOT_DBT_AST_EX_OP_LEA_LIAB_AST","FQ4 2023","FQ4 2023","Currency=USD","Period=FQ","BEST_FPERIOD_OVERRIDE=FQ","FILING_STATUS=MR","Sort=A","Dates=H","DateFormat=P","Fill=—","Direction=H","UseDPDF=Y")</f>
        <v>0</v>
      </c>
      <c r="X28" s="14">
        <f>_xll.BDH("BLUE US Equity","TOT_DBT_AST_EX_OP_LEA_LIAB_AST","FQ1 2024","FQ1 2024","Currency=USD","Period=FQ","BEST_FPERIOD_OVERRIDE=FQ","FILING_STATUS=MR","Sort=A","Dates=H","DateFormat=P","Fill=—","Direction=H","UseDPDF=Y")</f>
        <v>47.973500000000001</v>
      </c>
      <c r="Y28" s="14">
        <f>_xll.BDH("BLUE US Equity","TOT_DBT_AST_EX_OP_LEA_LIAB_AST","FQ2 2024","FQ2 2024","Currency=USD","Period=FQ","BEST_FPERIOD_OVERRIDE=FQ","FILING_STATUS=MR","Sort=A","Dates=H","DateFormat=P","Fill=—","Direction=H","UseDPDF=Y")</f>
        <v>53.606699999999996</v>
      </c>
      <c r="Z28" s="14">
        <f>_xll.BDH("BLUE US Equity","TOT_DBT_AST_EX_OP_LEA_LIAB_AST","FQ3 2024","FQ3 2024","Currency=USD","Period=FQ","BEST_FPERIOD_OVERRIDE=FQ","FILING_STATUS=MR","Sort=A","Dates=H","DateFormat=P","Fill=—","Direction=H","UseDPDF=Y")</f>
        <v>61.163699999999999</v>
      </c>
      <c r="AA28" s="14">
        <f>_xll.BDH("BLUE US Equity","TOT_DBT_AST_EX_OP_LEA_LIAB_AST","FQ4 2024","FQ4 2024","Currency=USD","Period=FQ","BEST_FPERIOD_OVERRIDE=FQ","FILING_STATUS=MR","Sort=A","Dates=H","DateFormat=P","Fill=—","Direction=H","UseDPDF=Y")</f>
        <v>59.354399999999998</v>
      </c>
    </row>
    <row r="29" spans="1:27" x14ac:dyDescent="0.25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10" t="s">
        <v>1361</v>
      </c>
      <c r="B30" s="10" t="s">
        <v>1379</v>
      </c>
      <c r="C30" s="14">
        <f>_xll.BDH("BLUE US Equity","NET_DBT_EX_OPER_LEA_LIABS_EQTY","FQ4 2018","FQ4 2018","Currency=USD","Period=FQ","BEST_FPERIOD_OVERRIDE=FQ","FILING_STATUS=MR","Sort=A","Dates=H","DateFormat=P","Fill=—","Direction=H","UseDPDF=Y")</f>
        <v>-92.203900000000004</v>
      </c>
      <c r="D30" s="14">
        <f>_xll.BDH("BLUE US Equity","NET_DBT_EX_OPER_LEA_LIABS_EQTY","FQ1 2019","FQ1 2019","Currency=USD","Period=FQ","BEST_FPERIOD_OVERRIDE=FQ","FILING_STATUS=MR","Sort=A","Dates=H","DateFormat=P","Fill=—","Direction=H","UseDPDF=Y")</f>
        <v>-97.667599999999993</v>
      </c>
      <c r="E30" s="14">
        <f>_xll.BDH("BLUE US Equity","NET_DBT_EX_OPER_LEA_LIABS_EQTY","FQ2 2019","FQ2 2019","Currency=USD","Period=FQ","BEST_FPERIOD_OVERRIDE=FQ","FILING_STATUS=MR","Sort=A","Dates=H","DateFormat=P","Fill=—","Direction=H","UseDPDF=Y")</f>
        <v>-94.220600000000005</v>
      </c>
      <c r="F30" s="14">
        <f>_xll.BDH("BLUE US Equity","NET_DBT_EX_OPER_LEA_LIABS_EQTY","FQ3 2019","FQ3 2019","Currency=USD","Period=FQ","BEST_FPERIOD_OVERRIDE=FQ","FILING_STATUS=MR","Sort=A","Dates=H","DateFormat=P","Fill=—","Direction=H","UseDPDF=Y")</f>
        <v>-95.5274</v>
      </c>
      <c r="G30" s="14">
        <f>_xll.BDH("BLUE US Equity","NET_DBT_EX_OPER_LEA_LIABS_EQTY","FQ4 2019","FQ4 2019","Currency=USD","Period=FQ","BEST_FPERIOD_OVERRIDE=FQ","FILING_STATUS=MR","Sort=A","Dates=H","DateFormat=P","Fill=—","Direction=H","UseDPDF=Y")</f>
        <v>-96.340299999999999</v>
      </c>
      <c r="H30" s="14">
        <f>_xll.BDH("BLUE US Equity","NET_DBT_EX_OPER_LEA_LIABS_EQTY","FQ1 2020","FQ1 2020","Currency=USD","Period=FQ","BEST_FPERIOD_OVERRIDE=FQ","FILING_STATUS=MR","Sort=A","Dates=H","DateFormat=P","Fill=—","Direction=H","UseDPDF=Y")</f>
        <v>-90.889600000000002</v>
      </c>
      <c r="I30" s="14">
        <f>_xll.BDH("BLUE US Equity","NET_DBT_EX_OPER_LEA_LIABS_EQTY","FQ2 2020","FQ2 2020","Currency=USD","Period=FQ","BEST_FPERIOD_OVERRIDE=FQ","FILING_STATUS=MR","Sort=A","Dates=H","DateFormat=P","Fill=—","Direction=H","UseDPDF=Y")</f>
        <v>-95.051299999999998</v>
      </c>
      <c r="J30" s="14">
        <f>_xll.BDH("BLUE US Equity","NET_DBT_EX_OPER_LEA_LIABS_EQTY","FQ3 2020","FQ3 2020","Currency=USD","Period=FQ","BEST_FPERIOD_OVERRIDE=FQ","FILING_STATUS=MR","Sort=A","Dates=H","DateFormat=P","Fill=—","Direction=H","UseDPDF=Y")</f>
        <v>-94.409099999999995</v>
      </c>
      <c r="K30" s="14">
        <f>_xll.BDH("BLUE US Equity","NET_DBT_EX_OPER_LEA_LIABS_EQTY","FQ4 2020","FQ4 2020","Currency=USD","Period=FQ","BEST_FPERIOD_OVERRIDE=FQ","FILING_STATUS=MR","Sort=A","Dates=H","DateFormat=P","Fill=—","Direction=H","UseDPDF=Y")</f>
        <v>-54.733800000000002</v>
      </c>
      <c r="L30" s="14">
        <f>_xll.BDH("BLUE US Equity","NET_DBT_EX_OPER_LEA_LIABS_EQTY","FQ1 2021","FQ1 2021","Currency=USD","Period=FQ","BEST_FPERIOD_OVERRIDE=FQ","FILING_STATUS=MR","Sort=A","Dates=H","DateFormat=P","Fill=—","Direction=H","UseDPDF=Y")</f>
        <v>-91.103999999999999</v>
      </c>
      <c r="M30" s="14">
        <f>_xll.BDH("BLUE US Equity","NET_DBT_EX_OPER_LEA_LIABS_EQTY","FQ2 2021","FQ2 2021","Currency=USD","Period=FQ","BEST_FPERIOD_OVERRIDE=FQ","FILING_STATUS=MR","Sort=A","Dates=H","DateFormat=P","Fill=—","Direction=H","UseDPDF=Y")</f>
        <v>-95.639399999999995</v>
      </c>
      <c r="N30" s="14">
        <f>_xll.BDH("BLUE US Equity","NET_DBT_EX_OPER_LEA_LIABS_EQTY","FQ3 2021","FQ3 2021","Currency=USD","Period=FQ","BEST_FPERIOD_OVERRIDE=FQ","FILING_STATUS=MR","Sort=A","Dates=H","DateFormat=P","Fill=—","Direction=H","UseDPDF=Y")</f>
        <v>-111.5106</v>
      </c>
      <c r="O30" s="14">
        <f>_xll.BDH("BLUE US Equity","NET_DBT_EX_OPER_LEA_LIABS_EQTY","FQ4 2021","FQ4 2021","Currency=USD","Period=FQ","BEST_FPERIOD_OVERRIDE=FQ","FILING_STATUS=MR","Sort=A","Dates=H","DateFormat=P","Fill=—","Direction=H","UseDPDF=Y")</f>
        <v>-105.9688</v>
      </c>
      <c r="P30" s="14">
        <f>_xll.BDH("BLUE US Equity","NET_DBT_EX_OPER_LEA_LIABS_EQTY","FQ1 2022","FQ1 2022","Currency=USD","Period=FQ","BEST_FPERIOD_OVERRIDE=FQ","FILING_STATUS=MR","Sort=A","Dates=H","DateFormat=P","Fill=—","Direction=H","UseDPDF=Y")</f>
        <v>-101.2831</v>
      </c>
      <c r="Q30" s="14">
        <f>_xll.BDH("BLUE US Equity","NET_DBT_EX_OPER_LEA_LIABS_EQTY","FQ2 2022","FQ2 2022","Currency=USD","Period=FQ","BEST_FPERIOD_OVERRIDE=FQ","FILING_STATUS=MR","Sort=A","Dates=H","DateFormat=P","Fill=—","Direction=H","UseDPDF=Y")</f>
        <v>-96.132499999999993</v>
      </c>
      <c r="R30" s="14">
        <f>_xll.BDH("BLUE US Equity","NET_DBT_EX_OPER_LEA_LIABS_EQTY","FQ3 2022","FQ3 2022","Currency=USD","Period=FQ","BEST_FPERIOD_OVERRIDE=FQ","FILING_STATUS=MR","Sort=A","Dates=H","DateFormat=P","Fill=—","Direction=H","UseDPDF=Y")</f>
        <v>-88.784300000000002</v>
      </c>
      <c r="S30" s="14">
        <f>_xll.BDH("BLUE US Equity","NET_DBT_EX_OPER_LEA_LIABS_EQTY","FQ4 2022","FQ4 2022","Currency=USD","Period=FQ","BEST_FPERIOD_OVERRIDE=FQ","FILING_STATUS=MR","Sort=A","Dates=H","DateFormat=P","Fill=—","Direction=H","UseDPDF=Y")</f>
        <v>-135.29140000000001</v>
      </c>
      <c r="T30" s="14">
        <f>_xll.BDH("BLUE US Equity","NET_DBT_EX_OPER_LEA_LIABS_EQTY","FQ1 2023","FQ1 2023","Currency=USD","Period=FQ","BEST_FPERIOD_OVERRIDE=FQ","FILING_STATUS=MR","Sort=A","Dates=H","DateFormat=P","Fill=—","Direction=H","UseDPDF=Y")</f>
        <v>-89.715599999999995</v>
      </c>
      <c r="U30" s="14">
        <f>_xll.BDH("BLUE US Equity","NET_DBT_EX_OPER_LEA_LIABS_EQTY","FQ2 2023","FQ2 2023","Currency=USD","Period=FQ","BEST_FPERIOD_OVERRIDE=FQ","FILING_STATUS=MR","Sort=A","Dates=H","DateFormat=P","Fill=—","Direction=H","UseDPDF=Y")</f>
        <v>-84.874399999999994</v>
      </c>
      <c r="V30" s="14">
        <f>_xll.BDH("BLUE US Equity","NET_DBT_EX_OPER_LEA_LIABS_EQTY","FQ3 2023","FQ3 2023","Currency=USD","Period=FQ","BEST_FPERIOD_OVERRIDE=FQ","FILING_STATUS=MR","Sort=A","Dates=H","DateFormat=P","Fill=—","Direction=H","UseDPDF=Y")</f>
        <v>-78.321299999999994</v>
      </c>
      <c r="W30" s="14">
        <f>_xll.BDH("BLUE US Equity","NET_DBT_EX_OPER_LEA_LIABS_EQTY","FQ4 2023","FQ4 2023","Currency=USD","Period=FQ","BEST_FPERIOD_OVERRIDE=FQ","FILING_STATUS=MR","Sort=A","Dates=H","DateFormat=P","Fill=—","Direction=H","UseDPDF=Y")</f>
        <v>-113.99120000000001</v>
      </c>
      <c r="X30" s="14">
        <f>_xll.BDH("BLUE US Equity","NET_DBT_EX_OPER_LEA_LIABS_EQTY","FQ1 2024","FQ1 2024","Currency=USD","Period=FQ","BEST_FPERIOD_OVERRIDE=FQ","FILING_STATUS=MR","Sort=A","Dates=H","DateFormat=P","Fill=—","Direction=H","UseDPDF=Y")</f>
        <v>-2.0992999999999999</v>
      </c>
      <c r="Y30" s="14">
        <f>_xll.BDH("BLUE US Equity","NET_DBT_EX_OPER_LEA_LIABS_EQTY","FQ2 2024","FQ2 2024","Currency=USD","Period=FQ","BEST_FPERIOD_OVERRIDE=FQ","FILING_STATUS=MR","Sort=A","Dates=H","DateFormat=P","Fill=—","Direction=H","UseDPDF=Y")</f>
        <v>88.269400000000005</v>
      </c>
      <c r="Z30" s="14" t="str">
        <f>_xll.BDH("BLUE US Equity","NET_DBT_EX_OPER_LEA_LIABS_EQTY","FQ3 2024","FQ3 2024","Currency=USD","Period=FQ","BEST_FPERIOD_OVERRIDE=FQ","FILING_STATUS=MR","Sort=A","Dates=H","DateFormat=P","Fill=—","Direction=H","UseDPDF=Y")</f>
        <v>—</v>
      </c>
      <c r="AA30" s="14" t="str">
        <f>_xll.BDH("BLUE US Equity","NET_DBT_EX_OPER_LEA_LIABS_EQTY","FQ4 2024","FQ4 2024","Currency=USD","Period=FQ","BEST_FPERIOD_OVERRIDE=FQ","FILING_STATUS=MR","Sort=A","Dates=H","DateFormat=P","Fill=—","Direction=H","UseDPDF=Y")</f>
        <v>—</v>
      </c>
    </row>
    <row r="31" spans="1:27" x14ac:dyDescent="0.25">
      <c r="A31" s="10" t="s">
        <v>1362</v>
      </c>
      <c r="B31" s="10" t="s">
        <v>1380</v>
      </c>
      <c r="C31" s="14">
        <f>_xll.BDH("BLUE US Equity","NET_DBT_CPTL_EX_OPER_LEA_LIABS","FQ4 2018","FQ4 2018","Currency=USD","Period=FQ","BEST_FPERIOD_OVERRIDE=FQ","FILING_STATUS=MR","Sort=A","Dates=H","DateFormat=P","Fill=—","Direction=H","UseDPDF=Y")</f>
        <v>-1182.6921</v>
      </c>
      <c r="D31" s="14">
        <f>_xll.BDH("BLUE US Equity","NET_DBT_CPTL_EX_OPER_LEA_LIABS","FQ1 2019","FQ1 2019","Currency=USD","Period=FQ","BEST_FPERIOD_OVERRIDE=FQ","FILING_STATUS=MR","Sort=A","Dates=H","DateFormat=P","Fill=—","Direction=H","UseDPDF=Y")</f>
        <v>-4187.3708999999999</v>
      </c>
      <c r="E31" s="14">
        <f>_xll.BDH("BLUE US Equity","NET_DBT_CPTL_EX_OPER_LEA_LIABS","FQ2 2019","FQ2 2019","Currency=USD","Period=FQ","BEST_FPERIOD_OVERRIDE=FQ","FILING_STATUS=MR","Sort=A","Dates=H","DateFormat=P","Fill=—","Direction=H","UseDPDF=Y")</f>
        <v>-1630.2944</v>
      </c>
      <c r="F31" s="14">
        <f>_xll.BDH("BLUE US Equity","NET_DBT_CPTL_EX_OPER_LEA_LIABS","FQ3 2019","FQ3 2019","Currency=USD","Period=FQ","BEST_FPERIOD_OVERRIDE=FQ","FILING_STATUS=MR","Sort=A","Dates=H","DateFormat=P","Fill=—","Direction=H","UseDPDF=Y")</f>
        <v>-2135.8598000000002</v>
      </c>
      <c r="G31" s="14">
        <f>_xll.BDH("BLUE US Equity","NET_DBT_CPTL_EX_OPER_LEA_LIABS","FQ4 2019","FQ4 2019","Currency=USD","Period=FQ","BEST_FPERIOD_OVERRIDE=FQ","FILING_STATUS=MR","Sort=A","Dates=H","DateFormat=P","Fill=—","Direction=H","UseDPDF=Y")</f>
        <v>-2632.4578999999999</v>
      </c>
      <c r="H31" s="14">
        <f>_xll.BDH("BLUE US Equity","NET_DBT_CPTL_EX_OPER_LEA_LIABS","FQ1 2020","FQ1 2020","Currency=USD","Period=FQ","BEST_FPERIOD_OVERRIDE=FQ","FILING_STATUS=MR","Sort=A","Dates=H","DateFormat=P","Fill=—","Direction=H","UseDPDF=Y")</f>
        <v>-997.64589999999998</v>
      </c>
      <c r="I31" s="14">
        <f>_xll.BDH("BLUE US Equity","NET_DBT_CPTL_EX_OPER_LEA_LIABS","FQ2 2020","FQ2 2020","Currency=USD","Period=FQ","BEST_FPERIOD_OVERRIDE=FQ","FILING_STATUS=MR","Sort=A","Dates=H","DateFormat=P","Fill=—","Direction=H","UseDPDF=Y")</f>
        <v>-1920.7489</v>
      </c>
      <c r="J31" s="14">
        <f>_xll.BDH("BLUE US Equity","NET_DBT_CPTL_EX_OPER_LEA_LIABS","FQ3 2020","FQ3 2020","Currency=USD","Period=FQ","BEST_FPERIOD_OVERRIDE=FQ","FILING_STATUS=MR","Sort=A","Dates=H","DateFormat=P","Fill=—","Direction=H","UseDPDF=Y")</f>
        <v>-1688.6120000000001</v>
      </c>
      <c r="K31" s="14">
        <f>_xll.BDH("BLUE US Equity","NET_DBT_CPTL_EX_OPER_LEA_LIABS","FQ4 2020","FQ4 2020","Currency=USD","Period=FQ","BEST_FPERIOD_OVERRIDE=FQ","FILING_STATUS=MR","Sort=A","Dates=H","DateFormat=P","Fill=—","Direction=H","UseDPDF=Y")</f>
        <v>-120.9152</v>
      </c>
      <c r="L31" s="14">
        <f>_xll.BDH("BLUE US Equity","NET_DBT_CPTL_EX_OPER_LEA_LIABS","FQ1 2021","FQ1 2021","Currency=USD","Period=FQ","BEST_FPERIOD_OVERRIDE=FQ","FILING_STATUS=MR","Sort=A","Dates=H","DateFormat=P","Fill=—","Direction=H","UseDPDF=Y")</f>
        <v>-1024.0968</v>
      </c>
      <c r="M31" s="14">
        <f>_xll.BDH("BLUE US Equity","NET_DBT_CPTL_EX_OPER_LEA_LIABS","FQ2 2021","FQ2 2021","Currency=USD","Period=FQ","BEST_FPERIOD_OVERRIDE=FQ","FILING_STATUS=MR","Sort=A","Dates=H","DateFormat=P","Fill=—","Direction=H","UseDPDF=Y")</f>
        <v>-2193.2498999999998</v>
      </c>
      <c r="N31" s="14">
        <f>_xll.BDH("BLUE US Equity","NET_DBT_CPTL_EX_OPER_LEA_LIABS","FQ3 2021","FQ3 2021","Currency=USD","Period=FQ","BEST_FPERIOD_OVERRIDE=FQ","FILING_STATUS=MR","Sort=A","Dates=H","DateFormat=P","Fill=—","Direction=H","UseDPDF=Y")</f>
        <v>968.76340000000005</v>
      </c>
      <c r="O31" s="14">
        <f>_xll.BDH("BLUE US Equity","NET_DBT_CPTL_EX_OPER_LEA_LIABS","FQ4 2021","FQ4 2021","Currency=USD","Period=FQ","BEST_FPERIOD_OVERRIDE=FQ","FILING_STATUS=MR","Sort=A","Dates=H","DateFormat=P","Fill=—","Direction=H","UseDPDF=Y")</f>
        <v>1775.3670999999999</v>
      </c>
      <c r="P31" s="14">
        <f>_xll.BDH("BLUE US Equity","NET_DBT_CPTL_EX_OPER_LEA_LIABS","FQ1 2022","FQ1 2022","Currency=USD","Period=FQ","BEST_FPERIOD_OVERRIDE=FQ","FILING_STATUS=MR","Sort=A","Dates=H","DateFormat=P","Fill=—","Direction=H","UseDPDF=Y")</f>
        <v>7893.3392999999996</v>
      </c>
      <c r="Q31" s="14">
        <f>_xll.BDH("BLUE US Equity","NET_DBT_CPTL_EX_OPER_LEA_LIABS","FQ2 2022","FQ2 2022","Currency=USD","Period=FQ","BEST_FPERIOD_OVERRIDE=FQ","FILING_STATUS=MR","Sort=A","Dates=H","DateFormat=P","Fill=—","Direction=H","UseDPDF=Y")</f>
        <v>-2485.6446000000001</v>
      </c>
      <c r="R31" s="14">
        <f>_xll.BDH("BLUE US Equity","NET_DBT_CPTL_EX_OPER_LEA_LIABS","FQ3 2022","FQ3 2022","Currency=USD","Period=FQ","BEST_FPERIOD_OVERRIDE=FQ","FILING_STATUS=MR","Sort=A","Dates=H","DateFormat=P","Fill=—","Direction=H","UseDPDF=Y")</f>
        <v>-791.60350000000005</v>
      </c>
      <c r="S31" s="14">
        <f>_xll.BDH("BLUE US Equity","NET_DBT_CPTL_EX_OPER_LEA_LIABS","FQ4 2022","FQ4 2022","Currency=USD","Period=FQ","BEST_FPERIOD_OVERRIDE=FQ","FILING_STATUS=MR","Sort=A","Dates=H","DateFormat=P","Fill=—","Direction=H","UseDPDF=Y")</f>
        <v>383.35509999999999</v>
      </c>
      <c r="T31" s="14">
        <f>_xll.BDH("BLUE US Equity","NET_DBT_CPTL_EX_OPER_LEA_LIABS","FQ1 2023","FQ1 2023","Currency=USD","Period=FQ","BEST_FPERIOD_OVERRIDE=FQ","FILING_STATUS=MR","Sort=A","Dates=H","DateFormat=P","Fill=—","Direction=H","UseDPDF=Y")</f>
        <v>-872.3433</v>
      </c>
      <c r="U31" s="14">
        <f>_xll.BDH("BLUE US Equity","NET_DBT_CPTL_EX_OPER_LEA_LIABS","FQ2 2023","FQ2 2023","Currency=USD","Period=FQ","BEST_FPERIOD_OVERRIDE=FQ","FILING_STATUS=MR","Sort=A","Dates=H","DateFormat=P","Fill=—","Direction=H","UseDPDF=Y")</f>
        <v>-561.12860000000001</v>
      </c>
      <c r="V31" s="14">
        <f>_xll.BDH("BLUE US Equity","NET_DBT_CPTL_EX_OPER_LEA_LIABS","FQ3 2023","FQ3 2023","Currency=USD","Period=FQ","BEST_FPERIOD_OVERRIDE=FQ","FILING_STATUS=MR","Sort=A","Dates=H","DateFormat=P","Fill=—","Direction=H","UseDPDF=Y")</f>
        <v>-361.28140000000002</v>
      </c>
      <c r="W31" s="14">
        <f>_xll.BDH("BLUE US Equity","NET_DBT_CPTL_EX_OPER_LEA_LIABS","FQ4 2023","FQ4 2023","Currency=USD","Period=FQ","BEST_FPERIOD_OVERRIDE=FQ","FILING_STATUS=MR","Sort=A","Dates=H","DateFormat=P","Fill=—","Direction=H","UseDPDF=Y")</f>
        <v>814.73659999999995</v>
      </c>
      <c r="X31" s="14">
        <f>_xll.BDH("BLUE US Equity","NET_DBT_CPTL_EX_OPER_LEA_LIABS","FQ1 2024","FQ1 2024","Currency=USD","Period=FQ","BEST_FPERIOD_OVERRIDE=FQ","FILING_STATUS=MR","Sort=A","Dates=H","DateFormat=P","Fill=—","Direction=H","UseDPDF=Y")</f>
        <v>-2.1442999999999999</v>
      </c>
      <c r="Y31" s="14">
        <f>_xll.BDH("BLUE US Equity","NET_DBT_CPTL_EX_OPER_LEA_LIABS","FQ2 2024","FQ2 2024","Currency=USD","Period=FQ","BEST_FPERIOD_OVERRIDE=FQ","FILING_STATUS=MR","Sort=A","Dates=H","DateFormat=P","Fill=—","Direction=H","UseDPDF=Y")</f>
        <v>46.884599999999999</v>
      </c>
      <c r="Z31" s="14">
        <f>_xll.BDH("BLUE US Equity","NET_DBT_CPTL_EX_OPER_LEA_LIABS","FQ3 2024","FQ3 2024","Currency=USD","Period=FQ","BEST_FPERIOD_OVERRIDE=FQ","FILING_STATUS=MR","Sort=A","Dates=H","DateFormat=P","Fill=—","Direction=H","UseDPDF=Y")</f>
        <v>106.02589999999999</v>
      </c>
      <c r="AA31" s="14">
        <f>_xll.BDH("BLUE US Equity","NET_DBT_CPTL_EX_OPER_LEA_LIABS","FQ4 2024","FQ4 2024","Currency=USD","Period=FQ","BEST_FPERIOD_OVERRIDE=FQ","FILING_STATUS=MR","Sort=A","Dates=H","DateFormat=P","Fill=—","Direction=H","UseDPDF=Y")</f>
        <v>142.41800000000001</v>
      </c>
    </row>
    <row r="32" spans="1:27" x14ac:dyDescent="0.2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10" t="s">
        <v>78</v>
      </c>
      <c r="B33" s="10" t="s">
        <v>1381</v>
      </c>
      <c r="C33" s="13">
        <f>_xll.BDH("BLUE US Equity","EBITDA_AFTER_OPERATING_LEA_EXPN","FQ4 2018","FQ4 2018","Currency=USD","Period=FQ","BEST_FPERIOD_OVERRIDE=FQ","FILING_STATUS=MR","SCALING_FORMAT=MLN","FA_ADJUSTED=GAAP","Sort=A","Dates=H","DateFormat=P","Fill=—","Direction=H","UseDPDF=Y")</f>
        <v>-152.416</v>
      </c>
      <c r="D33" s="13">
        <f>_xll.BDH("BLUE US Equity","EBITDA_AFTER_OPERATING_LEA_EXPN","FQ1 2019","FQ1 2019","Currency=USD","Period=FQ","BEST_FPERIOD_OVERRIDE=FQ","FILING_STATUS=MR","SCALING_FORMAT=MLN","FA_ADJUSTED=GAAP","Sort=A","Dates=H","DateFormat=P","Fill=—","Direction=H","UseDPDF=Y")</f>
        <v>-167.39099999999999</v>
      </c>
      <c r="E33" s="13">
        <f>_xll.BDH("BLUE US Equity","EBITDA_AFTER_OPERATING_LEA_EXPN","FQ2 2019","FQ2 2019","Currency=USD","Period=FQ","BEST_FPERIOD_OVERRIDE=FQ","FILING_STATUS=MR","SCALING_FORMAT=MLN","FA_ADJUSTED=GAAP","Sort=A","Dates=H","DateFormat=P","Fill=—","Direction=H","UseDPDF=Y")</f>
        <v>-198.654</v>
      </c>
      <c r="F33" s="13">
        <f>_xll.BDH("BLUE US Equity","EBITDA_AFTER_OPERATING_LEA_EXPN","FQ3 2019","FQ3 2019","Currency=USD","Period=FQ","BEST_FPERIOD_OVERRIDE=FQ","FILING_STATUS=MR","SCALING_FORMAT=MLN","FA_ADJUSTED=GAAP","Sort=A","Dates=H","DateFormat=P","Fill=—","Direction=H","UseDPDF=Y")</f>
        <v>-205.869</v>
      </c>
      <c r="G33" s="13">
        <f>_xll.BDH("BLUE US Equity","EBITDA_AFTER_OPERATING_LEA_EXPN","FQ4 2019","FQ4 2019","Currency=USD","Period=FQ","BEST_FPERIOD_OVERRIDE=FQ","FILING_STATUS=MR","SCALING_FORMAT=MLN","FA_ADJUSTED=GAAP","Sort=A","Dates=H","DateFormat=P","Fill=—","Direction=H","UseDPDF=Y")</f>
        <v>-225.47800000000001</v>
      </c>
      <c r="H33" s="13">
        <f>_xll.BDH("BLUE US Equity","EBITDA_AFTER_OPERATING_LEA_EXPN","FQ1 2020","FQ1 2020","Currency=USD","Period=FQ","BEST_FPERIOD_OVERRIDE=FQ","FILING_STATUS=MR","SCALING_FORMAT=MLN","FA_ADJUSTED=GAAP","Sort=A","Dates=H","DateFormat=P","Fill=—","Direction=H","UseDPDF=Y")</f>
        <v>-198.54499999999999</v>
      </c>
      <c r="I33" s="13">
        <f>_xll.BDH("BLUE US Equity","EBITDA_AFTER_OPERATING_LEA_EXPN","FQ2 2020","FQ2 2020","Currency=USD","Period=FQ","BEST_FPERIOD_OVERRIDE=FQ","FILING_STATUS=MR","SCALING_FORMAT=MLN","FA_ADJUSTED=GAAP","Sort=A","Dates=H","DateFormat=P","Fill=—","Direction=H","UseDPDF=Y")</f>
        <v>-21.395</v>
      </c>
      <c r="J33" s="13">
        <f>_xll.BDH("BLUE US Equity","EBITDA_AFTER_OPERATING_LEA_EXPN","FQ3 2020","FQ3 2020","Currency=USD","Period=FQ","BEST_FPERIOD_OVERRIDE=FQ","FILING_STATUS=MR","SCALING_FORMAT=MLN","FA_ADJUSTED=GAAP","Sort=A","Dates=H","DateFormat=P","Fill=—","Direction=H","UseDPDF=Y")</f>
        <v>-184.74600000000001</v>
      </c>
      <c r="K33" s="13">
        <f>_xll.BDH("BLUE US Equity","EBITDA_AFTER_OPERATING_LEA_EXPN","FQ4 2020","FQ4 2020","Currency=USD","Period=FQ","BEST_FPERIOD_OVERRIDE=FQ","FILING_STATUS=MR","SCALING_FORMAT=MLN","FA_ADJUSTED=GAAP","Sort=A","Dates=H","DateFormat=P","Fill=—","Direction=H","UseDPDF=Y")</f>
        <v>-134.40899999999999</v>
      </c>
      <c r="L33" s="13">
        <f>_xll.BDH("BLUE US Equity","EBITDA_AFTER_OPERATING_LEA_EXPN","FQ1 2021","FQ1 2021","Currency=USD","Period=FQ","BEST_FPERIOD_OVERRIDE=FQ","FILING_STATUS=MR","SCALING_FORMAT=MLN","FA_ADJUSTED=GAAP","Sort=A","Dates=H","DateFormat=P","Fill=—","Direction=H","UseDPDF=Y")</f>
        <v>-140.73400000000001</v>
      </c>
      <c r="M33" s="13">
        <f>_xll.BDH("BLUE US Equity","EBITDA_AFTER_OPERATING_LEA_EXPN","FQ2 2021","FQ2 2021","Currency=USD","Period=FQ","BEST_FPERIOD_OVERRIDE=FQ","FILING_STATUS=MR","SCALING_FORMAT=MLN","FA_ADJUSTED=GAAP","Sort=A","Dates=H","DateFormat=P","Fill=—","Direction=H","UseDPDF=Y")</f>
        <v>-234.845</v>
      </c>
      <c r="N33" s="13">
        <f>_xll.BDH("BLUE US Equity","EBITDA_AFTER_OPERATING_LEA_EXPN","FQ3 2021","FQ3 2021","Currency=USD","Period=FQ","BEST_FPERIOD_OVERRIDE=FQ","FILING_STATUS=MR","SCALING_FORMAT=MLN","FA_ADJUSTED=GAAP","Sort=A","Dates=H","DateFormat=P","Fill=—","Direction=H","UseDPDF=Y")</f>
        <v>-148.46700000000001</v>
      </c>
      <c r="O33" s="13">
        <f>_xll.BDH("BLUE US Equity","EBITDA_AFTER_OPERATING_LEA_EXPN","FQ4 2021","FQ4 2021","Currency=USD","Period=FQ","BEST_FPERIOD_OVERRIDE=FQ","FILING_STATUS=MR","SCALING_FORMAT=MLN","FA_ADJUSTED=GAAP","Sort=A","Dates=H","DateFormat=P","Fill=—","Direction=H","UseDPDF=Y")</f>
        <v>-133.35300000000001</v>
      </c>
      <c r="P33" s="13">
        <f>_xll.BDH("BLUE US Equity","EBITDA_AFTER_OPERATING_LEA_EXPN","FQ1 2022","FQ1 2022","Currency=USD","Period=FQ","BEST_FPERIOD_OVERRIDE=FQ","FILING_STATUS=MR","SCALING_FORMAT=MLN","FA_ADJUSTED=GAAP","Sort=A","Dates=H","DateFormat=P","Fill=—","Direction=H","UseDPDF=Y")</f>
        <v>-119.33199999999999</v>
      </c>
      <c r="Q33" s="13">
        <f>_xll.BDH("BLUE US Equity","EBITDA_AFTER_OPERATING_LEA_EXPN","FQ2 2022","FQ2 2022","Currency=USD","Period=FQ","BEST_FPERIOD_OVERRIDE=FQ","FILING_STATUS=MR","SCALING_FORMAT=MLN","FA_ADJUSTED=GAAP","Sort=A","Dates=H","DateFormat=P","Fill=—","Direction=H","UseDPDF=Y")</f>
        <v>-106.056</v>
      </c>
      <c r="R33" s="13">
        <f>_xll.BDH("BLUE US Equity","EBITDA_AFTER_OPERATING_LEA_EXPN","FQ3 2022","FQ3 2022","Currency=USD","Period=FQ","BEST_FPERIOD_OVERRIDE=FQ","FILING_STATUS=MR","SCALING_FORMAT=MLN","FA_ADJUSTED=GAAP","Sort=A","Dates=H","DateFormat=P","Fill=—","Direction=H","UseDPDF=Y")</f>
        <v>-83.394000000000005</v>
      </c>
      <c r="S33" s="13">
        <f>_xll.BDH("BLUE US Equity","EBITDA_AFTER_OPERATING_LEA_EXPN","FQ4 2022","FQ4 2022","Currency=USD","Period=FQ","BEST_FPERIOD_OVERRIDE=FQ","FILING_STATUS=MR","SCALING_FORMAT=MLN","FA_ADJUSTED=GAAP","Sort=A","Dates=H","DateFormat=P","Fill=—","Direction=H","UseDPDF=Y")</f>
        <v>66.941000000000003</v>
      </c>
      <c r="T33" s="13">
        <f>_xll.BDH("BLUE US Equity","EBITDA_AFTER_OPERATING_LEA_EXPN","FQ1 2023","FQ1 2023","Currency=USD","Period=FQ","BEST_FPERIOD_OVERRIDE=FQ","FILING_STATUS=MR","SCALING_FORMAT=MLN","FA_ADJUSTED=GAAP","Sort=A","Dates=H","DateFormat=P","Fill=—","Direction=H","UseDPDF=Y")</f>
        <v>16.917000000000002</v>
      </c>
      <c r="U33" s="13">
        <f>_xll.BDH("BLUE US Equity","EBITDA_AFTER_OPERATING_LEA_EXPN","FQ2 2023","FQ2 2023","Currency=USD","Period=FQ","BEST_FPERIOD_OVERRIDE=FQ","FILING_STATUS=MR","SCALING_FORMAT=MLN","FA_ADJUSTED=GAAP","Sort=A","Dates=H","DateFormat=P","Fill=—","Direction=H","UseDPDF=Y")</f>
        <v>-65.638999999999996</v>
      </c>
      <c r="V33" s="13">
        <f>_xll.BDH("BLUE US Equity","EBITDA_AFTER_OPERATING_LEA_EXPN","FQ3 2023","FQ3 2023","Currency=USD","Period=FQ","BEST_FPERIOD_OVERRIDE=FQ","FILING_STATUS=MR","SCALING_FORMAT=MLN","FA_ADJUSTED=GAAP","Sort=A","Dates=H","DateFormat=P","Fill=—","Direction=H","UseDPDF=Y")</f>
        <v>-88.596000000000004</v>
      </c>
      <c r="W33" s="13">
        <f>_xll.BDH("BLUE US Equity","EBITDA_AFTER_OPERATING_LEA_EXPN","FQ4 2023","FQ4 2023","Currency=USD","Period=FQ","BEST_FPERIOD_OVERRIDE=FQ","FILING_STATUS=MR","SCALING_FORMAT=MLN","FA_ADJUSTED=GAAP","Sort=A","Dates=H","DateFormat=P","Fill=—","Direction=H","UseDPDF=Y")</f>
        <v>-57.271999999999998</v>
      </c>
      <c r="X33" s="13">
        <f>_xll.BDH("BLUE US Equity","EBITDA_AFTER_OPERATING_LEA_EXPN","FQ1 2024","FQ1 2024","Currency=USD","Period=FQ","BEST_FPERIOD_OVERRIDE=FQ","FILING_STATUS=MR","SCALING_FORMAT=MLN","FA_ADJUSTED=GAAP","Sort=A","Dates=H","DateFormat=P","Fill=—","Direction=H","UseDPDF=Y")</f>
        <v>-63.222999999999999</v>
      </c>
      <c r="Y33" s="13">
        <f>_xll.BDH("BLUE US Equity","EBITDA_AFTER_OPERATING_LEA_EXPN","FQ2 2024","FQ2 2024","Currency=USD","Period=FQ","BEST_FPERIOD_OVERRIDE=FQ","FILING_STATUS=MR","SCALING_FORMAT=MLN","FA_ADJUSTED=GAAP","Sort=A","Dates=H","DateFormat=P","Fill=—","Direction=H","UseDPDF=Y")</f>
        <v>-71.866</v>
      </c>
      <c r="Z33" s="13">
        <f>_xll.BDH("BLUE US Equity","EBITDA_AFTER_OPERATING_LEA_EXPN","FQ3 2024","FQ3 2024","Currency=USD","Period=FQ","BEST_FPERIOD_OVERRIDE=FQ","FILING_STATUS=MR","SCALING_FORMAT=MLN","FA_ADJUSTED=GAAP","Sort=A","Dates=H","DateFormat=P","Fill=—","Direction=H","UseDPDF=Y")</f>
        <v>-51.575000000000003</v>
      </c>
      <c r="AA33" s="13">
        <f>_xll.BDH("BLUE US Equity","EBITDA_AFTER_OPERATING_LEA_EXPN","FQ4 2024","FQ4 2024","Currency=USD","Period=FQ","BEST_FPERIOD_OVERRIDE=FQ","FILING_STATUS=MR","SCALING_FORMAT=MLN","FA_ADJUSTED=GAAP","Sort=A","Dates=H","DateFormat=P","Fill=—","Direction=H","UseDPDF=Y")</f>
        <v>-22.553000000000001</v>
      </c>
    </row>
    <row r="34" spans="1:27" x14ac:dyDescent="0.25">
      <c r="A34" s="10" t="s">
        <v>1364</v>
      </c>
      <c r="B34" s="10" t="s">
        <v>1382</v>
      </c>
      <c r="C34" s="13">
        <f>_xll.BDH("BLUE US Equity","EBITDA_AFT_CAPEX_AND_OP_LEA_EXPN","FQ4 2018","FQ4 2018","Currency=USD","Period=FQ","BEST_FPERIOD_OVERRIDE=FQ","FILING_STATUS=MR","SCALING_FORMAT=MLN","FA_ADJUSTED=GAAP","Sort=A","Dates=H","DateFormat=P","Fill=—","Direction=H","UseDPDF=Y")</f>
        <v>-165.309</v>
      </c>
      <c r="D34" s="13">
        <f>_xll.BDH("BLUE US Equity","EBITDA_AFT_CAPEX_AND_OP_LEA_EXPN","FQ1 2019","FQ1 2019","Currency=USD","Period=FQ","BEST_FPERIOD_OVERRIDE=FQ","FILING_STATUS=MR","SCALING_FORMAT=MLN","FA_ADJUSTED=GAAP","Sort=A","Dates=H","DateFormat=P","Fill=—","Direction=H","UseDPDF=Y")</f>
        <v>-186.71199999999999</v>
      </c>
      <c r="E34" s="13">
        <f>_xll.BDH("BLUE US Equity","EBITDA_AFT_CAPEX_AND_OP_LEA_EXPN","FQ2 2019","FQ2 2019","Currency=USD","Period=FQ","BEST_FPERIOD_OVERRIDE=FQ","FILING_STATUS=MR","SCALING_FORMAT=MLN","FA_ADJUSTED=GAAP","Sort=A","Dates=H","DateFormat=P","Fill=—","Direction=H","UseDPDF=Y")</f>
        <v>-217.25800000000001</v>
      </c>
      <c r="F34" s="13">
        <f>_xll.BDH("BLUE US Equity","EBITDA_AFT_CAPEX_AND_OP_LEA_EXPN","FQ3 2019","FQ3 2019","Currency=USD","Period=FQ","BEST_FPERIOD_OVERRIDE=FQ","FILING_STATUS=MR","SCALING_FORMAT=MLN","FA_ADJUSTED=GAAP","Sort=A","Dates=H","DateFormat=P","Fill=—","Direction=H","UseDPDF=Y")</f>
        <v>-226.58199999999999</v>
      </c>
      <c r="G34" s="13">
        <f>_xll.BDH("BLUE US Equity","EBITDA_AFT_CAPEX_AND_OP_LEA_EXPN","FQ4 2019","FQ4 2019","Currency=USD","Period=FQ","BEST_FPERIOD_OVERRIDE=FQ","FILING_STATUS=MR","SCALING_FORMAT=MLN","FA_ADJUSTED=GAAP","Sort=A","Dates=H","DateFormat=P","Fill=—","Direction=H","UseDPDF=Y")</f>
        <v>-237.86799999999999</v>
      </c>
      <c r="H34" s="13">
        <f>_xll.BDH("BLUE US Equity","EBITDA_AFT_CAPEX_AND_OP_LEA_EXPN","FQ1 2020","FQ1 2020","Currency=USD","Period=FQ","BEST_FPERIOD_OVERRIDE=FQ","FILING_STATUS=MR","SCALING_FORMAT=MLN","FA_ADJUSTED=GAAP","Sort=A","Dates=H","DateFormat=P","Fill=—","Direction=H","UseDPDF=Y")</f>
        <v>-209.221</v>
      </c>
      <c r="I34" s="13">
        <f>_xll.BDH("BLUE US Equity","EBITDA_AFT_CAPEX_AND_OP_LEA_EXPN","FQ2 2020","FQ2 2020","Currency=USD","Period=FQ","BEST_FPERIOD_OVERRIDE=FQ","FILING_STATUS=MR","SCALING_FORMAT=MLN","FA_ADJUSTED=GAAP","Sort=A","Dates=H","DateFormat=P","Fill=—","Direction=H","UseDPDF=Y")</f>
        <v>-26.196999999999999</v>
      </c>
      <c r="J34" s="13">
        <f>_xll.BDH("BLUE US Equity","EBITDA_AFT_CAPEX_AND_OP_LEA_EXPN","FQ3 2020","FQ3 2020","Currency=USD","Period=FQ","BEST_FPERIOD_OVERRIDE=FQ","FILING_STATUS=MR","SCALING_FORMAT=MLN","FA_ADJUSTED=GAAP","Sort=A","Dates=H","DateFormat=P","Fill=—","Direction=H","UseDPDF=Y")</f>
        <v>-190.36600000000001</v>
      </c>
      <c r="K34" s="13">
        <f>_xll.BDH("BLUE US Equity","EBITDA_AFT_CAPEX_AND_OP_LEA_EXPN","FQ4 2020","FQ4 2020","Currency=USD","Period=FQ","BEST_FPERIOD_OVERRIDE=FQ","FILING_STATUS=MR","SCALING_FORMAT=MLN","FA_ADJUSTED=GAAP","Sort=A","Dates=H","DateFormat=P","Fill=—","Direction=H","UseDPDF=Y")</f>
        <v>-142.297</v>
      </c>
      <c r="L34" s="13">
        <f>_xll.BDH("BLUE US Equity","EBITDA_AFT_CAPEX_AND_OP_LEA_EXPN","FQ1 2021","FQ1 2021","Currency=USD","Period=FQ","BEST_FPERIOD_OVERRIDE=FQ","FILING_STATUS=MR","SCALING_FORMAT=MLN","FA_ADJUSTED=GAAP","Sort=A","Dates=H","DateFormat=P","Fill=—","Direction=H","UseDPDF=Y")</f>
        <v>-148.36000000000001</v>
      </c>
      <c r="M34" s="13">
        <f>_xll.BDH("BLUE US Equity","EBITDA_AFT_CAPEX_AND_OP_LEA_EXPN","FQ2 2021","FQ2 2021","Currency=USD","Period=FQ","BEST_FPERIOD_OVERRIDE=FQ","FILING_STATUS=MR","SCALING_FORMAT=MLN","FA_ADJUSTED=GAAP","Sort=A","Dates=H","DateFormat=P","Fill=—","Direction=H","UseDPDF=Y")</f>
        <v>-236.423</v>
      </c>
      <c r="N34" s="13">
        <f>_xll.BDH("BLUE US Equity","EBITDA_AFT_CAPEX_AND_OP_LEA_EXPN","FQ3 2021","FQ3 2021","Currency=USD","Period=FQ","BEST_FPERIOD_OVERRIDE=FQ","FILING_STATUS=MR","SCALING_FORMAT=MLN","FA_ADJUSTED=GAAP","Sort=A","Dates=H","DateFormat=P","Fill=—","Direction=H","UseDPDF=Y")</f>
        <v>-152.20699999999999</v>
      </c>
      <c r="O34" s="13">
        <f>_xll.BDH("BLUE US Equity","EBITDA_AFT_CAPEX_AND_OP_LEA_EXPN","FQ4 2021","FQ4 2021","Currency=USD","Period=FQ","BEST_FPERIOD_OVERRIDE=FQ","FILING_STATUS=MR","SCALING_FORMAT=MLN","FA_ADJUSTED=GAAP","Sort=A","Dates=H","DateFormat=P","Fill=—","Direction=H","UseDPDF=Y")</f>
        <v>-134.91200000000001</v>
      </c>
      <c r="P34" s="13">
        <f>_xll.BDH("BLUE US Equity","EBITDA_AFT_CAPEX_AND_OP_LEA_EXPN","FQ1 2022","FQ1 2022","Currency=USD","Period=FQ","BEST_FPERIOD_OVERRIDE=FQ","FILING_STATUS=MR","SCALING_FORMAT=MLN","FA_ADJUSTED=GAAP","Sort=A","Dates=H","DateFormat=P","Fill=—","Direction=H","UseDPDF=Y")</f>
        <v>-120.18899999999999</v>
      </c>
      <c r="Q34" s="13">
        <f>_xll.BDH("BLUE US Equity","EBITDA_AFT_CAPEX_AND_OP_LEA_EXPN","FQ2 2022","FQ2 2022","Currency=USD","Period=FQ","BEST_FPERIOD_OVERRIDE=FQ","FILING_STATUS=MR","SCALING_FORMAT=MLN","FA_ADJUSTED=GAAP","Sort=A","Dates=H","DateFormat=P","Fill=—","Direction=H","UseDPDF=Y")</f>
        <v>-112.035</v>
      </c>
      <c r="R34" s="13">
        <f>_xll.BDH("BLUE US Equity","EBITDA_AFT_CAPEX_AND_OP_LEA_EXPN","FQ3 2022","FQ3 2022","Currency=USD","Period=FQ","BEST_FPERIOD_OVERRIDE=FQ","FILING_STATUS=MR","SCALING_FORMAT=MLN","FA_ADJUSTED=GAAP","Sort=A","Dates=H","DateFormat=P","Fill=—","Direction=H","UseDPDF=Y")</f>
        <v>-84.658000000000001</v>
      </c>
      <c r="S34" s="13">
        <f>_xll.BDH("BLUE US Equity","EBITDA_AFT_CAPEX_AND_OP_LEA_EXPN","FQ4 2022","FQ4 2022","Currency=USD","Period=FQ","BEST_FPERIOD_OVERRIDE=FQ","FILING_STATUS=MR","SCALING_FORMAT=MLN","FA_ADJUSTED=GAAP","Sort=A","Dates=H","DateFormat=P","Fill=—","Direction=H","UseDPDF=Y")</f>
        <v>66.832999999999998</v>
      </c>
      <c r="T34" s="13">
        <f>_xll.BDH("BLUE US Equity","EBITDA_AFT_CAPEX_AND_OP_LEA_EXPN","FQ1 2023","FQ1 2023","Currency=USD","Period=FQ","BEST_FPERIOD_OVERRIDE=FQ","FILING_STATUS=MR","SCALING_FORMAT=MLN","FA_ADJUSTED=GAAP","Sort=A","Dates=H","DateFormat=P","Fill=—","Direction=H","UseDPDF=Y")</f>
        <v>16.684999999999999</v>
      </c>
      <c r="U34" s="13">
        <f>_xll.BDH("BLUE US Equity","EBITDA_AFT_CAPEX_AND_OP_LEA_EXPN","FQ2 2023","FQ2 2023","Currency=USD","Period=FQ","BEST_FPERIOD_OVERRIDE=FQ","FILING_STATUS=MR","SCALING_FORMAT=MLN","FA_ADJUSTED=GAAP","Sort=A","Dates=H","DateFormat=P","Fill=—","Direction=H","UseDPDF=Y")</f>
        <v>-66.343999999999994</v>
      </c>
      <c r="V34" s="13">
        <f>_xll.BDH("BLUE US Equity","EBITDA_AFT_CAPEX_AND_OP_LEA_EXPN","FQ3 2023","FQ3 2023","Currency=USD","Period=FQ","BEST_FPERIOD_OVERRIDE=FQ","FILING_STATUS=MR","SCALING_FORMAT=MLN","FA_ADJUSTED=GAAP","Sort=A","Dates=H","DateFormat=P","Fill=—","Direction=H","UseDPDF=Y")</f>
        <v>-90.634</v>
      </c>
      <c r="W34" s="13">
        <f>_xll.BDH("BLUE US Equity","EBITDA_AFT_CAPEX_AND_OP_LEA_EXPN","FQ4 2023","FQ4 2023","Currency=USD","Period=FQ","BEST_FPERIOD_OVERRIDE=FQ","FILING_STATUS=MR","SCALING_FORMAT=MLN","FA_ADJUSTED=GAAP","Sort=A","Dates=H","DateFormat=P","Fill=—","Direction=H","UseDPDF=Y")</f>
        <v>-58.485999999999997</v>
      </c>
      <c r="X34" s="13">
        <f>_xll.BDH("BLUE US Equity","EBITDA_AFT_CAPEX_AND_OP_LEA_EXPN","FQ1 2024","FQ1 2024","Currency=USD","Period=FQ","BEST_FPERIOD_OVERRIDE=FQ","FILING_STATUS=MR","SCALING_FORMAT=MLN","FA_ADJUSTED=GAAP","Sort=A","Dates=H","DateFormat=P","Fill=—","Direction=H","UseDPDF=Y")</f>
        <v>-64.998000000000005</v>
      </c>
      <c r="Y34" s="13">
        <f>_xll.BDH("BLUE US Equity","EBITDA_AFT_CAPEX_AND_OP_LEA_EXPN","FQ2 2024","FQ2 2024","Currency=USD","Period=FQ","BEST_FPERIOD_OVERRIDE=FQ","FILING_STATUS=MR","SCALING_FORMAT=MLN","FA_ADJUSTED=GAAP","Sort=A","Dates=H","DateFormat=P","Fill=—","Direction=H","UseDPDF=Y")</f>
        <v>-71.924999999999997</v>
      </c>
      <c r="Z34" s="13">
        <f>_xll.BDH("BLUE US Equity","EBITDA_AFT_CAPEX_AND_OP_LEA_EXPN","FQ3 2024","FQ3 2024","Currency=USD","Period=FQ","BEST_FPERIOD_OVERRIDE=FQ","FILING_STATUS=MR","SCALING_FORMAT=MLN","FA_ADJUSTED=GAAP","Sort=A","Dates=H","DateFormat=P","Fill=—","Direction=H","UseDPDF=Y")</f>
        <v>-51.854999999999997</v>
      </c>
      <c r="AA34" s="13">
        <f>_xll.BDH("BLUE US Equity","EBITDA_AFT_CAPEX_AND_OP_LEA_EXPN","FQ4 2024","FQ4 2024","Currency=USD","Period=FQ","BEST_FPERIOD_OVERRIDE=FQ","FILING_STATUS=MR","SCALING_FORMAT=MLN","FA_ADJUSTED=GAAP","Sort=A","Dates=H","DateFormat=P","Fill=—","Direction=H","UseDPDF=Y")</f>
        <v>-23.038</v>
      </c>
    </row>
    <row r="35" spans="1:27" x14ac:dyDescent="0.25">
      <c r="A35" s="10" t="s">
        <v>141</v>
      </c>
      <c r="B35" s="10" t="s">
        <v>1383</v>
      </c>
      <c r="C35" s="13">
        <f>_xll.BDH("BLUE US Equity","EBIT_AFTER_OPERATING_LEASE","FQ4 2018","FQ4 2018","Currency=USD","Period=FQ","BEST_FPERIOD_OVERRIDE=FQ","FILING_STATUS=MR","SCALING_FORMAT=MLN","FA_ADJUSTED=GAAP","Sort=A","Dates=H","DateFormat=P","Fill=—","Direction=H","UseDPDF=Y")</f>
        <v>-156.96100000000001</v>
      </c>
      <c r="D35" s="13">
        <f>_xll.BDH("BLUE US Equity","EBIT_AFTER_OPERATING_LEASE","FQ1 2019","FQ1 2019","Currency=USD","Period=FQ","BEST_FPERIOD_OVERRIDE=FQ","FILING_STATUS=MR","SCALING_FORMAT=MLN","FA_ADJUSTED=GAAP","Sort=A","Dates=H","DateFormat=P","Fill=—","Direction=H","UseDPDF=Y")</f>
        <v>-171.17400000000001</v>
      </c>
      <c r="E35" s="13">
        <f>_xll.BDH("BLUE US Equity","EBIT_AFTER_OPERATING_LEASE","FQ2 2019","FQ2 2019","Currency=USD","Period=FQ","BEST_FPERIOD_OVERRIDE=FQ","FILING_STATUS=MR","SCALING_FORMAT=MLN","FA_ADJUSTED=GAAP","Sort=A","Dates=H","DateFormat=P","Fill=—","Direction=H","UseDPDF=Y")</f>
        <v>-202.702</v>
      </c>
      <c r="F35" s="13">
        <f>_xll.BDH("BLUE US Equity","EBIT_AFTER_OPERATING_LEASE","FQ3 2019","FQ3 2019","Currency=USD","Period=FQ","BEST_FPERIOD_OVERRIDE=FQ","FILING_STATUS=MR","SCALING_FORMAT=MLN","FA_ADJUSTED=GAAP","Sort=A","Dates=H","DateFormat=P","Fill=—","Direction=H","UseDPDF=Y")</f>
        <v>-210.416</v>
      </c>
      <c r="G35" s="13">
        <f>_xll.BDH("BLUE US Equity","EBIT_AFTER_OPERATING_LEASE","FQ4 2019","FQ4 2019","Currency=USD","Period=FQ","BEST_FPERIOD_OVERRIDE=FQ","FILING_STATUS=MR","SCALING_FORMAT=MLN","FA_ADJUSTED=GAAP","Sort=A","Dates=H","DateFormat=P","Fill=—","Direction=H","UseDPDF=Y")</f>
        <v>-230.53399999999999</v>
      </c>
      <c r="H35" s="13">
        <f>_xll.BDH("BLUE US Equity","EBIT_AFTER_OPERATING_LEASE","FQ1 2020","FQ1 2020","Currency=USD","Period=FQ","BEST_FPERIOD_OVERRIDE=FQ","FILING_STATUS=MR","SCALING_FORMAT=MLN","FA_ADJUSTED=GAAP","Sort=A","Dates=H","DateFormat=P","Fill=—","Direction=H","UseDPDF=Y")</f>
        <v>-203.42500000000001</v>
      </c>
      <c r="I35" s="13">
        <f>_xll.BDH("BLUE US Equity","EBIT_AFTER_OPERATING_LEASE","FQ2 2020","FQ2 2020","Currency=USD","Period=FQ","BEST_FPERIOD_OVERRIDE=FQ","FILING_STATUS=MR","SCALING_FORMAT=MLN","FA_ADJUSTED=GAAP","Sort=A","Dates=H","DateFormat=P","Fill=—","Direction=H","UseDPDF=Y")</f>
        <v>-25.945</v>
      </c>
      <c r="J35" s="13">
        <f>_xll.BDH("BLUE US Equity","EBIT_AFTER_OPERATING_LEASE","FQ3 2020","FQ3 2020","Currency=USD","Period=FQ","BEST_FPERIOD_OVERRIDE=FQ","FILING_STATUS=MR","SCALING_FORMAT=MLN","FA_ADJUSTED=GAAP","Sort=A","Dates=H","DateFormat=P","Fill=—","Direction=H","UseDPDF=Y")</f>
        <v>-189.69399999999999</v>
      </c>
      <c r="K35" s="13">
        <f>_xll.BDH("BLUE US Equity","EBIT_AFTER_OPERATING_LEASE","FQ4 2020","FQ4 2020","Currency=USD","Period=FQ","BEST_FPERIOD_OVERRIDE=FQ","FILING_STATUS=MR","SCALING_FORMAT=MLN","FA_ADJUSTED=GAAP","Sort=A","Dates=H","DateFormat=P","Fill=—","Direction=H","UseDPDF=Y")</f>
        <v>-139.387</v>
      </c>
      <c r="L35" s="13">
        <f>_xll.BDH("BLUE US Equity","EBIT_AFTER_OPERATING_LEASE","FQ1 2021","FQ1 2021","Currency=USD","Period=FQ","BEST_FPERIOD_OVERRIDE=FQ","FILING_STATUS=MR","SCALING_FORMAT=MLN","FA_ADJUSTED=GAAP","Sort=A","Dates=H","DateFormat=P","Fill=—","Direction=H","UseDPDF=Y")</f>
        <v>-146.09399999999999</v>
      </c>
      <c r="M35" s="13">
        <f>_xll.BDH("BLUE US Equity","EBIT_AFTER_OPERATING_LEASE","FQ2 2021","FQ2 2021","Currency=USD","Period=FQ","BEST_FPERIOD_OVERRIDE=FQ","FILING_STATUS=MR","SCALING_FORMAT=MLN","FA_ADJUSTED=GAAP","Sort=A","Dates=H","DateFormat=P","Fill=—","Direction=H","UseDPDF=Y")</f>
        <v>-240.83799999999999</v>
      </c>
      <c r="N35" s="13">
        <f>_xll.BDH("BLUE US Equity","EBIT_AFTER_OPERATING_LEASE","FQ3 2021","FQ3 2021","Currency=USD","Period=FQ","BEST_FPERIOD_OVERRIDE=FQ","FILING_STATUS=MR","SCALING_FORMAT=MLN","FA_ADJUSTED=GAAP","Sort=A","Dates=H","DateFormat=P","Fill=—","Direction=H","UseDPDF=Y")</f>
        <v>-154.44900000000001</v>
      </c>
      <c r="O35" s="13">
        <f>_xll.BDH("BLUE US Equity","EBIT_AFTER_OPERATING_LEASE","FQ4 2021","FQ4 2021","Currency=USD","Period=FQ","BEST_FPERIOD_OVERRIDE=FQ","FILING_STATUS=MR","SCALING_FORMAT=MLN","FA_ADJUSTED=GAAP","Sort=A","Dates=H","DateFormat=P","Fill=—","Direction=H","UseDPDF=Y")</f>
        <v>-135.667</v>
      </c>
      <c r="P35" s="13">
        <f>_xll.BDH("BLUE US Equity","EBIT_AFTER_OPERATING_LEASE","FQ1 2022","FQ1 2022","Currency=USD","Period=FQ","BEST_FPERIOD_OVERRIDE=FQ","FILING_STATUS=MR","SCALING_FORMAT=MLN","FA_ADJUSTED=GAAP","Sort=A","Dates=H","DateFormat=P","Fill=—","Direction=H","UseDPDF=Y")</f>
        <v>-120.346</v>
      </c>
      <c r="Q35" s="13">
        <f>_xll.BDH("BLUE US Equity","EBIT_AFTER_OPERATING_LEASE","FQ2 2022","FQ2 2022","Currency=USD","Period=FQ","BEST_FPERIOD_OVERRIDE=FQ","FILING_STATUS=MR","SCALING_FORMAT=MLN","FA_ADJUSTED=GAAP","Sort=A","Dates=H","DateFormat=P","Fill=—","Direction=H","UseDPDF=Y")</f>
        <v>-107.4</v>
      </c>
      <c r="R35" s="13">
        <f>_xll.BDH("BLUE US Equity","EBIT_AFTER_OPERATING_LEASE","FQ3 2022","FQ3 2022","Currency=USD","Period=FQ","BEST_FPERIOD_OVERRIDE=FQ","FILING_STATUS=MR","SCALING_FORMAT=MLN","FA_ADJUSTED=GAAP","Sort=A","Dates=H","DateFormat=P","Fill=—","Direction=H","UseDPDF=Y")</f>
        <v>-84.781000000000006</v>
      </c>
      <c r="S35" s="13">
        <f>_xll.BDH("BLUE US Equity","EBIT_AFTER_OPERATING_LEASE","FQ4 2022","FQ4 2022","Currency=USD","Period=FQ","BEST_FPERIOD_OVERRIDE=FQ","FILING_STATUS=MR","SCALING_FORMAT=MLN","FA_ADJUSTED=GAAP","Sort=A","Dates=H","DateFormat=P","Fill=—","Direction=H","UseDPDF=Y")</f>
        <v>62.341999999999999</v>
      </c>
      <c r="T35" s="13">
        <f>_xll.BDH("BLUE US Equity","EBIT_AFTER_OPERATING_LEASE","FQ1 2023","FQ1 2023","Currency=USD","Period=FQ","BEST_FPERIOD_OVERRIDE=FQ","FILING_STATUS=MR","SCALING_FORMAT=MLN","FA_ADJUSTED=GAAP","Sort=A","Dates=H","DateFormat=P","Fill=—","Direction=H","UseDPDF=Y")</f>
        <v>10.744999999999999</v>
      </c>
      <c r="U35" s="13">
        <f>_xll.BDH("BLUE US Equity","EBIT_AFTER_OPERATING_LEASE","FQ2 2023","FQ2 2023","Currency=USD","Period=FQ","BEST_FPERIOD_OVERRIDE=FQ","FILING_STATUS=MR","SCALING_FORMAT=MLN","FA_ADJUSTED=GAAP","Sort=A","Dates=H","DateFormat=P","Fill=—","Direction=H","UseDPDF=Y")</f>
        <v>-71.716999999999999</v>
      </c>
      <c r="V35" s="13">
        <f>_xll.BDH("BLUE US Equity","EBIT_AFTER_OPERATING_LEASE","FQ3 2023","FQ3 2023","Currency=USD","Period=FQ","BEST_FPERIOD_OVERRIDE=FQ","FILING_STATUS=MR","SCALING_FORMAT=MLN","FA_ADJUSTED=GAAP","Sort=A","Dates=H","DateFormat=P","Fill=—","Direction=H","UseDPDF=Y")</f>
        <v>-96.006</v>
      </c>
      <c r="W35" s="13">
        <f>_xll.BDH("BLUE US Equity","EBIT_AFTER_OPERATING_LEASE","FQ4 2023","FQ4 2023","Currency=USD","Period=FQ","BEST_FPERIOD_OVERRIDE=FQ","FILING_STATUS=MR","SCALING_FORMAT=MLN","FA_ADJUSTED=GAAP","Sort=A","Dates=H","DateFormat=P","Fill=—","Direction=H","UseDPDF=Y")</f>
        <v>-82.673000000000002</v>
      </c>
      <c r="X35" s="13">
        <f>_xll.BDH("BLUE US Equity","EBIT_AFTER_OPERATING_LEASE","FQ1 2024","FQ1 2024","Currency=USD","Period=FQ","BEST_FPERIOD_OVERRIDE=FQ","FILING_STATUS=MR","SCALING_FORMAT=MLN","FA_ADJUSTED=GAAP","Sort=A","Dates=H","DateFormat=P","Fill=—","Direction=H","UseDPDF=Y")</f>
        <v>-78.691999999999993</v>
      </c>
      <c r="Y35" s="13">
        <f>_xll.BDH("BLUE US Equity","EBIT_AFTER_OPERATING_LEASE","FQ2 2024","FQ2 2024","Currency=USD","Period=FQ","BEST_FPERIOD_OVERRIDE=FQ","FILING_STATUS=MR","SCALING_FORMAT=MLN","FA_ADJUSTED=GAAP","Sort=A","Dates=H","DateFormat=P","Fill=—","Direction=H","UseDPDF=Y")</f>
        <v>-88.391999999999996</v>
      </c>
      <c r="Z35" s="13">
        <f>_xll.BDH("BLUE US Equity","EBIT_AFTER_OPERATING_LEASE","FQ3 2024","FQ3 2024","Currency=USD","Period=FQ","BEST_FPERIOD_OVERRIDE=FQ","FILING_STATUS=MR","SCALING_FORMAT=MLN","FA_ADJUSTED=GAAP","Sort=A","Dates=H","DateFormat=P","Fill=—","Direction=H","UseDPDF=Y")</f>
        <v>-66.918999999999997</v>
      </c>
      <c r="AA35" s="13">
        <f>_xll.BDH("BLUE US Equity","EBIT_AFTER_OPERATING_LEASE","FQ4 2024","FQ4 2024","Currency=USD","Period=FQ","BEST_FPERIOD_OVERRIDE=FQ","FILING_STATUS=MR","SCALING_FORMAT=MLN","FA_ADJUSTED=GAAP","Sort=A","Dates=H","DateFormat=P","Fill=—","Direction=H","UseDPDF=Y")</f>
        <v>-36.457999999999998</v>
      </c>
    </row>
    <row r="36" spans="1:27" x14ac:dyDescent="0.25">
      <c r="A36" s="7" t="s">
        <v>90</v>
      </c>
      <c r="B36" s="7"/>
      <c r="C36" s="7" t="s">
        <v>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1384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10" t="s">
        <v>1385</v>
      </c>
      <c r="B6" s="10" t="s">
        <v>1386</v>
      </c>
      <c r="C6" s="14">
        <f>_xll.BDH("BLUE US Equity","CASH_RATIO","FQ4 2018","FQ4 2018","Currency=USD","Period=FQ","BEST_FPERIOD_OVERRIDE=FQ","FILING_STATUS=MR","Sort=A","Dates=H","DateFormat=P","Fill=—","Direction=H","UseDPDF=Y")</f>
        <v>9.4604999999999997</v>
      </c>
      <c r="D6" s="14">
        <f>_xll.BDH("BLUE US Equity","CASH_RATIO","FQ1 2019","FQ1 2019","Currency=USD","Period=FQ","BEST_FPERIOD_OVERRIDE=FQ","FILING_STATUS=MR","Sort=A","Dates=H","DateFormat=P","Fill=—","Direction=H","UseDPDF=Y")</f>
        <v>9.0108999999999995</v>
      </c>
      <c r="E6" s="14">
        <f>_xll.BDH("BLUE US Equity","CASH_RATIO","FQ2 2019","FQ2 2019","Currency=USD","Period=FQ","BEST_FPERIOD_OVERRIDE=FQ","FILING_STATUS=MR","Sort=A","Dates=H","DateFormat=P","Fill=—","Direction=H","UseDPDF=Y")</f>
        <v>7.7347999999999999</v>
      </c>
      <c r="F6" s="14">
        <f>_xll.BDH("BLUE US Equity","CASH_RATIO","FQ3 2019","FQ3 2019","Currency=USD","Period=FQ","BEST_FPERIOD_OVERRIDE=FQ","FILING_STATUS=MR","Sort=A","Dates=H","DateFormat=P","Fill=—","Direction=H","UseDPDF=Y")</f>
        <v>6.0191999999999997</v>
      </c>
      <c r="G6" s="14">
        <f>_xll.BDH("BLUE US Equity","CASH_RATIO","FQ4 2019","FQ4 2019","Currency=USD","Period=FQ","BEST_FPERIOD_OVERRIDE=FQ","FILING_STATUS=MR","Sort=A","Dates=H","DateFormat=P","Fill=—","Direction=H","UseDPDF=Y")</f>
        <v>4.9488000000000003</v>
      </c>
      <c r="H6" s="14">
        <f>_xll.BDH("BLUE US Equity","CASH_RATIO","FQ1 2020","FQ1 2020","Currency=USD","Period=FQ","BEST_FPERIOD_OVERRIDE=FQ","FILING_STATUS=MR","Sort=A","Dates=H","DateFormat=P","Fill=—","Direction=H","UseDPDF=Y")</f>
        <v>4.9379999999999997</v>
      </c>
      <c r="I6" s="14">
        <f>_xll.BDH("BLUE US Equity","CASH_RATIO","FQ2 2020","FQ2 2020","Currency=USD","Period=FQ","BEST_FPERIOD_OVERRIDE=FQ","FILING_STATUS=MR","Sort=A","Dates=H","DateFormat=P","Fill=—","Direction=H","UseDPDF=Y")</f>
        <v>7.8577000000000004</v>
      </c>
      <c r="J6" s="14">
        <f>_xll.BDH("BLUE US Equity","CASH_RATIO","FQ3 2020","FQ3 2020","Currency=USD","Period=FQ","BEST_FPERIOD_OVERRIDE=FQ","FILING_STATUS=MR","Sort=A","Dates=H","DateFormat=P","Fill=—","Direction=H","UseDPDF=Y")</f>
        <v>6.2478999999999996</v>
      </c>
      <c r="K6" s="14">
        <f>_xll.BDH("BLUE US Equity","CASH_RATIO","FQ4 2020","FQ4 2020","Currency=USD","Period=FQ","BEST_FPERIOD_OVERRIDE=FQ","FILING_STATUS=MR","Sort=A","Dates=H","DateFormat=P","Fill=—","Direction=H","UseDPDF=Y")</f>
        <v>3.3412000000000002</v>
      </c>
      <c r="L6" s="14">
        <f>_xll.BDH("BLUE US Equity","CASH_RATIO","FQ1 2021","FQ1 2021","Currency=USD","Period=FQ","BEST_FPERIOD_OVERRIDE=FQ","FILING_STATUS=MR","Sort=A","Dates=H","DateFormat=P","Fill=—","Direction=H","UseDPDF=Y")</f>
        <v>4.9071999999999996</v>
      </c>
      <c r="M6" s="14">
        <f>_xll.BDH("BLUE US Equity","CASH_RATIO","FQ2 2021","FQ2 2021","Currency=USD","Period=FQ","BEST_FPERIOD_OVERRIDE=FQ","FILING_STATUS=MR","Sort=A","Dates=H","DateFormat=P","Fill=—","Direction=H","UseDPDF=Y")</f>
        <v>3.3891</v>
      </c>
      <c r="N6" s="14">
        <f>_xll.BDH("BLUE US Equity","CASH_RATIO","FQ3 2021","FQ3 2021","Currency=USD","Period=FQ","BEST_FPERIOD_OVERRIDE=FQ","FILING_STATUS=MR","Sort=A","Dates=H","DateFormat=P","Fill=—","Direction=H","UseDPDF=Y")</f>
        <v>2.9171999999999998</v>
      </c>
      <c r="O6" s="14">
        <f>_xll.BDH("BLUE US Equity","CASH_RATIO","FQ4 2021","FQ4 2021","Currency=USD","Period=FQ","BEST_FPERIOD_OVERRIDE=FQ","FILING_STATUS=MR","Sort=A","Dates=H","DateFormat=P","Fill=—","Direction=H","UseDPDF=Y")</f>
        <v>1.9576</v>
      </c>
      <c r="P6" s="14">
        <f>_xll.BDH("BLUE US Equity","CASH_RATIO","FQ1 2022","FQ1 2022","Currency=USD","Period=FQ","BEST_FPERIOD_OVERRIDE=FQ","FILING_STATUS=MR","Sort=A","Dates=H","DateFormat=P","Fill=—","Direction=H","UseDPDF=Y")</f>
        <v>1.4807999999999999</v>
      </c>
      <c r="Q6" s="14">
        <f>_xll.BDH("BLUE US Equity","CASH_RATIO","FQ2 2022","FQ2 2022","Currency=USD","Period=FQ","BEST_FPERIOD_OVERRIDE=FQ","FILING_STATUS=MR","Sort=A","Dates=H","DateFormat=P","Fill=—","Direction=H","UseDPDF=Y")</f>
        <v>0.89019999999999999</v>
      </c>
      <c r="R6" s="14">
        <f>_xll.BDH("BLUE US Equity","CASH_RATIO","FQ3 2022","FQ3 2022","Currency=USD","Period=FQ","BEST_FPERIOD_OVERRIDE=FQ","FILING_STATUS=MR","Sort=A","Dates=H","DateFormat=P","Fill=—","Direction=H","UseDPDF=Y")</f>
        <v>1.1017999999999999</v>
      </c>
      <c r="S6" s="14">
        <f>_xll.BDH("BLUE US Equity","CASH_RATIO","FQ4 2022","FQ4 2022","Currency=USD","Period=FQ","BEST_FPERIOD_OVERRIDE=FQ","FILING_STATUS=MR","Sort=A","Dates=H","DateFormat=P","Fill=—","Direction=H","UseDPDF=Y")</f>
        <v>1.1516999999999999</v>
      </c>
      <c r="T6" s="14">
        <f>_xll.BDH("BLUE US Equity","CASH_RATIO","FQ1 2023","FQ1 2023","Currency=USD","Period=FQ","BEST_FPERIOD_OVERRIDE=FQ","FILING_STATUS=MR","Sort=A","Dates=H","DateFormat=P","Fill=—","Direction=H","UseDPDF=Y")</f>
        <v>2.7452000000000001</v>
      </c>
      <c r="U6" s="14">
        <f>_xll.BDH("BLUE US Equity","CASH_RATIO","FQ2 2023","FQ2 2023","Currency=USD","Period=FQ","BEST_FPERIOD_OVERRIDE=FQ","FILING_STATUS=MR","Sort=A","Dates=H","DateFormat=P","Fill=—","Direction=H","UseDPDF=Y")</f>
        <v>1.8168</v>
      </c>
      <c r="V6" s="14">
        <f>_xll.BDH("BLUE US Equity","CASH_RATIO","FQ3 2023","FQ3 2023","Currency=USD","Period=FQ","BEST_FPERIOD_OVERRIDE=FQ","FILING_STATUS=MR","Sort=A","Dates=H","DateFormat=P","Fill=—","Direction=H","UseDPDF=Y")</f>
        <v>1.0965</v>
      </c>
      <c r="W6" s="14">
        <f>_xll.BDH("BLUE US Equity","CASH_RATIO","FQ4 2023","FQ4 2023","Currency=USD","Period=FQ","BEST_FPERIOD_OVERRIDE=FQ","FILING_STATUS=MR","Sort=A","Dates=H","DateFormat=P","Fill=—","Direction=H","UseDPDF=Y")</f>
        <v>1.1081000000000001</v>
      </c>
      <c r="X6" s="14">
        <f>_xll.BDH("BLUE US Equity","CASH_RATIO","FQ1 2024","FQ1 2024","Currency=USD","Period=FQ","BEST_FPERIOD_OVERRIDE=FQ","FILING_STATUS=MR","Sort=A","Dates=H","DateFormat=P","Fill=—","Direction=H","UseDPDF=Y")</f>
        <v>0.72230000000000005</v>
      </c>
      <c r="Y6" s="14">
        <f>_xll.BDH("BLUE US Equity","CASH_RATIO","FQ2 2024","FQ2 2024","Currency=USD","Period=FQ","BEST_FPERIOD_OVERRIDE=FQ","FILING_STATUS=MR","Sort=A","Dates=H","DateFormat=P","Fill=—","Direction=H","UseDPDF=Y")</f>
        <v>0.48359999999999997</v>
      </c>
      <c r="Z6" s="14">
        <f>_xll.BDH("BLUE US Equity","CASH_RATIO","FQ3 2024","FQ3 2024","Currency=USD","Period=FQ","BEST_FPERIOD_OVERRIDE=FQ","FILING_STATUS=MR","Sort=A","Dates=H","DateFormat=P","Fill=—","Direction=H","UseDPDF=Y")</f>
        <v>0.2387</v>
      </c>
      <c r="AA6" s="14">
        <f>_xll.BDH("BLUE US Equity","CASH_RATIO","FQ4 2024","FQ4 2024","Currency=USD","Period=FQ","BEST_FPERIOD_OVERRIDE=FQ","FILING_STATUS=MR","Sort=A","Dates=H","DateFormat=P","Fill=—","Direction=H","UseDPDF=Y")</f>
        <v>0.1938</v>
      </c>
    </row>
    <row r="7" spans="1:27" x14ac:dyDescent="0.25">
      <c r="A7" s="10" t="s">
        <v>745</v>
      </c>
      <c r="B7" s="10" t="s">
        <v>746</v>
      </c>
      <c r="C7" s="14">
        <f>_xll.BDH("BLUE US Equity","CUR_RATIO","FQ4 2018","FQ4 2018","Currency=USD","Period=FQ","BEST_FPERIOD_OVERRIDE=FQ","FILING_STATUS=MR","Sort=A","Dates=H","DateFormat=P","Fill=—","Direction=H","UseDPDF=Y")</f>
        <v>9.6905999999999999</v>
      </c>
      <c r="D7" s="14">
        <f>_xll.BDH("BLUE US Equity","CUR_RATIO","FQ1 2019","FQ1 2019","Currency=USD","Period=FQ","BEST_FPERIOD_OVERRIDE=FQ","FILING_STATUS=MR","Sort=A","Dates=H","DateFormat=P","Fill=—","Direction=H","UseDPDF=Y")</f>
        <v>9.3055000000000003</v>
      </c>
      <c r="E7" s="14">
        <f>_xll.BDH("BLUE US Equity","CUR_RATIO","FQ2 2019","FQ2 2019","Currency=USD","Period=FQ","BEST_FPERIOD_OVERRIDE=FQ","FILING_STATUS=MR","Sort=A","Dates=H","DateFormat=P","Fill=—","Direction=H","UseDPDF=Y")</f>
        <v>8.0241000000000007</v>
      </c>
      <c r="F7" s="14">
        <f>_xll.BDH("BLUE US Equity","CUR_RATIO","FQ3 2019","FQ3 2019","Currency=USD","Period=FQ","BEST_FPERIOD_OVERRIDE=FQ","FILING_STATUS=MR","Sort=A","Dates=H","DateFormat=P","Fill=—","Direction=H","UseDPDF=Y")</f>
        <v>6.2237</v>
      </c>
      <c r="G7" s="14">
        <f>_xll.BDH("BLUE US Equity","CUR_RATIO","FQ4 2019","FQ4 2019","Currency=USD","Period=FQ","BEST_FPERIOD_OVERRIDE=FQ","FILING_STATUS=MR","Sort=A","Dates=H","DateFormat=P","Fill=—","Direction=H","UseDPDF=Y")</f>
        <v>5.1532999999999998</v>
      </c>
      <c r="H7" s="14">
        <f>_xll.BDH("BLUE US Equity","CUR_RATIO","FQ1 2020","FQ1 2020","Currency=USD","Period=FQ","BEST_FPERIOD_OVERRIDE=FQ","FILING_STATUS=MR","Sort=A","Dates=H","DateFormat=P","Fill=—","Direction=H","UseDPDF=Y")</f>
        <v>5.2458999999999998</v>
      </c>
      <c r="I7" s="14">
        <f>_xll.BDH("BLUE US Equity","CUR_RATIO","FQ2 2020","FQ2 2020","Currency=USD","Period=FQ","BEST_FPERIOD_OVERRIDE=FQ","FILING_STATUS=MR","Sort=A","Dates=H","DateFormat=P","Fill=—","Direction=H","UseDPDF=Y")</f>
        <v>8.1826000000000008</v>
      </c>
      <c r="J7" s="14">
        <f>_xll.BDH("BLUE US Equity","CUR_RATIO","FQ3 2020","FQ3 2020","Currency=USD","Period=FQ","BEST_FPERIOD_OVERRIDE=FQ","FILING_STATUS=MR","Sort=A","Dates=H","DateFormat=P","Fill=—","Direction=H","UseDPDF=Y")</f>
        <v>6.5674999999999999</v>
      </c>
      <c r="K7" s="14">
        <f>_xll.BDH("BLUE US Equity","CUR_RATIO","FQ4 2020","FQ4 2020","Currency=USD","Period=FQ","BEST_FPERIOD_OVERRIDE=FQ","FILING_STATUS=MR","Sort=A","Dates=H","DateFormat=P","Fill=—","Direction=H","UseDPDF=Y")</f>
        <v>5.9706000000000001</v>
      </c>
      <c r="L7" s="14">
        <f>_xll.BDH("BLUE US Equity","CUR_RATIO","FQ1 2021","FQ1 2021","Currency=USD","Period=FQ","BEST_FPERIOD_OVERRIDE=FQ","FILING_STATUS=MR","Sort=A","Dates=H","DateFormat=P","Fill=—","Direction=H","UseDPDF=Y")</f>
        <v>5.3197000000000001</v>
      </c>
      <c r="M7" s="14">
        <f>_xll.BDH("BLUE US Equity","CUR_RATIO","FQ2 2021","FQ2 2021","Currency=USD","Period=FQ","BEST_FPERIOD_OVERRIDE=FQ","FILING_STATUS=MR","Sort=A","Dates=H","DateFormat=P","Fill=—","Direction=H","UseDPDF=Y")</f>
        <v>3.6467000000000001</v>
      </c>
      <c r="N7" s="14">
        <f>_xll.BDH("BLUE US Equity","CUR_RATIO","FQ3 2021","FQ3 2021","Currency=USD","Period=FQ","BEST_FPERIOD_OVERRIDE=FQ","FILING_STATUS=MR","Sort=A","Dates=H","DateFormat=P","Fill=—","Direction=H","UseDPDF=Y")</f>
        <v>3.1225000000000001</v>
      </c>
      <c r="O7" s="14">
        <f>_xll.BDH("BLUE US Equity","CUR_RATIO","FQ4 2021","FQ4 2021","Currency=USD","Period=FQ","BEST_FPERIOD_OVERRIDE=FQ","FILING_STATUS=MR","Sort=A","Dates=H","DateFormat=P","Fill=—","Direction=H","UseDPDF=Y")</f>
        <v>2.1996000000000002</v>
      </c>
      <c r="P7" s="14">
        <f>_xll.BDH("BLUE US Equity","CUR_RATIO","FQ1 2022","FQ1 2022","Currency=USD","Period=FQ","BEST_FPERIOD_OVERRIDE=FQ","FILING_STATUS=MR","Sort=A","Dates=H","DateFormat=P","Fill=—","Direction=H","UseDPDF=Y")</f>
        <v>1.784</v>
      </c>
      <c r="Q7" s="14">
        <f>_xll.BDH("BLUE US Equity","CUR_RATIO","FQ2 2022","FQ2 2022","Currency=USD","Period=FQ","BEST_FPERIOD_OVERRIDE=FQ","FILING_STATUS=MR","Sort=A","Dates=H","DateFormat=P","Fill=—","Direction=H","UseDPDF=Y")</f>
        <v>1.1249</v>
      </c>
      <c r="R7" s="14">
        <f>_xll.BDH("BLUE US Equity","CUR_RATIO","FQ3 2022","FQ3 2022","Currency=USD","Period=FQ","BEST_FPERIOD_OVERRIDE=FQ","FILING_STATUS=MR","Sort=A","Dates=H","DateFormat=P","Fill=—","Direction=H","UseDPDF=Y")</f>
        <v>1.266</v>
      </c>
      <c r="S7" s="14">
        <f>_xll.BDH("BLUE US Equity","CUR_RATIO","FQ4 2022","FQ4 2022","Currency=USD","Period=FQ","BEST_FPERIOD_OVERRIDE=FQ","FILING_STATUS=MR","Sort=A","Dates=H","DateFormat=P","Fill=—","Direction=H","UseDPDF=Y")</f>
        <v>1.3001</v>
      </c>
      <c r="T7" s="14">
        <f>_xll.BDH("BLUE US Equity","CUR_RATIO","FQ1 2023","FQ1 2023","Currency=USD","Period=FQ","BEST_FPERIOD_OVERRIDE=FQ","FILING_STATUS=MR","Sort=A","Dates=H","DateFormat=P","Fill=—","Direction=H","UseDPDF=Y")</f>
        <v>3.0282</v>
      </c>
      <c r="U7" s="14">
        <f>_xll.BDH("BLUE US Equity","CUR_RATIO","FQ2 2023","FQ2 2023","Currency=USD","Period=FQ","BEST_FPERIOD_OVERRIDE=FQ","FILING_STATUS=MR","Sort=A","Dates=H","DateFormat=P","Fill=—","Direction=H","UseDPDF=Y")</f>
        <v>2.1328999999999998</v>
      </c>
      <c r="V7" s="14">
        <f>_xll.BDH("BLUE US Equity","CUR_RATIO","FQ3 2023","FQ3 2023","Currency=USD","Period=FQ","BEST_FPERIOD_OVERRIDE=FQ","FILING_STATUS=MR","Sort=A","Dates=H","DateFormat=P","Fill=—","Direction=H","UseDPDF=Y")</f>
        <v>1.5544</v>
      </c>
      <c r="W7" s="14">
        <f>_xll.BDH("BLUE US Equity","CUR_RATIO","FQ4 2023","FQ4 2023","Currency=USD","Period=FQ","BEST_FPERIOD_OVERRIDE=FQ","FILING_STATUS=MR","Sort=A","Dates=H","DateFormat=P","Fill=—","Direction=H","UseDPDF=Y")</f>
        <v>1.4076</v>
      </c>
      <c r="X7" s="14">
        <f>_xll.BDH("BLUE US Equity","CUR_RATIO","FQ1 2024","FQ1 2024","Currency=USD","Period=FQ","BEST_FPERIOD_OVERRIDE=FQ","FILING_STATUS=MR","Sort=A","Dates=H","DateFormat=P","Fill=—","Direction=H","UseDPDF=Y")</f>
        <v>0.92520000000000002</v>
      </c>
      <c r="Y7" s="14">
        <f>_xll.BDH("BLUE US Equity","CUR_RATIO","FQ2 2024","FQ2 2024","Currency=USD","Period=FQ","BEST_FPERIOD_OVERRIDE=FQ","FILING_STATUS=MR","Sort=A","Dates=H","DateFormat=P","Fill=—","Direction=H","UseDPDF=Y")</f>
        <v>0.68310000000000004</v>
      </c>
      <c r="Z7" s="14">
        <f>_xll.BDH("BLUE US Equity","CUR_RATIO","FQ3 2024","FQ3 2024","Currency=USD","Period=FQ","BEST_FPERIOD_OVERRIDE=FQ","FILING_STATUS=MR","Sort=A","Dates=H","DateFormat=P","Fill=—","Direction=H","UseDPDF=Y")</f>
        <v>0.50939999999999996</v>
      </c>
      <c r="AA7" s="14">
        <f>_xll.BDH("BLUE US Equity","CUR_RATIO","FQ4 2024","FQ4 2024","Currency=USD","Period=FQ","BEST_FPERIOD_OVERRIDE=FQ","FILING_STATUS=MR","Sort=A","Dates=H","DateFormat=P","Fill=—","Direction=H","UseDPDF=Y")</f>
        <v>0.48110000000000003</v>
      </c>
    </row>
    <row r="8" spans="1:27" x14ac:dyDescent="0.25">
      <c r="A8" s="10" t="s">
        <v>1387</v>
      </c>
      <c r="B8" s="10" t="s">
        <v>1388</v>
      </c>
      <c r="C8" s="14">
        <f>_xll.BDH("BLUE US Equity","QUICK_RATIO","FQ4 2018","FQ4 2018","Currency=USD","Period=FQ","BEST_FPERIOD_OVERRIDE=FQ","FILING_STATUS=MR","Sort=A","Dates=H","DateFormat=P","Fill=—","Direction=H","UseDPDF=Y")</f>
        <v>9.4604999999999997</v>
      </c>
      <c r="D8" s="14">
        <f>_xll.BDH("BLUE US Equity","QUICK_RATIO","FQ1 2019","FQ1 2019","Currency=USD","Period=FQ","BEST_FPERIOD_OVERRIDE=FQ","FILING_STATUS=MR","Sort=A","Dates=H","DateFormat=P","Fill=—","Direction=H","UseDPDF=Y")</f>
        <v>9.0108999999999995</v>
      </c>
      <c r="E8" s="14">
        <f>_xll.BDH("BLUE US Equity","QUICK_RATIO","FQ2 2019","FQ2 2019","Currency=USD","Period=FQ","BEST_FPERIOD_OVERRIDE=FQ","FILING_STATUS=MR","Sort=A","Dates=H","DateFormat=P","Fill=—","Direction=H","UseDPDF=Y")</f>
        <v>7.7347999999999999</v>
      </c>
      <c r="F8" s="14">
        <f>_xll.BDH("BLUE US Equity","QUICK_RATIO","FQ3 2019","FQ3 2019","Currency=USD","Period=FQ","BEST_FPERIOD_OVERRIDE=FQ","FILING_STATUS=MR","Sort=A","Dates=H","DateFormat=P","Fill=—","Direction=H","UseDPDF=Y")</f>
        <v>6.0191999999999997</v>
      </c>
      <c r="G8" s="14">
        <f>_xll.BDH("BLUE US Equity","QUICK_RATIO","FQ4 2019","FQ4 2019","Currency=USD","Period=FQ","BEST_FPERIOD_OVERRIDE=FQ","FILING_STATUS=MR","Sort=A","Dates=H","DateFormat=P","Fill=—","Direction=H","UseDPDF=Y")</f>
        <v>4.9488000000000003</v>
      </c>
      <c r="H8" s="14">
        <f>_xll.BDH("BLUE US Equity","QUICK_RATIO","FQ1 2020","FQ1 2020","Currency=USD","Period=FQ","BEST_FPERIOD_OVERRIDE=FQ","FILING_STATUS=MR","Sort=A","Dates=H","DateFormat=P","Fill=—","Direction=H","UseDPDF=Y")</f>
        <v>4.9379999999999997</v>
      </c>
      <c r="I8" s="14">
        <f>_xll.BDH("BLUE US Equity","QUICK_RATIO","FQ2 2020","FQ2 2020","Currency=USD","Period=FQ","BEST_FPERIOD_OVERRIDE=FQ","FILING_STATUS=MR","Sort=A","Dates=H","DateFormat=P","Fill=—","Direction=H","UseDPDF=Y")</f>
        <v>7.8577000000000004</v>
      </c>
      <c r="J8" s="14">
        <f>_xll.BDH("BLUE US Equity","QUICK_RATIO","FQ3 2020","FQ3 2020","Currency=USD","Period=FQ","BEST_FPERIOD_OVERRIDE=FQ","FILING_STATUS=MR","Sort=A","Dates=H","DateFormat=P","Fill=—","Direction=H","UseDPDF=Y")</f>
        <v>6.2478999999999996</v>
      </c>
      <c r="K8" s="14">
        <f>_xll.BDH("BLUE US Equity","QUICK_RATIO","FQ4 2020","FQ4 2020","Currency=USD","Period=FQ","BEST_FPERIOD_OVERRIDE=FQ","FILING_STATUS=MR","Sort=A","Dates=H","DateFormat=P","Fill=—","Direction=H","UseDPDF=Y")</f>
        <v>3.3412000000000002</v>
      </c>
      <c r="L8" s="14">
        <f>_xll.BDH("BLUE US Equity","QUICK_RATIO","FQ1 2021","FQ1 2021","Currency=USD","Period=FQ","BEST_FPERIOD_OVERRIDE=FQ","FILING_STATUS=MR","Sort=A","Dates=H","DateFormat=P","Fill=—","Direction=H","UseDPDF=Y")</f>
        <v>4.9071999999999996</v>
      </c>
      <c r="M8" s="14">
        <f>_xll.BDH("BLUE US Equity","QUICK_RATIO","FQ2 2021","FQ2 2021","Currency=USD","Period=FQ","BEST_FPERIOD_OVERRIDE=FQ","FILING_STATUS=MR","Sort=A","Dates=H","DateFormat=P","Fill=—","Direction=H","UseDPDF=Y")</f>
        <v>3.3891</v>
      </c>
      <c r="N8" s="14">
        <f>_xll.BDH("BLUE US Equity","QUICK_RATIO","FQ3 2021","FQ3 2021","Currency=USD","Period=FQ","BEST_FPERIOD_OVERRIDE=FQ","FILING_STATUS=MR","Sort=A","Dates=H","DateFormat=P","Fill=—","Direction=H","UseDPDF=Y")</f>
        <v>2.9171999999999998</v>
      </c>
      <c r="O8" s="14">
        <f>_xll.BDH("BLUE US Equity","QUICK_RATIO","FQ4 2021","FQ4 2021","Currency=USD","Period=FQ","BEST_FPERIOD_OVERRIDE=FQ","FILING_STATUS=MR","Sort=A","Dates=H","DateFormat=P","Fill=—","Direction=H","UseDPDF=Y")</f>
        <v>1.9576</v>
      </c>
      <c r="P8" s="14">
        <f>_xll.BDH("BLUE US Equity","QUICK_RATIO","FQ1 2022","FQ1 2022","Currency=USD","Period=FQ","BEST_FPERIOD_OVERRIDE=FQ","FILING_STATUS=MR","Sort=A","Dates=H","DateFormat=P","Fill=—","Direction=H","UseDPDF=Y")</f>
        <v>1.4807999999999999</v>
      </c>
      <c r="Q8" s="14">
        <f>_xll.BDH("BLUE US Equity","QUICK_RATIO","FQ2 2022","FQ2 2022","Currency=USD","Period=FQ","BEST_FPERIOD_OVERRIDE=FQ","FILING_STATUS=MR","Sort=A","Dates=H","DateFormat=P","Fill=—","Direction=H","UseDPDF=Y")</f>
        <v>0.89019999999999999</v>
      </c>
      <c r="R8" s="14">
        <f>_xll.BDH("BLUE US Equity","QUICK_RATIO","FQ3 2022","FQ3 2022","Currency=USD","Period=FQ","BEST_FPERIOD_OVERRIDE=FQ","FILING_STATUS=MR","Sort=A","Dates=H","DateFormat=P","Fill=—","Direction=H","UseDPDF=Y")</f>
        <v>1.1017999999999999</v>
      </c>
      <c r="S8" s="14">
        <f>_xll.BDH("BLUE US Equity","QUICK_RATIO","FQ4 2022","FQ4 2022","Currency=USD","Period=FQ","BEST_FPERIOD_OVERRIDE=FQ","FILING_STATUS=MR","Sort=A","Dates=H","DateFormat=P","Fill=—","Direction=H","UseDPDF=Y")</f>
        <v>1.1516999999999999</v>
      </c>
      <c r="T8" s="14">
        <f>_xll.BDH("BLUE US Equity","QUICK_RATIO","FQ1 2023","FQ1 2023","Currency=USD","Period=FQ","BEST_FPERIOD_OVERRIDE=FQ","FILING_STATUS=MR","Sort=A","Dates=H","DateFormat=P","Fill=—","Direction=H","UseDPDF=Y")</f>
        <v>2.7452000000000001</v>
      </c>
      <c r="U8" s="14">
        <f>_xll.BDH("BLUE US Equity","QUICK_RATIO","FQ2 2023","FQ2 2023","Currency=USD","Period=FQ","BEST_FPERIOD_OVERRIDE=FQ","FILING_STATUS=MR","Sort=A","Dates=H","DateFormat=P","Fill=—","Direction=H","UseDPDF=Y")</f>
        <v>1.8168</v>
      </c>
      <c r="V8" s="14">
        <f>_xll.BDH("BLUE US Equity","QUICK_RATIO","FQ3 2023","FQ3 2023","Currency=USD","Period=FQ","BEST_FPERIOD_OVERRIDE=FQ","FILING_STATUS=MR","Sort=A","Dates=H","DateFormat=P","Fill=—","Direction=H","UseDPDF=Y")</f>
        <v>1.2412000000000001</v>
      </c>
      <c r="W8" s="14">
        <f>_xll.BDH("BLUE US Equity","QUICK_RATIO","FQ4 2023","FQ4 2023","Currency=USD","Period=FQ","BEST_FPERIOD_OVERRIDE=FQ","FILING_STATUS=MR","Sort=A","Dates=H","DateFormat=P","Fill=—","Direction=H","UseDPDF=Y")</f>
        <v>1.1081000000000001</v>
      </c>
      <c r="X8" s="14">
        <f>_xll.BDH("BLUE US Equity","QUICK_RATIO","FQ1 2024","FQ1 2024","Currency=USD","Period=FQ","BEST_FPERIOD_OVERRIDE=FQ","FILING_STATUS=MR","Sort=A","Dates=H","DateFormat=P","Fill=—","Direction=H","UseDPDF=Y")</f>
        <v>0.72230000000000005</v>
      </c>
      <c r="Y8" s="14">
        <f>_xll.BDH("BLUE US Equity","QUICK_RATIO","FQ2 2024","FQ2 2024","Currency=USD","Period=FQ","BEST_FPERIOD_OVERRIDE=FQ","FILING_STATUS=MR","Sort=A","Dates=H","DateFormat=P","Fill=—","Direction=H","UseDPDF=Y")</f>
        <v>0.48359999999999997</v>
      </c>
      <c r="Z8" s="14">
        <f>_xll.BDH("BLUE US Equity","QUICK_RATIO","FQ3 2024","FQ3 2024","Currency=USD","Period=FQ","BEST_FPERIOD_OVERRIDE=FQ","FILING_STATUS=MR","Sort=A","Dates=H","DateFormat=P","Fill=—","Direction=H","UseDPDF=Y")</f>
        <v>0.2387</v>
      </c>
      <c r="AA8" s="14">
        <f>_xll.BDH("BLUE US Equity","QUICK_RATIO","FQ4 2024","FQ4 2024","Currency=USD","Period=FQ","BEST_FPERIOD_OVERRIDE=FQ","FILING_STATUS=MR","Sort=A","Dates=H","DateFormat=P","Fill=—","Direction=H","UseDPDF=Y")</f>
        <v>0.1938</v>
      </c>
    </row>
    <row r="9" spans="1:27" x14ac:dyDescent="0.25">
      <c r="A9" s="10" t="s">
        <v>1389</v>
      </c>
      <c r="B9" s="10" t="s">
        <v>1390</v>
      </c>
      <c r="C9" s="14">
        <f>_xll.BDH("BLUE US Equity","CFO_TO_AVG_CURRENT_LIABILITIES","FQ4 2018","FQ4 2018","Currency=USD","Period=FQ","BEST_FPERIOD_OVERRIDE=FQ","FILING_STATUS=MR","Sort=A","Dates=H","DateFormat=P","Fill=—","Direction=H","UseDPDF=Y")</f>
        <v>-3.4161000000000001</v>
      </c>
      <c r="D9" s="14">
        <f>_xll.BDH("BLUE US Equity","CFO_TO_AVG_CURRENT_LIABILITIES","FQ1 2019","FQ1 2019","Currency=USD","Period=FQ","BEST_FPERIOD_OVERRIDE=FQ","FILING_STATUS=MR","Sort=A","Dates=H","DateFormat=P","Fill=—","Direction=H","UseDPDF=Y")</f>
        <v>-3.6059000000000001</v>
      </c>
      <c r="E9" s="14">
        <f>_xll.BDH("BLUE US Equity","CFO_TO_AVG_CURRENT_LIABILITIES","FQ2 2019","FQ2 2019","Currency=USD","Period=FQ","BEST_FPERIOD_OVERRIDE=FQ","FILING_STATUS=MR","Sort=A","Dates=H","DateFormat=P","Fill=—","Direction=H","UseDPDF=Y")</f>
        <v>-3.5651999999999999</v>
      </c>
      <c r="F9" s="14">
        <f>_xll.BDH("BLUE US Equity","CFO_TO_AVG_CURRENT_LIABILITIES","FQ3 2019","FQ3 2019","Currency=USD","Period=FQ","BEST_FPERIOD_OVERRIDE=FQ","FILING_STATUS=MR","Sort=A","Dates=H","DateFormat=P","Fill=—","Direction=H","UseDPDF=Y")</f>
        <v>-3.2663000000000002</v>
      </c>
      <c r="G9" s="14">
        <f>_xll.BDH("BLUE US Equity","CFO_TO_AVG_CURRENT_LIABILITIES","FQ4 2019","FQ4 2019","Currency=USD","Period=FQ","BEST_FPERIOD_OVERRIDE=FQ","FILING_STATUS=MR","Sort=A","Dates=H","DateFormat=P","Fill=—","Direction=H","UseDPDF=Y")</f>
        <v>-3.0506000000000002</v>
      </c>
      <c r="H9" s="14">
        <f>_xll.BDH("BLUE US Equity","CFO_TO_AVG_CURRENT_LIABILITIES","FQ1 2020","FQ1 2020","Currency=USD","Period=FQ","BEST_FPERIOD_OVERRIDE=FQ","FILING_STATUS=MR","Sort=A","Dates=H","DateFormat=P","Fill=—","Direction=H","UseDPDF=Y")</f>
        <v>-3.7229000000000001</v>
      </c>
      <c r="I9" s="14">
        <f>_xll.BDH("BLUE US Equity","CFO_TO_AVG_CURRENT_LIABILITIES","FQ2 2020","FQ2 2020","Currency=USD","Period=FQ","BEST_FPERIOD_OVERRIDE=FQ","FILING_STATUS=MR","Sort=A","Dates=H","DateFormat=P","Fill=—","Direction=H","UseDPDF=Y")</f>
        <v>-2.4422000000000001</v>
      </c>
      <c r="J9" s="14">
        <f>_xll.BDH("BLUE US Equity","CFO_TO_AVG_CURRENT_LIABILITIES","FQ3 2020","FQ3 2020","Currency=USD","Period=FQ","BEST_FPERIOD_OVERRIDE=FQ","FILING_STATUS=MR","Sort=A","Dates=H","DateFormat=P","Fill=—","Direction=H","UseDPDF=Y")</f>
        <v>-2.4133</v>
      </c>
      <c r="K9" s="14">
        <f>_xll.BDH("BLUE US Equity","CFO_TO_AVG_CURRENT_LIABILITIES","FQ4 2020","FQ4 2020","Currency=USD","Period=FQ","BEST_FPERIOD_OVERRIDE=FQ","FILING_STATUS=MR","Sort=A","Dates=H","DateFormat=P","Fill=—","Direction=H","UseDPDF=Y")</f>
        <v>-2.2021999999999999</v>
      </c>
      <c r="L9" s="14">
        <f>_xll.BDH("BLUE US Equity","CFO_TO_AVG_CURRENT_LIABILITIES","FQ1 2021","FQ1 2021","Currency=USD","Period=FQ","BEST_FPERIOD_OVERRIDE=FQ","FILING_STATUS=MR","Sort=A","Dates=H","DateFormat=P","Fill=—","Direction=H","UseDPDF=Y")</f>
        <v>-2.3932000000000002</v>
      </c>
      <c r="M9" s="14">
        <f>_xll.BDH("BLUE US Equity","CFO_TO_AVG_CURRENT_LIABILITIES","FQ2 2021","FQ2 2021","Currency=USD","Period=FQ","BEST_FPERIOD_OVERRIDE=FQ","FILING_STATUS=MR","Sort=A","Dates=H","DateFormat=P","Fill=—","Direction=H","UseDPDF=Y")</f>
        <v>-2.9350000000000001</v>
      </c>
      <c r="N9" s="14">
        <f>_xll.BDH("BLUE US Equity","CFO_TO_AVG_CURRENT_LIABILITIES","FQ3 2021","FQ3 2021","Currency=USD","Period=FQ","BEST_FPERIOD_OVERRIDE=FQ","FILING_STATUS=MR","Sort=A","Dates=H","DateFormat=P","Fill=—","Direction=H","UseDPDF=Y")</f>
        <v>-2.8096999999999999</v>
      </c>
      <c r="O9" s="14">
        <f>_xll.BDH("BLUE US Equity","CFO_TO_AVG_CURRENT_LIABILITIES","FQ4 2021","FQ4 2021","Currency=USD","Period=FQ","BEST_FPERIOD_OVERRIDE=FQ","FILING_STATUS=MR","Sort=A","Dates=H","DateFormat=P","Fill=—","Direction=H","UseDPDF=Y")</f>
        <v>-3.5651999999999999</v>
      </c>
      <c r="P9" s="14">
        <f>_xll.BDH("BLUE US Equity","CFO_TO_AVG_CURRENT_LIABILITIES","FQ1 2022","FQ1 2022","Currency=USD","Period=FQ","BEST_FPERIOD_OVERRIDE=FQ","FILING_STATUS=MR","Sort=A","Dates=H","DateFormat=P","Fill=—","Direction=H","UseDPDF=Y")</f>
        <v>-3.1936</v>
      </c>
      <c r="Q9" s="14">
        <f>_xll.BDH("BLUE US Equity","CFO_TO_AVG_CURRENT_LIABILITIES","FQ2 2022","FQ2 2022","Currency=USD","Period=FQ","BEST_FPERIOD_OVERRIDE=FQ","FILING_STATUS=MR","Sort=A","Dates=H","DateFormat=P","Fill=—","Direction=H","UseDPDF=Y")</f>
        <v>-2.5531000000000001</v>
      </c>
      <c r="R9" s="14">
        <f>_xll.BDH("BLUE US Equity","CFO_TO_AVG_CURRENT_LIABILITIES","FQ3 2022","FQ3 2022","Currency=USD","Period=FQ","BEST_FPERIOD_OVERRIDE=FQ","FILING_STATUS=MR","Sort=A","Dates=H","DateFormat=P","Fill=—","Direction=H","UseDPDF=Y")</f>
        <v>-2.2193000000000001</v>
      </c>
      <c r="S9" s="14">
        <f>_xll.BDH("BLUE US Equity","CFO_TO_AVG_CURRENT_LIABILITIES","FQ4 2022","FQ4 2022","Currency=USD","Period=FQ","BEST_FPERIOD_OVERRIDE=FQ","FILING_STATUS=MR","Sort=A","Dates=H","DateFormat=P","Fill=—","Direction=H","UseDPDF=Y")</f>
        <v>-2.0428999999999999</v>
      </c>
      <c r="T9" s="14">
        <f>_xll.BDH("BLUE US Equity","CFO_TO_AVG_CURRENT_LIABILITIES","FQ1 2023","FQ1 2023","Currency=USD","Period=FQ","BEST_FPERIOD_OVERRIDE=FQ","FILING_STATUS=MR","Sort=A","Dates=H","DateFormat=P","Fill=—","Direction=H","UseDPDF=Y")</f>
        <v>-2.0266999999999999</v>
      </c>
      <c r="U9" s="14">
        <f>_xll.BDH("BLUE US Equity","CFO_TO_AVG_CURRENT_LIABILITIES","FQ2 2023","FQ2 2023","Currency=USD","Period=FQ","BEST_FPERIOD_OVERRIDE=FQ","FILING_STATUS=MR","Sort=A","Dates=H","DateFormat=P","Fill=—","Direction=H","UseDPDF=Y")</f>
        <v>-1.6023000000000001</v>
      </c>
      <c r="V9" s="14">
        <f>_xll.BDH("BLUE US Equity","CFO_TO_AVG_CURRENT_LIABILITIES","FQ3 2023","FQ3 2023","Currency=USD","Period=FQ","BEST_FPERIOD_OVERRIDE=FQ","FILING_STATUS=MR","Sort=A","Dates=H","DateFormat=P","Fill=—","Direction=H","UseDPDF=Y")</f>
        <v>-1.4033</v>
      </c>
      <c r="W9" s="14">
        <f>_xll.BDH("BLUE US Equity","CFO_TO_AVG_CURRENT_LIABILITIES","FQ4 2023","FQ4 2023","Currency=USD","Period=FQ","BEST_FPERIOD_OVERRIDE=FQ","FILING_STATUS=MR","Sort=A","Dates=H","DateFormat=P","Fill=—","Direction=H","UseDPDF=Y")</f>
        <v>-1.0920000000000001</v>
      </c>
      <c r="X9" s="14">
        <f>_xll.BDH("BLUE US Equity","CFO_TO_AVG_CURRENT_LIABILITIES","FQ1 2024","FQ1 2024","Currency=USD","Period=FQ","BEST_FPERIOD_OVERRIDE=FQ","FILING_STATUS=MR","Sort=A","Dates=H","DateFormat=P","Fill=—","Direction=H","UseDPDF=Y")</f>
        <v>-0.96730000000000005</v>
      </c>
      <c r="Y9" s="14">
        <f>_xll.BDH("BLUE US Equity","CFO_TO_AVG_CURRENT_LIABILITIES","FQ2 2024","FQ2 2024","Currency=USD","Period=FQ","BEST_FPERIOD_OVERRIDE=FQ","FILING_STATUS=MR","Sort=A","Dates=H","DateFormat=P","Fill=—","Direction=H","UseDPDF=Y")</f>
        <v>-0.94620000000000004</v>
      </c>
      <c r="Z9" s="14">
        <f>_xll.BDH("BLUE US Equity","CFO_TO_AVG_CURRENT_LIABILITIES","FQ3 2024","FQ3 2024","Currency=USD","Period=FQ","BEST_FPERIOD_OVERRIDE=FQ","FILING_STATUS=MR","Sort=A","Dates=H","DateFormat=P","Fill=—","Direction=H","UseDPDF=Y")</f>
        <v>-0.98329999999999995</v>
      </c>
      <c r="AA9" s="14">
        <f>_xll.BDH("BLUE US Equity","CFO_TO_AVG_CURRENT_LIABILITIES","FQ4 2024","FQ4 2024","Currency=USD","Period=FQ","BEST_FPERIOD_OVERRIDE=FQ","FILING_STATUS=MR","Sort=A","Dates=H","DateFormat=P","Fill=—","Direction=H","UseDPDF=Y")</f>
        <v>-0.99709999999999999</v>
      </c>
    </row>
    <row r="10" spans="1:27" x14ac:dyDescent="0.25">
      <c r="A10" s="10" t="s">
        <v>1348</v>
      </c>
      <c r="B10" s="10" t="s">
        <v>1349</v>
      </c>
      <c r="C10" s="14">
        <f>_xll.BDH("BLUE US Equity","COM_EQY_TO_TOT_ASSET","FQ4 2018","FQ4 2018","Currency=USD","Period=FQ","BEST_FPERIOD_OVERRIDE=FQ","FILING_STATUS=MR","Sort=A","Dates=H","DateFormat=P","Fill=—","Direction=H","UseDPDF=Y")</f>
        <v>84.048199999999994</v>
      </c>
      <c r="D10" s="14">
        <f>_xll.BDH("BLUE US Equity","COM_EQY_TO_TOT_ASSET","FQ1 2019","FQ1 2019","Currency=USD","Period=FQ","BEST_FPERIOD_OVERRIDE=FQ","FILING_STATUS=MR","Sort=A","Dates=H","DateFormat=P","Fill=—","Direction=H","UseDPDF=Y")</f>
        <v>82.861999999999995</v>
      </c>
      <c r="E10" s="14">
        <f>_xll.BDH("BLUE US Equity","COM_EQY_TO_TOT_ASSET","FQ2 2019","FQ2 2019","Currency=USD","Period=FQ","BEST_FPERIOD_OVERRIDE=FQ","FILING_STATUS=MR","Sort=A","Dates=H","DateFormat=P","Fill=—","Direction=H","UseDPDF=Y")</f>
        <v>80.874700000000004</v>
      </c>
      <c r="F10" s="14">
        <f>_xll.BDH("BLUE US Equity","COM_EQY_TO_TOT_ASSET","FQ3 2019","FQ3 2019","Currency=USD","Period=FQ","BEST_FPERIOD_OVERRIDE=FQ","FILING_STATUS=MR","Sort=A","Dates=H","DateFormat=P","Fill=—","Direction=H","UseDPDF=Y")</f>
        <v>77.777000000000001</v>
      </c>
      <c r="G10" s="14">
        <f>_xll.BDH("BLUE US Equity","COM_EQY_TO_TOT_ASSET","FQ4 2019","FQ4 2019","Currency=USD","Period=FQ","BEST_FPERIOD_OVERRIDE=FQ","FILING_STATUS=MR","Sort=A","Dates=H","DateFormat=P","Fill=—","Direction=H","UseDPDF=Y")</f>
        <v>74.387799999999999</v>
      </c>
      <c r="H10" s="14">
        <f>_xll.BDH("BLUE US Equity","COM_EQY_TO_TOT_ASSET","FQ1 2020","FQ1 2020","Currency=USD","Period=FQ","BEST_FPERIOD_OVERRIDE=FQ","FILING_STATUS=MR","Sort=A","Dates=H","DateFormat=P","Fill=—","Direction=H","UseDPDF=Y")</f>
        <v>73.273799999999994</v>
      </c>
      <c r="I10" s="14">
        <f>_xll.BDH("BLUE US Equity","COM_EQY_TO_TOT_ASSET","FQ2 2020","FQ2 2020","Currency=USD","Period=FQ","BEST_FPERIOD_OVERRIDE=FQ","FILING_STATUS=MR","Sort=A","Dates=H","DateFormat=P","Fill=—","Direction=H","UseDPDF=Y")</f>
        <v>79.800700000000006</v>
      </c>
      <c r="J10" s="14">
        <f>_xll.BDH("BLUE US Equity","COM_EQY_TO_TOT_ASSET","FQ3 2020","FQ3 2020","Currency=USD","Period=FQ","BEST_FPERIOD_OVERRIDE=FQ","FILING_STATUS=MR","Sort=A","Dates=H","DateFormat=P","Fill=—","Direction=H","UseDPDF=Y")</f>
        <v>78.284899999999993</v>
      </c>
      <c r="K10" s="14">
        <f>_xll.BDH("BLUE US Equity","COM_EQY_TO_TOT_ASSET","FQ4 2020","FQ4 2020","Currency=USD","Period=FQ","BEST_FPERIOD_OVERRIDE=FQ","FILING_STATUS=MR","Sort=A","Dates=H","DateFormat=P","Fill=—","Direction=H","UseDPDF=Y")</f>
        <v>76.0732</v>
      </c>
      <c r="L10" s="14">
        <f>_xll.BDH("BLUE US Equity","COM_EQY_TO_TOT_ASSET","FQ1 2021","FQ1 2021","Currency=USD","Period=FQ","BEST_FPERIOD_OVERRIDE=FQ","FILING_STATUS=MR","Sort=A","Dates=H","DateFormat=P","Fill=—","Direction=H","UseDPDF=Y")</f>
        <v>73.312700000000007</v>
      </c>
      <c r="M10" s="14">
        <f>_xll.BDH("BLUE US Equity","COM_EQY_TO_TOT_ASSET","FQ2 2021","FQ2 2021","Currency=USD","Period=FQ","BEST_FPERIOD_OVERRIDE=FQ","FILING_STATUS=MR","Sort=A","Dates=H","DateFormat=P","Fill=—","Direction=H","UseDPDF=Y")</f>
        <v>67.692599999999999</v>
      </c>
      <c r="N10" s="14">
        <f>_xll.BDH("BLUE US Equity","COM_EQY_TO_TOT_ASSET","FQ3 2021","FQ3 2021","Currency=USD","Period=FQ","BEST_FPERIOD_OVERRIDE=FQ","FILING_STATUS=MR","Sort=A","Dates=H","DateFormat=P","Fill=—","Direction=H","UseDPDF=Y")</f>
        <v>64.981999999999999</v>
      </c>
      <c r="O10" s="14">
        <f>_xll.BDH("BLUE US Equity","COM_EQY_TO_TOT_ASSET","FQ4 2021","FQ4 2021","Currency=USD","Period=FQ","BEST_FPERIOD_OVERRIDE=FQ","FILING_STATUS=MR","Sort=A","Dates=H","DateFormat=P","Fill=—","Direction=H","UseDPDF=Y")</f>
        <v>63.031300000000002</v>
      </c>
      <c r="P10" s="14">
        <f>_xll.BDH("BLUE US Equity","COM_EQY_TO_TOT_ASSET","FQ1 2022","FQ1 2022","Currency=USD","Period=FQ","BEST_FPERIOD_OVERRIDE=FQ","FILING_STATUS=MR","Sort=A","Dates=H","DateFormat=P","Fill=—","Direction=H","UseDPDF=Y")</f>
        <v>53.609200000000001</v>
      </c>
      <c r="Q10" s="14">
        <f>_xll.BDH("BLUE US Equity","COM_EQY_TO_TOT_ASSET","FQ2 2022","FQ2 2022","Currency=USD","Period=FQ","BEST_FPERIOD_OVERRIDE=FQ","FILING_STATUS=MR","Sort=A","Dates=H","DateFormat=P","Fill=—","Direction=H","UseDPDF=Y")</f>
        <v>31.401399999999999</v>
      </c>
      <c r="R10" s="14">
        <f>_xll.BDH("BLUE US Equity","COM_EQY_TO_TOT_ASSET","FQ3 2022","FQ3 2022","Currency=USD","Period=FQ","BEST_FPERIOD_OVERRIDE=FQ","FILING_STATUS=MR","Sort=A","Dates=H","DateFormat=P","Fill=—","Direction=H","UseDPDF=Y")</f>
        <v>30.543700000000001</v>
      </c>
      <c r="S10" s="14">
        <f>_xll.BDH("BLUE US Equity","COM_EQY_TO_TOT_ASSET","FQ4 2022","FQ4 2022","Currency=USD","Period=FQ","BEST_FPERIOD_OVERRIDE=FQ","FILING_STATUS=MR","Sort=A","Dates=H","DateFormat=P","Fill=—","Direction=H","UseDPDF=Y")</f>
        <v>23.5749</v>
      </c>
      <c r="T10" s="14">
        <f>_xll.BDH("BLUE US Equity","COM_EQY_TO_TOT_ASSET","FQ1 2023","FQ1 2023","Currency=USD","Period=FQ","BEST_FPERIOD_OVERRIDE=FQ","FILING_STATUS=MR","Sort=A","Dates=H","DateFormat=P","Fill=—","Direction=H","UseDPDF=Y")</f>
        <v>51.208500000000001</v>
      </c>
      <c r="U10" s="14">
        <f>_xll.BDH("BLUE US Equity","COM_EQY_TO_TOT_ASSET","FQ2 2023","FQ2 2023","Currency=USD","Period=FQ","BEST_FPERIOD_OVERRIDE=FQ","FILING_STATUS=MR","Sort=A","Dates=H","DateFormat=P","Fill=—","Direction=H","UseDPDF=Y")</f>
        <v>43.566800000000001</v>
      </c>
      <c r="V10" s="14">
        <f>_xll.BDH("BLUE US Equity","COM_EQY_TO_TOT_ASSET","FQ3 2023","FQ3 2023","Currency=USD","Period=FQ","BEST_FPERIOD_OVERRIDE=FQ","FILING_STATUS=MR","Sort=A","Dates=H","DateFormat=P","Fill=—","Direction=H","UseDPDF=Y")</f>
        <v>36.266800000000003</v>
      </c>
      <c r="W10" s="14">
        <f>_xll.BDH("BLUE US Equity","COM_EQY_TO_TOT_ASSET","FQ4 2023","FQ4 2023","Currency=USD","Period=FQ","BEST_FPERIOD_OVERRIDE=FQ","FILING_STATUS=MR","Sort=A","Dates=H","DateFormat=P","Fill=—","Direction=H","UseDPDF=Y")</f>
        <v>31.419499999999999</v>
      </c>
      <c r="X10" s="14">
        <f>_xll.BDH("BLUE US Equity","COM_EQY_TO_TOT_ASSET","FQ1 2024","FQ1 2024","Currency=USD","Period=FQ","BEST_FPERIOD_OVERRIDE=FQ","FILING_STATUS=MR","Sort=A","Dates=H","DateFormat=P","Fill=—","Direction=H","UseDPDF=Y")</f>
        <v>20.752099999999999</v>
      </c>
      <c r="Y10" s="14">
        <f>_xll.BDH("BLUE US Equity","COM_EQY_TO_TOT_ASSET","FQ2 2024","FQ2 2024","Currency=USD","Period=FQ","BEST_FPERIOD_OVERRIDE=FQ","FILING_STATUS=MR","Sort=A","Dates=H","DateFormat=P","Fill=—","Direction=H","UseDPDF=Y")</f>
        <v>9.7178000000000004</v>
      </c>
      <c r="Z10" s="14">
        <f>_xll.BDH("BLUE US Equity","COM_EQY_TO_TOT_ASSET","FQ3 2024","FQ3 2024","Currency=USD","Period=FQ","BEST_FPERIOD_OVERRIDE=FQ","FILING_STATUS=MR","Sort=A","Dates=H","DateFormat=P","Fill=—","Direction=H","UseDPDF=Y")</f>
        <v>-1.2442</v>
      </c>
      <c r="AA10" s="14">
        <f>_xll.BDH("BLUE US Equity","COM_EQY_TO_TOT_ASSET","FQ4 2024","FQ4 2024","Currency=USD","Period=FQ","BEST_FPERIOD_OVERRIDE=FQ","FILING_STATUS=MR","Sort=A","Dates=H","DateFormat=P","Fill=—","Direction=H","UseDPDF=Y")</f>
        <v>-6.8517999999999999</v>
      </c>
    </row>
    <row r="11" spans="1:27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10" t="s">
        <v>1350</v>
      </c>
      <c r="B12" s="10" t="s">
        <v>1351</v>
      </c>
      <c r="C12" s="14">
        <f>_xll.BDH("BLUE US Equity","LT_DEBT_TO_TOT_EQY","FQ4 2018","FQ4 2018","Currency=USD","Period=FQ","BEST_FPERIOD_OVERRIDE=FQ","FILING_STATUS=MR","Sort=A","Dates=H","DateFormat=P","Fill=—","Direction=H","UseDPDF=Y")</f>
        <v>8.1333000000000002</v>
      </c>
      <c r="D12" s="14">
        <f>_xll.BDH("BLUE US Equity","LT_DEBT_TO_TOT_EQY","FQ1 2019","FQ1 2019","Currency=USD","Period=FQ","BEST_FPERIOD_OVERRIDE=FQ","FILING_STATUS=MR","Sort=A","Dates=H","DateFormat=P","Fill=—","Direction=H","UseDPDF=Y")</f>
        <v>9.4916</v>
      </c>
      <c r="E12" s="14">
        <f>_xll.BDH("BLUE US Equity","LT_DEBT_TO_TOT_EQY","FQ2 2019","FQ2 2019","Currency=USD","Period=FQ","BEST_FPERIOD_OVERRIDE=FQ","FILING_STATUS=MR","Sort=A","Dates=H","DateFormat=P","Fill=—","Direction=H","UseDPDF=Y")</f>
        <v>10.7158</v>
      </c>
      <c r="F12" s="14">
        <f>_xll.BDH("BLUE US Equity","LT_DEBT_TO_TOT_EQY","FQ3 2019","FQ3 2019","Currency=USD","Period=FQ","BEST_FPERIOD_OVERRIDE=FQ","FILING_STATUS=MR","Sort=A","Dates=H","DateFormat=P","Fill=—","Direction=H","UseDPDF=Y")</f>
        <v>11.960599999999999</v>
      </c>
      <c r="G12" s="14">
        <f>_xll.BDH("BLUE US Equity","LT_DEBT_TO_TOT_EQY","FQ4 2019","FQ4 2019","Currency=USD","Period=FQ","BEST_FPERIOD_OVERRIDE=FQ","FILING_STATUS=MR","Sort=A","Dates=H","DateFormat=P","Fill=—","Direction=H","UseDPDF=Y")</f>
        <v>13.2928</v>
      </c>
      <c r="H12" s="14">
        <f>_xll.BDH("BLUE US Equity","LT_DEBT_TO_TOT_EQY","FQ1 2020","FQ1 2020","Currency=USD","Period=FQ","BEST_FPERIOD_OVERRIDE=FQ","FILING_STATUS=MR","Sort=A","Dates=H","DateFormat=P","Fill=—","Direction=H","UseDPDF=Y")</f>
        <v>16.061800000000002</v>
      </c>
      <c r="I12" s="14">
        <f>_xll.BDH("BLUE US Equity","LT_DEBT_TO_TOT_EQY","FQ2 2020","FQ2 2020","Currency=USD","Period=FQ","BEST_FPERIOD_OVERRIDE=FQ","FILING_STATUS=MR","Sort=A","Dates=H","DateFormat=P","Fill=—","Direction=H","UseDPDF=Y")</f>
        <v>10.3782</v>
      </c>
      <c r="J12" s="14">
        <f>_xll.BDH("BLUE US Equity","LT_DEBT_TO_TOT_EQY","FQ3 2020","FQ3 2020","Currency=USD","Period=FQ","BEST_FPERIOD_OVERRIDE=FQ","FILING_STATUS=MR","Sort=A","Dates=H","DateFormat=P","Fill=—","Direction=H","UseDPDF=Y")</f>
        <v>11.363899999999999</v>
      </c>
      <c r="K12" s="14">
        <f>_xll.BDH("BLUE US Equity","LT_DEBT_TO_TOT_EQY","FQ4 2020","FQ4 2020","Currency=USD","Period=FQ","BEST_FPERIOD_OVERRIDE=FQ","FILING_STATUS=MR","Sort=A","Dates=H","DateFormat=P","Fill=—","Direction=H","UseDPDF=Y")</f>
        <v>4.1109999999999998</v>
      </c>
      <c r="L12" s="14">
        <f>_xll.BDH("BLUE US Equity","LT_DEBT_TO_TOT_EQY","FQ1 2021","FQ1 2021","Currency=USD","Period=FQ","BEST_FPERIOD_OVERRIDE=FQ","FILING_STATUS=MR","Sort=A","Dates=H","DateFormat=P","Fill=—","Direction=H","UseDPDF=Y")</f>
        <v>14.804399999999999</v>
      </c>
      <c r="M12" s="14">
        <f>_xll.BDH("BLUE US Equity","LT_DEBT_TO_TOT_EQY","FQ2 2021","FQ2 2021","Currency=USD","Period=FQ","BEST_FPERIOD_OVERRIDE=FQ","FILING_STATUS=MR","Sort=A","Dates=H","DateFormat=P","Fill=—","Direction=H","UseDPDF=Y")</f>
        <v>17.259799999999998</v>
      </c>
      <c r="N12" s="14">
        <f>_xll.BDH("BLUE US Equity","LT_DEBT_TO_TOT_EQY","FQ3 2021","FQ3 2021","Currency=USD","Period=FQ","BEST_FPERIOD_OVERRIDE=FQ","FILING_STATUS=MR","Sort=A","Dates=H","DateFormat=P","Fill=—","Direction=H","UseDPDF=Y")</f>
        <v>17.475200000000001</v>
      </c>
      <c r="O12" s="14">
        <f>_xll.BDH("BLUE US Equity","LT_DEBT_TO_TOT_EQY","FQ4 2021","FQ4 2021","Currency=USD","Period=FQ","BEST_FPERIOD_OVERRIDE=FQ","FILING_STATUS=MR","Sort=A","Dates=H","DateFormat=P","Fill=—","Direction=H","UseDPDF=Y")</f>
        <v>17.749400000000001</v>
      </c>
      <c r="P12" s="14">
        <f>_xll.BDH("BLUE US Equity","LT_DEBT_TO_TOT_EQY","FQ1 2022","FQ1 2022","Currency=USD","Period=FQ","BEST_FPERIOD_OVERRIDE=FQ","FILING_STATUS=MR","Sort=A","Dates=H","DateFormat=P","Fill=—","Direction=H","UseDPDF=Y")</f>
        <v>32.222299999999997</v>
      </c>
      <c r="Q12" s="14">
        <f>_xll.BDH("BLUE US Equity","LT_DEBT_TO_TOT_EQY","FQ2 2022","FQ2 2022","Currency=USD","Period=FQ","BEST_FPERIOD_OVERRIDE=FQ","FILING_STATUS=MR","Sort=A","Dates=H","DateFormat=P","Fill=—","Direction=H","UseDPDF=Y")</f>
        <v>135.75810000000001</v>
      </c>
      <c r="R12" s="14">
        <f>_xll.BDH("BLUE US Equity","LT_DEBT_TO_TOT_EQY","FQ3 2022","FQ3 2022","Currency=USD","Period=FQ","BEST_FPERIOD_OVERRIDE=FQ","FILING_STATUS=MR","Sort=A","Dates=H","DateFormat=P","Fill=—","Direction=H","UseDPDF=Y")</f>
        <v>147.56790000000001</v>
      </c>
      <c r="S12" s="14">
        <f>_xll.BDH("BLUE US Equity","LT_DEBT_TO_TOT_EQY","FQ4 2022","FQ4 2022","Currency=USD","Period=FQ","BEST_FPERIOD_OVERRIDE=FQ","FILING_STATUS=MR","Sort=A","Dates=H","DateFormat=P","Fill=—","Direction=H","UseDPDF=Y")</f>
        <v>207.5514</v>
      </c>
      <c r="T12" s="14">
        <f>_xll.BDH("BLUE US Equity","LT_DEBT_TO_TOT_EQY","FQ1 2023","FQ1 2023","Currency=USD","Period=FQ","BEST_FPERIOD_OVERRIDE=FQ","FILING_STATUS=MR","Sort=A","Dates=H","DateFormat=P","Fill=—","Direction=H","UseDPDF=Y")</f>
        <v>62.572899999999997</v>
      </c>
      <c r="U12" s="14">
        <f>_xll.BDH("BLUE US Equity","LT_DEBT_TO_TOT_EQY","FQ2 2023","FQ2 2023","Currency=USD","Period=FQ","BEST_FPERIOD_OVERRIDE=FQ","FILING_STATUS=MR","Sort=A","Dates=H","DateFormat=P","Fill=—","Direction=H","UseDPDF=Y")</f>
        <v>82.785600000000002</v>
      </c>
      <c r="V12" s="14">
        <f>_xll.BDH("BLUE US Equity","LT_DEBT_TO_TOT_EQY","FQ3 2023","FQ3 2023","Currency=USD","Period=FQ","BEST_FPERIOD_OVERRIDE=FQ","FILING_STATUS=MR","Sort=A","Dates=H","DateFormat=P","Fill=—","Direction=H","UseDPDF=Y")</f>
        <v>104.26309999999999</v>
      </c>
      <c r="W12" s="14">
        <f>_xll.BDH("BLUE US Equity","LT_DEBT_TO_TOT_EQY","FQ4 2023","FQ4 2023","Currency=USD","Period=FQ","BEST_FPERIOD_OVERRIDE=FQ","FILING_STATUS=MR","Sort=A","Dates=H","DateFormat=P","Fill=—","Direction=H","UseDPDF=Y")</f>
        <v>115.36060000000001</v>
      </c>
      <c r="X12" s="14">
        <f>_xll.BDH("BLUE US Equity","LT_DEBT_TO_TOT_EQY","FQ1 2024","FQ1 2024","Currency=USD","Period=FQ","BEST_FPERIOD_OVERRIDE=FQ","FILING_STATUS=MR","Sort=A","Dates=H","DateFormat=P","Fill=—","Direction=H","UseDPDF=Y")</f>
        <v>157.78579999999999</v>
      </c>
      <c r="Y12" s="14">
        <f>_xll.BDH("BLUE US Equity","LT_DEBT_TO_TOT_EQY","FQ2 2024","FQ2 2024","Currency=USD","Period=FQ","BEST_FPERIOD_OVERRIDE=FQ","FILING_STATUS=MR","Sort=A","Dates=H","DateFormat=P","Fill=—","Direction=H","UseDPDF=Y")</f>
        <v>366.52760000000001</v>
      </c>
      <c r="Z12" s="14" t="str">
        <f>_xll.BDH("BLUE US Equity","LT_DEBT_TO_TOT_EQY","FQ3 2024","FQ3 2024","Currency=USD","Period=FQ","BEST_FPERIOD_OVERRIDE=FQ","FILING_STATUS=MR","Sort=A","Dates=H","DateFormat=P","Fill=—","Direction=H","UseDPDF=Y")</f>
        <v>—</v>
      </c>
      <c r="AA12" s="14" t="str">
        <f>_xll.BDH("BLUE US Equity","LT_DEBT_TO_TOT_EQY","FQ4 2024","FQ4 2024","Currency=USD","Period=FQ","BEST_FPERIOD_OVERRIDE=FQ","FILING_STATUS=MR","Sort=A","Dates=H","DateFormat=P","Fill=—","Direction=H","UseDPDF=Y")</f>
        <v>—</v>
      </c>
    </row>
    <row r="13" spans="1:27" x14ac:dyDescent="0.25">
      <c r="A13" s="10" t="s">
        <v>1352</v>
      </c>
      <c r="B13" s="10" t="s">
        <v>1353</v>
      </c>
      <c r="C13" s="14">
        <f>_xll.BDH("BLUE US Equity","LT_DEBT_TO_TOT_CAP","FQ4 2018","FQ4 2018","Currency=USD","Period=FQ","BEST_FPERIOD_OVERRIDE=FQ","FILING_STATUS=MR","Sort=A","Dates=H","DateFormat=P","Fill=—","Direction=H","UseDPDF=Y")</f>
        <v>7.5216000000000003</v>
      </c>
      <c r="D13" s="14">
        <f>_xll.BDH("BLUE US Equity","LT_DEBT_TO_TOT_CAP","FQ1 2019","FQ1 2019","Currency=USD","Period=FQ","BEST_FPERIOD_OVERRIDE=FQ","FILING_STATUS=MR","Sort=A","Dates=H","DateFormat=P","Fill=—","Direction=H","UseDPDF=Y")</f>
        <v>8.5909999999999993</v>
      </c>
      <c r="E13" s="14">
        <f>_xll.BDH("BLUE US Equity","LT_DEBT_TO_TOT_CAP","FQ2 2019","FQ2 2019","Currency=USD","Period=FQ","BEST_FPERIOD_OVERRIDE=FQ","FILING_STATUS=MR","Sort=A","Dates=H","DateFormat=P","Fill=—","Direction=H","UseDPDF=Y")</f>
        <v>9.5787999999999993</v>
      </c>
      <c r="F13" s="14">
        <f>_xll.BDH("BLUE US Equity","LT_DEBT_TO_TOT_CAP","FQ3 2019","FQ3 2019","Currency=USD","Period=FQ","BEST_FPERIOD_OVERRIDE=FQ","FILING_STATUS=MR","Sort=A","Dates=H","DateFormat=P","Fill=—","Direction=H","UseDPDF=Y")</f>
        <v>10.555199999999999</v>
      </c>
      <c r="G13" s="14">
        <f>_xll.BDH("BLUE US Equity","LT_DEBT_TO_TOT_CAP","FQ4 2019","FQ4 2019","Currency=USD","Period=FQ","BEST_FPERIOD_OVERRIDE=FQ","FILING_STATUS=MR","Sort=A","Dates=H","DateFormat=P","Fill=—","Direction=H","UseDPDF=Y")</f>
        <v>11.572800000000001</v>
      </c>
      <c r="H13" s="14">
        <f>_xll.BDH("BLUE US Equity","LT_DEBT_TO_TOT_CAP","FQ1 2020","FQ1 2020","Currency=USD","Period=FQ","BEST_FPERIOD_OVERRIDE=FQ","FILING_STATUS=MR","Sort=A","Dates=H","DateFormat=P","Fill=—","Direction=H","UseDPDF=Y")</f>
        <v>13.625500000000001</v>
      </c>
      <c r="I13" s="14">
        <f>_xll.BDH("BLUE US Equity","LT_DEBT_TO_TOT_CAP","FQ2 2020","FQ2 2020","Currency=USD","Period=FQ","BEST_FPERIOD_OVERRIDE=FQ","FILING_STATUS=MR","Sort=A","Dates=H","DateFormat=P","Fill=—","Direction=H","UseDPDF=Y")</f>
        <v>9.2973999999999997</v>
      </c>
      <c r="J13" s="14">
        <f>_xll.BDH("BLUE US Equity","LT_DEBT_TO_TOT_CAP","FQ3 2020","FQ3 2020","Currency=USD","Period=FQ","BEST_FPERIOD_OVERRIDE=FQ","FILING_STATUS=MR","Sort=A","Dates=H","DateFormat=P","Fill=—","Direction=H","UseDPDF=Y")</f>
        <v>10.0724</v>
      </c>
      <c r="K13" s="14">
        <f>_xll.BDH("BLUE US Equity","LT_DEBT_TO_TOT_CAP","FQ4 2020","FQ4 2020","Currency=USD","Period=FQ","BEST_FPERIOD_OVERRIDE=FQ","FILING_STATUS=MR","Sort=A","Dates=H","DateFormat=P","Fill=—","Direction=H","UseDPDF=Y")</f>
        <v>3.9217</v>
      </c>
      <c r="L13" s="14">
        <f>_xll.BDH("BLUE US Equity","LT_DEBT_TO_TOT_CAP","FQ1 2021","FQ1 2021","Currency=USD","Period=FQ","BEST_FPERIOD_OVERRIDE=FQ","FILING_STATUS=MR","Sort=A","Dates=H","DateFormat=P","Fill=—","Direction=H","UseDPDF=Y")</f>
        <v>12.638</v>
      </c>
      <c r="M13" s="14">
        <f>_xll.BDH("BLUE US Equity","LT_DEBT_TO_TOT_CAP","FQ2 2021","FQ2 2021","Currency=USD","Period=FQ","BEST_FPERIOD_OVERRIDE=FQ","FILING_STATUS=MR","Sort=A","Dates=H","DateFormat=P","Fill=—","Direction=H","UseDPDF=Y")</f>
        <v>14.3626</v>
      </c>
      <c r="N13" s="14">
        <f>_xll.BDH("BLUE US Equity","LT_DEBT_TO_TOT_CAP","FQ3 2021","FQ3 2021","Currency=USD","Period=FQ","BEST_FPERIOD_OVERRIDE=FQ","FILING_STATUS=MR","Sort=A","Dates=H","DateFormat=P","Fill=—","Direction=H","UseDPDF=Y")</f>
        <v>14.4594</v>
      </c>
      <c r="O13" s="14">
        <f>_xll.BDH("BLUE US Equity","LT_DEBT_TO_TOT_CAP","FQ4 2021","FQ4 2021","Currency=USD","Period=FQ","BEST_FPERIOD_OVERRIDE=FQ","FILING_STATUS=MR","Sort=A","Dates=H","DateFormat=P","Fill=—","Direction=H","UseDPDF=Y")</f>
        <v>14.3215</v>
      </c>
      <c r="P13" s="14">
        <f>_xll.BDH("BLUE US Equity","LT_DEBT_TO_TOT_CAP","FQ1 2022","FQ1 2022","Currency=USD","Period=FQ","BEST_FPERIOD_OVERRIDE=FQ","FILING_STATUS=MR","Sort=A","Dates=H","DateFormat=P","Fill=—","Direction=H","UseDPDF=Y")</f>
        <v>22.7057</v>
      </c>
      <c r="Q13" s="14">
        <f>_xll.BDH("BLUE US Equity","LT_DEBT_TO_TOT_CAP","FQ2 2022","FQ2 2022","Currency=USD","Period=FQ","BEST_FPERIOD_OVERRIDE=FQ","FILING_STATUS=MR","Sort=A","Dates=H","DateFormat=P","Fill=—","Direction=H","UseDPDF=Y")</f>
        <v>51.686799999999998</v>
      </c>
      <c r="R13" s="14">
        <f>_xll.BDH("BLUE US Equity","LT_DEBT_TO_TOT_CAP","FQ3 2022","FQ3 2022","Currency=USD","Period=FQ","BEST_FPERIOD_OVERRIDE=FQ","FILING_STATUS=MR","Sort=A","Dates=H","DateFormat=P","Fill=—","Direction=H","UseDPDF=Y")</f>
        <v>53.634900000000002</v>
      </c>
      <c r="S13" s="14">
        <f>_xll.BDH("BLUE US Equity","LT_DEBT_TO_TOT_CAP","FQ4 2022","FQ4 2022","Currency=USD","Period=FQ","BEST_FPERIOD_OVERRIDE=FQ","FILING_STATUS=MR","Sort=A","Dates=H","DateFormat=P","Fill=—","Direction=H","UseDPDF=Y")</f>
        <v>55.607300000000002</v>
      </c>
      <c r="T13" s="14">
        <f>_xll.BDH("BLUE US Equity","LT_DEBT_TO_TOT_CAP","FQ1 2023","FQ1 2023","Currency=USD","Period=FQ","BEST_FPERIOD_OVERRIDE=FQ","FILING_STATUS=MR","Sort=A","Dates=H","DateFormat=P","Fill=—","Direction=H","UseDPDF=Y")</f>
        <v>35.339199999999998</v>
      </c>
      <c r="U13" s="14">
        <f>_xll.BDH("BLUE US Equity","LT_DEBT_TO_TOT_CAP","FQ2 2023","FQ2 2023","Currency=USD","Period=FQ","BEST_FPERIOD_OVERRIDE=FQ","FILING_STATUS=MR","Sort=A","Dates=H","DateFormat=P","Fill=—","Direction=H","UseDPDF=Y")</f>
        <v>40.153700000000001</v>
      </c>
      <c r="V13" s="14">
        <f>_xll.BDH("BLUE US Equity","LT_DEBT_TO_TOT_CAP","FQ3 2023","FQ3 2023","Currency=USD","Period=FQ","BEST_FPERIOD_OVERRIDE=FQ","FILING_STATUS=MR","Sort=A","Dates=H","DateFormat=P","Fill=—","Direction=H","UseDPDF=Y")</f>
        <v>44.090499999999999</v>
      </c>
      <c r="W13" s="14">
        <f>_xll.BDH("BLUE US Equity","LT_DEBT_TO_TOT_CAP","FQ4 2023","FQ4 2023","Currency=USD","Period=FQ","BEST_FPERIOD_OVERRIDE=FQ","FILING_STATUS=MR","Sort=A","Dates=H","DateFormat=P","Fill=—","Direction=H","UseDPDF=Y")</f>
        <v>42.757599999999996</v>
      </c>
      <c r="X13" s="14">
        <f>_xll.BDH("BLUE US Equity","LT_DEBT_TO_TOT_CAP","FQ1 2024","FQ1 2024","Currency=USD","Period=FQ","BEST_FPERIOD_OVERRIDE=FQ","FILING_STATUS=MR","Sort=A","Dates=H","DateFormat=P","Fill=—","Direction=H","UseDPDF=Y")</f>
        <v>37.912799999999997</v>
      </c>
      <c r="Y13" s="14">
        <f>_xll.BDH("BLUE US Equity","LT_DEBT_TO_TOT_CAP","FQ2 2024","FQ2 2024","Currency=USD","Period=FQ","BEST_FPERIOD_OVERRIDE=FQ","FILING_STATUS=MR","Sort=A","Dates=H","DateFormat=P","Fill=—","Direction=H","UseDPDF=Y")</f>
        <v>43.7956</v>
      </c>
      <c r="Z13" s="14">
        <f>_xll.BDH("BLUE US Equity","LT_DEBT_TO_TOT_CAP","FQ3 2024","FQ3 2024","Currency=USD","Period=FQ","BEST_FPERIOD_OVERRIDE=FQ","FILING_STATUS=MR","Sort=A","Dates=H","DateFormat=P","Fill=—","Direction=H","UseDPDF=Y")</f>
        <v>48.3611</v>
      </c>
      <c r="AA13" s="14">
        <f>_xll.BDH("BLUE US Equity","LT_DEBT_TO_TOT_CAP","FQ4 2024","FQ4 2024","Currency=USD","Period=FQ","BEST_FPERIOD_OVERRIDE=FQ","FILING_STATUS=MR","Sort=A","Dates=H","DateFormat=P","Fill=—","Direction=H","UseDPDF=Y")</f>
        <v>52.378300000000003</v>
      </c>
    </row>
    <row r="14" spans="1:27" x14ac:dyDescent="0.25">
      <c r="A14" s="10" t="s">
        <v>1354</v>
      </c>
      <c r="B14" s="10" t="s">
        <v>1355</v>
      </c>
      <c r="C14" s="14">
        <f>_xll.BDH("BLUE US Equity","LT_DEBT_TO_TOT_ASSET","FQ4 2018","FQ4 2018","Currency=USD","Period=FQ","BEST_FPERIOD_OVERRIDE=FQ","FILING_STATUS=MR","Sort=A","Dates=H","DateFormat=P","Fill=—","Direction=H","UseDPDF=Y")</f>
        <v>6.8358999999999996</v>
      </c>
      <c r="D14" s="14">
        <f>_xll.BDH("BLUE US Equity","LT_DEBT_TO_TOT_ASSET","FQ1 2019","FQ1 2019","Currency=USD","Period=FQ","BEST_FPERIOD_OVERRIDE=FQ","FILING_STATUS=MR","Sort=A","Dates=H","DateFormat=P","Fill=—","Direction=H","UseDPDF=Y")</f>
        <v>7.8648999999999996</v>
      </c>
      <c r="E14" s="14">
        <f>_xll.BDH("BLUE US Equity","LT_DEBT_TO_TOT_ASSET","FQ2 2019","FQ2 2019","Currency=USD","Period=FQ","BEST_FPERIOD_OVERRIDE=FQ","FILING_STATUS=MR","Sort=A","Dates=H","DateFormat=P","Fill=—","Direction=H","UseDPDF=Y")</f>
        <v>8.6662999999999997</v>
      </c>
      <c r="F14" s="14">
        <f>_xll.BDH("BLUE US Equity","LT_DEBT_TO_TOT_ASSET","FQ3 2019","FQ3 2019","Currency=USD","Period=FQ","BEST_FPERIOD_OVERRIDE=FQ","FILING_STATUS=MR","Sort=A","Dates=H","DateFormat=P","Fill=—","Direction=H","UseDPDF=Y")</f>
        <v>9.3026</v>
      </c>
      <c r="G14" s="14">
        <f>_xll.BDH("BLUE US Equity","LT_DEBT_TO_TOT_ASSET","FQ4 2019","FQ4 2019","Currency=USD","Period=FQ","BEST_FPERIOD_OVERRIDE=FQ","FILING_STATUS=MR","Sort=A","Dates=H","DateFormat=P","Fill=—","Direction=H","UseDPDF=Y")</f>
        <v>9.8881999999999994</v>
      </c>
      <c r="H14" s="14">
        <f>_xll.BDH("BLUE US Equity","LT_DEBT_TO_TOT_ASSET","FQ1 2020","FQ1 2020","Currency=USD","Period=FQ","BEST_FPERIOD_OVERRIDE=FQ","FILING_STATUS=MR","Sort=A","Dates=H","DateFormat=P","Fill=—","Direction=H","UseDPDF=Y")</f>
        <v>11.7691</v>
      </c>
      <c r="I14" s="14">
        <f>_xll.BDH("BLUE US Equity","LT_DEBT_TO_TOT_ASSET","FQ2 2020","FQ2 2020","Currency=USD","Period=FQ","BEST_FPERIOD_OVERRIDE=FQ","FILING_STATUS=MR","Sort=A","Dates=H","DateFormat=P","Fill=—","Direction=H","UseDPDF=Y")</f>
        <v>8.2818000000000005</v>
      </c>
      <c r="J14" s="14">
        <f>_xll.BDH("BLUE US Equity","LT_DEBT_TO_TOT_ASSET","FQ3 2020","FQ3 2020","Currency=USD","Period=FQ","BEST_FPERIOD_OVERRIDE=FQ","FILING_STATUS=MR","Sort=A","Dates=H","DateFormat=P","Fill=—","Direction=H","UseDPDF=Y")</f>
        <v>8.8962000000000003</v>
      </c>
      <c r="K14" s="14">
        <f>_xll.BDH("BLUE US Equity","LT_DEBT_TO_TOT_ASSET","FQ4 2020","FQ4 2020","Currency=USD","Period=FQ","BEST_FPERIOD_OVERRIDE=FQ","FILING_STATUS=MR","Sort=A","Dates=H","DateFormat=P","Fill=—","Direction=H","UseDPDF=Y")</f>
        <v>3.1274000000000002</v>
      </c>
      <c r="L14" s="14">
        <f>_xll.BDH("BLUE US Equity","LT_DEBT_TO_TOT_ASSET","FQ1 2021","FQ1 2021","Currency=USD","Period=FQ","BEST_FPERIOD_OVERRIDE=FQ","FILING_STATUS=MR","Sort=A","Dates=H","DateFormat=P","Fill=—","Direction=H","UseDPDF=Y")</f>
        <v>10.8535</v>
      </c>
      <c r="M14" s="14">
        <f>_xll.BDH("BLUE US Equity","LT_DEBT_TO_TOT_ASSET","FQ2 2021","FQ2 2021","Currency=USD","Period=FQ","BEST_FPERIOD_OVERRIDE=FQ","FILING_STATUS=MR","Sort=A","Dates=H","DateFormat=P","Fill=—","Direction=H","UseDPDF=Y")</f>
        <v>11.6836</v>
      </c>
      <c r="N14" s="14">
        <f>_xll.BDH("BLUE US Equity","LT_DEBT_TO_TOT_ASSET","FQ3 2021","FQ3 2021","Currency=USD","Period=FQ","BEST_FPERIOD_OVERRIDE=FQ","FILING_STATUS=MR","Sort=A","Dates=H","DateFormat=P","Fill=—","Direction=H","UseDPDF=Y")</f>
        <v>11.355700000000001</v>
      </c>
      <c r="O14" s="14">
        <f>_xll.BDH("BLUE US Equity","LT_DEBT_TO_TOT_ASSET","FQ4 2021","FQ4 2021","Currency=USD","Period=FQ","BEST_FPERIOD_OVERRIDE=FQ","FILING_STATUS=MR","Sort=A","Dates=H","DateFormat=P","Fill=—","Direction=H","UseDPDF=Y")</f>
        <v>11.1877</v>
      </c>
      <c r="P14" s="14">
        <f>_xll.BDH("BLUE US Equity","LT_DEBT_TO_TOT_ASSET","FQ1 2022","FQ1 2022","Currency=USD","Period=FQ","BEST_FPERIOD_OVERRIDE=FQ","FILING_STATUS=MR","Sort=A","Dates=H","DateFormat=P","Fill=—","Direction=H","UseDPDF=Y")</f>
        <v>17.274100000000001</v>
      </c>
      <c r="Q14" s="14">
        <f>_xll.BDH("BLUE US Equity","LT_DEBT_TO_TOT_ASSET","FQ2 2022","FQ2 2022","Currency=USD","Period=FQ","BEST_FPERIOD_OVERRIDE=FQ","FILING_STATUS=MR","Sort=A","Dates=H","DateFormat=P","Fill=—","Direction=H","UseDPDF=Y")</f>
        <v>42.63</v>
      </c>
      <c r="R14" s="14">
        <f>_xll.BDH("BLUE US Equity","LT_DEBT_TO_TOT_ASSET","FQ3 2022","FQ3 2022","Currency=USD","Period=FQ","BEST_FPERIOD_OVERRIDE=FQ","FILING_STATUS=MR","Sort=A","Dates=H","DateFormat=P","Fill=—","Direction=H","UseDPDF=Y")</f>
        <v>45.072699999999998</v>
      </c>
      <c r="S14" s="14">
        <f>_xll.BDH("BLUE US Equity","LT_DEBT_TO_TOT_ASSET","FQ4 2022","FQ4 2022","Currency=USD","Period=FQ","BEST_FPERIOD_OVERRIDE=FQ","FILING_STATUS=MR","Sort=A","Dates=H","DateFormat=P","Fill=—","Direction=H","UseDPDF=Y")</f>
        <v>48.93</v>
      </c>
      <c r="T14" s="14">
        <f>_xll.BDH("BLUE US Equity","LT_DEBT_TO_TOT_ASSET","FQ1 2023","FQ1 2023","Currency=USD","Period=FQ","BEST_FPERIOD_OVERRIDE=FQ","FILING_STATUS=MR","Sort=A","Dates=H","DateFormat=P","Fill=—","Direction=H","UseDPDF=Y")</f>
        <v>32.042700000000004</v>
      </c>
      <c r="U14" s="14">
        <f>_xll.BDH("BLUE US Equity","LT_DEBT_TO_TOT_ASSET","FQ2 2023","FQ2 2023","Currency=USD","Period=FQ","BEST_FPERIOD_OVERRIDE=FQ","FILING_STATUS=MR","Sort=A","Dates=H","DateFormat=P","Fill=—","Direction=H","UseDPDF=Y")</f>
        <v>36.067</v>
      </c>
      <c r="V14" s="14">
        <f>_xll.BDH("BLUE US Equity","LT_DEBT_TO_TOT_ASSET","FQ3 2023","FQ3 2023","Currency=USD","Period=FQ","BEST_FPERIOD_OVERRIDE=FQ","FILING_STATUS=MR","Sort=A","Dates=H","DateFormat=P","Fill=—","Direction=H","UseDPDF=Y")</f>
        <v>37.812899999999999</v>
      </c>
      <c r="W14" s="14">
        <f>_xll.BDH("BLUE US Equity","LT_DEBT_TO_TOT_ASSET","FQ4 2023","FQ4 2023","Currency=USD","Period=FQ","BEST_FPERIOD_OVERRIDE=FQ","FILING_STATUS=MR","Sort=A","Dates=H","DateFormat=P","Fill=—","Direction=H","UseDPDF=Y")</f>
        <v>36.245699999999999</v>
      </c>
      <c r="X14" s="14">
        <f>_xll.BDH("BLUE US Equity","LT_DEBT_TO_TOT_ASSET","FQ1 2024","FQ1 2024","Currency=USD","Period=FQ","BEST_FPERIOD_OVERRIDE=FQ","FILING_STATUS=MR","Sort=A","Dates=H","DateFormat=P","Fill=—","Direction=H","UseDPDF=Y")</f>
        <v>32.743899999999996</v>
      </c>
      <c r="Y14" s="14">
        <f>_xll.BDH("BLUE US Equity","LT_DEBT_TO_TOT_ASSET","FQ2 2024","FQ2 2024","Currency=USD","Period=FQ","BEST_FPERIOD_OVERRIDE=FQ","FILING_STATUS=MR","Sort=A","Dates=H","DateFormat=P","Fill=—","Direction=H","UseDPDF=Y")</f>
        <v>35.618600000000001</v>
      </c>
      <c r="Z14" s="14">
        <f>_xll.BDH("BLUE US Equity","LT_DEBT_TO_TOT_ASSET","FQ3 2024","FQ3 2024","Currency=USD","Period=FQ","BEST_FPERIOD_OVERRIDE=FQ","FILING_STATUS=MR","Sort=A","Dates=H","DateFormat=P","Fill=—","Direction=H","UseDPDF=Y")</f>
        <v>37.356999999999999</v>
      </c>
      <c r="AA14" s="14">
        <f>_xll.BDH("BLUE US Equity","LT_DEBT_TO_TOT_ASSET","FQ4 2024","FQ4 2024","Currency=USD","Period=FQ","BEST_FPERIOD_OVERRIDE=FQ","FILING_STATUS=MR","Sort=A","Dates=H","DateFormat=P","Fill=—","Direction=H","UseDPDF=Y")</f>
        <v>36.798200000000001</v>
      </c>
    </row>
    <row r="15" spans="1:27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0" t="s">
        <v>1356</v>
      </c>
      <c r="B16" s="10" t="s">
        <v>1357</v>
      </c>
      <c r="C16" s="14">
        <f>_xll.BDH("BLUE US Equity","TOT_DEBT_TO_TOT_EQY","FQ4 2018","FQ4 2018","Currency=USD","Period=FQ","BEST_FPERIOD_OVERRIDE=FQ","FILING_STATUS=MR","Sort=A","Dates=H","DateFormat=P","Fill=—","Direction=H","UseDPDF=Y")</f>
        <v>8.1333000000000002</v>
      </c>
      <c r="D16" s="14">
        <f>_xll.BDH("BLUE US Equity","TOT_DEBT_TO_TOT_EQY","FQ1 2019","FQ1 2019","Currency=USD","Period=FQ","BEST_FPERIOD_OVERRIDE=FQ","FILING_STATUS=MR","Sort=A","Dates=H","DateFormat=P","Fill=—","Direction=H","UseDPDF=Y")</f>
        <v>10.482799999999999</v>
      </c>
      <c r="E16" s="14">
        <f>_xll.BDH("BLUE US Equity","TOT_DEBT_TO_TOT_EQY","FQ2 2019","FQ2 2019","Currency=USD","Period=FQ","BEST_FPERIOD_OVERRIDE=FQ","FILING_STATUS=MR","Sort=A","Dates=H","DateFormat=P","Fill=—","Direction=H","UseDPDF=Y")</f>
        <v>11.869</v>
      </c>
      <c r="F16" s="14">
        <f>_xll.BDH("BLUE US Equity","TOT_DEBT_TO_TOT_EQY","FQ3 2019","FQ3 2019","Currency=USD","Period=FQ","BEST_FPERIOD_OVERRIDE=FQ","FILING_STATUS=MR","Sort=A","Dates=H","DateFormat=P","Fill=—","Direction=H","UseDPDF=Y")</f>
        <v>13.3149</v>
      </c>
      <c r="G16" s="14">
        <f>_xll.BDH("BLUE US Equity","TOT_DEBT_TO_TOT_EQY","FQ4 2019","FQ4 2019","Currency=USD","Period=FQ","BEST_FPERIOD_OVERRIDE=FQ","FILING_STATUS=MR","Sort=A","Dates=H","DateFormat=P","Fill=—","Direction=H","UseDPDF=Y")</f>
        <v>14.8629</v>
      </c>
      <c r="H16" s="14">
        <f>_xll.BDH("BLUE US Equity","TOT_DEBT_TO_TOT_EQY","FQ1 2020","FQ1 2020","Currency=USD","Period=FQ","BEST_FPERIOD_OVERRIDE=FQ","FILING_STATUS=MR","Sort=A","Dates=H","DateFormat=P","Fill=—","Direction=H","UseDPDF=Y")</f>
        <v>17.880800000000001</v>
      </c>
      <c r="I16" s="14">
        <f>_xll.BDH("BLUE US Equity","TOT_DEBT_TO_TOT_EQY","FQ2 2020","FQ2 2020","Currency=USD","Period=FQ","BEST_FPERIOD_OVERRIDE=FQ","FILING_STATUS=MR","Sort=A","Dates=H","DateFormat=P","Fill=—","Direction=H","UseDPDF=Y")</f>
        <v>11.624000000000001</v>
      </c>
      <c r="J16" s="14">
        <f>_xll.BDH("BLUE US Equity","TOT_DEBT_TO_TOT_EQY","FQ3 2020","FQ3 2020","Currency=USD","Period=FQ","BEST_FPERIOD_OVERRIDE=FQ","FILING_STATUS=MR","Sort=A","Dates=H","DateFormat=P","Fill=—","Direction=H","UseDPDF=Y")</f>
        <v>12.822699999999999</v>
      </c>
      <c r="K16" s="14">
        <f>_xll.BDH("BLUE US Equity","TOT_DEBT_TO_TOT_EQY","FQ4 2020","FQ4 2020","Currency=USD","Period=FQ","BEST_FPERIOD_OVERRIDE=FQ","FILING_STATUS=MR","Sort=A","Dates=H","DateFormat=P","Fill=—","Direction=H","UseDPDF=Y")</f>
        <v>4.8277000000000001</v>
      </c>
      <c r="L16" s="14">
        <f>_xll.BDH("BLUE US Equity","TOT_DEBT_TO_TOT_EQY","FQ1 2021","FQ1 2021","Currency=USD","Period=FQ","BEST_FPERIOD_OVERRIDE=FQ","FILING_STATUS=MR","Sort=A","Dates=H","DateFormat=P","Fill=—","Direction=H","UseDPDF=Y")</f>
        <v>17.142299999999999</v>
      </c>
      <c r="M16" s="14">
        <f>_xll.BDH("BLUE US Equity","TOT_DEBT_TO_TOT_EQY","FQ2 2021","FQ2 2021","Currency=USD","Period=FQ","BEST_FPERIOD_OVERRIDE=FQ","FILING_STATUS=MR","Sort=A","Dates=H","DateFormat=P","Fill=—","Direction=H","UseDPDF=Y")</f>
        <v>20.171600000000002</v>
      </c>
      <c r="N16" s="14">
        <f>_xll.BDH("BLUE US Equity","TOT_DEBT_TO_TOT_EQY","FQ3 2021","FQ3 2021","Currency=USD","Period=FQ","BEST_FPERIOD_OVERRIDE=FQ","FILING_STATUS=MR","Sort=A","Dates=H","DateFormat=P","Fill=—","Direction=H","UseDPDF=Y")</f>
        <v>20.857099999999999</v>
      </c>
      <c r="O16" s="14">
        <f>_xll.BDH("BLUE US Equity","TOT_DEBT_TO_TOT_EQY","FQ4 2021","FQ4 2021","Currency=USD","Period=FQ","BEST_FPERIOD_OVERRIDE=FQ","FILING_STATUS=MR","Sort=A","Dates=H","DateFormat=P","Fill=—","Direction=H","UseDPDF=Y")</f>
        <v>23.935199999999998</v>
      </c>
      <c r="P16" s="14">
        <f>_xll.BDH("BLUE US Equity","TOT_DEBT_TO_TOT_EQY","FQ1 2022","FQ1 2022","Currency=USD","Period=FQ","BEST_FPERIOD_OVERRIDE=FQ","FILING_STATUS=MR","Sort=A","Dates=H","DateFormat=P","Fill=—","Direction=H","UseDPDF=Y")</f>
        <v>41.912300000000002</v>
      </c>
      <c r="Q16" s="14">
        <f>_xll.BDH("BLUE US Equity","TOT_DEBT_TO_TOT_EQY","FQ2 2022","FQ2 2022","Currency=USD","Period=FQ","BEST_FPERIOD_OVERRIDE=FQ","FILING_STATUS=MR","Sort=A","Dates=H","DateFormat=P","Fill=—","Direction=H","UseDPDF=Y")</f>
        <v>162.65520000000001</v>
      </c>
      <c r="R16" s="14">
        <f>_xll.BDH("BLUE US Equity","TOT_DEBT_TO_TOT_EQY","FQ3 2022","FQ3 2022","Currency=USD","Period=FQ","BEST_FPERIOD_OVERRIDE=FQ","FILING_STATUS=MR","Sort=A","Dates=H","DateFormat=P","Fill=—","Direction=H","UseDPDF=Y")</f>
        <v>175.13419999999999</v>
      </c>
      <c r="S16" s="14">
        <f>_xll.BDH("BLUE US Equity","TOT_DEBT_TO_TOT_EQY","FQ4 2022","FQ4 2022","Currency=USD","Period=FQ","BEST_FPERIOD_OVERRIDE=FQ","FILING_STATUS=MR","Sort=A","Dates=H","DateFormat=P","Fill=—","Direction=H","UseDPDF=Y")</f>
        <v>273.2448</v>
      </c>
      <c r="T16" s="14">
        <f>_xll.BDH("BLUE US Equity","TOT_DEBT_TO_TOT_EQY","FQ1 2023","FQ1 2023","Currency=USD","Period=FQ","BEST_FPERIOD_OVERRIDE=FQ","FILING_STATUS=MR","Sort=A","Dates=H","DateFormat=P","Fill=—","Direction=H","UseDPDF=Y")</f>
        <v>77.063500000000005</v>
      </c>
      <c r="U16" s="14">
        <f>_xll.BDH("BLUE US Equity","TOT_DEBT_TO_TOT_EQY","FQ2 2023","FQ2 2023","Currency=USD","Period=FQ","BEST_FPERIOD_OVERRIDE=FQ","FILING_STATUS=MR","Sort=A","Dates=H","DateFormat=P","Fill=—","Direction=H","UseDPDF=Y")</f>
        <v>106.17189999999999</v>
      </c>
      <c r="V16" s="14">
        <f>_xll.BDH("BLUE US Equity","TOT_DEBT_TO_TOT_EQY","FQ3 2023","FQ3 2023","Currency=USD","Period=FQ","BEST_FPERIOD_OVERRIDE=FQ","FILING_STATUS=MR","Sort=A","Dates=H","DateFormat=P","Fill=—","Direction=H","UseDPDF=Y")</f>
        <v>136.47540000000001</v>
      </c>
      <c r="W16" s="14">
        <f>_xll.BDH("BLUE US Equity","TOT_DEBT_TO_TOT_EQY","FQ4 2023","FQ4 2023","Currency=USD","Period=FQ","BEST_FPERIOD_OVERRIDE=FQ","FILING_STATUS=MR","Sort=A","Dates=H","DateFormat=P","Fill=—","Direction=H","UseDPDF=Y")</f>
        <v>169.80109999999999</v>
      </c>
      <c r="X16" s="14">
        <f>_xll.BDH("BLUE US Equity","TOT_DEBT_TO_TOT_EQY","FQ1 2024","FQ1 2024","Currency=USD","Period=FQ","BEST_FPERIOD_OVERRIDE=FQ","FILING_STATUS=MR","Sort=A","Dates=H","DateFormat=P","Fill=—","Direction=H","UseDPDF=Y")</f>
        <v>316.18060000000003</v>
      </c>
      <c r="Y16" s="14">
        <f>_xll.BDH("BLUE US Equity","TOT_DEBT_TO_TOT_EQY","FQ2 2024","FQ2 2024","Currency=USD","Period=FQ","BEST_FPERIOD_OVERRIDE=FQ","FILING_STATUS=MR","Sort=A","Dates=H","DateFormat=P","Fill=—","Direction=H","UseDPDF=Y")</f>
        <v>736.90570000000002</v>
      </c>
      <c r="Z16" s="14" t="str">
        <f>_xll.BDH("BLUE US Equity","TOT_DEBT_TO_TOT_EQY","FQ3 2024","FQ3 2024","Currency=USD","Period=FQ","BEST_FPERIOD_OVERRIDE=FQ","FILING_STATUS=MR","Sort=A","Dates=H","DateFormat=P","Fill=—","Direction=H","UseDPDF=Y")</f>
        <v>—</v>
      </c>
      <c r="AA16" s="14" t="str">
        <f>_xll.BDH("BLUE US Equity","TOT_DEBT_TO_TOT_EQY","FQ4 2024","FQ4 2024","Currency=USD","Period=FQ","BEST_FPERIOD_OVERRIDE=FQ","FILING_STATUS=MR","Sort=A","Dates=H","DateFormat=P","Fill=—","Direction=H","UseDPDF=Y")</f>
        <v>—</v>
      </c>
    </row>
    <row r="17" spans="1:27" x14ac:dyDescent="0.25">
      <c r="A17" s="10" t="s">
        <v>1358</v>
      </c>
      <c r="B17" s="10" t="s">
        <v>174</v>
      </c>
      <c r="C17" s="14">
        <f>_xll.BDH("BLUE US Equity","TOT_DEBT_TO_TOT_CAP","FQ4 2018","FQ4 2018","Currency=USD","Period=FQ","BEST_FPERIOD_OVERRIDE=FQ","FILING_STATUS=MR","Sort=A","Dates=H","DateFormat=P","Fill=—","Direction=H","UseDPDF=Y")</f>
        <v>7.5216000000000003</v>
      </c>
      <c r="D17" s="14">
        <f>_xll.BDH("BLUE US Equity","TOT_DEBT_TO_TOT_CAP","FQ1 2019","FQ1 2019","Currency=USD","Period=FQ","BEST_FPERIOD_OVERRIDE=FQ","FILING_STATUS=MR","Sort=A","Dates=H","DateFormat=P","Fill=—","Direction=H","UseDPDF=Y")</f>
        <v>9.4882000000000009</v>
      </c>
      <c r="E17" s="14">
        <f>_xll.BDH("BLUE US Equity","TOT_DEBT_TO_TOT_CAP","FQ2 2019","FQ2 2019","Currency=USD","Period=FQ","BEST_FPERIOD_OVERRIDE=FQ","FILING_STATUS=MR","Sort=A","Dates=H","DateFormat=P","Fill=—","Direction=H","UseDPDF=Y")</f>
        <v>10.6098</v>
      </c>
      <c r="F17" s="14">
        <f>_xll.BDH("BLUE US Equity","TOT_DEBT_TO_TOT_CAP","FQ3 2019","FQ3 2019","Currency=USD","Period=FQ","BEST_FPERIOD_OVERRIDE=FQ","FILING_STATUS=MR","Sort=A","Dates=H","DateFormat=P","Fill=—","Direction=H","UseDPDF=Y")</f>
        <v>11.750400000000001</v>
      </c>
      <c r="G17" s="14">
        <f>_xll.BDH("BLUE US Equity","TOT_DEBT_TO_TOT_CAP","FQ4 2019","FQ4 2019","Currency=USD","Period=FQ","BEST_FPERIOD_OVERRIDE=FQ","FILING_STATUS=MR","Sort=A","Dates=H","DateFormat=P","Fill=—","Direction=H","UseDPDF=Y")</f>
        <v>12.9397</v>
      </c>
      <c r="H17" s="14">
        <f>_xll.BDH("BLUE US Equity","TOT_DEBT_TO_TOT_CAP","FQ1 2020","FQ1 2020","Currency=USD","Period=FQ","BEST_FPERIOD_OVERRIDE=FQ","FILING_STATUS=MR","Sort=A","Dates=H","DateFormat=P","Fill=—","Direction=H","UseDPDF=Y")</f>
        <v>15.1685</v>
      </c>
      <c r="I17" s="14">
        <f>_xll.BDH("BLUE US Equity","TOT_DEBT_TO_TOT_CAP","FQ2 2020","FQ2 2020","Currency=USD","Period=FQ","BEST_FPERIOD_OVERRIDE=FQ","FILING_STATUS=MR","Sort=A","Dates=H","DateFormat=P","Fill=—","Direction=H","UseDPDF=Y")</f>
        <v>10.413500000000001</v>
      </c>
      <c r="J17" s="14">
        <f>_xll.BDH("BLUE US Equity","TOT_DEBT_TO_TOT_CAP","FQ3 2020","FQ3 2020","Currency=USD","Period=FQ","BEST_FPERIOD_OVERRIDE=FQ","FILING_STATUS=MR","Sort=A","Dates=H","DateFormat=P","Fill=—","Direction=H","UseDPDF=Y")</f>
        <v>11.365399999999999</v>
      </c>
      <c r="K17" s="14">
        <f>_xll.BDH("BLUE US Equity","TOT_DEBT_TO_TOT_CAP","FQ4 2020","FQ4 2020","Currency=USD","Period=FQ","BEST_FPERIOD_OVERRIDE=FQ","FILING_STATUS=MR","Sort=A","Dates=H","DateFormat=P","Fill=—","Direction=H","UseDPDF=Y")</f>
        <v>4.6054000000000004</v>
      </c>
      <c r="L17" s="14">
        <f>_xll.BDH("BLUE US Equity","TOT_DEBT_TO_TOT_CAP","FQ1 2021","FQ1 2021","Currency=USD","Period=FQ","BEST_FPERIOD_OVERRIDE=FQ","FILING_STATUS=MR","Sort=A","Dates=H","DateFormat=P","Fill=—","Direction=H","UseDPDF=Y")</f>
        <v>14.633800000000001</v>
      </c>
      <c r="M17" s="14">
        <f>_xll.BDH("BLUE US Equity","TOT_DEBT_TO_TOT_CAP","FQ2 2021","FQ2 2021","Currency=USD","Period=FQ","BEST_FPERIOD_OVERRIDE=FQ","FILING_STATUS=MR","Sort=A","Dates=H","DateFormat=P","Fill=—","Direction=H","UseDPDF=Y")</f>
        <v>16.785699999999999</v>
      </c>
      <c r="N17" s="14">
        <f>_xll.BDH("BLUE US Equity","TOT_DEBT_TO_TOT_CAP","FQ3 2021","FQ3 2021","Currency=USD","Period=FQ","BEST_FPERIOD_OVERRIDE=FQ","FILING_STATUS=MR","Sort=A","Dates=H","DateFormat=P","Fill=—","Direction=H","UseDPDF=Y")</f>
        <v>17.2577</v>
      </c>
      <c r="O17" s="14">
        <f>_xll.BDH("BLUE US Equity","TOT_DEBT_TO_TOT_CAP","FQ4 2021","FQ4 2021","Currency=USD","Period=FQ","BEST_FPERIOD_OVERRIDE=FQ","FILING_STATUS=MR","Sort=A","Dates=H","DateFormat=P","Fill=—","Direction=H","UseDPDF=Y")</f>
        <v>19.3127</v>
      </c>
      <c r="P17" s="14">
        <f>_xll.BDH("BLUE US Equity","TOT_DEBT_TO_TOT_CAP","FQ1 2022","FQ1 2022","Currency=USD","Period=FQ","BEST_FPERIOD_OVERRIDE=FQ","FILING_STATUS=MR","Sort=A","Dates=H","DateFormat=P","Fill=—","Direction=H","UseDPDF=Y")</f>
        <v>29.533999999999999</v>
      </c>
      <c r="Q17" s="14">
        <f>_xll.BDH("BLUE US Equity","TOT_DEBT_TO_TOT_CAP","FQ2 2022","FQ2 2022","Currency=USD","Period=FQ","BEST_FPERIOD_OVERRIDE=FQ","FILING_STATUS=MR","Sort=A","Dates=H","DateFormat=P","Fill=—","Direction=H","UseDPDF=Y")</f>
        <v>61.927300000000002</v>
      </c>
      <c r="R17" s="14">
        <f>_xll.BDH("BLUE US Equity","TOT_DEBT_TO_TOT_CAP","FQ3 2022","FQ3 2022","Currency=USD","Period=FQ","BEST_FPERIOD_OVERRIDE=FQ","FILING_STATUS=MR","Sort=A","Dates=H","DateFormat=P","Fill=—","Direction=H","UseDPDF=Y")</f>
        <v>63.6541</v>
      </c>
      <c r="S17" s="14">
        <f>_xll.BDH("BLUE US Equity","TOT_DEBT_TO_TOT_CAP","FQ4 2022","FQ4 2022","Currency=USD","Period=FQ","BEST_FPERIOD_OVERRIDE=FQ","FILING_STATUS=MR","Sort=A","Dates=H","DateFormat=P","Fill=—","Direction=H","UseDPDF=Y")</f>
        <v>73.207899999999995</v>
      </c>
      <c r="T17" s="14">
        <f>_xll.BDH("BLUE US Equity","TOT_DEBT_TO_TOT_CAP","FQ1 2023","FQ1 2023","Currency=USD","Period=FQ","BEST_FPERIOD_OVERRIDE=FQ","FILING_STATUS=MR","Sort=A","Dates=H","DateFormat=P","Fill=—","Direction=H","UseDPDF=Y")</f>
        <v>43.523099999999999</v>
      </c>
      <c r="U17" s="14">
        <f>_xll.BDH("BLUE US Equity","TOT_DEBT_TO_TOT_CAP","FQ2 2023","FQ2 2023","Currency=USD","Period=FQ","BEST_FPERIOD_OVERRIDE=FQ","FILING_STATUS=MR","Sort=A","Dates=H","DateFormat=P","Fill=—","Direction=H","UseDPDF=Y")</f>
        <v>51.4968</v>
      </c>
      <c r="V17" s="14">
        <f>_xll.BDH("BLUE US Equity","TOT_DEBT_TO_TOT_CAP","FQ3 2023","FQ3 2023","Currency=USD","Period=FQ","BEST_FPERIOD_OVERRIDE=FQ","FILING_STATUS=MR","Sort=A","Dates=H","DateFormat=P","Fill=—","Direction=H","UseDPDF=Y")</f>
        <v>57.712299999999999</v>
      </c>
      <c r="W17" s="14">
        <f>_xll.BDH("BLUE US Equity","TOT_DEBT_TO_TOT_CAP","FQ4 2023","FQ4 2023","Currency=USD","Period=FQ","BEST_FPERIOD_OVERRIDE=FQ","FILING_STATUS=MR","Sort=A","Dates=H","DateFormat=P","Fill=—","Direction=H","UseDPDF=Y")</f>
        <v>62.935699999999997</v>
      </c>
      <c r="X17" s="14">
        <f>_xll.BDH("BLUE US Equity","TOT_DEBT_TO_TOT_CAP","FQ1 2024","FQ1 2024","Currency=USD","Period=FQ","BEST_FPERIOD_OVERRIDE=FQ","FILING_STATUS=MR","Sort=A","Dates=H","DateFormat=P","Fill=—","Direction=H","UseDPDF=Y")</f>
        <v>75.971999999999994</v>
      </c>
      <c r="Y17" s="14">
        <f>_xll.BDH("BLUE US Equity","TOT_DEBT_TO_TOT_CAP","FQ2 2024","FQ2 2024","Currency=USD","Period=FQ","BEST_FPERIOD_OVERRIDE=FQ","FILING_STATUS=MR","Sort=A","Dates=H","DateFormat=P","Fill=—","Direction=H","UseDPDF=Y")</f>
        <v>88.051199999999994</v>
      </c>
      <c r="Z17" s="14">
        <f>_xll.BDH("BLUE US Equity","TOT_DEBT_TO_TOT_CAP","FQ3 2024","FQ3 2024","Currency=USD","Period=FQ","BEST_FPERIOD_OVERRIDE=FQ","FILING_STATUS=MR","Sort=A","Dates=H","DateFormat=P","Fill=—","Direction=H","UseDPDF=Y")</f>
        <v>101.61060000000001</v>
      </c>
      <c r="AA17" s="14">
        <f>_xll.BDH("BLUE US Equity","TOT_DEBT_TO_TOT_CAP","FQ4 2024","FQ4 2024","Currency=USD","Period=FQ","BEST_FPERIOD_OVERRIDE=FQ","FILING_STATUS=MR","Sort=A","Dates=H","DateFormat=P","Fill=—","Direction=H","UseDPDF=Y")</f>
        <v>109.75279999999999</v>
      </c>
    </row>
    <row r="18" spans="1:27" x14ac:dyDescent="0.25">
      <c r="A18" s="10" t="s">
        <v>1359</v>
      </c>
      <c r="B18" s="10" t="s">
        <v>1360</v>
      </c>
      <c r="C18" s="14">
        <f>_xll.BDH("BLUE US Equity","TOT_DEBT_TO_TOT_ASSET","FQ4 2018","FQ4 2018","Currency=USD","Period=FQ","BEST_FPERIOD_OVERRIDE=FQ","FILING_STATUS=MR","Sort=A","Dates=H","DateFormat=P","Fill=—","Direction=H","UseDPDF=Y")</f>
        <v>6.8358999999999996</v>
      </c>
      <c r="D18" s="14">
        <f>_xll.BDH("BLUE US Equity","TOT_DEBT_TO_TOT_ASSET","FQ1 2019","FQ1 2019","Currency=USD","Period=FQ","BEST_FPERIOD_OVERRIDE=FQ","FILING_STATUS=MR","Sort=A","Dates=H","DateFormat=P","Fill=—","Direction=H","UseDPDF=Y")</f>
        <v>8.6862999999999992</v>
      </c>
      <c r="E18" s="14">
        <f>_xll.BDH("BLUE US Equity","TOT_DEBT_TO_TOT_ASSET","FQ2 2019","FQ2 2019","Currency=USD","Period=FQ","BEST_FPERIOD_OVERRIDE=FQ","FILING_STATUS=MR","Sort=A","Dates=H","DateFormat=P","Fill=—","Direction=H","UseDPDF=Y")</f>
        <v>9.5991</v>
      </c>
      <c r="F18" s="14">
        <f>_xll.BDH("BLUE US Equity","TOT_DEBT_TO_TOT_ASSET","FQ3 2019","FQ3 2019","Currency=USD","Period=FQ","BEST_FPERIOD_OVERRIDE=FQ","FILING_STATUS=MR","Sort=A","Dates=H","DateFormat=P","Fill=—","Direction=H","UseDPDF=Y")</f>
        <v>10.3559</v>
      </c>
      <c r="G18" s="14">
        <f>_xll.BDH("BLUE US Equity","TOT_DEBT_TO_TOT_ASSET","FQ4 2019","FQ4 2019","Currency=USD","Period=FQ","BEST_FPERIOD_OVERRIDE=FQ","FILING_STATUS=MR","Sort=A","Dates=H","DateFormat=P","Fill=—","Direction=H","UseDPDF=Y")</f>
        <v>11.0562</v>
      </c>
      <c r="H18" s="14">
        <f>_xll.BDH("BLUE US Equity","TOT_DEBT_TO_TOT_ASSET","FQ1 2020","FQ1 2020","Currency=USD","Period=FQ","BEST_FPERIOD_OVERRIDE=FQ","FILING_STATUS=MR","Sort=A","Dates=H","DateFormat=P","Fill=—","Direction=H","UseDPDF=Y")</f>
        <v>13.101900000000001</v>
      </c>
      <c r="I18" s="14">
        <f>_xll.BDH("BLUE US Equity","TOT_DEBT_TO_TOT_ASSET","FQ2 2020","FQ2 2020","Currency=USD","Period=FQ","BEST_FPERIOD_OVERRIDE=FQ","FILING_STATUS=MR","Sort=A","Dates=H","DateFormat=P","Fill=—","Direction=H","UseDPDF=Y")</f>
        <v>9.2759999999999998</v>
      </c>
      <c r="J18" s="14">
        <f>_xll.BDH("BLUE US Equity","TOT_DEBT_TO_TOT_ASSET","FQ3 2020","FQ3 2020","Currency=USD","Period=FQ","BEST_FPERIOD_OVERRIDE=FQ","FILING_STATUS=MR","Sort=A","Dates=H","DateFormat=P","Fill=—","Direction=H","UseDPDF=Y")</f>
        <v>10.0383</v>
      </c>
      <c r="K18" s="14">
        <f>_xll.BDH("BLUE US Equity","TOT_DEBT_TO_TOT_ASSET","FQ4 2020","FQ4 2020","Currency=USD","Period=FQ","BEST_FPERIOD_OVERRIDE=FQ","FILING_STATUS=MR","Sort=A","Dates=H","DateFormat=P","Fill=—","Direction=H","UseDPDF=Y")</f>
        <v>3.6726000000000001</v>
      </c>
      <c r="L18" s="14">
        <f>_xll.BDH("BLUE US Equity","TOT_DEBT_TO_TOT_ASSET","FQ1 2021","FQ1 2021","Currency=USD","Period=FQ","BEST_FPERIOD_OVERRIDE=FQ","FILING_STATUS=MR","Sort=A","Dates=H","DateFormat=P","Fill=—","Direction=H","UseDPDF=Y")</f>
        <v>12.567500000000001</v>
      </c>
      <c r="M18" s="14">
        <f>_xll.BDH("BLUE US Equity","TOT_DEBT_TO_TOT_ASSET","FQ2 2021","FQ2 2021","Currency=USD","Period=FQ","BEST_FPERIOD_OVERRIDE=FQ","FILING_STATUS=MR","Sort=A","Dates=H","DateFormat=P","Fill=—","Direction=H","UseDPDF=Y")</f>
        <v>13.6547</v>
      </c>
      <c r="N18" s="14">
        <f>_xll.BDH("BLUE US Equity","TOT_DEBT_TO_TOT_ASSET","FQ3 2021","FQ3 2021","Currency=USD","Period=FQ","BEST_FPERIOD_OVERRIDE=FQ","FILING_STATUS=MR","Sort=A","Dates=H","DateFormat=P","Fill=—","Direction=H","UseDPDF=Y")</f>
        <v>13.5534</v>
      </c>
      <c r="O18" s="14">
        <f>_xll.BDH("BLUE US Equity","TOT_DEBT_TO_TOT_ASSET","FQ4 2021","FQ4 2021","Currency=USD","Period=FQ","BEST_FPERIOD_OVERRIDE=FQ","FILING_STATUS=MR","Sort=A","Dates=H","DateFormat=P","Fill=—","Direction=H","UseDPDF=Y")</f>
        <v>15.0867</v>
      </c>
      <c r="P18" s="14">
        <f>_xll.BDH("BLUE US Equity","TOT_DEBT_TO_TOT_ASSET","FQ1 2022","FQ1 2022","Currency=USD","Period=FQ","BEST_FPERIOD_OVERRIDE=FQ","FILING_STATUS=MR","Sort=A","Dates=H","DateFormat=P","Fill=—","Direction=H","UseDPDF=Y")</f>
        <v>22.468800000000002</v>
      </c>
      <c r="Q18" s="14">
        <f>_xll.BDH("BLUE US Equity","TOT_DEBT_TO_TOT_ASSET","FQ2 2022","FQ2 2022","Currency=USD","Period=FQ","BEST_FPERIOD_OVERRIDE=FQ","FILING_STATUS=MR","Sort=A","Dates=H","DateFormat=P","Fill=—","Direction=H","UseDPDF=Y")</f>
        <v>51.076000000000001</v>
      </c>
      <c r="R18" s="14">
        <f>_xll.BDH("BLUE US Equity","TOT_DEBT_TO_TOT_ASSET","FQ3 2022","FQ3 2022","Currency=USD","Period=FQ","BEST_FPERIOD_OVERRIDE=FQ","FILING_STATUS=MR","Sort=A","Dates=H","DateFormat=P","Fill=—","Direction=H","UseDPDF=Y")</f>
        <v>53.492400000000004</v>
      </c>
      <c r="S18" s="14">
        <f>_xll.BDH("BLUE US Equity","TOT_DEBT_TO_TOT_ASSET","FQ4 2022","FQ4 2022","Currency=USD","Period=FQ","BEST_FPERIOD_OVERRIDE=FQ","FILING_STATUS=MR","Sort=A","Dates=H","DateFormat=P","Fill=—","Direction=H","UseDPDF=Y")</f>
        <v>64.417199999999994</v>
      </c>
      <c r="T18" s="14">
        <f>_xll.BDH("BLUE US Equity","TOT_DEBT_TO_TOT_ASSET","FQ1 2023","FQ1 2023","Currency=USD","Period=FQ","BEST_FPERIOD_OVERRIDE=FQ","FILING_STATUS=MR","Sort=A","Dates=H","DateFormat=P","Fill=—","Direction=H","UseDPDF=Y")</f>
        <v>39.463099999999997</v>
      </c>
      <c r="U18" s="14">
        <f>_xll.BDH("BLUE US Equity","TOT_DEBT_TO_TOT_ASSET","FQ2 2023","FQ2 2023","Currency=USD","Period=FQ","BEST_FPERIOD_OVERRIDE=FQ","FILING_STATUS=MR","Sort=A","Dates=H","DateFormat=P","Fill=—","Direction=H","UseDPDF=Y")</f>
        <v>46.255699999999997</v>
      </c>
      <c r="V18" s="14">
        <f>_xll.BDH("BLUE US Equity","TOT_DEBT_TO_TOT_ASSET","FQ3 2023","FQ3 2023","Currency=USD","Period=FQ","BEST_FPERIOD_OVERRIDE=FQ","FILING_STATUS=MR","Sort=A","Dates=H","DateFormat=P","Fill=—","Direction=H","UseDPDF=Y")</f>
        <v>49.4953</v>
      </c>
      <c r="W18" s="14">
        <f>_xll.BDH("BLUE US Equity","TOT_DEBT_TO_TOT_ASSET","FQ4 2023","FQ4 2023","Currency=USD","Period=FQ","BEST_FPERIOD_OVERRIDE=FQ","FILING_STATUS=MR","Sort=A","Dates=H","DateFormat=P","Fill=—","Direction=H","UseDPDF=Y")</f>
        <v>53.3506</v>
      </c>
      <c r="X18" s="14">
        <f>_xll.BDH("BLUE US Equity","TOT_DEBT_TO_TOT_ASSET","FQ1 2024","FQ1 2024","Currency=USD","Period=FQ","BEST_FPERIOD_OVERRIDE=FQ","FILING_STATUS=MR","Sort=A","Dates=H","DateFormat=P","Fill=—","Direction=H","UseDPDF=Y")</f>
        <v>65.614099999999993</v>
      </c>
      <c r="Y18" s="14">
        <f>_xll.BDH("BLUE US Equity","TOT_DEBT_TO_TOT_ASSET","FQ2 2024","FQ2 2024","Currency=USD","Period=FQ","BEST_FPERIOD_OVERRIDE=FQ","FILING_STATUS=MR","Sort=A","Dates=H","DateFormat=P","Fill=—","Direction=H","UseDPDF=Y")</f>
        <v>71.6113</v>
      </c>
      <c r="Z18" s="14">
        <f>_xll.BDH("BLUE US Equity","TOT_DEBT_TO_TOT_ASSET","FQ3 2024","FQ3 2024","Currency=USD","Period=FQ","BEST_FPERIOD_OVERRIDE=FQ","FILING_STATUS=MR","Sort=A","Dates=H","DateFormat=P","Fill=—","Direction=H","UseDPDF=Y")</f>
        <v>78.490099999999998</v>
      </c>
      <c r="AA18" s="14">
        <f>_xll.BDH("BLUE US Equity","TOT_DEBT_TO_TOT_ASSET","FQ4 2024","FQ4 2024","Currency=USD","Period=FQ","BEST_FPERIOD_OVERRIDE=FQ","FILING_STATUS=MR","Sort=A","Dates=H","DateFormat=P","Fill=—","Direction=H","UseDPDF=Y")</f>
        <v>77.106300000000005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1391</v>
      </c>
      <c r="B20" s="10" t="s">
        <v>1392</v>
      </c>
      <c r="C20" s="14">
        <f>_xll.BDH("BLUE US Equity","CASH_FLOW_TO_TOT_LIAB","FQ4 2018","FQ4 2018","Currency=USD","Period=FQ","BEST_FPERIOD_OVERRIDE=FQ","FILING_STATUS=MR","Sort=A","Dates=H","DateFormat=P","Fill=—","Direction=H","UseDPDF=Y")</f>
        <v>-115.5551</v>
      </c>
      <c r="D20" s="14">
        <f>_xll.BDH("BLUE US Equity","CASH_FLOW_TO_TOT_LIAB","FQ1 2019","FQ1 2019","Currency=USD","Period=FQ","BEST_FPERIOD_OVERRIDE=FQ","FILING_STATUS=MR","Sort=A","Dates=H","DateFormat=P","Fill=—","Direction=H","UseDPDF=Y")</f>
        <v>-125.1673</v>
      </c>
      <c r="E20" s="14">
        <f>_xll.BDH("BLUE US Equity","CASH_FLOW_TO_TOT_LIAB","FQ2 2019","FQ2 2019","Currency=USD","Period=FQ","BEST_FPERIOD_OVERRIDE=FQ","FILING_STATUS=MR","Sort=A","Dates=H","DateFormat=P","Fill=—","Direction=H","UseDPDF=Y")</f>
        <v>-128.23500000000001</v>
      </c>
      <c r="F20" s="14">
        <f>_xll.BDH("BLUE US Equity","CASH_FLOW_TO_TOT_LIAB","FQ3 2019","FQ3 2019","Currency=USD","Period=FQ","BEST_FPERIOD_OVERRIDE=FQ","FILING_STATUS=MR","Sort=A","Dates=H","DateFormat=P","Fill=—","Direction=H","UseDPDF=Y")</f>
        <v>-127.26009999999999</v>
      </c>
      <c r="G20" s="14">
        <f>_xll.BDH("BLUE US Equity","CASH_FLOW_TO_TOT_LIAB","FQ4 2019","FQ4 2019","Currency=USD","Period=FQ","BEST_FPERIOD_OVERRIDE=FQ","FILING_STATUS=MR","Sort=A","Dates=H","DateFormat=P","Fill=—","Direction=H","UseDPDF=Y")</f>
        <v>-127.5643</v>
      </c>
      <c r="H20" s="14">
        <f>_xll.BDH("BLUE US Equity","CASH_FLOW_TO_TOT_LIAB","FQ1 2020","FQ1 2020","Currency=USD","Period=FQ","BEST_FPERIOD_OVERRIDE=FQ","FILING_STATUS=MR","Sort=A","Dates=H","DateFormat=P","Fill=—","Direction=H","UseDPDF=Y")</f>
        <v>-150.8184</v>
      </c>
      <c r="I20" s="14">
        <f>_xll.BDH("BLUE US Equity","CASH_FLOW_TO_TOT_LIAB","FQ2 2020","FQ2 2020","Currency=USD","Period=FQ","BEST_FPERIOD_OVERRIDE=FQ","FILING_STATUS=MR","Sort=A","Dates=H","DateFormat=P","Fill=—","Direction=H","UseDPDF=Y")</f>
        <v>-103.04770000000001</v>
      </c>
      <c r="J20" s="14">
        <f>_xll.BDH("BLUE US Equity","CASH_FLOW_TO_TOT_LIAB","FQ3 2020","FQ3 2020","Currency=USD","Period=FQ","BEST_FPERIOD_OVERRIDE=FQ","FILING_STATUS=MR","Sort=A","Dates=H","DateFormat=P","Fill=—","Direction=H","UseDPDF=Y")</f>
        <v>-112.23090000000001</v>
      </c>
      <c r="K20" s="14">
        <f>_xll.BDH("BLUE US Equity","CASH_FLOW_TO_TOT_LIAB","FQ4 2020","FQ4 2020","Currency=USD","Period=FQ","BEST_FPERIOD_OVERRIDE=FQ","FILING_STATUS=MR","Sort=A","Dates=H","DateFormat=P","Fill=—","Direction=H","UseDPDF=Y")</f>
        <v>-110.3603</v>
      </c>
      <c r="L20" s="14">
        <f>_xll.BDH("BLUE US Equity","CASH_FLOW_TO_TOT_LIAB","FQ1 2021","FQ1 2021","Currency=USD","Period=FQ","BEST_FPERIOD_OVERRIDE=FQ","FILING_STATUS=MR","Sort=A","Dates=H","DateFormat=P","Fill=—","Direction=H","UseDPDF=Y")</f>
        <v>-107.0057</v>
      </c>
      <c r="M20" s="14">
        <f>_xll.BDH("BLUE US Equity","CASH_FLOW_TO_TOT_LIAB","FQ2 2021","FQ2 2021","Currency=USD","Period=FQ","BEST_FPERIOD_OVERRIDE=FQ","FILING_STATUS=MR","Sort=A","Dates=H","DateFormat=P","Fill=—","Direction=H","UseDPDF=Y")</f>
        <v>-138.95529999999999</v>
      </c>
      <c r="N20" s="14">
        <f>_xll.BDH("BLUE US Equity","CASH_FLOW_TO_TOT_LIAB","FQ3 2021","FQ3 2021","Currency=USD","Period=FQ","BEST_FPERIOD_OVERRIDE=FQ","FILING_STATUS=MR","Sort=A","Dates=H","DateFormat=P","Fill=—","Direction=H","UseDPDF=Y")</f>
        <v>-138.79419999999999</v>
      </c>
      <c r="O20" s="14">
        <f>_xll.BDH("BLUE US Equity","CASH_FLOW_TO_TOT_LIAB","FQ4 2021","FQ4 2021","Currency=USD","Period=FQ","BEST_FPERIOD_OVERRIDE=FQ","FILING_STATUS=MR","Sort=A","Dates=H","DateFormat=P","Fill=—","Direction=H","UseDPDF=Y")</f>
        <v>-289.56119999999999</v>
      </c>
      <c r="P20" s="14">
        <f>_xll.BDH("BLUE US Equity","CASH_FLOW_TO_TOT_LIAB","FQ1 2022","FQ1 2022","Currency=USD","Period=FQ","BEST_FPERIOD_OVERRIDE=FQ","FILING_STATUS=MR","Sort=A","Dates=H","DateFormat=P","Fill=—","Direction=H","UseDPDF=Y")</f>
        <v>-244.76669999999999</v>
      </c>
      <c r="Q20" s="14">
        <f>_xll.BDH("BLUE US Equity","CASH_FLOW_TO_TOT_LIAB","FQ2 2022","FQ2 2022","Currency=USD","Period=FQ","BEST_FPERIOD_OVERRIDE=FQ","FILING_STATUS=MR","Sort=A","Dates=H","DateFormat=P","Fill=—","Direction=H","UseDPDF=Y")</f>
        <v>-128.6782</v>
      </c>
      <c r="R20" s="14">
        <f>_xll.BDH("BLUE US Equity","CASH_FLOW_TO_TOT_LIAB","FQ3 2022","FQ3 2022","Currency=USD","Period=FQ","BEST_FPERIOD_OVERRIDE=FQ","FILING_STATUS=MR","Sort=A","Dates=H","DateFormat=P","Fill=—","Direction=H","UseDPDF=Y")</f>
        <v>-120.80719999999999</v>
      </c>
      <c r="S20" s="14">
        <f>_xll.BDH("BLUE US Equity","CASH_FLOW_TO_TOT_LIAB","FQ4 2022","FQ4 2022","Currency=USD","Period=FQ","BEST_FPERIOD_OVERRIDE=FQ","FILING_STATUS=MR","Sort=A","Dates=H","DateFormat=P","Fill=—","Direction=H","UseDPDF=Y")</f>
        <v>-72.613699999999994</v>
      </c>
      <c r="T20" s="14">
        <f>_xll.BDH("BLUE US Equity","CASH_FLOW_TO_TOT_LIAB","FQ1 2023","FQ1 2023","Currency=USD","Period=FQ","BEST_FPERIOD_OVERRIDE=FQ","FILING_STATUS=MR","Sort=A","Dates=H","DateFormat=P","Fill=—","Direction=H","UseDPDF=Y")</f>
        <v>-77.598799999999997</v>
      </c>
      <c r="U20" s="14">
        <f>_xll.BDH("BLUE US Equity","CASH_FLOW_TO_TOT_LIAB","FQ2 2023","FQ2 2023","Currency=USD","Period=FQ","BEST_FPERIOD_OVERRIDE=FQ","FILING_STATUS=MR","Sort=A","Dates=H","DateFormat=P","Fill=—","Direction=H","UseDPDF=Y")</f>
        <v>-60.747799999999998</v>
      </c>
      <c r="V20" s="14">
        <f>_xll.BDH("BLUE US Equity","CASH_FLOW_TO_TOT_LIAB","FQ3 2023","FQ3 2023","Currency=USD","Period=FQ","BEST_FPERIOD_OVERRIDE=FQ","FILING_STATUS=MR","Sort=A","Dates=H","DateFormat=P","Fill=—","Direction=H","UseDPDF=Y")</f>
        <v>-51.256300000000003</v>
      </c>
      <c r="W20" s="14">
        <f>_xll.BDH("BLUE US Equity","CASH_FLOW_TO_TOT_LIAB","FQ4 2023","FQ4 2023","Currency=USD","Period=FQ","BEST_FPERIOD_OVERRIDE=FQ","FILING_STATUS=MR","Sort=A","Dates=H","DateFormat=P","Fill=—","Direction=H","UseDPDF=Y")</f>
        <v>-45.863399999999999</v>
      </c>
      <c r="X20" s="14">
        <f>_xll.BDH("BLUE US Equity","CASH_FLOW_TO_TOT_LIAB","FQ1 2024","FQ1 2024","Currency=USD","Period=FQ","BEST_FPERIOD_OVERRIDE=FQ","FILING_STATUS=MR","Sort=A","Dates=H","DateFormat=P","Fill=—","Direction=H","UseDPDF=Y")</f>
        <v>-39.578400000000002</v>
      </c>
      <c r="Y20" s="14">
        <f>_xll.BDH("BLUE US Equity","CASH_FLOW_TO_TOT_LIAB","FQ2 2024","FQ2 2024","Currency=USD","Period=FQ","BEST_FPERIOD_OVERRIDE=FQ","FILING_STATUS=MR","Sort=A","Dates=H","DateFormat=P","Fill=—","Direction=H","UseDPDF=Y")</f>
        <v>-41.6113</v>
      </c>
      <c r="Z20" s="14">
        <f>_xll.BDH("BLUE US Equity","CASH_FLOW_TO_TOT_LIAB","FQ3 2024","FQ3 2024","Currency=USD","Period=FQ","BEST_FPERIOD_OVERRIDE=FQ","FILING_STATUS=MR","Sort=A","Dates=H","DateFormat=P","Fill=—","Direction=H","UseDPDF=Y")</f>
        <v>-47.509099999999997</v>
      </c>
      <c r="AA20" s="14">
        <f>_xll.BDH("BLUE US Equity","CASH_FLOW_TO_TOT_LIAB","FQ4 2024","FQ4 2024","Currency=USD","Period=FQ","BEST_FPERIOD_OVERRIDE=FQ","FILING_STATUS=MR","Sort=A","Dates=H","DateFormat=P","Fill=—","Direction=H","UseDPDF=Y")</f>
        <v>-52.874699999999997</v>
      </c>
    </row>
    <row r="21" spans="1:27" x14ac:dyDescent="0.25">
      <c r="A21" s="10" t="s">
        <v>1393</v>
      </c>
      <c r="B21" s="10" t="s">
        <v>1394</v>
      </c>
      <c r="C21" s="14">
        <f>_xll.BDH("BLUE US Equity","CAP_EXPEND_RATIO","FQ4 2018","FQ4 2018","Currency=USD","Period=FQ","BEST_FPERIOD_OVERRIDE=FQ","FILING_STATUS=MR","Sort=A","Dates=H","DateFormat=P","Fill=—","Direction=H","UseDPDF=Y")</f>
        <v>-10.062099999999999</v>
      </c>
      <c r="D21" s="14">
        <f>_xll.BDH("BLUE US Equity","CAP_EXPEND_RATIO","FQ1 2019","FQ1 2019","Currency=USD","Period=FQ","BEST_FPERIOD_OVERRIDE=FQ","FILING_STATUS=MR","Sort=A","Dates=H","DateFormat=P","Fill=—","Direction=H","UseDPDF=Y")</f>
        <v>-7.9786000000000001</v>
      </c>
      <c r="E21" s="14">
        <f>_xll.BDH("BLUE US Equity","CAP_EXPEND_RATIO","FQ2 2019","FQ2 2019","Currency=USD","Period=FQ","BEST_FPERIOD_OVERRIDE=FQ","FILING_STATUS=MR","Sort=A","Dates=H","DateFormat=P","Fill=—","Direction=H","UseDPDF=Y")</f>
        <v>-7.4108999999999998</v>
      </c>
      <c r="F21" s="14">
        <f>_xll.BDH("BLUE US Equity","CAP_EXPEND_RATIO","FQ3 2019","FQ3 2019","Currency=USD","Period=FQ","BEST_FPERIOD_OVERRIDE=FQ","FILING_STATUS=MR","Sort=A","Dates=H","DateFormat=P","Fill=—","Direction=H","UseDPDF=Y")</f>
        <v>-5.4739000000000004</v>
      </c>
      <c r="G21" s="14">
        <f>_xll.BDH("BLUE US Equity","CAP_EXPEND_RATIO","FQ4 2019","FQ4 2019","Currency=USD","Period=FQ","BEST_FPERIOD_OVERRIDE=FQ","FILING_STATUS=MR","Sort=A","Dates=H","DateFormat=P","Fill=—","Direction=H","UseDPDF=Y")</f>
        <v>-12.831</v>
      </c>
      <c r="H21" s="14">
        <f>_xll.BDH("BLUE US Equity","CAP_EXPEND_RATIO","FQ1 2020","FQ1 2020","Currency=USD","Period=FQ","BEST_FPERIOD_OVERRIDE=FQ","FILING_STATUS=MR","Sort=A","Dates=H","DateFormat=P","Fill=—","Direction=H","UseDPDF=Y")</f>
        <v>-19.306999999999999</v>
      </c>
      <c r="I21" s="14">
        <f>_xll.BDH("BLUE US Equity","CAP_EXPEND_RATIO","FQ2 2020","FQ2 2020","Currency=USD","Period=FQ","BEST_FPERIOD_OVERRIDE=FQ","FILING_STATUS=MR","Sort=A","Dates=H","DateFormat=P","Fill=—","Direction=H","UseDPDF=Y")</f>
        <v>8.2763000000000009</v>
      </c>
      <c r="J21" s="14">
        <f>_xll.BDH("BLUE US Equity","CAP_EXPEND_RATIO","FQ3 2020","FQ3 2020","Currency=USD","Period=FQ","BEST_FPERIOD_OVERRIDE=FQ","FILING_STATUS=MR","Sort=A","Dates=H","DateFormat=P","Fill=—","Direction=H","UseDPDF=Y")</f>
        <v>-26.473299999999998</v>
      </c>
      <c r="K21" s="14">
        <f>_xll.BDH("BLUE US Equity","CAP_EXPEND_RATIO","FQ4 2020","FQ4 2020","Currency=USD","Period=FQ","BEST_FPERIOD_OVERRIDE=FQ","FILING_STATUS=MR","Sort=A","Dates=H","DateFormat=P","Fill=—","Direction=H","UseDPDF=Y")</f>
        <v>-19.674600000000002</v>
      </c>
      <c r="L21" s="14">
        <f>_xll.BDH("BLUE US Equity","CAP_EXPEND_RATIO","FQ1 2021","FQ1 2021","Currency=USD","Period=FQ","BEST_FPERIOD_OVERRIDE=FQ","FILING_STATUS=MR","Sort=A","Dates=H","DateFormat=P","Fill=—","Direction=H","UseDPDF=Y")</f>
        <v>-26.662299999999998</v>
      </c>
      <c r="M21" s="14">
        <f>_xll.BDH("BLUE US Equity","CAP_EXPEND_RATIO","FQ2 2021","FQ2 2021","Currency=USD","Period=FQ","BEST_FPERIOD_OVERRIDE=FQ","FILING_STATUS=MR","Sort=A","Dates=H","DateFormat=P","Fill=—","Direction=H","UseDPDF=Y")</f>
        <v>-92.299099999999996</v>
      </c>
      <c r="N21" s="14">
        <f>_xll.BDH("BLUE US Equity","CAP_EXPEND_RATIO","FQ3 2021","FQ3 2021","Currency=USD","Period=FQ","BEST_FPERIOD_OVERRIDE=FQ","FILING_STATUS=MR","Sort=A","Dates=H","DateFormat=P","Fill=—","Direction=H","UseDPDF=Y")</f>
        <v>-39.288499999999999</v>
      </c>
      <c r="O21" s="14">
        <f>_xll.BDH("BLUE US Equity","CAP_EXPEND_RATIO","FQ4 2021","FQ4 2021","Currency=USD","Period=FQ","BEST_FPERIOD_OVERRIDE=FQ","FILING_STATUS=MR","Sort=A","Dates=H","DateFormat=P","Fill=—","Direction=H","UseDPDF=Y")</f>
        <v>-89.624799999999993</v>
      </c>
      <c r="P21" s="14">
        <f>_xll.BDH("BLUE US Equity","CAP_EXPEND_RATIO","FQ1 2022","FQ1 2022","Currency=USD","Period=FQ","BEST_FPERIOD_OVERRIDE=FQ","FILING_STATUS=MR","Sort=A","Dates=H","DateFormat=P","Fill=—","Direction=H","UseDPDF=Y")</f>
        <v>-146.203</v>
      </c>
      <c r="Q21" s="14">
        <f>_xll.BDH("BLUE US Equity","CAP_EXPEND_RATIO","FQ2 2022","FQ2 2022","Currency=USD","Period=FQ","BEST_FPERIOD_OVERRIDE=FQ","FILING_STATUS=MR","Sort=A","Dates=H","DateFormat=P","Fill=—","Direction=H","UseDPDF=Y")</f>
        <v>-15.781599999999999</v>
      </c>
      <c r="R21" s="14">
        <f>_xll.BDH("BLUE US Equity","CAP_EXPEND_RATIO","FQ3 2022","FQ3 2022","Currency=USD","Period=FQ","BEST_FPERIOD_OVERRIDE=FQ","FILING_STATUS=MR","Sort=A","Dates=H","DateFormat=P","Fill=—","Direction=H","UseDPDF=Y")</f>
        <v>-60.938299999999998</v>
      </c>
      <c r="S21" s="14">
        <f>_xll.BDH("BLUE US Equity","CAP_EXPEND_RATIO","FQ4 2022","FQ4 2022","Currency=USD","Period=FQ","BEST_FPERIOD_OVERRIDE=FQ","FILING_STATUS=MR","Sort=A","Dates=H","DateFormat=P","Fill=—","Direction=H","UseDPDF=Y")</f>
        <v>-180.91669999999999</v>
      </c>
      <c r="T21" s="14">
        <f>_xll.BDH("BLUE US Equity","CAP_EXPEND_RATIO","FQ1 2023","FQ1 2023","Currency=USD","Period=FQ","BEST_FPERIOD_OVERRIDE=FQ","FILING_STATUS=MR","Sort=A","Dates=H","DateFormat=P","Fill=—","Direction=H","UseDPDF=Y")</f>
        <v>-307.57760000000002</v>
      </c>
      <c r="U21" s="14">
        <f>_xll.BDH("BLUE US Equity","CAP_EXPEND_RATIO","FQ2 2023","FQ2 2023","Currency=USD","Period=FQ","BEST_FPERIOD_OVERRIDE=FQ","FILING_STATUS=MR","Sort=A","Dates=H","DateFormat=P","Fill=—","Direction=H","UseDPDF=Y")</f>
        <v>-84.398600000000002</v>
      </c>
      <c r="V21" s="14">
        <f>_xll.BDH("BLUE US Equity","CAP_EXPEND_RATIO","FQ3 2023","FQ3 2023","Currency=USD","Period=FQ","BEST_FPERIOD_OVERRIDE=FQ","FILING_STATUS=MR","Sort=A","Dates=H","DateFormat=P","Fill=—","Direction=H","UseDPDF=Y")</f>
        <v>-24.558900000000001</v>
      </c>
      <c r="W21" s="14">
        <f>_xll.BDH("BLUE US Equity","CAP_EXPEND_RATIO","FQ4 2023","FQ4 2023","Currency=USD","Period=FQ","BEST_FPERIOD_OVERRIDE=FQ","FILING_STATUS=MR","Sort=A","Dates=H","DateFormat=P","Fill=—","Direction=H","UseDPDF=Y")</f>
        <v>-11.3979</v>
      </c>
      <c r="X21" s="14">
        <f>_xll.BDH("BLUE US Equity","CAP_EXPEND_RATIO","FQ1 2024","FQ1 2024","Currency=USD","Period=FQ","BEST_FPERIOD_OVERRIDE=FQ","FILING_STATUS=MR","Sort=A","Dates=H","DateFormat=P","Fill=—","Direction=H","UseDPDF=Y")</f>
        <v>-42.070999999999998</v>
      </c>
      <c r="Y21" s="14">
        <f>_xll.BDH("BLUE US Equity","CAP_EXPEND_RATIO","FQ2 2024","FQ2 2024","Currency=USD","Period=FQ","BEST_FPERIOD_OVERRIDE=FQ","FILING_STATUS=MR","Sort=A","Dates=H","DateFormat=P","Fill=—","Direction=H","UseDPDF=Y")</f>
        <v>-1122.9152999999999</v>
      </c>
      <c r="Z21" s="14">
        <f>_xll.BDH("BLUE US Equity","CAP_EXPEND_RATIO","FQ3 2024","FQ3 2024","Currency=USD","Period=FQ","BEST_FPERIOD_OVERRIDE=FQ","FILING_STATUS=MR","Sort=A","Dates=H","DateFormat=P","Fill=—","Direction=H","UseDPDF=Y")</f>
        <v>-246.17140000000001</v>
      </c>
      <c r="AA21" s="14">
        <f>_xll.BDH("BLUE US Equity","CAP_EXPEND_RATIO","FQ4 2024","FQ4 2024","Currency=USD","Period=FQ","BEST_FPERIOD_OVERRIDE=FQ","FILING_STATUS=MR","Sort=A","Dates=H","DateFormat=P","Fill=—","Direction=H","UseDPDF=Y")</f>
        <v>-103.43089999999999</v>
      </c>
    </row>
    <row r="22" spans="1:27" x14ac:dyDescent="0.25">
      <c r="A22" s="10" t="s">
        <v>1395</v>
      </c>
      <c r="B22" s="10" t="s">
        <v>1396</v>
      </c>
      <c r="C22" s="14">
        <f>_xll.BDH("BLUE US Equity","ALTMAN_Z_SCORE","FQ4 2018","FQ4 2018","Currency=USD","Period=FQ","BEST_FPERIOD_OVERRIDE=FQ","FILING_STATUS=MR","Sort=A","Dates=H","DateFormat=P","Fill=—","Direction=H","UseDPDF=Y")</f>
        <v>8.0143000000000004</v>
      </c>
      <c r="D22" s="14">
        <f>_xll.BDH("BLUE US Equity","ALTMAN_Z_SCORE","FQ1 2019","FQ1 2019","Currency=USD","Period=FQ","BEST_FPERIOD_OVERRIDE=FQ","FILING_STATUS=MR","Sort=A","Dates=H","DateFormat=P","Fill=—","Direction=H","UseDPDF=Y")</f>
        <v>12.792999999999999</v>
      </c>
      <c r="E22" s="14">
        <f>_xll.BDH("BLUE US Equity","ALTMAN_Z_SCORE","FQ2 2019","FQ2 2019","Currency=USD","Period=FQ","BEST_FPERIOD_OVERRIDE=FQ","FILING_STATUS=MR","Sort=A","Dates=H","DateFormat=P","Fill=—","Direction=H","UseDPDF=Y")</f>
        <v>9.1579999999999995</v>
      </c>
      <c r="F22" s="14">
        <f>_xll.BDH("BLUE US Equity","ALTMAN_Z_SCORE","FQ3 2019","FQ3 2019","Currency=USD","Period=FQ","BEST_FPERIOD_OVERRIDE=FQ","FILING_STATUS=MR","Sort=A","Dates=H","DateFormat=P","Fill=—","Direction=H","UseDPDF=Y")</f>
        <v>5.0704000000000002</v>
      </c>
      <c r="G22" s="14">
        <f>_xll.BDH("BLUE US Equity","ALTMAN_Z_SCORE","FQ4 2019","FQ4 2019","Currency=USD","Period=FQ","BEST_FPERIOD_OVERRIDE=FQ","FILING_STATUS=MR","Sort=A","Dates=H","DateFormat=P","Fill=—","Direction=H","UseDPDF=Y")</f>
        <v>3.8052999999999999</v>
      </c>
      <c r="H22" s="14">
        <f>_xll.BDH("BLUE US Equity","ALTMAN_Z_SCORE","FQ1 2020","FQ1 2020","Currency=USD","Period=FQ","BEST_FPERIOD_OVERRIDE=FQ","FILING_STATUS=MR","Sort=A","Dates=H","DateFormat=P","Fill=—","Direction=H","UseDPDF=Y")</f>
        <v>0.23899999999999999</v>
      </c>
      <c r="I22" s="14">
        <f>_xll.BDH("BLUE US Equity","ALTMAN_Z_SCORE","FQ2 2020","FQ2 2020","Currency=USD","Period=FQ","BEST_FPERIOD_OVERRIDE=FQ","FILING_STATUS=MR","Sort=A","Dates=H","DateFormat=P","Fill=—","Direction=H","UseDPDF=Y")</f>
        <v>3.8679999999999999</v>
      </c>
      <c r="J22" s="14">
        <f>_xll.BDH("BLUE US Equity","ALTMAN_Z_SCORE","FQ3 2020","FQ3 2020","Currency=USD","Period=FQ","BEST_FPERIOD_OVERRIDE=FQ","FILING_STATUS=MR","Sort=A","Dates=H","DateFormat=P","Fill=—","Direction=H","UseDPDF=Y")</f>
        <v>2.8052999999999999</v>
      </c>
      <c r="K22" s="14">
        <f>_xll.BDH("BLUE US Equity","ALTMAN_Z_SCORE","FQ4 2020","FQ4 2020","Currency=USD","Period=FQ","BEST_FPERIOD_OVERRIDE=FQ","FILING_STATUS=MR","Sort=A","Dates=H","DateFormat=P","Fill=—","Direction=H","UseDPDF=Y")</f>
        <v>1.3940999999999999</v>
      </c>
      <c r="L22" s="14">
        <f>_xll.BDH("BLUE US Equity","ALTMAN_Z_SCORE","FQ1 2021","FQ1 2021","Currency=USD","Period=FQ","BEST_FPERIOD_OVERRIDE=FQ","FILING_STATUS=MR","Sort=A","Dates=H","DateFormat=P","Fill=—","Direction=H","UseDPDF=Y")</f>
        <v>-0.1434</v>
      </c>
      <c r="M22" s="14">
        <f>_xll.BDH("BLUE US Equity","ALTMAN_Z_SCORE","FQ2 2021","FQ2 2021","Currency=USD","Period=FQ","BEST_FPERIOD_OVERRIDE=FQ","FILING_STATUS=MR","Sort=A","Dates=H","DateFormat=P","Fill=—","Direction=H","UseDPDF=Y")</f>
        <v>-1.6214999999999999</v>
      </c>
      <c r="N22" s="14">
        <f>_xll.BDH("BLUE US Equity","ALTMAN_Z_SCORE","FQ3 2021","FQ3 2021","Currency=USD","Period=FQ","BEST_FPERIOD_OVERRIDE=FQ","FILING_STATUS=MR","Sort=A","Dates=H","DateFormat=P","Fill=—","Direction=H","UseDPDF=Y")</f>
        <v>-3.3226</v>
      </c>
      <c r="O22" s="14">
        <f>_xll.BDH("BLUE US Equity","ALTMAN_Z_SCORE","FQ4 2021","FQ4 2021","Currency=USD","Period=FQ","BEST_FPERIOD_OVERRIDE=FQ","FILING_STATUS=MR","Sort=A","Dates=H","DateFormat=P","Fill=—","Direction=H","UseDPDF=Y")</f>
        <v>-9.8751999999999995</v>
      </c>
      <c r="P22" s="14">
        <f>_xll.BDH("BLUE US Equity","ALTMAN_Z_SCORE","FQ1 2022","FQ1 2022","Currency=USD","Period=FQ","BEST_FPERIOD_OVERRIDE=FQ","FILING_STATUS=MR","Sort=A","Dates=H","DateFormat=P","Fill=—","Direction=H","UseDPDF=Y")</f>
        <v>-14.2943</v>
      </c>
      <c r="Q22" s="14">
        <f>_xll.BDH("BLUE US Equity","ALTMAN_Z_SCORE","FQ2 2022","FQ2 2022","Currency=USD","Period=FQ","BEST_FPERIOD_OVERRIDE=FQ","FILING_STATUS=MR","Sort=A","Dates=H","DateFormat=P","Fill=—","Direction=H","UseDPDF=Y")</f>
        <v>-12.2255</v>
      </c>
      <c r="R22" s="14">
        <f>_xll.BDH("BLUE US Equity","ALTMAN_Z_SCORE","FQ3 2022","FQ3 2022","Currency=USD","Period=FQ","BEST_FPERIOD_OVERRIDE=FQ","FILING_STATUS=MR","Sort=A","Dates=H","DateFormat=P","Fill=—","Direction=H","UseDPDF=Y")</f>
        <v>-12.911899999999999</v>
      </c>
      <c r="S22" s="14">
        <f>_xll.BDH("BLUE US Equity","ALTMAN_Z_SCORE","FQ4 2022","FQ4 2022","Currency=USD","Period=FQ","BEST_FPERIOD_OVERRIDE=FQ","FILING_STATUS=MR","Sort=A","Dates=H","DateFormat=P","Fill=—","Direction=H","UseDPDF=Y")</f>
        <v>-10.7121</v>
      </c>
      <c r="T22" s="14">
        <f>_xll.BDH("BLUE US Equity","ALTMAN_Z_SCORE","FQ1 2023","FQ1 2023","Currency=USD","Period=FQ","BEST_FPERIOD_OVERRIDE=FQ","FILING_STATUS=MR","Sort=A","Dates=H","DateFormat=P","Fill=—","Direction=H","UseDPDF=Y")</f>
        <v>-7.7023999999999999</v>
      </c>
      <c r="U22" s="14">
        <f>_xll.BDH("BLUE US Equity","ALTMAN_Z_SCORE","FQ2 2023","FQ2 2023","Currency=USD","Period=FQ","BEST_FPERIOD_OVERRIDE=FQ","FILING_STATUS=MR","Sort=A","Dates=H","DateFormat=P","Fill=—","Direction=H","UseDPDF=Y")</f>
        <v>-8.2325999999999997</v>
      </c>
      <c r="V22" s="14">
        <f>_xll.BDH("BLUE US Equity","ALTMAN_Z_SCORE","FQ3 2023","FQ3 2023","Currency=USD","Period=FQ","BEST_FPERIOD_OVERRIDE=FQ","FILING_STATUS=MR","Sort=A","Dates=H","DateFormat=P","Fill=—","Direction=H","UseDPDF=Y")</f>
        <v>-9.3564000000000007</v>
      </c>
      <c r="W22" s="14">
        <f>_xll.BDH("BLUE US Equity","ALTMAN_Z_SCORE","FQ4 2023","FQ4 2023","Currency=USD","Period=FQ","BEST_FPERIOD_OVERRIDE=FQ","FILING_STATUS=MR","Sort=A","Dates=H","DateFormat=P","Fill=—","Direction=H","UseDPDF=Y")</f>
        <v>-10.6442</v>
      </c>
      <c r="X22" s="14">
        <f>_xll.BDH("BLUE US Equity","ALTMAN_Z_SCORE","FQ1 2024","FQ1 2024","Currency=USD","Period=FQ","BEST_FPERIOD_OVERRIDE=FQ","FILING_STATUS=MR","Sort=A","Dates=H","DateFormat=P","Fill=—","Direction=H","UseDPDF=Y")</f>
        <v>-11.2883</v>
      </c>
      <c r="Y22" s="14">
        <f>_xll.BDH("BLUE US Equity","ALTMAN_Z_SCORE","FQ2 2024","FQ2 2024","Currency=USD","Period=FQ","BEST_FPERIOD_OVERRIDE=FQ","FILING_STATUS=MR","Sort=A","Dates=H","DateFormat=P","Fill=—","Direction=H","UseDPDF=Y")</f>
        <v>-13.7</v>
      </c>
      <c r="Z22" s="14">
        <f>_xll.BDH("BLUE US Equity","ALTMAN_Z_SCORE","FQ3 2024","FQ3 2024","Currency=USD","Period=FQ","BEST_FPERIOD_OVERRIDE=FQ","FILING_STATUS=MR","Sort=A","Dates=H","DateFormat=P","Fill=—","Direction=H","UseDPDF=Y")</f>
        <v>-16.390599999999999</v>
      </c>
      <c r="AA22" s="14" t="str">
        <f>_xll.BDH("BLUE US Equity","ALTMAN_Z_SCORE","FQ4 2024","FQ4 2024","Currency=USD","Period=FQ","BEST_FPERIOD_OVERRIDE=FQ","FILING_STATUS=MR","Sort=A","Dates=H","DateFormat=P","Fill=—","Direction=H","UseDPDF=Y")</f>
        <v>—</v>
      </c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7" t="s">
        <v>90</v>
      </c>
      <c r="B25" s="7"/>
      <c r="C25" s="7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2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1397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1398</v>
      </c>
      <c r="B6" s="6" t="s">
        <v>1399</v>
      </c>
      <c r="C6" s="20" t="str">
        <f>_xll.BDH("BLUE US Equity","ACCT_RCV_TURN","FQ4 2018","FQ4 2018","Currency=USD","Period=FQ","BEST_FPERIOD_OVERRIDE=FQ","FILING_STATUS=MR","FA_ADJUSTED=GAAP","Sort=A","Dates=H","DateFormat=P","Fill=—","Direction=H","UseDPDF=Y")</f>
        <v>—</v>
      </c>
      <c r="D6" s="20" t="str">
        <f>_xll.BDH("BLUE US Equity","ACCT_RCV_TURN","FQ1 2019","FQ1 2019","Currency=USD","Period=FQ","BEST_FPERIOD_OVERRIDE=FQ","FILING_STATUS=MR","FA_ADJUSTED=GAAP","Sort=A","Dates=H","DateFormat=P","Fill=—","Direction=H","UseDPDF=Y")</f>
        <v>—</v>
      </c>
      <c r="E6" s="20" t="str">
        <f>_xll.BDH("BLUE US Equity","ACCT_RCV_TURN","FQ2 2019","FQ2 2019","Currency=USD","Period=FQ","BEST_FPERIOD_OVERRIDE=FQ","FILING_STATUS=MR","FA_ADJUSTED=GAAP","Sort=A","Dates=H","DateFormat=P","Fill=—","Direction=H","UseDPDF=Y")</f>
        <v>—</v>
      </c>
      <c r="F6" s="20" t="str">
        <f>_xll.BDH("BLUE US Equity","ACCT_RCV_TURN","FQ3 2019","FQ3 2019","Currency=USD","Period=FQ","BEST_FPERIOD_OVERRIDE=FQ","FILING_STATUS=MR","FA_ADJUSTED=GAAP","Sort=A","Dates=H","DateFormat=P","Fill=—","Direction=H","UseDPDF=Y")</f>
        <v>—</v>
      </c>
      <c r="G6" s="20" t="str">
        <f>_xll.BDH("BLUE US Equity","ACCT_RCV_TURN","FQ4 2019","FQ4 2019","Currency=USD","Period=FQ","BEST_FPERIOD_OVERRIDE=FQ","FILING_STATUS=MR","FA_ADJUSTED=GAAP","Sort=A","Dates=H","DateFormat=P","Fill=—","Direction=H","UseDPDF=Y")</f>
        <v>—</v>
      </c>
      <c r="H6" s="20" t="str">
        <f>_xll.BDH("BLUE US Equity","ACCT_RCV_TURN","FQ1 2020","FQ1 2020","Currency=USD","Period=FQ","BEST_FPERIOD_OVERRIDE=FQ","FILING_STATUS=MR","FA_ADJUSTED=GAAP","Sort=A","Dates=H","DateFormat=P","Fill=—","Direction=H","UseDPDF=Y")</f>
        <v>—</v>
      </c>
      <c r="I6" s="20" t="str">
        <f>_xll.BDH("BLUE US Equity","ACCT_RCV_TURN","FQ2 2020","FQ2 2020","Currency=USD","Period=FQ","BEST_FPERIOD_OVERRIDE=FQ","FILING_STATUS=MR","FA_ADJUSTED=GAAP","Sort=A","Dates=H","DateFormat=P","Fill=—","Direction=H","UseDPDF=Y")</f>
        <v>—</v>
      </c>
      <c r="J6" s="20" t="str">
        <f>_xll.BDH("BLUE US Equity","ACCT_RCV_TURN","FQ3 2020","FQ3 2020","Currency=USD","Period=FQ","BEST_FPERIOD_OVERRIDE=FQ","FILING_STATUS=MR","FA_ADJUSTED=GAAP","Sort=A","Dates=H","DateFormat=P","Fill=—","Direction=H","UseDPDF=Y")</f>
        <v>—</v>
      </c>
      <c r="K6" s="20" t="str">
        <f>_xll.BDH("BLUE US Equity","ACCT_RCV_TURN","FQ4 2020","FQ4 2020","Currency=USD","Period=FQ","BEST_FPERIOD_OVERRIDE=FQ","FILING_STATUS=MR","FA_ADJUSTED=GAAP","Sort=A","Dates=H","DateFormat=P","Fill=—","Direction=H","UseDPDF=Y")</f>
        <v>—</v>
      </c>
      <c r="L6" s="20" t="str">
        <f>_xll.BDH("BLUE US Equity","ACCT_RCV_TURN","FQ1 2021","FQ1 2021","Currency=USD","Period=FQ","BEST_FPERIOD_OVERRIDE=FQ","FILING_STATUS=MR","FA_ADJUSTED=GAAP","Sort=A","Dates=H","DateFormat=P","Fill=—","Direction=H","UseDPDF=Y")</f>
        <v>—</v>
      </c>
      <c r="M6" s="20" t="str">
        <f>_xll.BDH("BLUE US Equity","ACCT_RCV_TURN","FQ2 2021","FQ2 2021","Currency=USD","Period=FQ","BEST_FPERIOD_OVERRIDE=FQ","FILING_STATUS=MR","FA_ADJUSTED=GAAP","Sort=A","Dates=H","DateFormat=P","Fill=—","Direction=H","UseDPDF=Y")</f>
        <v>—</v>
      </c>
      <c r="N6" s="20" t="str">
        <f>_xll.BDH("BLUE US Equity","ACCT_RCV_TURN","FQ3 2021","FQ3 2021","Currency=USD","Period=FQ","BEST_FPERIOD_OVERRIDE=FQ","FILING_STATUS=MR","FA_ADJUSTED=GAAP","Sort=A","Dates=H","DateFormat=P","Fill=—","Direction=H","UseDPDF=Y")</f>
        <v>—</v>
      </c>
      <c r="O6" s="20" t="str">
        <f>_xll.BDH("BLUE US Equity","ACCT_RCV_TURN","FQ4 2021","FQ4 2021","Currency=USD","Period=FQ","BEST_FPERIOD_OVERRIDE=FQ","FILING_STATUS=MR","FA_ADJUSTED=GAAP","Sort=A","Dates=H","DateFormat=P","Fill=—","Direction=H","UseDPDF=Y")</f>
        <v>—</v>
      </c>
      <c r="P6" s="20" t="str">
        <f>_xll.BDH("BLUE US Equity","ACCT_RCV_TURN","FQ1 2022","FQ1 2022","Currency=USD","Period=FQ","BEST_FPERIOD_OVERRIDE=FQ","FILING_STATUS=MR","FA_ADJUSTED=GAAP","Sort=A","Dates=H","DateFormat=P","Fill=—","Direction=H","UseDPDF=Y")</f>
        <v>—</v>
      </c>
      <c r="Q6" s="20" t="str">
        <f>_xll.BDH("BLUE US Equity","ACCT_RCV_TURN","FQ2 2022","FQ2 2022","Currency=USD","Period=FQ","BEST_FPERIOD_OVERRIDE=FQ","FILING_STATUS=MR","FA_ADJUSTED=GAAP","Sort=A","Dates=H","DateFormat=P","Fill=—","Direction=H","UseDPDF=Y")</f>
        <v>—</v>
      </c>
      <c r="R6" s="20" t="str">
        <f>_xll.BDH("BLUE US Equity","ACCT_RCV_TURN","FQ3 2022","FQ3 2022","Currency=USD","Period=FQ","BEST_FPERIOD_OVERRIDE=FQ","FILING_STATUS=MR","FA_ADJUSTED=GAAP","Sort=A","Dates=H","DateFormat=P","Fill=—","Direction=H","UseDPDF=Y")</f>
        <v>—</v>
      </c>
      <c r="S6" s="20" t="str">
        <f>_xll.BDH("BLUE US Equity","ACCT_RCV_TURN","FQ4 2022","FQ4 2022","Currency=USD","Period=FQ","BEST_FPERIOD_OVERRIDE=FQ","FILING_STATUS=MR","FA_ADJUSTED=GAAP","Sort=A","Dates=H","DateFormat=P","Fill=—","Direction=H","UseDPDF=Y")</f>
        <v>—</v>
      </c>
      <c r="T6" s="20" t="str">
        <f>_xll.BDH("BLUE US Equity","ACCT_RCV_TURN","FQ1 2023","FQ1 2023","Currency=USD","Period=FQ","BEST_FPERIOD_OVERRIDE=FQ","FILING_STATUS=MR","FA_ADJUSTED=GAAP","Sort=A","Dates=H","DateFormat=P","Fill=—","Direction=H","UseDPDF=Y")</f>
        <v>—</v>
      </c>
      <c r="U6" s="20" t="str">
        <f>_xll.BDH("BLUE US Equity","ACCT_RCV_TURN","FQ2 2023","FQ2 2023","Currency=USD","Period=FQ","BEST_FPERIOD_OVERRIDE=FQ","FILING_STATUS=MR","FA_ADJUSTED=GAAP","Sort=A","Dates=H","DateFormat=P","Fill=—","Direction=H","UseDPDF=Y")</f>
        <v>—</v>
      </c>
      <c r="V6" s="20">
        <f>_xll.BDH("BLUE US Equity","ACCT_RCV_TURN","FQ3 2023","FQ3 2023","Currency=USD","Period=FQ","BEST_FPERIOD_OVERRIDE=FQ","FILING_STATUS=MR","FA_ADJUSTED=GAAP","Sort=A","Dates=H","DateFormat=P","Fill=—","Direction=H","UseDPDF=Y")</f>
        <v>1.8891</v>
      </c>
      <c r="W6" s="20" t="str">
        <f>_xll.BDH("BLUE US Equity","ACCT_RCV_TURN","FQ4 2023","FQ4 2023","Currency=USD","Period=FQ","BEST_FPERIOD_OVERRIDE=FQ","FILING_STATUS=MR","FA_ADJUSTED=GAAP","Sort=A","Dates=H","DateFormat=P","Fill=—","Direction=H","UseDPDF=Y")</f>
        <v>—</v>
      </c>
      <c r="X6" s="20" t="str">
        <f>_xll.BDH("BLUE US Equity","ACCT_RCV_TURN","FQ1 2024","FQ1 2024","Currency=USD","Period=FQ","BEST_FPERIOD_OVERRIDE=FQ","FILING_STATUS=MR","FA_ADJUSTED=GAAP","Sort=A","Dates=H","DateFormat=P","Fill=—","Direction=H","UseDPDF=Y")</f>
        <v>—</v>
      </c>
      <c r="Y6" s="20" t="str">
        <f>_xll.BDH("BLUE US Equity","ACCT_RCV_TURN","FQ2 2024","FQ2 2024","Currency=USD","Period=FQ","BEST_FPERIOD_OVERRIDE=FQ","FILING_STATUS=MR","FA_ADJUSTED=GAAP","Sort=A","Dates=H","DateFormat=P","Fill=—","Direction=H","UseDPDF=Y")</f>
        <v>—</v>
      </c>
      <c r="Z6" s="20">
        <f>_xll.BDH("BLUE US Equity","ACCT_RCV_TURN","FQ3 2024","FQ3 2024","Currency=USD","Period=FQ","BEST_FPERIOD_OVERRIDE=FQ","FILING_STATUS=MR","FA_ADJUSTED=GAAP","Sort=A","Dates=H","DateFormat=P","Fill=—","Direction=H","UseDPDF=Y")</f>
        <v>4.6191000000000004</v>
      </c>
      <c r="AA6" s="20" t="str">
        <f>_xll.BDH("BLUE US Equity","ACCT_RCV_TURN","FQ4 2024","FQ4 2024","Currency=USD","Period=FQ","BEST_FPERIOD_OVERRIDE=FQ","FILING_STATUS=MR","FA_ADJUSTED=GAAP","Sort=A","Dates=H","DateFormat=P","Fill=—","Direction=H","UseDPDF=Y")</f>
        <v>—</v>
      </c>
    </row>
    <row r="7" spans="1:27" x14ac:dyDescent="0.25">
      <c r="A7" s="10" t="s">
        <v>1400</v>
      </c>
      <c r="B7" s="10" t="s">
        <v>1401</v>
      </c>
      <c r="C7" s="14" t="str">
        <f>_xll.BDH("BLUE US Equity","ACCT_RCV_DAYS","FQ4 2018","FQ4 2018","Currency=USD","Period=FQ","BEST_FPERIOD_OVERRIDE=FQ","FILING_STATUS=MR","FA_ADJUSTED=GAAP","Sort=A","Dates=H","DateFormat=P","Fill=—","Direction=H","UseDPDF=Y")</f>
        <v>—</v>
      </c>
      <c r="D7" s="14" t="str">
        <f>_xll.BDH("BLUE US Equity","ACCT_RCV_DAYS","FQ1 2019","FQ1 2019","Currency=USD","Period=FQ","BEST_FPERIOD_OVERRIDE=FQ","FILING_STATUS=MR","FA_ADJUSTED=GAAP","Sort=A","Dates=H","DateFormat=P","Fill=—","Direction=H","UseDPDF=Y")</f>
        <v>—</v>
      </c>
      <c r="E7" s="14" t="str">
        <f>_xll.BDH("BLUE US Equity","ACCT_RCV_DAYS","FQ2 2019","FQ2 2019","Currency=USD","Period=FQ","BEST_FPERIOD_OVERRIDE=FQ","FILING_STATUS=MR","FA_ADJUSTED=GAAP","Sort=A","Dates=H","DateFormat=P","Fill=—","Direction=H","UseDPDF=Y")</f>
        <v>—</v>
      </c>
      <c r="F7" s="14" t="str">
        <f>_xll.BDH("BLUE US Equity","ACCT_RCV_DAYS","FQ3 2019","FQ3 2019","Currency=USD","Period=FQ","BEST_FPERIOD_OVERRIDE=FQ","FILING_STATUS=MR","FA_ADJUSTED=GAAP","Sort=A","Dates=H","DateFormat=P","Fill=—","Direction=H","UseDPDF=Y")</f>
        <v>—</v>
      </c>
      <c r="G7" s="14" t="str">
        <f>_xll.BDH("BLUE US Equity","ACCT_RCV_DAYS","FQ4 2019","FQ4 2019","Currency=USD","Period=FQ","BEST_FPERIOD_OVERRIDE=FQ","FILING_STATUS=MR","FA_ADJUSTED=GAAP","Sort=A","Dates=H","DateFormat=P","Fill=—","Direction=H","UseDPDF=Y")</f>
        <v>—</v>
      </c>
      <c r="H7" s="14" t="str">
        <f>_xll.BDH("BLUE US Equity","ACCT_RCV_DAYS","FQ1 2020","FQ1 2020","Currency=USD","Period=FQ","BEST_FPERIOD_OVERRIDE=FQ","FILING_STATUS=MR","FA_ADJUSTED=GAAP","Sort=A","Dates=H","DateFormat=P","Fill=—","Direction=H","UseDPDF=Y")</f>
        <v>—</v>
      </c>
      <c r="I7" s="14" t="str">
        <f>_xll.BDH("BLUE US Equity","ACCT_RCV_DAYS","FQ2 2020","FQ2 2020","Currency=USD","Period=FQ","BEST_FPERIOD_OVERRIDE=FQ","FILING_STATUS=MR","FA_ADJUSTED=GAAP","Sort=A","Dates=H","DateFormat=P","Fill=—","Direction=H","UseDPDF=Y")</f>
        <v>—</v>
      </c>
      <c r="J7" s="14" t="str">
        <f>_xll.BDH("BLUE US Equity","ACCT_RCV_DAYS","FQ3 2020","FQ3 2020","Currency=USD","Period=FQ","BEST_FPERIOD_OVERRIDE=FQ","FILING_STATUS=MR","FA_ADJUSTED=GAAP","Sort=A","Dates=H","DateFormat=P","Fill=—","Direction=H","UseDPDF=Y")</f>
        <v>—</v>
      </c>
      <c r="K7" s="14" t="str">
        <f>_xll.BDH("BLUE US Equity","ACCT_RCV_DAYS","FQ4 2020","FQ4 2020","Currency=USD","Period=FQ","BEST_FPERIOD_OVERRIDE=FQ","FILING_STATUS=MR","FA_ADJUSTED=GAAP","Sort=A","Dates=H","DateFormat=P","Fill=—","Direction=H","UseDPDF=Y")</f>
        <v>—</v>
      </c>
      <c r="L7" s="14" t="str">
        <f>_xll.BDH("BLUE US Equity","ACCT_RCV_DAYS","FQ1 2021","FQ1 2021","Currency=USD","Period=FQ","BEST_FPERIOD_OVERRIDE=FQ","FILING_STATUS=MR","FA_ADJUSTED=GAAP","Sort=A","Dates=H","DateFormat=P","Fill=—","Direction=H","UseDPDF=Y")</f>
        <v>—</v>
      </c>
      <c r="M7" s="14" t="str">
        <f>_xll.BDH("BLUE US Equity","ACCT_RCV_DAYS","FQ2 2021","FQ2 2021","Currency=USD","Period=FQ","BEST_FPERIOD_OVERRIDE=FQ","FILING_STATUS=MR","FA_ADJUSTED=GAAP","Sort=A","Dates=H","DateFormat=P","Fill=—","Direction=H","UseDPDF=Y")</f>
        <v>—</v>
      </c>
      <c r="N7" s="14" t="str">
        <f>_xll.BDH("BLUE US Equity","ACCT_RCV_DAYS","FQ3 2021","FQ3 2021","Currency=USD","Period=FQ","BEST_FPERIOD_OVERRIDE=FQ","FILING_STATUS=MR","FA_ADJUSTED=GAAP","Sort=A","Dates=H","DateFormat=P","Fill=—","Direction=H","UseDPDF=Y")</f>
        <v>—</v>
      </c>
      <c r="O7" s="14" t="str">
        <f>_xll.BDH("BLUE US Equity","ACCT_RCV_DAYS","FQ4 2021","FQ4 2021","Currency=USD","Period=FQ","BEST_FPERIOD_OVERRIDE=FQ","FILING_STATUS=MR","FA_ADJUSTED=GAAP","Sort=A","Dates=H","DateFormat=P","Fill=—","Direction=H","UseDPDF=Y")</f>
        <v>—</v>
      </c>
      <c r="P7" s="14" t="str">
        <f>_xll.BDH("BLUE US Equity","ACCT_RCV_DAYS","FQ1 2022","FQ1 2022","Currency=USD","Period=FQ","BEST_FPERIOD_OVERRIDE=FQ","FILING_STATUS=MR","FA_ADJUSTED=GAAP","Sort=A","Dates=H","DateFormat=P","Fill=—","Direction=H","UseDPDF=Y")</f>
        <v>—</v>
      </c>
      <c r="Q7" s="14" t="str">
        <f>_xll.BDH("BLUE US Equity","ACCT_RCV_DAYS","FQ2 2022","FQ2 2022","Currency=USD","Period=FQ","BEST_FPERIOD_OVERRIDE=FQ","FILING_STATUS=MR","FA_ADJUSTED=GAAP","Sort=A","Dates=H","DateFormat=P","Fill=—","Direction=H","UseDPDF=Y")</f>
        <v>—</v>
      </c>
      <c r="R7" s="14" t="str">
        <f>_xll.BDH("BLUE US Equity","ACCT_RCV_DAYS","FQ3 2022","FQ3 2022","Currency=USD","Period=FQ","BEST_FPERIOD_OVERRIDE=FQ","FILING_STATUS=MR","FA_ADJUSTED=GAAP","Sort=A","Dates=H","DateFormat=P","Fill=—","Direction=H","UseDPDF=Y")</f>
        <v>—</v>
      </c>
      <c r="S7" s="14" t="str">
        <f>_xll.BDH("BLUE US Equity","ACCT_RCV_DAYS","FQ4 2022","FQ4 2022","Currency=USD","Period=FQ","BEST_FPERIOD_OVERRIDE=FQ","FILING_STATUS=MR","FA_ADJUSTED=GAAP","Sort=A","Dates=H","DateFormat=P","Fill=—","Direction=H","UseDPDF=Y")</f>
        <v>—</v>
      </c>
      <c r="T7" s="14" t="str">
        <f>_xll.BDH("BLUE US Equity","ACCT_RCV_DAYS","FQ1 2023","FQ1 2023","Currency=USD","Period=FQ","BEST_FPERIOD_OVERRIDE=FQ","FILING_STATUS=MR","FA_ADJUSTED=GAAP","Sort=A","Dates=H","DateFormat=P","Fill=—","Direction=H","UseDPDF=Y")</f>
        <v>—</v>
      </c>
      <c r="U7" s="14" t="str">
        <f>_xll.BDH("BLUE US Equity","ACCT_RCV_DAYS","FQ2 2023","FQ2 2023","Currency=USD","Period=FQ","BEST_FPERIOD_OVERRIDE=FQ","FILING_STATUS=MR","FA_ADJUSTED=GAAP","Sort=A","Dates=H","DateFormat=P","Fill=—","Direction=H","UseDPDF=Y")</f>
        <v>—</v>
      </c>
      <c r="V7" s="14">
        <f>_xll.BDH("BLUE US Equity","ACCT_RCV_DAYS","FQ3 2023","FQ3 2023","Currency=USD","Period=FQ","BEST_FPERIOD_OVERRIDE=FQ","FILING_STATUS=MR","FA_ADJUSTED=GAAP","Sort=A","Dates=H","DateFormat=P","Fill=—","Direction=H","UseDPDF=Y")</f>
        <v>193.2106</v>
      </c>
      <c r="W7" s="14" t="str">
        <f>_xll.BDH("BLUE US Equity","ACCT_RCV_DAYS","FQ4 2023","FQ4 2023","Currency=USD","Period=FQ","BEST_FPERIOD_OVERRIDE=FQ","FILING_STATUS=MR","FA_ADJUSTED=GAAP","Sort=A","Dates=H","DateFormat=P","Fill=—","Direction=H","UseDPDF=Y")</f>
        <v>—</v>
      </c>
      <c r="X7" s="14" t="str">
        <f>_xll.BDH("BLUE US Equity","ACCT_RCV_DAYS","FQ1 2024","FQ1 2024","Currency=USD","Period=FQ","BEST_FPERIOD_OVERRIDE=FQ","FILING_STATUS=MR","FA_ADJUSTED=GAAP","Sort=A","Dates=H","DateFormat=P","Fill=—","Direction=H","UseDPDF=Y")</f>
        <v>—</v>
      </c>
      <c r="Y7" s="14" t="str">
        <f>_xll.BDH("BLUE US Equity","ACCT_RCV_DAYS","FQ2 2024","FQ2 2024","Currency=USD","Period=FQ","BEST_FPERIOD_OVERRIDE=FQ","FILING_STATUS=MR","FA_ADJUSTED=GAAP","Sort=A","Dates=H","DateFormat=P","Fill=—","Direction=H","UseDPDF=Y")</f>
        <v>—</v>
      </c>
      <c r="Z7" s="14">
        <f>_xll.BDH("BLUE US Equity","ACCT_RCV_DAYS","FQ3 2024","FQ3 2024","Currency=USD","Period=FQ","BEST_FPERIOD_OVERRIDE=FQ","FILING_STATUS=MR","FA_ADJUSTED=GAAP","Sort=A","Dates=H","DateFormat=P","Fill=—","Direction=H","UseDPDF=Y")</f>
        <v>79.235699999999994</v>
      </c>
      <c r="AA7" s="14" t="str">
        <f>_xll.BDH("BLUE US Equity","ACCT_RCV_DAYS","FQ4 2024","FQ4 2024","Currency=USD","Period=FQ","BEST_FPERIOD_OVERRIDE=FQ","FILING_STATUS=MR","FA_ADJUSTED=GAAP","Sort=A","Dates=H","DateFormat=P","Fill=—","Direction=H","UseDPDF=Y")</f>
        <v>—</v>
      </c>
    </row>
    <row r="8" spans="1:27" x14ac:dyDescent="0.25">
      <c r="A8" s="6" t="s">
        <v>1402</v>
      </c>
      <c r="B8" s="6" t="s">
        <v>1403</v>
      </c>
      <c r="C8" s="20" t="str">
        <f>_xll.BDH("BLUE US Equity","INVENT_TURN","FQ4 2018","FQ4 2018","Currency=USD","Period=FQ","BEST_FPERIOD_OVERRIDE=FQ","FILING_STATUS=MR","FA_ADJUSTED=GAAP","Sort=A","Dates=H","DateFormat=P","Fill=—","Direction=H","UseDPDF=Y")</f>
        <v>—</v>
      </c>
      <c r="D8" s="20" t="str">
        <f>_xll.BDH("BLUE US Equity","INVENT_TURN","FQ1 2019","FQ1 2019","Currency=USD","Period=FQ","BEST_FPERIOD_OVERRIDE=FQ","FILING_STATUS=MR","FA_ADJUSTED=GAAP","Sort=A","Dates=H","DateFormat=P","Fill=—","Direction=H","UseDPDF=Y")</f>
        <v>—</v>
      </c>
      <c r="E8" s="20" t="str">
        <f>_xll.BDH("BLUE US Equity","INVENT_TURN","FQ2 2019","FQ2 2019","Currency=USD","Period=FQ","BEST_FPERIOD_OVERRIDE=FQ","FILING_STATUS=MR","FA_ADJUSTED=GAAP","Sort=A","Dates=H","DateFormat=P","Fill=—","Direction=H","UseDPDF=Y")</f>
        <v>—</v>
      </c>
      <c r="F8" s="20" t="str">
        <f>_xll.BDH("BLUE US Equity","INVENT_TURN","FQ3 2019","FQ3 2019","Currency=USD","Period=FQ","BEST_FPERIOD_OVERRIDE=FQ","FILING_STATUS=MR","FA_ADJUSTED=GAAP","Sort=A","Dates=H","DateFormat=P","Fill=—","Direction=H","UseDPDF=Y")</f>
        <v>—</v>
      </c>
      <c r="G8" s="20" t="str">
        <f>_xll.BDH("BLUE US Equity","INVENT_TURN","FQ4 2019","FQ4 2019","Currency=USD","Period=FQ","BEST_FPERIOD_OVERRIDE=FQ","FILING_STATUS=MR","FA_ADJUSTED=GAAP","Sort=A","Dates=H","DateFormat=P","Fill=—","Direction=H","UseDPDF=Y")</f>
        <v>—</v>
      </c>
      <c r="H8" s="20" t="str">
        <f>_xll.BDH("BLUE US Equity","INVENT_TURN","FQ1 2020","FQ1 2020","Currency=USD","Period=FQ","BEST_FPERIOD_OVERRIDE=FQ","FILING_STATUS=MR","FA_ADJUSTED=GAAP","Sort=A","Dates=H","DateFormat=P","Fill=—","Direction=H","UseDPDF=Y")</f>
        <v>—</v>
      </c>
      <c r="I8" s="20" t="str">
        <f>_xll.BDH("BLUE US Equity","INVENT_TURN","FQ2 2020","FQ2 2020","Currency=USD","Period=FQ","BEST_FPERIOD_OVERRIDE=FQ","FILING_STATUS=MR","FA_ADJUSTED=GAAP","Sort=A","Dates=H","DateFormat=P","Fill=—","Direction=H","UseDPDF=Y")</f>
        <v>—</v>
      </c>
      <c r="J8" s="20" t="str">
        <f>_xll.BDH("BLUE US Equity","INVENT_TURN","FQ3 2020","FQ3 2020","Currency=USD","Period=FQ","BEST_FPERIOD_OVERRIDE=FQ","FILING_STATUS=MR","FA_ADJUSTED=GAAP","Sort=A","Dates=H","DateFormat=P","Fill=—","Direction=H","UseDPDF=Y")</f>
        <v>—</v>
      </c>
      <c r="K8" s="20" t="str">
        <f>_xll.BDH("BLUE US Equity","INVENT_TURN","FQ4 2020","FQ4 2020","Currency=USD","Period=FQ","BEST_FPERIOD_OVERRIDE=FQ","FILING_STATUS=MR","FA_ADJUSTED=GAAP","Sort=A","Dates=H","DateFormat=P","Fill=—","Direction=H","UseDPDF=Y")</f>
        <v>—</v>
      </c>
      <c r="L8" s="20" t="str">
        <f>_xll.BDH("BLUE US Equity","INVENT_TURN","FQ1 2021","FQ1 2021","Currency=USD","Period=FQ","BEST_FPERIOD_OVERRIDE=FQ","FILING_STATUS=MR","FA_ADJUSTED=GAAP","Sort=A","Dates=H","DateFormat=P","Fill=—","Direction=H","UseDPDF=Y")</f>
        <v>—</v>
      </c>
      <c r="M8" s="20" t="str">
        <f>_xll.BDH("BLUE US Equity","INVENT_TURN","FQ2 2021","FQ2 2021","Currency=USD","Period=FQ","BEST_FPERIOD_OVERRIDE=FQ","FILING_STATUS=MR","FA_ADJUSTED=GAAP","Sort=A","Dates=H","DateFormat=P","Fill=—","Direction=H","UseDPDF=Y")</f>
        <v>—</v>
      </c>
      <c r="N8" s="20" t="str">
        <f>_xll.BDH("BLUE US Equity","INVENT_TURN","FQ3 2021","FQ3 2021","Currency=USD","Period=FQ","BEST_FPERIOD_OVERRIDE=FQ","FILING_STATUS=MR","FA_ADJUSTED=GAAP","Sort=A","Dates=H","DateFormat=P","Fill=—","Direction=H","UseDPDF=Y")</f>
        <v>—</v>
      </c>
      <c r="O8" s="20" t="str">
        <f>_xll.BDH("BLUE US Equity","INVENT_TURN","FQ4 2021","FQ4 2021","Currency=USD","Period=FQ","BEST_FPERIOD_OVERRIDE=FQ","FILING_STATUS=MR","FA_ADJUSTED=GAAP","Sort=A","Dates=H","DateFormat=P","Fill=—","Direction=H","UseDPDF=Y")</f>
        <v>—</v>
      </c>
      <c r="P8" s="20" t="str">
        <f>_xll.BDH("BLUE US Equity","INVENT_TURN","FQ1 2022","FQ1 2022","Currency=USD","Period=FQ","BEST_FPERIOD_OVERRIDE=FQ","FILING_STATUS=MR","FA_ADJUSTED=GAAP","Sort=A","Dates=H","DateFormat=P","Fill=—","Direction=H","UseDPDF=Y")</f>
        <v>—</v>
      </c>
      <c r="Q8" s="20">
        <f>_xll.BDH("BLUE US Equity","INVENT_TURN","FQ2 2022","FQ2 2022","Currency=USD","Period=FQ","BEST_FPERIOD_OVERRIDE=FQ","FILING_STATUS=MR","FA_ADJUSTED=GAAP","Sort=A","Dates=H","DateFormat=P","Fill=—","Direction=H","UseDPDF=Y")</f>
        <v>4.9062000000000001</v>
      </c>
      <c r="R8" s="20" t="str">
        <f>_xll.BDH("BLUE US Equity","INVENT_TURN","FQ3 2022","FQ3 2022","Currency=USD","Period=FQ","BEST_FPERIOD_OVERRIDE=FQ","FILING_STATUS=MR","FA_ADJUSTED=GAAP","Sort=A","Dates=H","DateFormat=P","Fill=—","Direction=H","UseDPDF=Y")</f>
        <v>—</v>
      </c>
      <c r="S8" s="20" t="str">
        <f>_xll.BDH("BLUE US Equity","INVENT_TURN","FQ4 2022","FQ4 2022","Currency=USD","Period=FQ","BEST_FPERIOD_OVERRIDE=FQ","FILING_STATUS=MR","FA_ADJUSTED=GAAP","Sort=A","Dates=H","DateFormat=P","Fill=—","Direction=H","UseDPDF=Y")</f>
        <v>—</v>
      </c>
      <c r="T8" s="20" t="str">
        <f>_xll.BDH("BLUE US Equity","INVENT_TURN","FQ1 2023","FQ1 2023","Currency=USD","Period=FQ","BEST_FPERIOD_OVERRIDE=FQ","FILING_STATUS=MR","FA_ADJUSTED=GAAP","Sort=A","Dates=H","DateFormat=P","Fill=—","Direction=H","UseDPDF=Y")</f>
        <v>—</v>
      </c>
      <c r="U8" s="20" t="str">
        <f>_xll.BDH("BLUE US Equity","INVENT_TURN","FQ2 2023","FQ2 2023","Currency=USD","Period=FQ","BEST_FPERIOD_OVERRIDE=FQ","FILING_STATUS=MR","FA_ADJUSTED=GAAP","Sort=A","Dates=H","DateFormat=P","Fill=—","Direction=H","UseDPDF=Y")</f>
        <v>—</v>
      </c>
      <c r="V8" s="20">
        <f>_xll.BDH("BLUE US Equity","INVENT_TURN","FQ3 2023","FQ3 2023","Currency=USD","Period=FQ","BEST_FPERIOD_OVERRIDE=FQ","FILING_STATUS=MR","FA_ADJUSTED=GAAP","Sort=A","Dates=H","DateFormat=P","Fill=—","Direction=H","UseDPDF=Y")</f>
        <v>2.0369999999999999</v>
      </c>
      <c r="W8" s="20">
        <f>_xll.BDH("BLUE US Equity","INVENT_TURN","FQ4 2023","FQ4 2023","Currency=USD","Period=FQ","BEST_FPERIOD_OVERRIDE=FQ","FILING_STATUS=MR","FA_ADJUSTED=GAAP","Sort=A","Dates=H","DateFormat=P","Fill=—","Direction=H","UseDPDF=Y")</f>
        <v>2.7023000000000001</v>
      </c>
      <c r="X8" s="20">
        <f>_xll.BDH("BLUE US Equity","INVENT_TURN","FQ1 2024","FQ1 2024","Currency=USD","Period=FQ","BEST_FPERIOD_OVERRIDE=FQ","FILING_STATUS=MR","FA_ADJUSTED=GAAP","Sort=A","Dates=H","DateFormat=P","Fill=—","Direction=H","UseDPDF=Y")</f>
        <v>3.0087000000000002</v>
      </c>
      <c r="Y8" s="20">
        <f>_xll.BDH("BLUE US Equity","INVENT_TURN","FQ2 2024","FQ2 2024","Currency=USD","Period=FQ","BEST_FPERIOD_OVERRIDE=FQ","FILING_STATUS=MR","FA_ADJUSTED=GAAP","Sort=A","Dates=H","DateFormat=P","Fill=—","Direction=H","UseDPDF=Y")</f>
        <v>3.1324000000000001</v>
      </c>
      <c r="Z8" s="20">
        <f>_xll.BDH("BLUE US Equity","INVENT_TURN","FQ3 2024","FQ3 2024","Currency=USD","Period=FQ","BEST_FPERIOD_OVERRIDE=FQ","FILING_STATUS=MR","FA_ADJUSTED=GAAP","Sort=A","Dates=H","DateFormat=P","Fill=—","Direction=H","UseDPDF=Y")</f>
        <v>2.0350000000000001</v>
      </c>
      <c r="AA8" s="20">
        <f>_xll.BDH("BLUE US Equity","INVENT_TURN","FQ4 2024","FQ4 2024","Currency=USD","Period=FQ","BEST_FPERIOD_OVERRIDE=FQ","FILING_STATUS=MR","FA_ADJUSTED=GAAP","Sort=A","Dates=H","DateFormat=P","Fill=—","Direction=H","UseDPDF=Y")</f>
        <v>2.0327999999999999</v>
      </c>
    </row>
    <row r="9" spans="1:27" x14ac:dyDescent="0.25">
      <c r="A9" s="10" t="s">
        <v>1404</v>
      </c>
      <c r="B9" s="10" t="s">
        <v>1405</v>
      </c>
      <c r="C9" s="14" t="str">
        <f>_xll.BDH("BLUE US Equity","INVENT_DAYS","FQ4 2018","FQ4 2018","Currency=USD","Period=FQ","BEST_FPERIOD_OVERRIDE=FQ","FILING_STATUS=MR","FA_ADJUSTED=GAAP","Sort=A","Dates=H","DateFormat=P","Fill=—","Direction=H","UseDPDF=Y")</f>
        <v>—</v>
      </c>
      <c r="D9" s="14" t="str">
        <f>_xll.BDH("BLUE US Equity","INVENT_DAYS","FQ1 2019","FQ1 2019","Currency=USD","Period=FQ","BEST_FPERIOD_OVERRIDE=FQ","FILING_STATUS=MR","FA_ADJUSTED=GAAP","Sort=A","Dates=H","DateFormat=P","Fill=—","Direction=H","UseDPDF=Y")</f>
        <v>—</v>
      </c>
      <c r="E9" s="14" t="str">
        <f>_xll.BDH("BLUE US Equity","INVENT_DAYS","FQ2 2019","FQ2 2019","Currency=USD","Period=FQ","BEST_FPERIOD_OVERRIDE=FQ","FILING_STATUS=MR","FA_ADJUSTED=GAAP","Sort=A","Dates=H","DateFormat=P","Fill=—","Direction=H","UseDPDF=Y")</f>
        <v>—</v>
      </c>
      <c r="F9" s="14" t="str">
        <f>_xll.BDH("BLUE US Equity","INVENT_DAYS","FQ3 2019","FQ3 2019","Currency=USD","Period=FQ","BEST_FPERIOD_OVERRIDE=FQ","FILING_STATUS=MR","FA_ADJUSTED=GAAP","Sort=A","Dates=H","DateFormat=P","Fill=—","Direction=H","UseDPDF=Y")</f>
        <v>—</v>
      </c>
      <c r="G9" s="14" t="str">
        <f>_xll.BDH("BLUE US Equity","INVENT_DAYS","FQ4 2019","FQ4 2019","Currency=USD","Period=FQ","BEST_FPERIOD_OVERRIDE=FQ","FILING_STATUS=MR","FA_ADJUSTED=GAAP","Sort=A","Dates=H","DateFormat=P","Fill=—","Direction=H","UseDPDF=Y")</f>
        <v>—</v>
      </c>
      <c r="H9" s="14" t="str">
        <f>_xll.BDH("BLUE US Equity","INVENT_DAYS","FQ1 2020","FQ1 2020","Currency=USD","Period=FQ","BEST_FPERIOD_OVERRIDE=FQ","FILING_STATUS=MR","FA_ADJUSTED=GAAP","Sort=A","Dates=H","DateFormat=P","Fill=—","Direction=H","UseDPDF=Y")</f>
        <v>—</v>
      </c>
      <c r="I9" s="14" t="str">
        <f>_xll.BDH("BLUE US Equity","INVENT_DAYS","FQ2 2020","FQ2 2020","Currency=USD","Period=FQ","BEST_FPERIOD_OVERRIDE=FQ","FILING_STATUS=MR","FA_ADJUSTED=GAAP","Sort=A","Dates=H","DateFormat=P","Fill=—","Direction=H","UseDPDF=Y")</f>
        <v>—</v>
      </c>
      <c r="J9" s="14" t="str">
        <f>_xll.BDH("BLUE US Equity","INVENT_DAYS","FQ3 2020","FQ3 2020","Currency=USD","Period=FQ","BEST_FPERIOD_OVERRIDE=FQ","FILING_STATUS=MR","FA_ADJUSTED=GAAP","Sort=A","Dates=H","DateFormat=P","Fill=—","Direction=H","UseDPDF=Y")</f>
        <v>—</v>
      </c>
      <c r="K9" s="14" t="str">
        <f>_xll.BDH("BLUE US Equity","INVENT_DAYS","FQ4 2020","FQ4 2020","Currency=USD","Period=FQ","BEST_FPERIOD_OVERRIDE=FQ","FILING_STATUS=MR","FA_ADJUSTED=GAAP","Sort=A","Dates=H","DateFormat=P","Fill=—","Direction=H","UseDPDF=Y")</f>
        <v>—</v>
      </c>
      <c r="L9" s="14" t="str">
        <f>_xll.BDH("BLUE US Equity","INVENT_DAYS","FQ1 2021","FQ1 2021","Currency=USD","Period=FQ","BEST_FPERIOD_OVERRIDE=FQ","FILING_STATUS=MR","FA_ADJUSTED=GAAP","Sort=A","Dates=H","DateFormat=P","Fill=—","Direction=H","UseDPDF=Y")</f>
        <v>—</v>
      </c>
      <c r="M9" s="14" t="str">
        <f>_xll.BDH("BLUE US Equity","INVENT_DAYS","FQ2 2021","FQ2 2021","Currency=USD","Period=FQ","BEST_FPERIOD_OVERRIDE=FQ","FILING_STATUS=MR","FA_ADJUSTED=GAAP","Sort=A","Dates=H","DateFormat=P","Fill=—","Direction=H","UseDPDF=Y")</f>
        <v>—</v>
      </c>
      <c r="N9" s="14" t="str">
        <f>_xll.BDH("BLUE US Equity","INVENT_DAYS","FQ3 2021","FQ3 2021","Currency=USD","Period=FQ","BEST_FPERIOD_OVERRIDE=FQ","FILING_STATUS=MR","FA_ADJUSTED=GAAP","Sort=A","Dates=H","DateFormat=P","Fill=—","Direction=H","UseDPDF=Y")</f>
        <v>—</v>
      </c>
      <c r="O9" s="14" t="str">
        <f>_xll.BDH("BLUE US Equity","INVENT_DAYS","FQ4 2021","FQ4 2021","Currency=USD","Period=FQ","BEST_FPERIOD_OVERRIDE=FQ","FILING_STATUS=MR","FA_ADJUSTED=GAAP","Sort=A","Dates=H","DateFormat=P","Fill=—","Direction=H","UseDPDF=Y")</f>
        <v>—</v>
      </c>
      <c r="P9" s="14" t="str">
        <f>_xll.BDH("BLUE US Equity","INVENT_DAYS","FQ1 2022","FQ1 2022","Currency=USD","Period=FQ","BEST_FPERIOD_OVERRIDE=FQ","FILING_STATUS=MR","FA_ADJUSTED=GAAP","Sort=A","Dates=H","DateFormat=P","Fill=—","Direction=H","UseDPDF=Y")</f>
        <v>—</v>
      </c>
      <c r="Q9" s="14">
        <f>_xll.BDH("BLUE US Equity","INVENT_DAYS","FQ2 2022","FQ2 2022","Currency=USD","Period=FQ","BEST_FPERIOD_OVERRIDE=FQ","FILING_STATUS=MR","FA_ADJUSTED=GAAP","Sort=A","Dates=H","DateFormat=P","Fill=—","Direction=H","UseDPDF=Y")</f>
        <v>74.395099999999999</v>
      </c>
      <c r="R9" s="14" t="str">
        <f>_xll.BDH("BLUE US Equity","INVENT_DAYS","FQ3 2022","FQ3 2022","Currency=USD","Period=FQ","BEST_FPERIOD_OVERRIDE=FQ","FILING_STATUS=MR","FA_ADJUSTED=GAAP","Sort=A","Dates=H","DateFormat=P","Fill=—","Direction=H","UseDPDF=Y")</f>
        <v>—</v>
      </c>
      <c r="S9" s="14" t="str">
        <f>_xll.BDH("BLUE US Equity","INVENT_DAYS","FQ4 2022","FQ4 2022","Currency=USD","Period=FQ","BEST_FPERIOD_OVERRIDE=FQ","FILING_STATUS=MR","FA_ADJUSTED=GAAP","Sort=A","Dates=H","DateFormat=P","Fill=—","Direction=H","UseDPDF=Y")</f>
        <v>—</v>
      </c>
      <c r="T9" s="14" t="str">
        <f>_xll.BDH("BLUE US Equity","INVENT_DAYS","FQ1 2023","FQ1 2023","Currency=USD","Period=FQ","BEST_FPERIOD_OVERRIDE=FQ","FILING_STATUS=MR","FA_ADJUSTED=GAAP","Sort=A","Dates=H","DateFormat=P","Fill=—","Direction=H","UseDPDF=Y")</f>
        <v>—</v>
      </c>
      <c r="U9" s="14" t="str">
        <f>_xll.BDH("BLUE US Equity","INVENT_DAYS","FQ2 2023","FQ2 2023","Currency=USD","Period=FQ","BEST_FPERIOD_OVERRIDE=FQ","FILING_STATUS=MR","FA_ADJUSTED=GAAP","Sort=A","Dates=H","DateFormat=P","Fill=—","Direction=H","UseDPDF=Y")</f>
        <v>—</v>
      </c>
      <c r="V9" s="14">
        <f>_xll.BDH("BLUE US Equity","INVENT_DAYS","FQ3 2023","FQ3 2023","Currency=USD","Period=FQ","BEST_FPERIOD_OVERRIDE=FQ","FILING_STATUS=MR","FA_ADJUSTED=GAAP","Sort=A","Dates=H","DateFormat=P","Fill=—","Direction=H","UseDPDF=Y")</f>
        <v>179.18450000000001</v>
      </c>
      <c r="W9" s="14">
        <f>_xll.BDH("BLUE US Equity","INVENT_DAYS","FQ4 2023","FQ4 2023","Currency=USD","Period=FQ","BEST_FPERIOD_OVERRIDE=FQ","FILING_STATUS=MR","FA_ADJUSTED=GAAP","Sort=A","Dates=H","DateFormat=P","Fill=—","Direction=H","UseDPDF=Y")</f>
        <v>135.0702</v>
      </c>
      <c r="X9" s="14">
        <f>_xll.BDH("BLUE US Equity","INVENT_DAYS","FQ1 2024","FQ1 2024","Currency=USD","Period=FQ","BEST_FPERIOD_OVERRIDE=FQ","FILING_STATUS=MR","FA_ADJUSTED=GAAP","Sort=A","Dates=H","DateFormat=P","Fill=—","Direction=H","UseDPDF=Y")</f>
        <v>121.6482</v>
      </c>
      <c r="Y9" s="14">
        <f>_xll.BDH("BLUE US Equity","INVENT_DAYS","FQ2 2024","FQ2 2024","Currency=USD","Period=FQ","BEST_FPERIOD_OVERRIDE=FQ","FILING_STATUS=MR","FA_ADJUSTED=GAAP","Sort=A","Dates=H","DateFormat=P","Fill=—","Direction=H","UseDPDF=Y")</f>
        <v>116.8426</v>
      </c>
      <c r="Z9" s="14">
        <f>_xll.BDH("BLUE US Equity","INVENT_DAYS","FQ3 2024","FQ3 2024","Currency=USD","Period=FQ","BEST_FPERIOD_OVERRIDE=FQ","FILING_STATUS=MR","FA_ADJUSTED=GAAP","Sort=A","Dates=H","DateFormat=P","Fill=—","Direction=H","UseDPDF=Y")</f>
        <v>179.85489999999999</v>
      </c>
      <c r="AA9" s="14">
        <f>_xll.BDH("BLUE US Equity","INVENT_DAYS","FQ4 2024","FQ4 2024","Currency=USD","Period=FQ","BEST_FPERIOD_OVERRIDE=FQ","FILING_STATUS=MR","FA_ADJUSTED=GAAP","Sort=A","Dates=H","DateFormat=P","Fill=—","Direction=H","UseDPDF=Y")</f>
        <v>180.04349999999999</v>
      </c>
    </row>
    <row r="10" spans="1:27" x14ac:dyDescent="0.25">
      <c r="A10" s="6" t="s">
        <v>1406</v>
      </c>
      <c r="B10" s="6" t="s">
        <v>1407</v>
      </c>
      <c r="C10" s="20" t="str">
        <f>_xll.BDH("BLUE US Equity","ACCOUNTS_PAYABLE_TURNOVER","FQ4 2018","FQ4 2018","Currency=USD","Period=FQ","BEST_FPERIOD_OVERRIDE=FQ","FILING_STATUS=MR","FA_ADJUSTED=GAAP","Sort=A","Dates=H","DateFormat=P","Fill=—","Direction=H","UseDPDF=Y")</f>
        <v>—</v>
      </c>
      <c r="D10" s="20" t="str">
        <f>_xll.BDH("BLUE US Equity","ACCOUNTS_PAYABLE_TURNOVER","FQ1 2019","FQ1 2019","Currency=USD","Period=FQ","BEST_FPERIOD_OVERRIDE=FQ","FILING_STATUS=MR","FA_ADJUSTED=GAAP","Sort=A","Dates=H","DateFormat=P","Fill=—","Direction=H","UseDPDF=Y")</f>
        <v>—</v>
      </c>
      <c r="E10" s="20" t="str">
        <f>_xll.BDH("BLUE US Equity","ACCOUNTS_PAYABLE_TURNOVER","FQ2 2019","FQ2 2019","Currency=USD","Period=FQ","BEST_FPERIOD_OVERRIDE=FQ","FILING_STATUS=MR","FA_ADJUSTED=GAAP","Sort=A","Dates=H","DateFormat=P","Fill=—","Direction=H","UseDPDF=Y")</f>
        <v>—</v>
      </c>
      <c r="F10" s="20" t="str">
        <f>_xll.BDH("BLUE US Equity","ACCOUNTS_PAYABLE_TURNOVER","FQ3 2019","FQ3 2019","Currency=USD","Period=FQ","BEST_FPERIOD_OVERRIDE=FQ","FILING_STATUS=MR","FA_ADJUSTED=GAAP","Sort=A","Dates=H","DateFormat=P","Fill=—","Direction=H","UseDPDF=Y")</f>
        <v>—</v>
      </c>
      <c r="G10" s="20" t="str">
        <f>_xll.BDH("BLUE US Equity","ACCOUNTS_PAYABLE_TURNOVER","FQ4 2019","FQ4 2019","Currency=USD","Period=FQ","BEST_FPERIOD_OVERRIDE=FQ","FILING_STATUS=MR","FA_ADJUSTED=GAAP","Sort=A","Dates=H","DateFormat=P","Fill=—","Direction=H","UseDPDF=Y")</f>
        <v>—</v>
      </c>
      <c r="H10" s="20" t="str">
        <f>_xll.BDH("BLUE US Equity","ACCOUNTS_PAYABLE_TURNOVER","FQ1 2020","FQ1 2020","Currency=USD","Period=FQ","BEST_FPERIOD_OVERRIDE=FQ","FILING_STATUS=MR","FA_ADJUSTED=GAAP","Sort=A","Dates=H","DateFormat=P","Fill=—","Direction=H","UseDPDF=Y")</f>
        <v>—</v>
      </c>
      <c r="I10" s="20" t="str">
        <f>_xll.BDH("BLUE US Equity","ACCOUNTS_PAYABLE_TURNOVER","FQ2 2020","FQ2 2020","Currency=USD","Period=FQ","BEST_FPERIOD_OVERRIDE=FQ","FILING_STATUS=MR","FA_ADJUSTED=GAAP","Sort=A","Dates=H","DateFormat=P","Fill=—","Direction=H","UseDPDF=Y")</f>
        <v>—</v>
      </c>
      <c r="J10" s="20" t="str">
        <f>_xll.BDH("BLUE US Equity","ACCOUNTS_PAYABLE_TURNOVER","FQ3 2020","FQ3 2020","Currency=USD","Period=FQ","BEST_FPERIOD_OVERRIDE=FQ","FILING_STATUS=MR","FA_ADJUSTED=GAAP","Sort=A","Dates=H","DateFormat=P","Fill=—","Direction=H","UseDPDF=Y")</f>
        <v>—</v>
      </c>
      <c r="K10" s="20" t="str">
        <f>_xll.BDH("BLUE US Equity","ACCOUNTS_PAYABLE_TURNOVER","FQ4 2020","FQ4 2020","Currency=USD","Period=FQ","BEST_FPERIOD_OVERRIDE=FQ","FILING_STATUS=MR","FA_ADJUSTED=GAAP","Sort=A","Dates=H","DateFormat=P","Fill=—","Direction=H","UseDPDF=Y")</f>
        <v>—</v>
      </c>
      <c r="L10" s="20" t="str">
        <f>_xll.BDH("BLUE US Equity","ACCOUNTS_PAYABLE_TURNOVER","FQ1 2021","FQ1 2021","Currency=USD","Period=FQ","BEST_FPERIOD_OVERRIDE=FQ","FILING_STATUS=MR","FA_ADJUSTED=GAAP","Sort=A","Dates=H","DateFormat=P","Fill=—","Direction=H","UseDPDF=Y")</f>
        <v>—</v>
      </c>
      <c r="M10" s="20" t="str">
        <f>_xll.BDH("BLUE US Equity","ACCOUNTS_PAYABLE_TURNOVER","FQ2 2021","FQ2 2021","Currency=USD","Period=FQ","BEST_FPERIOD_OVERRIDE=FQ","FILING_STATUS=MR","FA_ADJUSTED=GAAP","Sort=A","Dates=H","DateFormat=P","Fill=—","Direction=H","UseDPDF=Y")</f>
        <v>—</v>
      </c>
      <c r="N10" s="20" t="str">
        <f>_xll.BDH("BLUE US Equity","ACCOUNTS_PAYABLE_TURNOVER","FQ3 2021","FQ3 2021","Currency=USD","Period=FQ","BEST_FPERIOD_OVERRIDE=FQ","FILING_STATUS=MR","FA_ADJUSTED=GAAP","Sort=A","Dates=H","DateFormat=P","Fill=—","Direction=H","UseDPDF=Y")</f>
        <v>—</v>
      </c>
      <c r="O10" s="20" t="str">
        <f>_xll.BDH("BLUE US Equity","ACCOUNTS_PAYABLE_TURNOVER","FQ4 2021","FQ4 2021","Currency=USD","Period=FQ","BEST_FPERIOD_OVERRIDE=FQ","FILING_STATUS=MR","FA_ADJUSTED=GAAP","Sort=A","Dates=H","DateFormat=P","Fill=—","Direction=H","UseDPDF=Y")</f>
        <v>—</v>
      </c>
      <c r="P10" s="20" t="str">
        <f>_xll.BDH("BLUE US Equity","ACCOUNTS_PAYABLE_TURNOVER","FQ1 2022","FQ1 2022","Currency=USD","Period=FQ","BEST_FPERIOD_OVERRIDE=FQ","FILING_STATUS=MR","FA_ADJUSTED=GAAP","Sort=A","Dates=H","DateFormat=P","Fill=—","Direction=H","UseDPDF=Y")</f>
        <v>—</v>
      </c>
      <c r="Q10" s="20">
        <f>_xll.BDH("BLUE US Equity","ACCOUNTS_PAYABLE_TURNOVER","FQ2 2022","FQ2 2022","Currency=USD","Period=FQ","BEST_FPERIOD_OVERRIDE=FQ","FILING_STATUS=MR","FA_ADJUSTED=GAAP","Sort=A","Dates=H","DateFormat=P","Fill=—","Direction=H","UseDPDF=Y")</f>
        <v>0.61160000000000003</v>
      </c>
      <c r="R10" s="20" t="str">
        <f>_xll.BDH("BLUE US Equity","ACCOUNTS_PAYABLE_TURNOVER","FQ3 2022","FQ3 2022","Currency=USD","Period=FQ","BEST_FPERIOD_OVERRIDE=FQ","FILING_STATUS=MR","FA_ADJUSTED=GAAP","Sort=A","Dates=H","DateFormat=P","Fill=—","Direction=H","UseDPDF=Y")</f>
        <v>—</v>
      </c>
      <c r="S10" s="20" t="str">
        <f>_xll.BDH("BLUE US Equity","ACCOUNTS_PAYABLE_TURNOVER","FQ4 2022","FQ4 2022","Currency=USD","Period=FQ","BEST_FPERIOD_OVERRIDE=FQ","FILING_STATUS=MR","FA_ADJUSTED=GAAP","Sort=A","Dates=H","DateFormat=P","Fill=—","Direction=H","UseDPDF=Y")</f>
        <v>—</v>
      </c>
      <c r="T10" s="20" t="str">
        <f>_xll.BDH("BLUE US Equity","ACCOUNTS_PAYABLE_TURNOVER","FQ1 2023","FQ1 2023","Currency=USD","Period=FQ","BEST_FPERIOD_OVERRIDE=FQ","FILING_STATUS=MR","FA_ADJUSTED=GAAP","Sort=A","Dates=H","DateFormat=P","Fill=—","Direction=H","UseDPDF=Y")</f>
        <v>—</v>
      </c>
      <c r="U10" s="20" t="str">
        <f>_xll.BDH("BLUE US Equity","ACCOUNTS_PAYABLE_TURNOVER","FQ2 2023","FQ2 2023","Currency=USD","Period=FQ","BEST_FPERIOD_OVERRIDE=FQ","FILING_STATUS=MR","FA_ADJUSTED=GAAP","Sort=A","Dates=H","DateFormat=P","Fill=—","Direction=H","UseDPDF=Y")</f>
        <v>—</v>
      </c>
      <c r="V10" s="20">
        <f>_xll.BDH("BLUE US Equity","ACCOUNTS_PAYABLE_TURNOVER","FQ3 2023","FQ3 2023","Currency=USD","Period=FQ","BEST_FPERIOD_OVERRIDE=FQ","FILING_STATUS=MR","FA_ADJUSTED=GAAP","Sort=A","Dates=H","DateFormat=P","Fill=—","Direction=H","UseDPDF=Y")</f>
        <v>2.2002000000000002</v>
      </c>
      <c r="W10" s="20">
        <f>_xll.BDH("BLUE US Equity","ACCOUNTS_PAYABLE_TURNOVER","FQ4 2023","FQ4 2023","Currency=USD","Period=FQ","BEST_FPERIOD_OVERRIDE=FQ","FILING_STATUS=MR","FA_ADJUSTED=GAAP","Sort=A","Dates=H","DateFormat=P","Fill=—","Direction=H","UseDPDF=Y")</f>
        <v>3.2301000000000002</v>
      </c>
      <c r="X10" s="20">
        <f>_xll.BDH("BLUE US Equity","ACCOUNTS_PAYABLE_TURNOVER","FQ1 2024","FQ1 2024","Currency=USD","Period=FQ","BEST_FPERIOD_OVERRIDE=FQ","FILING_STATUS=MR","FA_ADJUSTED=GAAP","Sort=A","Dates=H","DateFormat=P","Fill=—","Direction=H","UseDPDF=Y")</f>
        <v>4.0296000000000003</v>
      </c>
      <c r="Y10" s="20">
        <f>_xll.BDH("BLUE US Equity","ACCOUNTS_PAYABLE_TURNOVER","FQ2 2024","FQ2 2024","Currency=USD","Period=FQ","BEST_FPERIOD_OVERRIDE=FQ","FILING_STATUS=MR","FA_ADJUSTED=GAAP","Sort=A","Dates=H","DateFormat=P","Fill=—","Direction=H","UseDPDF=Y")</f>
        <v>4.4958999999999998</v>
      </c>
      <c r="Z10" s="20">
        <f>_xll.BDH("BLUE US Equity","ACCOUNTS_PAYABLE_TURNOVER","FQ3 2024","FQ3 2024","Currency=USD","Period=FQ","BEST_FPERIOD_OVERRIDE=FQ","FILING_STATUS=MR","FA_ADJUSTED=GAAP","Sort=A","Dates=H","DateFormat=P","Fill=—","Direction=H","UseDPDF=Y")</f>
        <v>4.9263000000000003</v>
      </c>
      <c r="AA10" s="20">
        <f>_xll.BDH("BLUE US Equity","ACCOUNTS_PAYABLE_TURNOVER","FQ4 2024","FQ4 2024","Currency=USD","Period=FQ","BEST_FPERIOD_OVERRIDE=FQ","FILING_STATUS=MR","FA_ADJUSTED=GAAP","Sort=A","Dates=H","DateFormat=P","Fill=—","Direction=H","UseDPDF=Y")</f>
        <v>4.9789000000000003</v>
      </c>
    </row>
    <row r="11" spans="1:27" x14ac:dyDescent="0.25">
      <c r="A11" s="10" t="s">
        <v>1408</v>
      </c>
      <c r="B11" s="10" t="s">
        <v>1409</v>
      </c>
      <c r="C11" s="14" t="str">
        <f>_xll.BDH("BLUE US Equity","ACCOUNTS_PAYABLE_TURNOVER_DAYS","FQ4 2018","FQ4 2018","Currency=USD","Period=FQ","BEST_FPERIOD_OVERRIDE=FQ","FILING_STATUS=MR","FA_ADJUSTED=GAAP","Sort=A","Dates=H","DateFormat=P","Fill=—","Direction=H","UseDPDF=Y")</f>
        <v>—</v>
      </c>
      <c r="D11" s="14" t="str">
        <f>_xll.BDH("BLUE US Equity","ACCOUNTS_PAYABLE_TURNOVER_DAYS","FQ1 2019","FQ1 2019","Currency=USD","Period=FQ","BEST_FPERIOD_OVERRIDE=FQ","FILING_STATUS=MR","FA_ADJUSTED=GAAP","Sort=A","Dates=H","DateFormat=P","Fill=—","Direction=H","UseDPDF=Y")</f>
        <v>—</v>
      </c>
      <c r="E11" s="14" t="str">
        <f>_xll.BDH("BLUE US Equity","ACCOUNTS_PAYABLE_TURNOVER_DAYS","FQ2 2019","FQ2 2019","Currency=USD","Period=FQ","BEST_FPERIOD_OVERRIDE=FQ","FILING_STATUS=MR","FA_ADJUSTED=GAAP","Sort=A","Dates=H","DateFormat=P","Fill=—","Direction=H","UseDPDF=Y")</f>
        <v>—</v>
      </c>
      <c r="F11" s="14" t="str">
        <f>_xll.BDH("BLUE US Equity","ACCOUNTS_PAYABLE_TURNOVER_DAYS","FQ3 2019","FQ3 2019","Currency=USD","Period=FQ","BEST_FPERIOD_OVERRIDE=FQ","FILING_STATUS=MR","FA_ADJUSTED=GAAP","Sort=A","Dates=H","DateFormat=P","Fill=—","Direction=H","UseDPDF=Y")</f>
        <v>—</v>
      </c>
      <c r="G11" s="14" t="str">
        <f>_xll.BDH("BLUE US Equity","ACCOUNTS_PAYABLE_TURNOVER_DAYS","FQ4 2019","FQ4 2019","Currency=USD","Period=FQ","BEST_FPERIOD_OVERRIDE=FQ","FILING_STATUS=MR","FA_ADJUSTED=GAAP","Sort=A","Dates=H","DateFormat=P","Fill=—","Direction=H","UseDPDF=Y")</f>
        <v>—</v>
      </c>
      <c r="H11" s="14" t="str">
        <f>_xll.BDH("BLUE US Equity","ACCOUNTS_PAYABLE_TURNOVER_DAYS","FQ1 2020","FQ1 2020","Currency=USD","Period=FQ","BEST_FPERIOD_OVERRIDE=FQ","FILING_STATUS=MR","FA_ADJUSTED=GAAP","Sort=A","Dates=H","DateFormat=P","Fill=—","Direction=H","UseDPDF=Y")</f>
        <v>—</v>
      </c>
      <c r="I11" s="14" t="str">
        <f>_xll.BDH("BLUE US Equity","ACCOUNTS_PAYABLE_TURNOVER_DAYS","FQ2 2020","FQ2 2020","Currency=USD","Period=FQ","BEST_FPERIOD_OVERRIDE=FQ","FILING_STATUS=MR","FA_ADJUSTED=GAAP","Sort=A","Dates=H","DateFormat=P","Fill=—","Direction=H","UseDPDF=Y")</f>
        <v>—</v>
      </c>
      <c r="J11" s="14" t="str">
        <f>_xll.BDH("BLUE US Equity","ACCOUNTS_PAYABLE_TURNOVER_DAYS","FQ3 2020","FQ3 2020","Currency=USD","Period=FQ","BEST_FPERIOD_OVERRIDE=FQ","FILING_STATUS=MR","FA_ADJUSTED=GAAP","Sort=A","Dates=H","DateFormat=P","Fill=—","Direction=H","UseDPDF=Y")</f>
        <v>—</v>
      </c>
      <c r="K11" s="14" t="str">
        <f>_xll.BDH("BLUE US Equity","ACCOUNTS_PAYABLE_TURNOVER_DAYS","FQ4 2020","FQ4 2020","Currency=USD","Period=FQ","BEST_FPERIOD_OVERRIDE=FQ","FILING_STATUS=MR","FA_ADJUSTED=GAAP","Sort=A","Dates=H","DateFormat=P","Fill=—","Direction=H","UseDPDF=Y")</f>
        <v>—</v>
      </c>
      <c r="L11" s="14" t="str">
        <f>_xll.BDH("BLUE US Equity","ACCOUNTS_PAYABLE_TURNOVER_DAYS","FQ1 2021","FQ1 2021","Currency=USD","Period=FQ","BEST_FPERIOD_OVERRIDE=FQ","FILING_STATUS=MR","FA_ADJUSTED=GAAP","Sort=A","Dates=H","DateFormat=P","Fill=—","Direction=H","UseDPDF=Y")</f>
        <v>—</v>
      </c>
      <c r="M11" s="14" t="str">
        <f>_xll.BDH("BLUE US Equity","ACCOUNTS_PAYABLE_TURNOVER_DAYS","FQ2 2021","FQ2 2021","Currency=USD","Period=FQ","BEST_FPERIOD_OVERRIDE=FQ","FILING_STATUS=MR","FA_ADJUSTED=GAAP","Sort=A","Dates=H","DateFormat=P","Fill=—","Direction=H","UseDPDF=Y")</f>
        <v>—</v>
      </c>
      <c r="N11" s="14" t="str">
        <f>_xll.BDH("BLUE US Equity","ACCOUNTS_PAYABLE_TURNOVER_DAYS","FQ3 2021","FQ3 2021","Currency=USD","Period=FQ","BEST_FPERIOD_OVERRIDE=FQ","FILING_STATUS=MR","FA_ADJUSTED=GAAP","Sort=A","Dates=H","DateFormat=P","Fill=—","Direction=H","UseDPDF=Y")</f>
        <v>—</v>
      </c>
      <c r="O11" s="14" t="str">
        <f>_xll.BDH("BLUE US Equity","ACCOUNTS_PAYABLE_TURNOVER_DAYS","FQ4 2021","FQ4 2021","Currency=USD","Period=FQ","BEST_FPERIOD_OVERRIDE=FQ","FILING_STATUS=MR","FA_ADJUSTED=GAAP","Sort=A","Dates=H","DateFormat=P","Fill=—","Direction=H","UseDPDF=Y")</f>
        <v>—</v>
      </c>
      <c r="P11" s="14" t="str">
        <f>_xll.BDH("BLUE US Equity","ACCOUNTS_PAYABLE_TURNOVER_DAYS","FQ1 2022","FQ1 2022","Currency=USD","Period=FQ","BEST_FPERIOD_OVERRIDE=FQ","FILING_STATUS=MR","FA_ADJUSTED=GAAP","Sort=A","Dates=H","DateFormat=P","Fill=—","Direction=H","UseDPDF=Y")</f>
        <v>—</v>
      </c>
      <c r="Q11" s="14">
        <f>_xll.BDH("BLUE US Equity","ACCOUNTS_PAYABLE_TURNOVER_DAYS","FQ2 2022","FQ2 2022","Currency=USD","Period=FQ","BEST_FPERIOD_OVERRIDE=FQ","FILING_STATUS=MR","FA_ADJUSTED=GAAP","Sort=A","Dates=H","DateFormat=P","Fill=—","Direction=H","UseDPDF=Y")</f>
        <v>596.78989999999999</v>
      </c>
      <c r="R11" s="14" t="str">
        <f>_xll.BDH("BLUE US Equity","ACCOUNTS_PAYABLE_TURNOVER_DAYS","FQ3 2022","FQ3 2022","Currency=USD","Period=FQ","BEST_FPERIOD_OVERRIDE=FQ","FILING_STATUS=MR","FA_ADJUSTED=GAAP","Sort=A","Dates=H","DateFormat=P","Fill=—","Direction=H","UseDPDF=Y")</f>
        <v>—</v>
      </c>
      <c r="S11" s="14" t="str">
        <f>_xll.BDH("BLUE US Equity","ACCOUNTS_PAYABLE_TURNOVER_DAYS","FQ4 2022","FQ4 2022","Currency=USD","Period=FQ","BEST_FPERIOD_OVERRIDE=FQ","FILING_STATUS=MR","FA_ADJUSTED=GAAP","Sort=A","Dates=H","DateFormat=P","Fill=—","Direction=H","UseDPDF=Y")</f>
        <v>—</v>
      </c>
      <c r="T11" s="14" t="str">
        <f>_xll.BDH("BLUE US Equity","ACCOUNTS_PAYABLE_TURNOVER_DAYS","FQ1 2023","FQ1 2023","Currency=USD","Period=FQ","BEST_FPERIOD_OVERRIDE=FQ","FILING_STATUS=MR","FA_ADJUSTED=GAAP","Sort=A","Dates=H","DateFormat=P","Fill=—","Direction=H","UseDPDF=Y")</f>
        <v>—</v>
      </c>
      <c r="U11" s="14" t="str">
        <f>_xll.BDH("BLUE US Equity","ACCOUNTS_PAYABLE_TURNOVER_DAYS","FQ2 2023","FQ2 2023","Currency=USD","Period=FQ","BEST_FPERIOD_OVERRIDE=FQ","FILING_STATUS=MR","FA_ADJUSTED=GAAP","Sort=A","Dates=H","DateFormat=P","Fill=—","Direction=H","UseDPDF=Y")</f>
        <v>—</v>
      </c>
      <c r="V11" s="14">
        <f>_xll.BDH("BLUE US Equity","ACCOUNTS_PAYABLE_TURNOVER_DAYS","FQ3 2023","FQ3 2023","Currency=USD","Period=FQ","BEST_FPERIOD_OVERRIDE=FQ","FILING_STATUS=MR","FA_ADJUSTED=GAAP","Sort=A","Dates=H","DateFormat=P","Fill=—","Direction=H","UseDPDF=Y")</f>
        <v>165.89109999999999</v>
      </c>
      <c r="W11" s="14">
        <f>_xll.BDH("BLUE US Equity","ACCOUNTS_PAYABLE_TURNOVER_DAYS","FQ4 2023","FQ4 2023","Currency=USD","Period=FQ","BEST_FPERIOD_OVERRIDE=FQ","FILING_STATUS=MR","FA_ADJUSTED=GAAP","Sort=A","Dates=H","DateFormat=P","Fill=—","Direction=H","UseDPDF=Y")</f>
        <v>112.9999</v>
      </c>
      <c r="X11" s="14">
        <f>_xll.BDH("BLUE US Equity","ACCOUNTS_PAYABLE_TURNOVER_DAYS","FQ1 2024","FQ1 2024","Currency=USD","Period=FQ","BEST_FPERIOD_OVERRIDE=FQ","FILING_STATUS=MR","FA_ADJUSTED=GAAP","Sort=A","Dates=H","DateFormat=P","Fill=—","Direction=H","UseDPDF=Y")</f>
        <v>90.828599999999994</v>
      </c>
      <c r="Y11" s="14">
        <f>_xll.BDH("BLUE US Equity","ACCOUNTS_PAYABLE_TURNOVER_DAYS","FQ2 2024","FQ2 2024","Currency=USD","Period=FQ","BEST_FPERIOD_OVERRIDE=FQ","FILING_STATUS=MR","FA_ADJUSTED=GAAP","Sort=A","Dates=H","DateFormat=P","Fill=—","Direction=H","UseDPDF=Y")</f>
        <v>81.407700000000006</v>
      </c>
      <c r="Z11" s="14">
        <f>_xll.BDH("BLUE US Equity","ACCOUNTS_PAYABLE_TURNOVER_DAYS","FQ3 2024","FQ3 2024","Currency=USD","Period=FQ","BEST_FPERIOD_OVERRIDE=FQ","FILING_STATUS=MR","FA_ADJUSTED=GAAP","Sort=A","Dates=H","DateFormat=P","Fill=—","Direction=H","UseDPDF=Y")</f>
        <v>74.295699999999997</v>
      </c>
      <c r="AA11" s="14">
        <f>_xll.BDH("BLUE US Equity","ACCOUNTS_PAYABLE_TURNOVER_DAYS","FQ4 2024","FQ4 2024","Currency=USD","Period=FQ","BEST_FPERIOD_OVERRIDE=FQ","FILING_STATUS=MR","FA_ADJUSTED=GAAP","Sort=A","Dates=H","DateFormat=P","Fill=—","Direction=H","UseDPDF=Y")</f>
        <v>73.510099999999994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6" t="s">
        <v>747</v>
      </c>
      <c r="B13" s="6" t="s">
        <v>748</v>
      </c>
      <c r="C13" s="20" t="str">
        <f>_xll.BDH("BLUE US Equity","CASH_CONVERSION_CYCLE","FQ4 2018","FQ4 2018","Currency=USD","Period=FQ","BEST_FPERIOD_OVERRIDE=FQ","FILING_STATUS=MR","FA_ADJUSTED=GAAP","Sort=A","Dates=H","DateFormat=P","Fill=—","Direction=H","UseDPDF=Y")</f>
        <v>—</v>
      </c>
      <c r="D13" s="20" t="str">
        <f>_xll.BDH("BLUE US Equity","CASH_CONVERSION_CYCLE","FQ1 2019","FQ1 2019","Currency=USD","Period=FQ","BEST_FPERIOD_OVERRIDE=FQ","FILING_STATUS=MR","FA_ADJUSTED=GAAP","Sort=A","Dates=H","DateFormat=P","Fill=—","Direction=H","UseDPDF=Y")</f>
        <v>—</v>
      </c>
      <c r="E13" s="20" t="str">
        <f>_xll.BDH("BLUE US Equity","CASH_CONVERSION_CYCLE","FQ2 2019","FQ2 2019","Currency=USD","Period=FQ","BEST_FPERIOD_OVERRIDE=FQ","FILING_STATUS=MR","FA_ADJUSTED=GAAP","Sort=A","Dates=H","DateFormat=P","Fill=—","Direction=H","UseDPDF=Y")</f>
        <v>—</v>
      </c>
      <c r="F13" s="20" t="str">
        <f>_xll.BDH("BLUE US Equity","CASH_CONVERSION_CYCLE","FQ3 2019","FQ3 2019","Currency=USD","Period=FQ","BEST_FPERIOD_OVERRIDE=FQ","FILING_STATUS=MR","FA_ADJUSTED=GAAP","Sort=A","Dates=H","DateFormat=P","Fill=—","Direction=H","UseDPDF=Y")</f>
        <v>—</v>
      </c>
      <c r="G13" s="20" t="str">
        <f>_xll.BDH("BLUE US Equity","CASH_CONVERSION_CYCLE","FQ4 2019","FQ4 2019","Currency=USD","Period=FQ","BEST_FPERIOD_OVERRIDE=FQ","FILING_STATUS=MR","FA_ADJUSTED=GAAP","Sort=A","Dates=H","DateFormat=P","Fill=—","Direction=H","UseDPDF=Y")</f>
        <v>—</v>
      </c>
      <c r="H13" s="20" t="str">
        <f>_xll.BDH("BLUE US Equity","CASH_CONVERSION_CYCLE","FQ1 2020","FQ1 2020","Currency=USD","Period=FQ","BEST_FPERIOD_OVERRIDE=FQ","FILING_STATUS=MR","FA_ADJUSTED=GAAP","Sort=A","Dates=H","DateFormat=P","Fill=—","Direction=H","UseDPDF=Y")</f>
        <v>—</v>
      </c>
      <c r="I13" s="20" t="str">
        <f>_xll.BDH("BLUE US Equity","CASH_CONVERSION_CYCLE","FQ2 2020","FQ2 2020","Currency=USD","Period=FQ","BEST_FPERIOD_OVERRIDE=FQ","FILING_STATUS=MR","FA_ADJUSTED=GAAP","Sort=A","Dates=H","DateFormat=P","Fill=—","Direction=H","UseDPDF=Y")</f>
        <v>—</v>
      </c>
      <c r="J13" s="20" t="str">
        <f>_xll.BDH("BLUE US Equity","CASH_CONVERSION_CYCLE","FQ3 2020","FQ3 2020","Currency=USD","Period=FQ","BEST_FPERIOD_OVERRIDE=FQ","FILING_STATUS=MR","FA_ADJUSTED=GAAP","Sort=A","Dates=H","DateFormat=P","Fill=—","Direction=H","UseDPDF=Y")</f>
        <v>—</v>
      </c>
      <c r="K13" s="20" t="str">
        <f>_xll.BDH("BLUE US Equity","CASH_CONVERSION_CYCLE","FQ4 2020","FQ4 2020","Currency=USD","Period=FQ","BEST_FPERIOD_OVERRIDE=FQ","FILING_STATUS=MR","FA_ADJUSTED=GAAP","Sort=A","Dates=H","DateFormat=P","Fill=—","Direction=H","UseDPDF=Y")</f>
        <v>—</v>
      </c>
      <c r="L13" s="20" t="str">
        <f>_xll.BDH("BLUE US Equity","CASH_CONVERSION_CYCLE","FQ1 2021","FQ1 2021","Currency=USD","Period=FQ","BEST_FPERIOD_OVERRIDE=FQ","FILING_STATUS=MR","FA_ADJUSTED=GAAP","Sort=A","Dates=H","DateFormat=P","Fill=—","Direction=H","UseDPDF=Y")</f>
        <v>—</v>
      </c>
      <c r="M13" s="20" t="str">
        <f>_xll.BDH("BLUE US Equity","CASH_CONVERSION_CYCLE","FQ2 2021","FQ2 2021","Currency=USD","Period=FQ","BEST_FPERIOD_OVERRIDE=FQ","FILING_STATUS=MR","FA_ADJUSTED=GAAP","Sort=A","Dates=H","DateFormat=P","Fill=—","Direction=H","UseDPDF=Y")</f>
        <v>—</v>
      </c>
      <c r="N13" s="20" t="str">
        <f>_xll.BDH("BLUE US Equity","CASH_CONVERSION_CYCLE","FQ3 2021","FQ3 2021","Currency=USD","Period=FQ","BEST_FPERIOD_OVERRIDE=FQ","FILING_STATUS=MR","FA_ADJUSTED=GAAP","Sort=A","Dates=H","DateFormat=P","Fill=—","Direction=H","UseDPDF=Y")</f>
        <v>—</v>
      </c>
      <c r="O13" s="20" t="str">
        <f>_xll.BDH("BLUE US Equity","CASH_CONVERSION_CYCLE","FQ4 2021","FQ4 2021","Currency=USD","Period=FQ","BEST_FPERIOD_OVERRIDE=FQ","FILING_STATUS=MR","FA_ADJUSTED=GAAP","Sort=A","Dates=H","DateFormat=P","Fill=—","Direction=H","UseDPDF=Y")</f>
        <v>—</v>
      </c>
      <c r="P13" s="20" t="str">
        <f>_xll.BDH("BLUE US Equity","CASH_CONVERSION_CYCLE","FQ1 2022","FQ1 2022","Currency=USD","Period=FQ","BEST_FPERIOD_OVERRIDE=FQ","FILING_STATUS=MR","FA_ADJUSTED=GAAP","Sort=A","Dates=H","DateFormat=P","Fill=—","Direction=H","UseDPDF=Y")</f>
        <v>—</v>
      </c>
      <c r="Q13" s="20" t="str">
        <f>_xll.BDH("BLUE US Equity","CASH_CONVERSION_CYCLE","FQ2 2022","FQ2 2022","Currency=USD","Period=FQ","BEST_FPERIOD_OVERRIDE=FQ","FILING_STATUS=MR","FA_ADJUSTED=GAAP","Sort=A","Dates=H","DateFormat=P","Fill=—","Direction=H","UseDPDF=Y")</f>
        <v>—</v>
      </c>
      <c r="R13" s="20" t="str">
        <f>_xll.BDH("BLUE US Equity","CASH_CONVERSION_CYCLE","FQ3 2022","FQ3 2022","Currency=USD","Period=FQ","BEST_FPERIOD_OVERRIDE=FQ","FILING_STATUS=MR","FA_ADJUSTED=GAAP","Sort=A","Dates=H","DateFormat=P","Fill=—","Direction=H","UseDPDF=Y")</f>
        <v>—</v>
      </c>
      <c r="S13" s="20" t="str">
        <f>_xll.BDH("BLUE US Equity","CASH_CONVERSION_CYCLE","FQ4 2022","FQ4 2022","Currency=USD","Period=FQ","BEST_FPERIOD_OVERRIDE=FQ","FILING_STATUS=MR","FA_ADJUSTED=GAAP","Sort=A","Dates=H","DateFormat=P","Fill=—","Direction=H","UseDPDF=Y")</f>
        <v>—</v>
      </c>
      <c r="T13" s="20" t="str">
        <f>_xll.BDH("BLUE US Equity","CASH_CONVERSION_CYCLE","FQ1 2023","FQ1 2023","Currency=USD","Period=FQ","BEST_FPERIOD_OVERRIDE=FQ","FILING_STATUS=MR","FA_ADJUSTED=GAAP","Sort=A","Dates=H","DateFormat=P","Fill=—","Direction=H","UseDPDF=Y")</f>
        <v>—</v>
      </c>
      <c r="U13" s="20" t="str">
        <f>_xll.BDH("BLUE US Equity","CASH_CONVERSION_CYCLE","FQ2 2023","FQ2 2023","Currency=USD","Period=FQ","BEST_FPERIOD_OVERRIDE=FQ","FILING_STATUS=MR","FA_ADJUSTED=GAAP","Sort=A","Dates=H","DateFormat=P","Fill=—","Direction=H","UseDPDF=Y")</f>
        <v>—</v>
      </c>
      <c r="V13" s="20">
        <f>_xll.BDH("BLUE US Equity","CASH_CONVERSION_CYCLE","FQ3 2023","FQ3 2023","Currency=USD","Period=FQ","BEST_FPERIOD_OVERRIDE=FQ","FILING_STATUS=MR","FA_ADJUSTED=GAAP","Sort=A","Dates=H","DateFormat=P","Fill=—","Direction=H","UseDPDF=Y")</f>
        <v>206.50399999999999</v>
      </c>
      <c r="W13" s="20" t="str">
        <f>_xll.BDH("BLUE US Equity","CASH_CONVERSION_CYCLE","FQ4 2023","FQ4 2023","Currency=USD","Period=FQ","BEST_FPERIOD_OVERRIDE=FQ","FILING_STATUS=MR","FA_ADJUSTED=GAAP","Sort=A","Dates=H","DateFormat=P","Fill=—","Direction=H","UseDPDF=Y")</f>
        <v>—</v>
      </c>
      <c r="X13" s="20" t="str">
        <f>_xll.BDH("BLUE US Equity","CASH_CONVERSION_CYCLE","FQ1 2024","FQ1 2024","Currency=USD","Period=FQ","BEST_FPERIOD_OVERRIDE=FQ","FILING_STATUS=MR","FA_ADJUSTED=GAAP","Sort=A","Dates=H","DateFormat=P","Fill=—","Direction=H","UseDPDF=Y")</f>
        <v>—</v>
      </c>
      <c r="Y13" s="20" t="str">
        <f>_xll.BDH("BLUE US Equity","CASH_CONVERSION_CYCLE","FQ2 2024","FQ2 2024","Currency=USD","Period=FQ","BEST_FPERIOD_OVERRIDE=FQ","FILING_STATUS=MR","FA_ADJUSTED=GAAP","Sort=A","Dates=H","DateFormat=P","Fill=—","Direction=H","UseDPDF=Y")</f>
        <v>—</v>
      </c>
      <c r="Z13" s="20">
        <f>_xll.BDH("BLUE US Equity","CASH_CONVERSION_CYCLE","FQ3 2024","FQ3 2024","Currency=USD","Period=FQ","BEST_FPERIOD_OVERRIDE=FQ","FILING_STATUS=MR","FA_ADJUSTED=GAAP","Sort=A","Dates=H","DateFormat=P","Fill=—","Direction=H","UseDPDF=Y")</f>
        <v>184.79490000000001</v>
      </c>
      <c r="AA13" s="20" t="str">
        <f>_xll.BDH("BLUE US Equity","CASH_CONVERSION_CYCLE","FQ4 2024","FQ4 2024","Currency=USD","Period=FQ","BEST_FPERIOD_OVERRIDE=FQ","FILING_STATUS=MR","FA_ADJUSTED=GAAP","Sort=A","Dates=H","DateFormat=P","Fill=—","Direction=H","UseDPDF=Y")</f>
        <v>—</v>
      </c>
    </row>
    <row r="14" spans="1:27" x14ac:dyDescent="0.25">
      <c r="A14" s="6" t="s">
        <v>1410</v>
      </c>
      <c r="B14" s="6" t="s">
        <v>1411</v>
      </c>
      <c r="C14" s="20" t="str">
        <f>_xll.BDH("BLUE US Equity","INV_TO_CASH_DAYS","FQ4 2018","FQ4 2018","Currency=USD","Period=FQ","BEST_FPERIOD_OVERRIDE=FQ","FILING_STATUS=MR","FA_ADJUSTED=GAAP","Sort=A","Dates=H","DateFormat=P","Fill=—","Direction=H","UseDPDF=Y")</f>
        <v>—</v>
      </c>
      <c r="D14" s="20" t="str">
        <f>_xll.BDH("BLUE US Equity","INV_TO_CASH_DAYS","FQ1 2019","FQ1 2019","Currency=USD","Period=FQ","BEST_FPERIOD_OVERRIDE=FQ","FILING_STATUS=MR","FA_ADJUSTED=GAAP","Sort=A","Dates=H","DateFormat=P","Fill=—","Direction=H","UseDPDF=Y")</f>
        <v>—</v>
      </c>
      <c r="E14" s="20" t="str">
        <f>_xll.BDH("BLUE US Equity","INV_TO_CASH_DAYS","FQ2 2019","FQ2 2019","Currency=USD","Period=FQ","BEST_FPERIOD_OVERRIDE=FQ","FILING_STATUS=MR","FA_ADJUSTED=GAAP","Sort=A","Dates=H","DateFormat=P","Fill=—","Direction=H","UseDPDF=Y")</f>
        <v>—</v>
      </c>
      <c r="F14" s="20" t="str">
        <f>_xll.BDH("BLUE US Equity","INV_TO_CASH_DAYS","FQ3 2019","FQ3 2019","Currency=USD","Period=FQ","BEST_FPERIOD_OVERRIDE=FQ","FILING_STATUS=MR","FA_ADJUSTED=GAAP","Sort=A","Dates=H","DateFormat=P","Fill=—","Direction=H","UseDPDF=Y")</f>
        <v>—</v>
      </c>
      <c r="G14" s="20" t="str">
        <f>_xll.BDH("BLUE US Equity","INV_TO_CASH_DAYS","FQ4 2019","FQ4 2019","Currency=USD","Period=FQ","BEST_FPERIOD_OVERRIDE=FQ","FILING_STATUS=MR","FA_ADJUSTED=GAAP","Sort=A","Dates=H","DateFormat=P","Fill=—","Direction=H","UseDPDF=Y")</f>
        <v>—</v>
      </c>
      <c r="H14" s="20" t="str">
        <f>_xll.BDH("BLUE US Equity","INV_TO_CASH_DAYS","FQ1 2020","FQ1 2020","Currency=USD","Period=FQ","BEST_FPERIOD_OVERRIDE=FQ","FILING_STATUS=MR","FA_ADJUSTED=GAAP","Sort=A","Dates=H","DateFormat=P","Fill=—","Direction=H","UseDPDF=Y")</f>
        <v>—</v>
      </c>
      <c r="I14" s="20" t="str">
        <f>_xll.BDH("BLUE US Equity","INV_TO_CASH_DAYS","FQ2 2020","FQ2 2020","Currency=USD","Period=FQ","BEST_FPERIOD_OVERRIDE=FQ","FILING_STATUS=MR","FA_ADJUSTED=GAAP","Sort=A","Dates=H","DateFormat=P","Fill=—","Direction=H","UseDPDF=Y")</f>
        <v>—</v>
      </c>
      <c r="J14" s="20" t="str">
        <f>_xll.BDH("BLUE US Equity","INV_TO_CASH_DAYS","FQ3 2020","FQ3 2020","Currency=USD","Period=FQ","BEST_FPERIOD_OVERRIDE=FQ","FILING_STATUS=MR","FA_ADJUSTED=GAAP","Sort=A","Dates=H","DateFormat=P","Fill=—","Direction=H","UseDPDF=Y")</f>
        <v>—</v>
      </c>
      <c r="K14" s="20" t="str">
        <f>_xll.BDH("BLUE US Equity","INV_TO_CASH_DAYS","FQ4 2020","FQ4 2020","Currency=USD","Period=FQ","BEST_FPERIOD_OVERRIDE=FQ","FILING_STATUS=MR","FA_ADJUSTED=GAAP","Sort=A","Dates=H","DateFormat=P","Fill=—","Direction=H","UseDPDF=Y")</f>
        <v>—</v>
      </c>
      <c r="L14" s="20" t="str">
        <f>_xll.BDH("BLUE US Equity","INV_TO_CASH_DAYS","FQ1 2021","FQ1 2021","Currency=USD","Period=FQ","BEST_FPERIOD_OVERRIDE=FQ","FILING_STATUS=MR","FA_ADJUSTED=GAAP","Sort=A","Dates=H","DateFormat=P","Fill=—","Direction=H","UseDPDF=Y")</f>
        <v>—</v>
      </c>
      <c r="M14" s="20" t="str">
        <f>_xll.BDH("BLUE US Equity","INV_TO_CASH_DAYS","FQ2 2021","FQ2 2021","Currency=USD","Period=FQ","BEST_FPERIOD_OVERRIDE=FQ","FILING_STATUS=MR","FA_ADJUSTED=GAAP","Sort=A","Dates=H","DateFormat=P","Fill=—","Direction=H","UseDPDF=Y")</f>
        <v>—</v>
      </c>
      <c r="N14" s="20" t="str">
        <f>_xll.BDH("BLUE US Equity","INV_TO_CASH_DAYS","FQ3 2021","FQ3 2021","Currency=USD","Period=FQ","BEST_FPERIOD_OVERRIDE=FQ","FILING_STATUS=MR","FA_ADJUSTED=GAAP","Sort=A","Dates=H","DateFormat=P","Fill=—","Direction=H","UseDPDF=Y")</f>
        <v>—</v>
      </c>
      <c r="O14" s="20" t="str">
        <f>_xll.BDH("BLUE US Equity","INV_TO_CASH_DAYS","FQ4 2021","FQ4 2021","Currency=USD","Period=FQ","BEST_FPERIOD_OVERRIDE=FQ","FILING_STATUS=MR","FA_ADJUSTED=GAAP","Sort=A","Dates=H","DateFormat=P","Fill=—","Direction=H","UseDPDF=Y")</f>
        <v>—</v>
      </c>
      <c r="P14" s="20" t="str">
        <f>_xll.BDH("BLUE US Equity","INV_TO_CASH_DAYS","FQ1 2022","FQ1 2022","Currency=USD","Period=FQ","BEST_FPERIOD_OVERRIDE=FQ","FILING_STATUS=MR","FA_ADJUSTED=GAAP","Sort=A","Dates=H","DateFormat=P","Fill=—","Direction=H","UseDPDF=Y")</f>
        <v>—</v>
      </c>
      <c r="Q14" s="20" t="str">
        <f>_xll.BDH("BLUE US Equity","INV_TO_CASH_DAYS","FQ2 2022","FQ2 2022","Currency=USD","Period=FQ","BEST_FPERIOD_OVERRIDE=FQ","FILING_STATUS=MR","FA_ADJUSTED=GAAP","Sort=A","Dates=H","DateFormat=P","Fill=—","Direction=H","UseDPDF=Y")</f>
        <v>—</v>
      </c>
      <c r="R14" s="20" t="str">
        <f>_xll.BDH("BLUE US Equity","INV_TO_CASH_DAYS","FQ3 2022","FQ3 2022","Currency=USD","Period=FQ","BEST_FPERIOD_OVERRIDE=FQ","FILING_STATUS=MR","FA_ADJUSTED=GAAP","Sort=A","Dates=H","DateFormat=P","Fill=—","Direction=H","UseDPDF=Y")</f>
        <v>—</v>
      </c>
      <c r="S14" s="20" t="str">
        <f>_xll.BDH("BLUE US Equity","INV_TO_CASH_DAYS","FQ4 2022","FQ4 2022","Currency=USD","Period=FQ","BEST_FPERIOD_OVERRIDE=FQ","FILING_STATUS=MR","FA_ADJUSTED=GAAP","Sort=A","Dates=H","DateFormat=P","Fill=—","Direction=H","UseDPDF=Y")</f>
        <v>—</v>
      </c>
      <c r="T14" s="20" t="str">
        <f>_xll.BDH("BLUE US Equity","INV_TO_CASH_DAYS","FQ1 2023","FQ1 2023","Currency=USD","Period=FQ","BEST_FPERIOD_OVERRIDE=FQ","FILING_STATUS=MR","FA_ADJUSTED=GAAP","Sort=A","Dates=H","DateFormat=P","Fill=—","Direction=H","UseDPDF=Y")</f>
        <v>—</v>
      </c>
      <c r="U14" s="20" t="str">
        <f>_xll.BDH("BLUE US Equity","INV_TO_CASH_DAYS","FQ2 2023","FQ2 2023","Currency=USD","Period=FQ","BEST_FPERIOD_OVERRIDE=FQ","FILING_STATUS=MR","FA_ADJUSTED=GAAP","Sort=A","Dates=H","DateFormat=P","Fill=—","Direction=H","UseDPDF=Y")</f>
        <v>—</v>
      </c>
      <c r="V14" s="20">
        <f>_xll.BDH("BLUE US Equity","INV_TO_CASH_DAYS","FQ3 2023","FQ3 2023","Currency=USD","Period=FQ","BEST_FPERIOD_OVERRIDE=FQ","FILING_STATUS=MR","FA_ADJUSTED=GAAP","Sort=A","Dates=H","DateFormat=P","Fill=—","Direction=H","UseDPDF=Y")</f>
        <v>372.39499999999998</v>
      </c>
      <c r="W14" s="20" t="str">
        <f>_xll.BDH("BLUE US Equity","INV_TO_CASH_DAYS","FQ4 2023","FQ4 2023","Currency=USD","Period=FQ","BEST_FPERIOD_OVERRIDE=FQ","FILING_STATUS=MR","FA_ADJUSTED=GAAP","Sort=A","Dates=H","DateFormat=P","Fill=—","Direction=H","UseDPDF=Y")</f>
        <v>—</v>
      </c>
      <c r="X14" s="20" t="str">
        <f>_xll.BDH("BLUE US Equity","INV_TO_CASH_DAYS","FQ1 2024","FQ1 2024","Currency=USD","Period=FQ","BEST_FPERIOD_OVERRIDE=FQ","FILING_STATUS=MR","FA_ADJUSTED=GAAP","Sort=A","Dates=H","DateFormat=P","Fill=—","Direction=H","UseDPDF=Y")</f>
        <v>—</v>
      </c>
      <c r="Y14" s="20" t="str">
        <f>_xll.BDH("BLUE US Equity","INV_TO_CASH_DAYS","FQ2 2024","FQ2 2024","Currency=USD","Period=FQ","BEST_FPERIOD_OVERRIDE=FQ","FILING_STATUS=MR","FA_ADJUSTED=GAAP","Sort=A","Dates=H","DateFormat=P","Fill=—","Direction=H","UseDPDF=Y")</f>
        <v>—</v>
      </c>
      <c r="Z14" s="20">
        <f>_xll.BDH("BLUE US Equity","INV_TO_CASH_DAYS","FQ3 2024","FQ3 2024","Currency=USD","Period=FQ","BEST_FPERIOD_OVERRIDE=FQ","FILING_STATUS=MR","FA_ADJUSTED=GAAP","Sort=A","Dates=H","DateFormat=P","Fill=—","Direction=H","UseDPDF=Y")</f>
        <v>259.09059999999999</v>
      </c>
      <c r="AA14" s="20" t="str">
        <f>_xll.BDH("BLUE US Equity","INV_TO_CASH_DAYS","FQ4 2024","FQ4 2024","Currency=USD","Period=FQ","BEST_FPERIOD_OVERRIDE=FQ","FILING_STATUS=MR","FA_ADJUSTED=GAAP","Sort=A","Dates=H","DateFormat=P","Fill=—","Direction=H","UseDPDF=Y")</f>
        <v>—</v>
      </c>
    </row>
    <row r="15" spans="1:27" x14ac:dyDescent="0.25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6" t="s">
        <v>1412</v>
      </c>
      <c r="B16" s="6" t="s">
        <v>607</v>
      </c>
      <c r="C16" s="19">
        <f>_xll.BDH("BLUE US Equity","BS_INVENTORIES","FQ4 2018","FQ4 2018","Currency=USD","Period=FQ","BEST_FPERIOD_OVERRIDE=FQ","FILING_STATUS=MR","SCALING_FORMAT=MLN","Sort=A","Dates=H","DateFormat=P","Fill=—","Direction=H","UseDPDF=Y")</f>
        <v>0</v>
      </c>
      <c r="D16" s="19">
        <f>_xll.BDH("BLUE US Equity","BS_INVENTORIES","FQ1 2019","FQ1 2019","Currency=USD","Period=FQ","BEST_FPERIOD_OVERRIDE=FQ","FILING_STATUS=MR","SCALING_FORMAT=MLN","Sort=A","Dates=H","DateFormat=P","Fill=—","Direction=H","UseDPDF=Y")</f>
        <v>0</v>
      </c>
      <c r="E16" s="19">
        <f>_xll.BDH("BLUE US Equity","BS_INVENTORIES","FQ2 2019","FQ2 2019","Currency=USD","Period=FQ","BEST_FPERIOD_OVERRIDE=FQ","FILING_STATUS=MR","SCALING_FORMAT=MLN","Sort=A","Dates=H","DateFormat=P","Fill=—","Direction=H","UseDPDF=Y")</f>
        <v>0</v>
      </c>
      <c r="F16" s="19">
        <f>_xll.BDH("BLUE US Equity","BS_INVENTORIES","FQ3 2019","FQ3 2019","Currency=USD","Period=FQ","BEST_FPERIOD_OVERRIDE=FQ","FILING_STATUS=MR","SCALING_FORMAT=MLN","Sort=A","Dates=H","DateFormat=P","Fill=—","Direction=H","UseDPDF=Y")</f>
        <v>0</v>
      </c>
      <c r="G16" s="19">
        <f>_xll.BDH("BLUE US Equity","BS_INVENTORIES","FQ4 2019","FQ4 2019","Currency=USD","Period=FQ","BEST_FPERIOD_OVERRIDE=FQ","FILING_STATUS=MR","SCALING_FORMAT=MLN","Sort=A","Dates=H","DateFormat=P","Fill=—","Direction=H","UseDPDF=Y")</f>
        <v>0</v>
      </c>
      <c r="H16" s="19">
        <f>_xll.BDH("BLUE US Equity","BS_INVENTORIES","FQ1 2020","FQ1 2020","Currency=USD","Period=FQ","BEST_FPERIOD_OVERRIDE=FQ","FILING_STATUS=MR","SCALING_FORMAT=MLN","Sort=A","Dates=H","DateFormat=P","Fill=—","Direction=H","UseDPDF=Y")</f>
        <v>0</v>
      </c>
      <c r="I16" s="19">
        <f>_xll.BDH("BLUE US Equity","BS_INVENTORIES","FQ2 2020","FQ2 2020","Currency=USD","Period=FQ","BEST_FPERIOD_OVERRIDE=FQ","FILING_STATUS=MR","SCALING_FORMAT=MLN","Sort=A","Dates=H","DateFormat=P","Fill=—","Direction=H","UseDPDF=Y")</f>
        <v>0</v>
      </c>
      <c r="J16" s="19">
        <f>_xll.BDH("BLUE US Equity","BS_INVENTORIES","FQ3 2020","FQ3 2020","Currency=USD","Period=FQ","BEST_FPERIOD_OVERRIDE=FQ","FILING_STATUS=MR","SCALING_FORMAT=MLN","Sort=A","Dates=H","DateFormat=P","Fill=—","Direction=H","UseDPDF=Y")</f>
        <v>0</v>
      </c>
      <c r="K16" s="19">
        <f>_xll.BDH("BLUE US Equity","BS_INVENTORIES","FQ4 2020","FQ4 2020","Currency=USD","Period=FQ","BEST_FPERIOD_OVERRIDE=FQ","FILING_STATUS=MR","SCALING_FORMAT=MLN","Sort=A","Dates=H","DateFormat=P","Fill=—","Direction=H","UseDPDF=Y")</f>
        <v>10.698</v>
      </c>
      <c r="L16" s="19">
        <f>_xll.BDH("BLUE US Equity","BS_INVENTORIES","FQ1 2021","FQ1 2021","Currency=USD","Period=FQ","BEST_FPERIOD_OVERRIDE=FQ","FILING_STATUS=MR","SCALING_FORMAT=MLN","Sort=A","Dates=H","DateFormat=P","Fill=—","Direction=H","UseDPDF=Y")</f>
        <v>18.079000000000001</v>
      </c>
      <c r="M16" s="19">
        <f>_xll.BDH("BLUE US Equity","BS_INVENTORIES","FQ2 2021","FQ2 2021","Currency=USD","Period=FQ","BEST_FPERIOD_OVERRIDE=FQ","FILING_STATUS=MR","SCALING_FORMAT=MLN","Sort=A","Dates=H","DateFormat=P","Fill=—","Direction=H","UseDPDF=Y")</f>
        <v>13.502000000000001</v>
      </c>
      <c r="N16" s="19">
        <f>_xll.BDH("BLUE US Equity","BS_INVENTORIES","FQ3 2021","FQ3 2021","Currency=USD","Period=FQ","BEST_FPERIOD_OVERRIDE=FQ","FILING_STATUS=MR","SCALING_FORMAT=MLN","Sort=A","Dates=H","DateFormat=P","Fill=—","Direction=H","UseDPDF=Y")</f>
        <v>0.76600000000000001</v>
      </c>
      <c r="O16" s="19">
        <f>_xll.BDH("BLUE US Equity","BS_INVENTORIES","FQ4 2021","FQ4 2021","Currency=USD","Period=FQ","BEST_FPERIOD_OVERRIDE=FQ","FILING_STATUS=MR","SCALING_FORMAT=MLN","Sort=A","Dates=H","DateFormat=P","Fill=—","Direction=H","UseDPDF=Y")</f>
        <v>0</v>
      </c>
      <c r="P16" s="19">
        <f>_xll.BDH("BLUE US Equity","BS_INVENTORIES","FQ1 2022","FQ1 2022","Currency=USD","Period=FQ","BEST_FPERIOD_OVERRIDE=FQ","FILING_STATUS=MR","SCALING_FORMAT=MLN","Sort=A","Dates=H","DateFormat=P","Fill=—","Direction=H","UseDPDF=Y")</f>
        <v>0</v>
      </c>
      <c r="Q16" s="19">
        <f>_xll.BDH("BLUE US Equity","BS_INVENTORIES","FQ2 2022","FQ2 2022","Currency=USD","Period=FQ","BEST_FPERIOD_OVERRIDE=FQ","FILING_STATUS=MR","SCALING_FORMAT=MLN","Sort=A","Dates=H","DateFormat=P","Fill=—","Direction=H","UseDPDF=Y")</f>
        <v>0</v>
      </c>
      <c r="R16" s="19">
        <f>_xll.BDH("BLUE US Equity","BS_INVENTORIES","FQ3 2022","FQ3 2022","Currency=USD","Period=FQ","BEST_FPERIOD_OVERRIDE=FQ","FILING_STATUS=MR","SCALING_FORMAT=MLN","Sort=A","Dates=H","DateFormat=P","Fill=—","Direction=H","UseDPDF=Y")</f>
        <v>0</v>
      </c>
      <c r="S16" s="19">
        <f>_xll.BDH("BLUE US Equity","BS_INVENTORIES","FQ4 2022","FQ4 2022","Currency=USD","Period=FQ","BEST_FPERIOD_OVERRIDE=FQ","FILING_STATUS=MR","SCALING_FORMAT=MLN","Sort=A","Dates=H","DateFormat=P","Fill=—","Direction=H","UseDPDF=Y")</f>
        <v>0</v>
      </c>
      <c r="T16" s="19">
        <f>_xll.BDH("BLUE US Equity","BS_INVENTORIES","FQ1 2023","FQ1 2023","Currency=USD","Period=FQ","BEST_FPERIOD_OVERRIDE=FQ","FILING_STATUS=MR","SCALING_FORMAT=MLN","Sort=A","Dates=H","DateFormat=P","Fill=—","Direction=H","UseDPDF=Y")</f>
        <v>3.8090000000000002</v>
      </c>
      <c r="U16" s="19">
        <f>_xll.BDH("BLUE US Equity","BS_INVENTORIES","FQ2 2023","FQ2 2023","Currency=USD","Period=FQ","BEST_FPERIOD_OVERRIDE=FQ","FILING_STATUS=MR","SCALING_FORMAT=MLN","Sort=A","Dates=H","DateFormat=P","Fill=—","Direction=H","UseDPDF=Y")</f>
        <v>13.641999999999999</v>
      </c>
      <c r="V16" s="19">
        <f>_xll.BDH("BLUE US Equity","BS_INVENTORIES","FQ3 2023","FQ3 2023","Currency=USD","Period=FQ","BEST_FPERIOD_OVERRIDE=FQ","FILING_STATUS=MR","SCALING_FORMAT=MLN","Sort=A","Dates=H","DateFormat=P","Fill=—","Direction=H","UseDPDF=Y")</f>
        <v>20.969000000000001</v>
      </c>
      <c r="W16" s="19">
        <f>_xll.BDH("BLUE US Equity","BS_INVENTORIES","FQ4 2023","FQ4 2023","Currency=USD","Period=FQ","BEST_FPERIOD_OVERRIDE=FQ","FILING_STATUS=MR","SCALING_FORMAT=MLN","Sort=A","Dates=H","DateFormat=P","Fill=—","Direction=H","UseDPDF=Y")</f>
        <v>22.919</v>
      </c>
      <c r="X16" s="19">
        <f>_xll.BDH("BLUE US Equity","BS_INVENTORIES","FQ1 2024","FQ1 2024","Currency=USD","Period=FQ","BEST_FPERIOD_OVERRIDE=FQ","FILING_STATUS=MR","SCALING_FORMAT=MLN","Sort=A","Dates=H","DateFormat=P","Fill=—","Direction=H","UseDPDF=Y")</f>
        <v>30.305</v>
      </c>
      <c r="Y16" s="19">
        <f>_xll.BDH("BLUE US Equity","BS_INVENTORIES","FQ2 2024","FQ2 2024","Currency=USD","Period=FQ","BEST_FPERIOD_OVERRIDE=FQ","FILING_STATUS=MR","SCALING_FORMAT=MLN","Sort=A","Dates=H","DateFormat=P","Fill=—","Direction=H","UseDPDF=Y")</f>
        <v>33.33</v>
      </c>
      <c r="Z16" s="19">
        <f>_xll.BDH("BLUE US Equity","BS_INVENTORIES","FQ3 2024","FQ3 2024","Currency=USD","Period=FQ","BEST_FPERIOD_OVERRIDE=FQ","FILING_STATUS=MR","SCALING_FORMAT=MLN","Sort=A","Dates=H","DateFormat=P","Fill=—","Direction=H","UseDPDF=Y")</f>
        <v>53.944000000000003</v>
      </c>
      <c r="AA16" s="19">
        <f>_xll.BDH("BLUE US Equity","BS_INVENTORIES","FQ4 2024","FQ4 2024","Currency=USD","Period=FQ","BEST_FPERIOD_OVERRIDE=FQ","FILING_STATUS=MR","SCALING_FORMAT=MLN","Sort=A","Dates=H","DateFormat=P","Fill=—","Direction=H","UseDPDF=Y")</f>
        <v>65.016999999999996</v>
      </c>
    </row>
    <row r="17" spans="1:27" x14ac:dyDescent="0.25">
      <c r="A17" s="10" t="s">
        <v>1413</v>
      </c>
      <c r="B17" s="10" t="s">
        <v>609</v>
      </c>
      <c r="C17" s="13">
        <f>_xll.BDH("BLUE US Equity","INVTRY_RAW_MATERIALS","FQ4 2018","FQ4 2018","Currency=USD","Period=FQ","BEST_FPERIOD_OVERRIDE=FQ","FILING_STATUS=MR","SCALING_FORMAT=MLN","Sort=A","Dates=H","DateFormat=P","Fill=—","Direction=H","UseDPDF=Y")</f>
        <v>0</v>
      </c>
      <c r="D17" s="13">
        <f>_xll.BDH("BLUE US Equity","INVTRY_RAW_MATERIALS","FQ1 2019","FQ1 2019","Currency=USD","Period=FQ","BEST_FPERIOD_OVERRIDE=FQ","FILING_STATUS=MR","SCALING_FORMAT=MLN","Sort=A","Dates=H","DateFormat=P","Fill=—","Direction=H","UseDPDF=Y")</f>
        <v>0</v>
      </c>
      <c r="E17" s="13">
        <f>_xll.BDH("BLUE US Equity","INVTRY_RAW_MATERIALS","FQ2 2019","FQ2 2019","Currency=USD","Period=FQ","BEST_FPERIOD_OVERRIDE=FQ","FILING_STATUS=MR","SCALING_FORMAT=MLN","Sort=A","Dates=H","DateFormat=P","Fill=—","Direction=H","UseDPDF=Y")</f>
        <v>0</v>
      </c>
      <c r="F17" s="13">
        <f>_xll.BDH("BLUE US Equity","INVTRY_RAW_MATERIALS","FQ3 2019","FQ3 2019","Currency=USD","Period=FQ","BEST_FPERIOD_OVERRIDE=FQ","FILING_STATUS=MR","SCALING_FORMAT=MLN","Sort=A","Dates=H","DateFormat=P","Fill=—","Direction=H","UseDPDF=Y")</f>
        <v>0</v>
      </c>
      <c r="G17" s="13">
        <f>_xll.BDH("BLUE US Equity","INVTRY_RAW_MATERIALS","FQ4 2019","FQ4 2019","Currency=USD","Period=FQ","BEST_FPERIOD_OVERRIDE=FQ","FILING_STATUS=MR","SCALING_FORMAT=MLN","Sort=A","Dates=H","DateFormat=P","Fill=—","Direction=H","UseDPDF=Y")</f>
        <v>0</v>
      </c>
      <c r="H17" s="13">
        <f>_xll.BDH("BLUE US Equity","INVTRY_RAW_MATERIALS","FQ1 2020","FQ1 2020","Currency=USD","Period=FQ","BEST_FPERIOD_OVERRIDE=FQ","FILING_STATUS=MR","SCALING_FORMAT=MLN","Sort=A","Dates=H","DateFormat=P","Fill=—","Direction=H","UseDPDF=Y")</f>
        <v>0</v>
      </c>
      <c r="I17" s="13">
        <f>_xll.BDH("BLUE US Equity","INVTRY_RAW_MATERIALS","FQ2 2020","FQ2 2020","Currency=USD","Period=FQ","BEST_FPERIOD_OVERRIDE=FQ","FILING_STATUS=MR","SCALING_FORMAT=MLN","Sort=A","Dates=H","DateFormat=P","Fill=—","Direction=H","UseDPDF=Y")</f>
        <v>0</v>
      </c>
      <c r="J17" s="13">
        <f>_xll.BDH("BLUE US Equity","INVTRY_RAW_MATERIALS","FQ3 2020","FQ3 2020","Currency=USD","Period=FQ","BEST_FPERIOD_OVERRIDE=FQ","FILING_STATUS=MR","SCALING_FORMAT=MLN","Sort=A","Dates=H","DateFormat=P","Fill=—","Direction=H","UseDPDF=Y")</f>
        <v>0</v>
      </c>
      <c r="K17" s="13">
        <f>_xll.BDH("BLUE US Equity","INVTRY_RAW_MATERIALS","FQ4 2020","FQ4 2020","Currency=USD","Period=FQ","BEST_FPERIOD_OVERRIDE=FQ","FILING_STATUS=MR","SCALING_FORMAT=MLN","Sort=A","Dates=H","DateFormat=P","Fill=—","Direction=H","UseDPDF=Y")</f>
        <v>8.9670000000000005</v>
      </c>
      <c r="L17" s="13">
        <f>_xll.BDH("BLUE US Equity","INVTRY_RAW_MATERIALS","FQ1 2021","FQ1 2021","Currency=USD","Period=FQ","BEST_FPERIOD_OVERRIDE=FQ","FILING_STATUS=MR","SCALING_FORMAT=MLN","Sort=A","Dates=H","DateFormat=P","Fill=—","Direction=H","UseDPDF=Y")</f>
        <v>16.891999999999999</v>
      </c>
      <c r="M17" s="13" t="str">
        <f>_xll.BDH("BLUE US Equity","INVTRY_RAW_MATERIALS","FQ2 2021","FQ2 2021","Currency=USD","Period=FQ","BEST_FPERIOD_OVERRIDE=FQ","FILING_STATUS=MR","SCALING_FORMAT=MLN","Sort=A","Dates=H","DateFormat=P","Fill=—","Direction=H","UseDPDF=Y")</f>
        <v>—</v>
      </c>
      <c r="N17" s="13">
        <f>_xll.BDH("BLUE US Equity","INVTRY_RAW_MATERIALS","FQ3 2021","FQ3 2021","Currency=USD","Period=FQ","BEST_FPERIOD_OVERRIDE=FQ","FILING_STATUS=MR","SCALING_FORMAT=MLN","Sort=A","Dates=H","DateFormat=P","Fill=—","Direction=H","UseDPDF=Y")</f>
        <v>0</v>
      </c>
      <c r="O17" s="13">
        <f>_xll.BDH("BLUE US Equity","INVTRY_RAW_MATERIALS","FQ4 2021","FQ4 2021","Currency=USD","Period=FQ","BEST_FPERIOD_OVERRIDE=FQ","FILING_STATUS=MR","SCALING_FORMAT=MLN","Sort=A","Dates=H","DateFormat=P","Fill=—","Direction=H","UseDPDF=Y")</f>
        <v>0</v>
      </c>
      <c r="P17" s="13">
        <f>_xll.BDH("BLUE US Equity","INVTRY_RAW_MATERIALS","FQ1 2022","FQ1 2022","Currency=USD","Period=FQ","BEST_FPERIOD_OVERRIDE=FQ","FILING_STATUS=MR","SCALING_FORMAT=MLN","Sort=A","Dates=H","DateFormat=P","Fill=—","Direction=H","UseDPDF=Y")</f>
        <v>0</v>
      </c>
      <c r="Q17" s="13">
        <f>_xll.BDH("BLUE US Equity","INVTRY_RAW_MATERIALS","FQ2 2022","FQ2 2022","Currency=USD","Period=FQ","BEST_FPERIOD_OVERRIDE=FQ","FILING_STATUS=MR","SCALING_FORMAT=MLN","Sort=A","Dates=H","DateFormat=P","Fill=—","Direction=H","UseDPDF=Y")</f>
        <v>0</v>
      </c>
      <c r="R17" s="13">
        <f>_xll.BDH("BLUE US Equity","INVTRY_RAW_MATERIALS","FQ3 2022","FQ3 2022","Currency=USD","Period=FQ","BEST_FPERIOD_OVERRIDE=FQ","FILING_STATUS=MR","SCALING_FORMAT=MLN","Sort=A","Dates=H","DateFormat=P","Fill=—","Direction=H","UseDPDF=Y")</f>
        <v>0</v>
      </c>
      <c r="S17" s="13">
        <f>_xll.BDH("BLUE US Equity","INVTRY_RAW_MATERIALS","FQ4 2022","FQ4 2022","Currency=USD","Period=FQ","BEST_FPERIOD_OVERRIDE=FQ","FILING_STATUS=MR","SCALING_FORMAT=MLN","Sort=A","Dates=H","DateFormat=P","Fill=—","Direction=H","UseDPDF=Y")</f>
        <v>0</v>
      </c>
      <c r="T17" s="13" t="str">
        <f>_xll.BDH("BLUE US Equity","INVTRY_RAW_MATERIALS","FQ1 2023","FQ1 2023","Currency=USD","Period=FQ","BEST_FPERIOD_OVERRIDE=FQ","FILING_STATUS=MR","SCALING_FORMAT=MLN","Sort=A","Dates=H","DateFormat=P","Fill=—","Direction=H","UseDPDF=Y")</f>
        <v>—</v>
      </c>
      <c r="U17" s="13" t="str">
        <f>_xll.BDH("BLUE US Equity","INVTRY_RAW_MATERIALS","FQ2 2023","FQ2 2023","Currency=USD","Period=FQ","BEST_FPERIOD_OVERRIDE=FQ","FILING_STATUS=MR","SCALING_FORMAT=MLN","Sort=A","Dates=H","DateFormat=P","Fill=—","Direction=H","UseDPDF=Y")</f>
        <v>—</v>
      </c>
      <c r="V17" s="13" t="str">
        <f>_xll.BDH("BLUE US Equity","INVTRY_RAW_MATERIALS","FQ3 2023","FQ3 2023","Currency=USD","Period=FQ","BEST_FPERIOD_OVERRIDE=FQ","FILING_STATUS=MR","SCALING_FORMAT=MLN","Sort=A","Dates=H","DateFormat=P","Fill=—","Direction=H","UseDPDF=Y")</f>
        <v>—</v>
      </c>
      <c r="W17" s="13">
        <f>_xll.BDH("BLUE US Equity","INVTRY_RAW_MATERIALS","FQ4 2023","FQ4 2023","Currency=USD","Period=FQ","BEST_FPERIOD_OVERRIDE=FQ","FILING_STATUS=MR","SCALING_FORMAT=MLN","Sort=A","Dates=H","DateFormat=P","Fill=—","Direction=H","UseDPDF=Y")</f>
        <v>2.3290000000000002</v>
      </c>
      <c r="X17" s="13">
        <f>_xll.BDH("BLUE US Equity","INVTRY_RAW_MATERIALS","FQ1 2024","FQ1 2024","Currency=USD","Period=FQ","BEST_FPERIOD_OVERRIDE=FQ","FILING_STATUS=MR","SCALING_FORMAT=MLN","Sort=A","Dates=H","DateFormat=P","Fill=—","Direction=H","UseDPDF=Y")</f>
        <v>3.177</v>
      </c>
      <c r="Y17" s="13">
        <f>_xll.BDH("BLUE US Equity","INVTRY_RAW_MATERIALS","FQ2 2024","FQ2 2024","Currency=USD","Period=FQ","BEST_FPERIOD_OVERRIDE=FQ","FILING_STATUS=MR","SCALING_FORMAT=MLN","Sort=A","Dates=H","DateFormat=P","Fill=—","Direction=H","UseDPDF=Y")</f>
        <v>3.0920000000000001</v>
      </c>
      <c r="Z17" s="13">
        <f>_xll.BDH("BLUE US Equity","INVTRY_RAW_MATERIALS","FQ3 2024","FQ3 2024","Currency=USD","Period=FQ","BEST_FPERIOD_OVERRIDE=FQ","FILING_STATUS=MR","SCALING_FORMAT=MLN","Sort=A","Dates=H","DateFormat=P","Fill=—","Direction=H","UseDPDF=Y")</f>
        <v>2.9649999999999999</v>
      </c>
      <c r="AA17" s="13">
        <f>_xll.BDH("BLUE US Equity","INVTRY_RAW_MATERIALS","FQ4 2024","FQ4 2024","Currency=USD","Period=FQ","BEST_FPERIOD_OVERRIDE=FQ","FILING_STATUS=MR","SCALING_FORMAT=MLN","Sort=A","Dates=H","DateFormat=P","Fill=—","Direction=H","UseDPDF=Y")</f>
        <v>2.7850000000000001</v>
      </c>
    </row>
    <row r="18" spans="1:27" x14ac:dyDescent="0.25">
      <c r="A18" s="10" t="s">
        <v>1414</v>
      </c>
      <c r="B18" s="10" t="s">
        <v>611</v>
      </c>
      <c r="C18" s="13">
        <f>_xll.BDH("BLUE US Equity","INVTRY_IN_PROGRESS","FQ4 2018","FQ4 2018","Currency=USD","Period=FQ","BEST_FPERIOD_OVERRIDE=FQ","FILING_STATUS=MR","SCALING_FORMAT=MLN","Sort=A","Dates=H","DateFormat=P","Fill=—","Direction=H","UseDPDF=Y")</f>
        <v>0</v>
      </c>
      <c r="D18" s="13">
        <f>_xll.BDH("BLUE US Equity","INVTRY_IN_PROGRESS","FQ1 2019","FQ1 2019","Currency=USD","Period=FQ","BEST_FPERIOD_OVERRIDE=FQ","FILING_STATUS=MR","SCALING_FORMAT=MLN","Sort=A","Dates=H","DateFormat=P","Fill=—","Direction=H","UseDPDF=Y")</f>
        <v>0</v>
      </c>
      <c r="E18" s="13">
        <f>_xll.BDH("BLUE US Equity","INVTRY_IN_PROGRESS","FQ2 2019","FQ2 2019","Currency=USD","Period=FQ","BEST_FPERIOD_OVERRIDE=FQ","FILING_STATUS=MR","SCALING_FORMAT=MLN","Sort=A","Dates=H","DateFormat=P","Fill=—","Direction=H","UseDPDF=Y")</f>
        <v>0</v>
      </c>
      <c r="F18" s="13">
        <f>_xll.BDH("BLUE US Equity","INVTRY_IN_PROGRESS","FQ3 2019","FQ3 2019","Currency=USD","Period=FQ","BEST_FPERIOD_OVERRIDE=FQ","FILING_STATUS=MR","SCALING_FORMAT=MLN","Sort=A","Dates=H","DateFormat=P","Fill=—","Direction=H","UseDPDF=Y")</f>
        <v>0</v>
      </c>
      <c r="G18" s="13">
        <f>_xll.BDH("BLUE US Equity","INVTRY_IN_PROGRESS","FQ4 2019","FQ4 2019","Currency=USD","Period=FQ","BEST_FPERIOD_OVERRIDE=FQ","FILING_STATUS=MR","SCALING_FORMAT=MLN","Sort=A","Dates=H","DateFormat=P","Fill=—","Direction=H","UseDPDF=Y")</f>
        <v>0</v>
      </c>
      <c r="H18" s="13">
        <f>_xll.BDH("BLUE US Equity","INVTRY_IN_PROGRESS","FQ1 2020","FQ1 2020","Currency=USD","Period=FQ","BEST_FPERIOD_OVERRIDE=FQ","FILING_STATUS=MR","SCALING_FORMAT=MLN","Sort=A","Dates=H","DateFormat=P","Fill=—","Direction=H","UseDPDF=Y")</f>
        <v>0</v>
      </c>
      <c r="I18" s="13">
        <f>_xll.BDH("BLUE US Equity","INVTRY_IN_PROGRESS","FQ2 2020","FQ2 2020","Currency=USD","Period=FQ","BEST_FPERIOD_OVERRIDE=FQ","FILING_STATUS=MR","SCALING_FORMAT=MLN","Sort=A","Dates=H","DateFormat=P","Fill=—","Direction=H","UseDPDF=Y")</f>
        <v>0</v>
      </c>
      <c r="J18" s="13">
        <f>_xll.BDH("BLUE US Equity","INVTRY_IN_PROGRESS","FQ3 2020","FQ3 2020","Currency=USD","Period=FQ","BEST_FPERIOD_OVERRIDE=FQ","FILING_STATUS=MR","SCALING_FORMAT=MLN","Sort=A","Dates=H","DateFormat=P","Fill=—","Direction=H","UseDPDF=Y")</f>
        <v>0</v>
      </c>
      <c r="K18" s="13">
        <f>_xll.BDH("BLUE US Equity","INVTRY_IN_PROGRESS","FQ4 2020","FQ4 2020","Currency=USD","Period=FQ","BEST_FPERIOD_OVERRIDE=FQ","FILING_STATUS=MR","SCALING_FORMAT=MLN","Sort=A","Dates=H","DateFormat=P","Fill=—","Direction=H","UseDPDF=Y")</f>
        <v>0</v>
      </c>
      <c r="L18" s="13">
        <f>_xll.BDH("BLUE US Equity","INVTRY_IN_PROGRESS","FQ1 2021","FQ1 2021","Currency=USD","Period=FQ","BEST_FPERIOD_OVERRIDE=FQ","FILING_STATUS=MR","SCALING_FORMAT=MLN","Sort=A","Dates=H","DateFormat=P","Fill=—","Direction=H","UseDPDF=Y")</f>
        <v>0</v>
      </c>
      <c r="M18" s="13" t="str">
        <f>_xll.BDH("BLUE US Equity","INVTRY_IN_PROGRESS","FQ2 2021","FQ2 2021","Currency=USD","Period=FQ","BEST_FPERIOD_OVERRIDE=FQ","FILING_STATUS=MR","SCALING_FORMAT=MLN","Sort=A","Dates=H","DateFormat=P","Fill=—","Direction=H","UseDPDF=Y")</f>
        <v>—</v>
      </c>
      <c r="N18" s="13">
        <f>_xll.BDH("BLUE US Equity","INVTRY_IN_PROGRESS","FQ3 2021","FQ3 2021","Currency=USD","Period=FQ","BEST_FPERIOD_OVERRIDE=FQ","FILING_STATUS=MR","SCALING_FORMAT=MLN","Sort=A","Dates=H","DateFormat=P","Fill=—","Direction=H","UseDPDF=Y")</f>
        <v>0</v>
      </c>
      <c r="O18" s="13">
        <f>_xll.BDH("BLUE US Equity","INVTRY_IN_PROGRESS","FQ4 2021","FQ4 2021","Currency=USD","Period=FQ","BEST_FPERIOD_OVERRIDE=FQ","FILING_STATUS=MR","SCALING_FORMAT=MLN","Sort=A","Dates=H","DateFormat=P","Fill=—","Direction=H","UseDPDF=Y")</f>
        <v>0</v>
      </c>
      <c r="P18" s="13">
        <f>_xll.BDH("BLUE US Equity","INVTRY_IN_PROGRESS","FQ1 2022","FQ1 2022","Currency=USD","Period=FQ","BEST_FPERIOD_OVERRIDE=FQ","FILING_STATUS=MR","SCALING_FORMAT=MLN","Sort=A","Dates=H","DateFormat=P","Fill=—","Direction=H","UseDPDF=Y")</f>
        <v>0</v>
      </c>
      <c r="Q18" s="13">
        <f>_xll.BDH("BLUE US Equity","INVTRY_IN_PROGRESS","FQ2 2022","FQ2 2022","Currency=USD","Period=FQ","BEST_FPERIOD_OVERRIDE=FQ","FILING_STATUS=MR","SCALING_FORMAT=MLN","Sort=A","Dates=H","DateFormat=P","Fill=—","Direction=H","UseDPDF=Y")</f>
        <v>0</v>
      </c>
      <c r="R18" s="13">
        <f>_xll.BDH("BLUE US Equity","INVTRY_IN_PROGRESS","FQ3 2022","FQ3 2022","Currency=USD","Period=FQ","BEST_FPERIOD_OVERRIDE=FQ","FILING_STATUS=MR","SCALING_FORMAT=MLN","Sort=A","Dates=H","DateFormat=P","Fill=—","Direction=H","UseDPDF=Y")</f>
        <v>0</v>
      </c>
      <c r="S18" s="13">
        <f>_xll.BDH("BLUE US Equity","INVTRY_IN_PROGRESS","FQ4 2022","FQ4 2022","Currency=USD","Period=FQ","BEST_FPERIOD_OVERRIDE=FQ","FILING_STATUS=MR","SCALING_FORMAT=MLN","Sort=A","Dates=H","DateFormat=P","Fill=—","Direction=H","UseDPDF=Y")</f>
        <v>0</v>
      </c>
      <c r="T18" s="13" t="str">
        <f>_xll.BDH("BLUE US Equity","INVTRY_IN_PROGRESS","FQ1 2023","FQ1 2023","Currency=USD","Period=FQ","BEST_FPERIOD_OVERRIDE=FQ","FILING_STATUS=MR","SCALING_FORMAT=MLN","Sort=A","Dates=H","DateFormat=P","Fill=—","Direction=H","UseDPDF=Y")</f>
        <v>—</v>
      </c>
      <c r="U18" s="13" t="str">
        <f>_xll.BDH("BLUE US Equity","INVTRY_IN_PROGRESS","FQ2 2023","FQ2 2023","Currency=USD","Period=FQ","BEST_FPERIOD_OVERRIDE=FQ","FILING_STATUS=MR","SCALING_FORMAT=MLN","Sort=A","Dates=H","DateFormat=P","Fill=—","Direction=H","UseDPDF=Y")</f>
        <v>—</v>
      </c>
      <c r="V18" s="13" t="str">
        <f>_xll.BDH("BLUE US Equity","INVTRY_IN_PROGRESS","FQ3 2023","FQ3 2023","Currency=USD","Period=FQ","BEST_FPERIOD_OVERRIDE=FQ","FILING_STATUS=MR","SCALING_FORMAT=MLN","Sort=A","Dates=H","DateFormat=P","Fill=—","Direction=H","UseDPDF=Y")</f>
        <v>—</v>
      </c>
      <c r="W18" s="13">
        <f>_xll.BDH("BLUE US Equity","INVTRY_IN_PROGRESS","FQ4 2023","FQ4 2023","Currency=USD","Period=FQ","BEST_FPERIOD_OVERRIDE=FQ","FILING_STATUS=MR","SCALING_FORMAT=MLN","Sort=A","Dates=H","DateFormat=P","Fill=—","Direction=H","UseDPDF=Y")</f>
        <v>17.375</v>
      </c>
      <c r="X18" s="13">
        <f>_xll.BDH("BLUE US Equity","INVTRY_IN_PROGRESS","FQ1 2024","FQ1 2024","Currency=USD","Period=FQ","BEST_FPERIOD_OVERRIDE=FQ","FILING_STATUS=MR","SCALING_FORMAT=MLN","Sort=A","Dates=H","DateFormat=P","Fill=—","Direction=H","UseDPDF=Y")</f>
        <v>22.146000000000001</v>
      </c>
      <c r="Y18" s="13">
        <f>_xll.BDH("BLUE US Equity","INVTRY_IN_PROGRESS","FQ2 2024","FQ2 2024","Currency=USD","Period=FQ","BEST_FPERIOD_OVERRIDE=FQ","FILING_STATUS=MR","SCALING_FORMAT=MLN","Sort=A","Dates=H","DateFormat=P","Fill=—","Direction=H","UseDPDF=Y")</f>
        <v>28.167000000000002</v>
      </c>
      <c r="Z18" s="13">
        <f>_xll.BDH("BLUE US Equity","INVTRY_IN_PROGRESS","FQ3 2024","FQ3 2024","Currency=USD","Period=FQ","BEST_FPERIOD_OVERRIDE=FQ","FILING_STATUS=MR","SCALING_FORMAT=MLN","Sort=A","Dates=H","DateFormat=P","Fill=—","Direction=H","UseDPDF=Y")</f>
        <v>48.649000000000001</v>
      </c>
      <c r="AA18" s="13">
        <f>_xll.BDH("BLUE US Equity","INVTRY_IN_PROGRESS","FQ4 2024","FQ4 2024","Currency=USD","Period=FQ","BEST_FPERIOD_OVERRIDE=FQ","FILING_STATUS=MR","SCALING_FORMAT=MLN","Sort=A","Dates=H","DateFormat=P","Fill=—","Direction=H","UseDPDF=Y")</f>
        <v>58.664999999999999</v>
      </c>
    </row>
    <row r="19" spans="1:27" x14ac:dyDescent="0.25">
      <c r="A19" s="10" t="s">
        <v>1415</v>
      </c>
      <c r="B19" s="10" t="s">
        <v>613</v>
      </c>
      <c r="C19" s="13">
        <f>_xll.BDH("BLUE US Equity","INVTRY_FINISHED_GOODS","FQ4 2018","FQ4 2018","Currency=USD","Period=FQ","BEST_FPERIOD_OVERRIDE=FQ","FILING_STATUS=MR","SCALING_FORMAT=MLN","Sort=A","Dates=H","DateFormat=P","Fill=—","Direction=H","UseDPDF=Y")</f>
        <v>0</v>
      </c>
      <c r="D19" s="13">
        <f>_xll.BDH("BLUE US Equity","INVTRY_FINISHED_GOODS","FQ1 2019","FQ1 2019","Currency=USD","Period=FQ","BEST_FPERIOD_OVERRIDE=FQ","FILING_STATUS=MR","SCALING_FORMAT=MLN","Sort=A","Dates=H","DateFormat=P","Fill=—","Direction=H","UseDPDF=Y")</f>
        <v>0</v>
      </c>
      <c r="E19" s="13">
        <f>_xll.BDH("BLUE US Equity","INVTRY_FINISHED_GOODS","FQ2 2019","FQ2 2019","Currency=USD","Period=FQ","BEST_FPERIOD_OVERRIDE=FQ","FILING_STATUS=MR","SCALING_FORMAT=MLN","Sort=A","Dates=H","DateFormat=P","Fill=—","Direction=H","UseDPDF=Y")</f>
        <v>0</v>
      </c>
      <c r="F19" s="13">
        <f>_xll.BDH("BLUE US Equity","INVTRY_FINISHED_GOODS","FQ3 2019","FQ3 2019","Currency=USD","Period=FQ","BEST_FPERIOD_OVERRIDE=FQ","FILING_STATUS=MR","SCALING_FORMAT=MLN","Sort=A","Dates=H","DateFormat=P","Fill=—","Direction=H","UseDPDF=Y")</f>
        <v>0</v>
      </c>
      <c r="G19" s="13">
        <f>_xll.BDH("BLUE US Equity","INVTRY_FINISHED_GOODS","FQ4 2019","FQ4 2019","Currency=USD","Period=FQ","BEST_FPERIOD_OVERRIDE=FQ","FILING_STATUS=MR","SCALING_FORMAT=MLN","Sort=A","Dates=H","DateFormat=P","Fill=—","Direction=H","UseDPDF=Y")</f>
        <v>0</v>
      </c>
      <c r="H19" s="13">
        <f>_xll.BDH("BLUE US Equity","INVTRY_FINISHED_GOODS","FQ1 2020","FQ1 2020","Currency=USD","Period=FQ","BEST_FPERIOD_OVERRIDE=FQ","FILING_STATUS=MR","SCALING_FORMAT=MLN","Sort=A","Dates=H","DateFormat=P","Fill=—","Direction=H","UseDPDF=Y")</f>
        <v>0</v>
      </c>
      <c r="I19" s="13">
        <f>_xll.BDH("BLUE US Equity","INVTRY_FINISHED_GOODS","FQ2 2020","FQ2 2020","Currency=USD","Period=FQ","BEST_FPERIOD_OVERRIDE=FQ","FILING_STATUS=MR","SCALING_FORMAT=MLN","Sort=A","Dates=H","DateFormat=P","Fill=—","Direction=H","UseDPDF=Y")</f>
        <v>0</v>
      </c>
      <c r="J19" s="13">
        <f>_xll.BDH("BLUE US Equity","INVTRY_FINISHED_GOODS","FQ3 2020","FQ3 2020","Currency=USD","Period=FQ","BEST_FPERIOD_OVERRIDE=FQ","FILING_STATUS=MR","SCALING_FORMAT=MLN","Sort=A","Dates=H","DateFormat=P","Fill=—","Direction=H","UseDPDF=Y")</f>
        <v>0</v>
      </c>
      <c r="K19" s="13">
        <f>_xll.BDH("BLUE US Equity","INVTRY_FINISHED_GOODS","FQ4 2020","FQ4 2020","Currency=USD","Period=FQ","BEST_FPERIOD_OVERRIDE=FQ","FILING_STATUS=MR","SCALING_FORMAT=MLN","Sort=A","Dates=H","DateFormat=P","Fill=—","Direction=H","UseDPDF=Y")</f>
        <v>1.7310000000000001</v>
      </c>
      <c r="L19" s="13">
        <f>_xll.BDH("BLUE US Equity","INVTRY_FINISHED_GOODS","FQ1 2021","FQ1 2021","Currency=USD","Period=FQ","BEST_FPERIOD_OVERRIDE=FQ","FILING_STATUS=MR","SCALING_FORMAT=MLN","Sort=A","Dates=H","DateFormat=P","Fill=—","Direction=H","UseDPDF=Y")</f>
        <v>1.1870000000000001</v>
      </c>
      <c r="M19" s="13" t="str">
        <f>_xll.BDH("BLUE US Equity","INVTRY_FINISHED_GOODS","FQ2 2021","FQ2 2021","Currency=USD","Period=FQ","BEST_FPERIOD_OVERRIDE=FQ","FILING_STATUS=MR","SCALING_FORMAT=MLN","Sort=A","Dates=H","DateFormat=P","Fill=—","Direction=H","UseDPDF=Y")</f>
        <v>—</v>
      </c>
      <c r="N19" s="13">
        <f>_xll.BDH("BLUE US Equity","INVTRY_FINISHED_GOODS","FQ3 2021","FQ3 2021","Currency=USD","Period=FQ","BEST_FPERIOD_OVERRIDE=FQ","FILING_STATUS=MR","SCALING_FORMAT=MLN","Sort=A","Dates=H","DateFormat=P","Fill=—","Direction=H","UseDPDF=Y")</f>
        <v>0.76600000000000001</v>
      </c>
      <c r="O19" s="13">
        <f>_xll.BDH("BLUE US Equity","INVTRY_FINISHED_GOODS","FQ4 2021","FQ4 2021","Currency=USD","Period=FQ","BEST_FPERIOD_OVERRIDE=FQ","FILING_STATUS=MR","SCALING_FORMAT=MLN","Sort=A","Dates=H","DateFormat=P","Fill=—","Direction=H","UseDPDF=Y")</f>
        <v>0</v>
      </c>
      <c r="P19" s="13">
        <f>_xll.BDH("BLUE US Equity","INVTRY_FINISHED_GOODS","FQ1 2022","FQ1 2022","Currency=USD","Period=FQ","BEST_FPERIOD_OVERRIDE=FQ","FILING_STATUS=MR","SCALING_FORMAT=MLN","Sort=A","Dates=H","DateFormat=P","Fill=—","Direction=H","UseDPDF=Y")</f>
        <v>0</v>
      </c>
      <c r="Q19" s="13">
        <f>_xll.BDH("BLUE US Equity","INVTRY_FINISHED_GOODS","FQ2 2022","FQ2 2022","Currency=USD","Period=FQ","BEST_FPERIOD_OVERRIDE=FQ","FILING_STATUS=MR","SCALING_FORMAT=MLN","Sort=A","Dates=H","DateFormat=P","Fill=—","Direction=H","UseDPDF=Y")</f>
        <v>0</v>
      </c>
      <c r="R19" s="13">
        <f>_xll.BDH("BLUE US Equity","INVTRY_FINISHED_GOODS","FQ3 2022","FQ3 2022","Currency=USD","Period=FQ","BEST_FPERIOD_OVERRIDE=FQ","FILING_STATUS=MR","SCALING_FORMAT=MLN","Sort=A","Dates=H","DateFormat=P","Fill=—","Direction=H","UseDPDF=Y")</f>
        <v>0</v>
      </c>
      <c r="S19" s="13">
        <f>_xll.BDH("BLUE US Equity","INVTRY_FINISHED_GOODS","FQ4 2022","FQ4 2022","Currency=USD","Period=FQ","BEST_FPERIOD_OVERRIDE=FQ","FILING_STATUS=MR","SCALING_FORMAT=MLN","Sort=A","Dates=H","DateFormat=P","Fill=—","Direction=H","UseDPDF=Y")</f>
        <v>0</v>
      </c>
      <c r="T19" s="13" t="str">
        <f>_xll.BDH("BLUE US Equity","INVTRY_FINISHED_GOODS","FQ1 2023","FQ1 2023","Currency=USD","Period=FQ","BEST_FPERIOD_OVERRIDE=FQ","FILING_STATUS=MR","SCALING_FORMAT=MLN","Sort=A","Dates=H","DateFormat=P","Fill=—","Direction=H","UseDPDF=Y")</f>
        <v>—</v>
      </c>
      <c r="U19" s="13" t="str">
        <f>_xll.BDH("BLUE US Equity","INVTRY_FINISHED_GOODS","FQ2 2023","FQ2 2023","Currency=USD","Period=FQ","BEST_FPERIOD_OVERRIDE=FQ","FILING_STATUS=MR","SCALING_FORMAT=MLN","Sort=A","Dates=H","DateFormat=P","Fill=—","Direction=H","UseDPDF=Y")</f>
        <v>—</v>
      </c>
      <c r="V19" s="13" t="str">
        <f>_xll.BDH("BLUE US Equity","INVTRY_FINISHED_GOODS","FQ3 2023","FQ3 2023","Currency=USD","Period=FQ","BEST_FPERIOD_OVERRIDE=FQ","FILING_STATUS=MR","SCALING_FORMAT=MLN","Sort=A","Dates=H","DateFormat=P","Fill=—","Direction=H","UseDPDF=Y")</f>
        <v>—</v>
      </c>
      <c r="W19" s="13">
        <f>_xll.BDH("BLUE US Equity","INVTRY_FINISHED_GOODS","FQ4 2023","FQ4 2023","Currency=USD","Period=FQ","BEST_FPERIOD_OVERRIDE=FQ","FILING_STATUS=MR","SCALING_FORMAT=MLN","Sort=A","Dates=H","DateFormat=P","Fill=—","Direction=H","UseDPDF=Y")</f>
        <v>3.2149999999999999</v>
      </c>
      <c r="X19" s="13">
        <f>_xll.BDH("BLUE US Equity","INVTRY_FINISHED_GOODS","FQ1 2024","FQ1 2024","Currency=USD","Period=FQ","BEST_FPERIOD_OVERRIDE=FQ","FILING_STATUS=MR","SCALING_FORMAT=MLN","Sort=A","Dates=H","DateFormat=P","Fill=—","Direction=H","UseDPDF=Y")</f>
        <v>4.9820000000000002</v>
      </c>
      <c r="Y19" s="13">
        <f>_xll.BDH("BLUE US Equity","INVTRY_FINISHED_GOODS","FQ2 2024","FQ2 2024","Currency=USD","Period=FQ","BEST_FPERIOD_OVERRIDE=FQ","FILING_STATUS=MR","SCALING_FORMAT=MLN","Sort=A","Dates=H","DateFormat=P","Fill=—","Direction=H","UseDPDF=Y")</f>
        <v>2.0710000000000002</v>
      </c>
      <c r="Z19" s="13">
        <f>_xll.BDH("BLUE US Equity","INVTRY_FINISHED_GOODS","FQ3 2024","FQ3 2024","Currency=USD","Period=FQ","BEST_FPERIOD_OVERRIDE=FQ","FILING_STATUS=MR","SCALING_FORMAT=MLN","Sort=A","Dates=H","DateFormat=P","Fill=—","Direction=H","UseDPDF=Y")</f>
        <v>2.33</v>
      </c>
      <c r="AA19" s="13">
        <f>_xll.BDH("BLUE US Equity","INVTRY_FINISHED_GOODS","FQ4 2024","FQ4 2024","Currency=USD","Period=FQ","BEST_FPERIOD_OVERRIDE=FQ","FILING_STATUS=MR","SCALING_FORMAT=MLN","Sort=A","Dates=H","DateFormat=P","Fill=—","Direction=H","UseDPDF=Y")</f>
        <v>3.5670000000000002</v>
      </c>
    </row>
    <row r="20" spans="1:27" x14ac:dyDescent="0.25">
      <c r="A20" s="10" t="s">
        <v>1416</v>
      </c>
      <c r="B20" s="10" t="s">
        <v>615</v>
      </c>
      <c r="C20" s="13">
        <f>_xll.BDH("BLUE US Equity","BS_OTHER_INV","FQ4 2018","FQ4 2018","Currency=USD","Period=FQ","BEST_FPERIOD_OVERRIDE=FQ","FILING_STATUS=MR","SCALING_FORMAT=MLN","Sort=A","Dates=H","DateFormat=P","Fill=—","Direction=H","UseDPDF=Y")</f>
        <v>0</v>
      </c>
      <c r="D20" s="13">
        <f>_xll.BDH("BLUE US Equity","BS_OTHER_INV","FQ1 2019","FQ1 2019","Currency=USD","Period=FQ","BEST_FPERIOD_OVERRIDE=FQ","FILING_STATUS=MR","SCALING_FORMAT=MLN","Sort=A","Dates=H","DateFormat=P","Fill=—","Direction=H","UseDPDF=Y")</f>
        <v>0</v>
      </c>
      <c r="E20" s="13">
        <f>_xll.BDH("BLUE US Equity","BS_OTHER_INV","FQ2 2019","FQ2 2019","Currency=USD","Period=FQ","BEST_FPERIOD_OVERRIDE=FQ","FILING_STATUS=MR","SCALING_FORMAT=MLN","Sort=A","Dates=H","DateFormat=P","Fill=—","Direction=H","UseDPDF=Y")</f>
        <v>0</v>
      </c>
      <c r="F20" s="13">
        <f>_xll.BDH("BLUE US Equity","BS_OTHER_INV","FQ3 2019","FQ3 2019","Currency=USD","Period=FQ","BEST_FPERIOD_OVERRIDE=FQ","FILING_STATUS=MR","SCALING_FORMAT=MLN","Sort=A","Dates=H","DateFormat=P","Fill=—","Direction=H","UseDPDF=Y")</f>
        <v>0</v>
      </c>
      <c r="G20" s="13">
        <f>_xll.BDH("BLUE US Equity","BS_OTHER_INV","FQ4 2019","FQ4 2019","Currency=USD","Period=FQ","BEST_FPERIOD_OVERRIDE=FQ","FILING_STATUS=MR","SCALING_FORMAT=MLN","Sort=A","Dates=H","DateFormat=P","Fill=—","Direction=H","UseDPDF=Y")</f>
        <v>0</v>
      </c>
      <c r="H20" s="13">
        <f>_xll.BDH("BLUE US Equity","BS_OTHER_INV","FQ1 2020","FQ1 2020","Currency=USD","Period=FQ","BEST_FPERIOD_OVERRIDE=FQ","FILING_STATUS=MR","SCALING_FORMAT=MLN","Sort=A","Dates=H","DateFormat=P","Fill=—","Direction=H","UseDPDF=Y")</f>
        <v>0</v>
      </c>
      <c r="I20" s="13">
        <f>_xll.BDH("BLUE US Equity","BS_OTHER_INV","FQ2 2020","FQ2 2020","Currency=USD","Period=FQ","BEST_FPERIOD_OVERRIDE=FQ","FILING_STATUS=MR","SCALING_FORMAT=MLN","Sort=A","Dates=H","DateFormat=P","Fill=—","Direction=H","UseDPDF=Y")</f>
        <v>0</v>
      </c>
      <c r="J20" s="13">
        <f>_xll.BDH("BLUE US Equity","BS_OTHER_INV","FQ3 2020","FQ3 2020","Currency=USD","Period=FQ","BEST_FPERIOD_OVERRIDE=FQ","FILING_STATUS=MR","SCALING_FORMAT=MLN","Sort=A","Dates=H","DateFormat=P","Fill=—","Direction=H","UseDPDF=Y")</f>
        <v>0</v>
      </c>
      <c r="K20" s="13">
        <f>_xll.BDH("BLUE US Equity","BS_OTHER_INV","FQ4 2020","FQ4 2020","Currency=USD","Period=FQ","BEST_FPERIOD_OVERRIDE=FQ","FILING_STATUS=MR","SCALING_FORMAT=MLN","Sort=A","Dates=H","DateFormat=P","Fill=—","Direction=H","UseDPDF=Y")</f>
        <v>0</v>
      </c>
      <c r="L20" s="13">
        <f>_xll.BDH("BLUE US Equity","BS_OTHER_INV","FQ1 2021","FQ1 2021","Currency=USD","Period=FQ","BEST_FPERIOD_OVERRIDE=FQ","FILING_STATUS=MR","SCALING_FORMAT=MLN","Sort=A","Dates=H","DateFormat=P","Fill=—","Direction=H","UseDPDF=Y")</f>
        <v>0</v>
      </c>
      <c r="M20" s="13" t="str">
        <f>_xll.BDH("BLUE US Equity","BS_OTHER_INV","FQ2 2021","FQ2 2021","Currency=USD","Period=FQ","BEST_FPERIOD_OVERRIDE=FQ","FILING_STATUS=MR","SCALING_FORMAT=MLN","Sort=A","Dates=H","DateFormat=P","Fill=—","Direction=H","UseDPDF=Y")</f>
        <v>—</v>
      </c>
      <c r="N20" s="13">
        <f>_xll.BDH("BLUE US Equity","BS_OTHER_INV","FQ3 2021","FQ3 2021","Currency=USD","Period=FQ","BEST_FPERIOD_OVERRIDE=FQ","FILING_STATUS=MR","SCALING_FORMAT=MLN","Sort=A","Dates=H","DateFormat=P","Fill=—","Direction=H","UseDPDF=Y")</f>
        <v>0</v>
      </c>
      <c r="O20" s="13">
        <f>_xll.BDH("BLUE US Equity","BS_OTHER_INV","FQ4 2021","FQ4 2021","Currency=USD","Period=FQ","BEST_FPERIOD_OVERRIDE=FQ","FILING_STATUS=MR","SCALING_FORMAT=MLN","Sort=A","Dates=H","DateFormat=P","Fill=—","Direction=H","UseDPDF=Y")</f>
        <v>0</v>
      </c>
      <c r="P20" s="13">
        <f>_xll.BDH("BLUE US Equity","BS_OTHER_INV","FQ1 2022","FQ1 2022","Currency=USD","Period=FQ","BEST_FPERIOD_OVERRIDE=FQ","FILING_STATUS=MR","SCALING_FORMAT=MLN","Sort=A","Dates=H","DateFormat=P","Fill=—","Direction=H","UseDPDF=Y")</f>
        <v>0</v>
      </c>
      <c r="Q20" s="13">
        <f>_xll.BDH("BLUE US Equity","BS_OTHER_INV","FQ2 2022","FQ2 2022","Currency=USD","Period=FQ","BEST_FPERIOD_OVERRIDE=FQ","FILING_STATUS=MR","SCALING_FORMAT=MLN","Sort=A","Dates=H","DateFormat=P","Fill=—","Direction=H","UseDPDF=Y")</f>
        <v>0</v>
      </c>
      <c r="R20" s="13">
        <f>_xll.BDH("BLUE US Equity","BS_OTHER_INV","FQ3 2022","FQ3 2022","Currency=USD","Period=FQ","BEST_FPERIOD_OVERRIDE=FQ","FILING_STATUS=MR","SCALING_FORMAT=MLN","Sort=A","Dates=H","DateFormat=P","Fill=—","Direction=H","UseDPDF=Y")</f>
        <v>0</v>
      </c>
      <c r="S20" s="13">
        <f>_xll.BDH("BLUE US Equity","BS_OTHER_INV","FQ4 2022","FQ4 2022","Currency=USD","Period=FQ","BEST_FPERIOD_OVERRIDE=FQ","FILING_STATUS=MR","SCALING_FORMAT=MLN","Sort=A","Dates=H","DateFormat=P","Fill=—","Direction=H","UseDPDF=Y")</f>
        <v>0</v>
      </c>
      <c r="T20" s="13" t="str">
        <f>_xll.BDH("BLUE US Equity","BS_OTHER_INV","FQ1 2023","FQ1 2023","Currency=USD","Period=FQ","BEST_FPERIOD_OVERRIDE=FQ","FILING_STATUS=MR","SCALING_FORMAT=MLN","Sort=A","Dates=H","DateFormat=P","Fill=—","Direction=H","UseDPDF=Y")</f>
        <v>—</v>
      </c>
      <c r="U20" s="13" t="str">
        <f>_xll.BDH("BLUE US Equity","BS_OTHER_INV","FQ2 2023","FQ2 2023","Currency=USD","Period=FQ","BEST_FPERIOD_OVERRIDE=FQ","FILING_STATUS=MR","SCALING_FORMAT=MLN","Sort=A","Dates=H","DateFormat=P","Fill=—","Direction=H","UseDPDF=Y")</f>
        <v>—</v>
      </c>
      <c r="V20" s="13" t="str">
        <f>_xll.BDH("BLUE US Equity","BS_OTHER_INV","FQ3 2023","FQ3 2023","Currency=USD","Period=FQ","BEST_FPERIOD_OVERRIDE=FQ","FILING_STATUS=MR","SCALING_FORMAT=MLN","Sort=A","Dates=H","DateFormat=P","Fill=—","Direction=H","UseDPDF=Y")</f>
        <v>—</v>
      </c>
      <c r="W20" s="13">
        <f>_xll.BDH("BLUE US Equity","BS_OTHER_INV","FQ4 2023","FQ4 2023","Currency=USD","Period=FQ","BEST_FPERIOD_OVERRIDE=FQ","FILING_STATUS=MR","SCALING_FORMAT=MLN","Sort=A","Dates=H","DateFormat=P","Fill=—","Direction=H","UseDPDF=Y")</f>
        <v>0</v>
      </c>
      <c r="X20" s="13">
        <f>_xll.BDH("BLUE US Equity","BS_OTHER_INV","FQ1 2024","FQ1 2024","Currency=USD","Period=FQ","BEST_FPERIOD_OVERRIDE=FQ","FILING_STATUS=MR","SCALING_FORMAT=MLN","Sort=A","Dates=H","DateFormat=P","Fill=—","Direction=H","UseDPDF=Y")</f>
        <v>0</v>
      </c>
      <c r="Y20" s="13">
        <f>_xll.BDH("BLUE US Equity","BS_OTHER_INV","FQ2 2024","FQ2 2024","Currency=USD","Period=FQ","BEST_FPERIOD_OVERRIDE=FQ","FILING_STATUS=MR","SCALING_FORMAT=MLN","Sort=A","Dates=H","DateFormat=P","Fill=—","Direction=H","UseDPDF=Y")</f>
        <v>0</v>
      </c>
      <c r="Z20" s="13">
        <f>_xll.BDH("BLUE US Equity","BS_OTHER_INV","FQ3 2024","FQ3 2024","Currency=USD","Period=FQ","BEST_FPERIOD_OVERRIDE=FQ","FILING_STATUS=MR","SCALING_FORMAT=MLN","Sort=A","Dates=H","DateFormat=P","Fill=—","Direction=H","UseDPDF=Y")</f>
        <v>0</v>
      </c>
      <c r="AA20" s="13">
        <f>_xll.BDH("BLUE US Equity","BS_OTHER_INV","FQ4 2024","FQ4 2024","Currency=USD","Period=FQ","BEST_FPERIOD_OVERRIDE=FQ","FILING_STATUS=MR","SCALING_FORMAT=MLN","Sort=A","Dates=H","DateFormat=P","Fill=—","Direction=H","UseDPDF=Y")</f>
        <v>0</v>
      </c>
    </row>
    <row r="21" spans="1:27" x14ac:dyDescent="0.25">
      <c r="A21" s="7" t="s">
        <v>90</v>
      </c>
      <c r="B21" s="7"/>
      <c r="C21" s="7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4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1418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1419</v>
      </c>
      <c r="B7" s="10" t="s">
        <v>1420</v>
      </c>
      <c r="C7" s="13">
        <f>_xll.BDH("BLUE US Equity","TRAIL_12M_CASH_FROM_OPER","FQ4 2018","FQ4 2018","Currency=USD","Period=FQ","BEST_FPERIOD_OVERRIDE=FQ","FILING_STATUS=MR","SCALING_FORMAT=MLN","Sort=A","Dates=H","DateFormat=P","Fill=—","Direction=H","UseDPDF=Y")</f>
        <v>-413.42599999999999</v>
      </c>
      <c r="D7" s="13">
        <f>_xll.BDH("BLUE US Equity","TRAIL_12M_CASH_FROM_OPER","FQ1 2019","FQ1 2019","Currency=USD","Period=FQ","BEST_FPERIOD_OVERRIDE=FQ","FILING_STATUS=MR","SCALING_FORMAT=MLN","Sort=A","Dates=H","DateFormat=P","Fill=—","Direction=H","UseDPDF=Y")</f>
        <v>-458.75799999999998</v>
      </c>
      <c r="E7" s="13">
        <f>_xll.BDH("BLUE US Equity","TRAIL_12M_CASH_FROM_OPER","FQ2 2019","FQ2 2019","Currency=USD","Period=FQ","BEST_FPERIOD_OVERRIDE=FQ","FILING_STATUS=MR","SCALING_FORMAT=MLN","Sort=A","Dates=H","DateFormat=P","Fill=—","Direction=H","UseDPDF=Y")</f>
        <v>-496.23099999999999</v>
      </c>
      <c r="F7" s="13">
        <f>_xll.BDH("BLUE US Equity","TRAIL_12M_CASH_FROM_OPER","FQ3 2019","FQ3 2019","Currency=USD","Period=FQ","BEST_FPERIOD_OVERRIDE=FQ","FILING_STATUS=MR","SCALING_FORMAT=MLN","Sort=A","Dates=H","DateFormat=P","Fill=—","Direction=H","UseDPDF=Y")</f>
        <v>-535.13900000000001</v>
      </c>
      <c r="G7" s="13">
        <f>_xll.BDH("BLUE US Equity","TRAIL_12M_CASH_FROM_OPER","FQ4 2019","FQ4 2019","Currency=USD","Period=FQ","BEST_FPERIOD_OVERRIDE=FQ","FILING_STATUS=MR","SCALING_FORMAT=MLN","Sort=A","Dates=H","DateFormat=P","Fill=—","Direction=H","UseDPDF=Y")</f>
        <v>-564.38400000000001</v>
      </c>
      <c r="H7" s="13">
        <f>_xll.BDH("BLUE US Equity","TRAIL_12M_CASH_FROM_OPER","FQ1 2020","FQ1 2020","Currency=USD","Period=FQ","BEST_FPERIOD_OVERRIDE=FQ","FILING_STATUS=MR","SCALING_FORMAT=MLN","Sort=A","Dates=H","DateFormat=P","Fill=—","Direction=H","UseDPDF=Y")</f>
        <v>-616.351</v>
      </c>
      <c r="I7" s="13">
        <f>_xll.BDH("BLUE US Equity","TRAIL_12M_CASH_FROM_OPER","FQ2 2020","FQ2 2020","Currency=USD","Period=FQ","BEST_FPERIOD_OVERRIDE=FQ","FILING_STATUS=MR","SCALING_FORMAT=MLN","Sort=A","Dates=H","DateFormat=P","Fill=—","Direction=H","UseDPDF=Y")</f>
        <v>-438.73500000000001</v>
      </c>
      <c r="J7" s="13">
        <f>_xll.BDH("BLUE US Equity","TRAIL_12M_CASH_FROM_OPER","FQ3 2020","FQ3 2020","Currency=USD","Period=FQ","BEST_FPERIOD_OVERRIDE=FQ","FILING_STATUS=MR","SCALING_FORMAT=MLN","Sort=A","Dates=H","DateFormat=P","Fill=—","Direction=H","UseDPDF=Y")</f>
        <v>-474.13400000000001</v>
      </c>
      <c r="K7" s="13">
        <f>_xll.BDH("BLUE US Equity","TRAIL_12M_CASH_FROM_OPER","FQ4 2020","FQ4 2020","Currency=USD","Period=FQ","BEST_FPERIOD_OVERRIDE=FQ","FILING_STATUS=MR","SCALING_FORMAT=MLN","Sort=A","Dates=H","DateFormat=P","Fill=—","Direction=H","UseDPDF=Y")</f>
        <v>-470.351</v>
      </c>
      <c r="L7" s="13">
        <f>_xll.BDH("BLUE US Equity","TRAIL_12M_CASH_FROM_OPER","FQ1 2021","FQ1 2021","Currency=USD","Period=FQ","BEST_FPERIOD_OVERRIDE=FQ","FILING_STATUS=MR","SCALING_FORMAT=MLN","Sort=A","Dates=H","DateFormat=P","Fill=—","Direction=H","UseDPDF=Y")</f>
        <v>-467.55700000000002</v>
      </c>
      <c r="M7" s="13">
        <f>_xll.BDH("BLUE US Equity","TRAIL_12M_CASH_FROM_OPER","FQ2 2021","FQ2 2021","Currency=USD","Period=FQ","BEST_FPERIOD_OVERRIDE=FQ","FILING_STATUS=MR","SCALING_FORMAT=MLN","Sort=A","Dates=H","DateFormat=P","Fill=—","Direction=H","UseDPDF=Y")</f>
        <v>-652.94799999999998</v>
      </c>
      <c r="N7" s="13">
        <f>_xll.BDH("BLUE US Equity","TRAIL_12M_CASH_FROM_OPER","FQ3 2021","FQ3 2021","Currency=USD","Period=FQ","BEST_FPERIOD_OVERRIDE=FQ","FILING_STATUS=MR","SCALING_FORMAT=MLN","Sort=A","Dates=H","DateFormat=P","Fill=—","Direction=H","UseDPDF=Y")</f>
        <v>-651.10699999999997</v>
      </c>
      <c r="O7" s="13">
        <f>_xll.BDH("BLUE US Equity","TRAIL_12M_CASH_FROM_OPER","FQ4 2021","FQ4 2021","Currency=USD","Period=FQ","BEST_FPERIOD_OVERRIDE=FQ","FILING_STATUS=MR","SCALING_FORMAT=MLN","Sort=A","Dates=H","DateFormat=P","Fill=—","Direction=H","UseDPDF=Y")</f>
        <v>-635.63900000000001</v>
      </c>
      <c r="P7" s="13">
        <f>_xll.BDH("BLUE US Equity","TRAIL_12M_CASH_FROM_OPER","FQ1 2022","FQ1 2022","Currency=USD","Period=FQ","BEST_FPERIOD_OVERRIDE=FQ","FILING_STATUS=MR","SCALING_FORMAT=MLN","Sort=A","Dates=H","DateFormat=P","Fill=—","Direction=H","UseDPDF=Y")</f>
        <v>-557.60799999999995</v>
      </c>
      <c r="Q7" s="13">
        <f>_xll.BDH("BLUE US Equity","TRAIL_12M_CASH_FROM_OPER","FQ2 2022","FQ2 2022","Currency=USD","Period=FQ","BEST_FPERIOD_OVERRIDE=FQ","FILING_STATUS=MR","SCALING_FORMAT=MLN","Sort=A","Dates=H","DateFormat=P","Fill=—","Direction=H","UseDPDF=Y")</f>
        <v>-506.31799999999998</v>
      </c>
      <c r="R7" s="13">
        <f>_xll.BDH("BLUE US Equity","TRAIL_12M_CASH_FROM_OPER","FQ3 2022","FQ3 2022","Currency=USD","Period=FQ","BEST_FPERIOD_OVERRIDE=FQ","FILING_STATUS=MR","SCALING_FORMAT=MLN","Sort=A","Dates=H","DateFormat=P","Fill=—","Direction=H","UseDPDF=Y")</f>
        <v>-436.40499999999997</v>
      </c>
      <c r="S7" s="13">
        <f>_xll.BDH("BLUE US Equity","TRAIL_12M_CASH_FROM_OPER","FQ4 2022","FQ4 2022","Currency=USD","Period=FQ","BEST_FPERIOD_OVERRIDE=FQ","FILING_STATUS=MR","SCALING_FORMAT=MLN","Sort=A","Dates=H","DateFormat=P","Fill=—","Direction=H","UseDPDF=Y")</f>
        <v>-316.21899999999999</v>
      </c>
      <c r="T7" s="13">
        <f>_xll.BDH("BLUE US Equity","TRAIL_12M_CASH_FROM_OPER","FQ1 2023","FQ1 2023","Currency=USD","Period=FQ","BEST_FPERIOD_OVERRIDE=FQ","FILING_STATUS=MR","SCALING_FORMAT=MLN","Sort=A","Dates=H","DateFormat=P","Fill=—","Direction=H","UseDPDF=Y")</f>
        <v>-262.28100000000001</v>
      </c>
      <c r="U7" s="13">
        <f>_xll.BDH("BLUE US Equity","TRAIL_12M_CASH_FROM_OPER","FQ2 2023","FQ2 2023","Currency=USD","Period=FQ","BEST_FPERIOD_OVERRIDE=FQ","FILING_STATUS=MR","SCALING_FORMAT=MLN","Sort=A","Dates=H","DateFormat=P","Fill=—","Direction=H","UseDPDF=Y")</f>
        <v>-227.42400000000001</v>
      </c>
      <c r="V7" s="13">
        <f>_xll.BDH("BLUE US Equity","TRAIL_12M_CASH_FROM_OPER","FQ3 2023","FQ3 2023","Currency=USD","Period=FQ","BEST_FPERIOD_OVERRIDE=FQ","FILING_STATUS=MR","SCALING_FORMAT=MLN","Sort=A","Dates=H","DateFormat=P","Fill=—","Direction=H","UseDPDF=Y")</f>
        <v>-200.44900000000001</v>
      </c>
      <c r="W7" s="13">
        <f>_xll.BDH("BLUE US Equity","TRAIL_12M_CASH_FROM_OPER","FQ4 2023","FQ4 2023","Currency=USD","Period=FQ","BEST_FPERIOD_OVERRIDE=FQ","FILING_STATUS=MR","SCALING_FORMAT=MLN","Sort=A","Dates=H","DateFormat=P","Fill=—","Direction=H","UseDPDF=Y")</f>
        <v>-194.74700000000001</v>
      </c>
      <c r="X7" s="13">
        <f>_xll.BDH("BLUE US Equity","TRAIL_12M_CASH_FROM_OPER","FQ1 2024","FQ1 2024","Currency=USD","Period=FQ","BEST_FPERIOD_OVERRIDE=FQ","FILING_STATUS=MR","SCALING_FORMAT=MLN","Sort=A","Dates=H","DateFormat=P","Fill=—","Direction=H","UseDPDF=Y")</f>
        <v>-198.065</v>
      </c>
      <c r="Y7" s="13">
        <f>_xll.BDH("BLUE US Equity","TRAIL_12M_CASH_FROM_OPER","FQ2 2024","FQ2 2024","Currency=USD","Period=FQ","BEST_FPERIOD_OVERRIDE=FQ","FILING_STATUS=MR","SCALING_FORMAT=MLN","Sort=A","Dates=H","DateFormat=P","Fill=—","Direction=H","UseDPDF=Y")</f>
        <v>-204.816</v>
      </c>
      <c r="Z7" s="13">
        <f>_xll.BDH("BLUE US Equity","TRAIL_12M_CASH_FROM_OPER","FQ3 2024","FQ3 2024","Currency=USD","Period=FQ","BEST_FPERIOD_OVERRIDE=FQ","FILING_STATUS=MR","SCALING_FORMAT=MLN","Sort=A","Dates=H","DateFormat=P","Fill=—","Direction=H","UseDPDF=Y")</f>
        <v>-223.69300000000001</v>
      </c>
      <c r="AA7" s="13">
        <f>_xll.BDH("BLUE US Equity","TRAIL_12M_CASH_FROM_OPER","FQ4 2024","FQ4 2024","Currency=USD","Period=FQ","BEST_FPERIOD_OVERRIDE=FQ","FILING_STATUS=MR","SCALING_FORMAT=MLN","Sort=A","Dates=H","DateFormat=P","Fill=—","Direction=H","UseDPDF=Y")</f>
        <v>-260.02</v>
      </c>
    </row>
    <row r="8" spans="1:27" x14ac:dyDescent="0.25">
      <c r="A8" s="10" t="s">
        <v>1421</v>
      </c>
      <c r="B8" s="10" t="s">
        <v>1422</v>
      </c>
      <c r="C8" s="13">
        <f>_xll.BDH("BLUE US Equity","TRAIL_12M_CAP_EXPEND","FQ4 2018","FQ4 2018","Currency=USD","Period=FQ","BEST_FPERIOD_OVERRIDE=FQ","FILING_STATUS=MR","SCALING_FORMAT=MLN","Sort=A","Dates=H","DateFormat=P","Fill=—","Direction=H","UseDPDF=Y")</f>
        <v>-55.737000000000002</v>
      </c>
      <c r="D8" s="13">
        <f>_xll.BDH("BLUE US Equity","TRAIL_12M_CAP_EXPEND","FQ1 2019","FQ1 2019","Currency=USD","Period=FQ","BEST_FPERIOD_OVERRIDE=FQ","FILING_STATUS=MR","SCALING_FORMAT=MLN","Sort=A","Dates=H","DateFormat=P","Fill=—","Direction=H","UseDPDF=Y")</f>
        <v>-67.605999999999995</v>
      </c>
      <c r="E8" s="13">
        <f>_xll.BDH("BLUE US Equity","TRAIL_12M_CAP_EXPEND","FQ2 2019","FQ2 2019","Currency=USD","Period=FQ","BEST_FPERIOD_OVERRIDE=FQ","FILING_STATUS=MR","SCALING_FORMAT=MLN","Sort=A","Dates=H","DateFormat=P","Fill=—","Direction=H","UseDPDF=Y")</f>
        <v>-72.972999999999999</v>
      </c>
      <c r="F8" s="13">
        <f>_xll.BDH("BLUE US Equity","TRAIL_12M_CAP_EXPEND","FQ3 2019","FQ3 2019","Currency=USD","Period=FQ","BEST_FPERIOD_OVERRIDE=FQ","FILING_STATUS=MR","SCALING_FORMAT=MLN","Sort=A","Dates=H","DateFormat=P","Fill=—","Direction=H","UseDPDF=Y")</f>
        <v>-71.531000000000006</v>
      </c>
      <c r="G8" s="13">
        <f>_xll.BDH("BLUE US Equity","TRAIL_12M_CAP_EXPEND","FQ4 2019","FQ4 2019","Currency=USD","Period=FQ","BEST_FPERIOD_OVERRIDE=FQ","FILING_STATUS=MR","SCALING_FORMAT=MLN","Sort=A","Dates=H","DateFormat=P","Fill=—","Direction=H","UseDPDF=Y")</f>
        <v>-71.028000000000006</v>
      </c>
      <c r="H8" s="13">
        <f>_xll.BDH("BLUE US Equity","TRAIL_12M_CAP_EXPEND","FQ1 2020","FQ1 2020","Currency=USD","Period=FQ","BEST_FPERIOD_OVERRIDE=FQ","FILING_STATUS=MR","SCALING_FORMAT=MLN","Sort=A","Dates=H","DateFormat=P","Fill=—","Direction=H","UseDPDF=Y")</f>
        <v>-62.383000000000003</v>
      </c>
      <c r="I8" s="13">
        <f>_xll.BDH("BLUE US Equity","TRAIL_12M_CAP_EXPEND","FQ2 2020","FQ2 2020","Currency=USD","Period=FQ","BEST_FPERIOD_OVERRIDE=FQ","FILING_STATUS=MR","SCALING_FORMAT=MLN","Sort=A","Dates=H","DateFormat=P","Fill=—","Direction=H","UseDPDF=Y")</f>
        <v>-48.581000000000003</v>
      </c>
      <c r="J8" s="13">
        <f>_xll.BDH("BLUE US Equity","TRAIL_12M_CAP_EXPEND","FQ3 2020","FQ3 2020","Currency=USD","Period=FQ","BEST_FPERIOD_OVERRIDE=FQ","FILING_STATUS=MR","SCALING_FORMAT=MLN","Sort=A","Dates=H","DateFormat=P","Fill=—","Direction=H","UseDPDF=Y")</f>
        <v>-33.488</v>
      </c>
      <c r="K8" s="13">
        <f>_xll.BDH("BLUE US Equity","TRAIL_12M_CAP_EXPEND","FQ4 2020","FQ4 2020","Currency=USD","Period=FQ","BEST_FPERIOD_OVERRIDE=FQ","FILING_STATUS=MR","SCALING_FORMAT=MLN","Sort=A","Dates=H","DateFormat=P","Fill=—","Direction=H","UseDPDF=Y")</f>
        <v>-28.986000000000001</v>
      </c>
      <c r="L8" s="13">
        <f>_xll.BDH("BLUE US Equity","TRAIL_12M_CAP_EXPEND","FQ1 2021","FQ1 2021","Currency=USD","Period=FQ","BEST_FPERIOD_OVERRIDE=FQ","FILING_STATUS=MR","SCALING_FORMAT=MLN","Sort=A","Dates=H","DateFormat=P","Fill=—","Direction=H","UseDPDF=Y")</f>
        <v>-25.936</v>
      </c>
      <c r="M8" s="13">
        <f>_xll.BDH("BLUE US Equity","TRAIL_12M_CAP_EXPEND","FQ2 2021","FQ2 2021","Currency=USD","Period=FQ","BEST_FPERIOD_OVERRIDE=FQ","FILING_STATUS=MR","SCALING_FORMAT=MLN","Sort=A","Dates=H","DateFormat=P","Fill=—","Direction=H","UseDPDF=Y")</f>
        <v>-22.712</v>
      </c>
      <c r="N8" s="13">
        <f>_xll.BDH("BLUE US Equity","TRAIL_12M_CAP_EXPEND","FQ3 2021","FQ3 2021","Currency=USD","Period=FQ","BEST_FPERIOD_OVERRIDE=FQ","FILING_STATUS=MR","SCALING_FORMAT=MLN","Sort=A","Dates=H","DateFormat=P","Fill=—","Direction=H","UseDPDF=Y")</f>
        <v>-20.832000000000001</v>
      </c>
      <c r="O8" s="13">
        <f>_xll.BDH("BLUE US Equity","TRAIL_12M_CAP_EXPEND","FQ4 2021","FQ4 2021","Currency=USD","Period=FQ","BEST_FPERIOD_OVERRIDE=FQ","FILING_STATUS=MR","SCALING_FORMAT=MLN","Sort=A","Dates=H","DateFormat=P","Fill=—","Direction=H","UseDPDF=Y")</f>
        <v>-14.503</v>
      </c>
      <c r="P8" s="13">
        <f>_xll.BDH("BLUE US Equity","TRAIL_12M_CAP_EXPEND","FQ1 2022","FQ1 2022","Currency=USD","Period=FQ","BEST_FPERIOD_OVERRIDE=FQ","FILING_STATUS=MR","SCALING_FORMAT=MLN","Sort=A","Dates=H","DateFormat=P","Fill=—","Direction=H","UseDPDF=Y")</f>
        <v>-7.734</v>
      </c>
      <c r="Q8" s="13">
        <f>_xll.BDH("BLUE US Equity","TRAIL_12M_CAP_EXPEND","FQ2 2022","FQ2 2022","Currency=USD","Period=FQ","BEST_FPERIOD_OVERRIDE=FQ","FILING_STATUS=MR","SCALING_FORMAT=MLN","Sort=A","Dates=H","DateFormat=P","Fill=—","Direction=H","UseDPDF=Y")</f>
        <v>-12.135</v>
      </c>
      <c r="R8" s="13">
        <f>_xll.BDH("BLUE US Equity","TRAIL_12M_CAP_EXPEND","FQ3 2022","FQ3 2022","Currency=USD","Period=FQ","BEST_FPERIOD_OVERRIDE=FQ","FILING_STATUS=MR","SCALING_FORMAT=MLN","Sort=A","Dates=H","DateFormat=P","Fill=—","Direction=H","UseDPDF=Y")</f>
        <v>-9.6590000000000007</v>
      </c>
      <c r="S8" s="13">
        <f>_xll.BDH("BLUE US Equity","TRAIL_12M_CAP_EXPEND","FQ4 2022","FQ4 2022","Currency=USD","Period=FQ","BEST_FPERIOD_OVERRIDE=FQ","FILING_STATUS=MR","SCALING_FORMAT=MLN","Sort=A","Dates=H","DateFormat=P","Fill=—","Direction=H","UseDPDF=Y")</f>
        <v>-8.2080000000000002</v>
      </c>
      <c r="T8" s="13">
        <f>_xll.BDH("BLUE US Equity","TRAIL_12M_CAP_EXPEND","FQ1 2023","FQ1 2023","Currency=USD","Period=FQ","BEST_FPERIOD_OVERRIDE=FQ","FILING_STATUS=MR","SCALING_FORMAT=MLN","Sort=A","Dates=H","DateFormat=P","Fill=—","Direction=H","UseDPDF=Y")</f>
        <v>-7.5830000000000002</v>
      </c>
      <c r="U8" s="13">
        <f>_xll.BDH("BLUE US Equity","TRAIL_12M_CAP_EXPEND","FQ2 2023","FQ2 2023","Currency=USD","Period=FQ","BEST_FPERIOD_OVERRIDE=FQ","FILING_STATUS=MR","SCALING_FORMAT=MLN","Sort=A","Dates=H","DateFormat=P","Fill=—","Direction=H","UseDPDF=Y")</f>
        <v>-2.3090000000000002</v>
      </c>
      <c r="V8" s="13">
        <f>_xll.BDH("BLUE US Equity","TRAIL_12M_CAP_EXPEND","FQ3 2023","FQ3 2023","Currency=USD","Period=FQ","BEST_FPERIOD_OVERRIDE=FQ","FILING_STATUS=MR","SCALING_FORMAT=MLN","Sort=A","Dates=H","DateFormat=P","Fill=—","Direction=H","UseDPDF=Y")</f>
        <v>-3.0830000000000002</v>
      </c>
      <c r="W8" s="13">
        <f>_xll.BDH("BLUE US Equity","TRAIL_12M_CAP_EXPEND","FQ4 2023","FQ4 2023","Currency=USD","Period=FQ","BEST_FPERIOD_OVERRIDE=FQ","FILING_STATUS=MR","SCALING_FORMAT=MLN","Sort=A","Dates=H","DateFormat=P","Fill=—","Direction=H","UseDPDF=Y")</f>
        <v>-4.1890000000000001</v>
      </c>
      <c r="X8" s="13">
        <f>_xll.BDH("BLUE US Equity","TRAIL_12M_CAP_EXPEND","FQ1 2024","FQ1 2024","Currency=USD","Period=FQ","BEST_FPERIOD_OVERRIDE=FQ","FILING_STATUS=MR","SCALING_FORMAT=MLN","Sort=A","Dates=H","DateFormat=P","Fill=—","Direction=H","UseDPDF=Y")</f>
        <v>-5.7320000000000002</v>
      </c>
      <c r="Y8" s="13">
        <f>_xll.BDH("BLUE US Equity","TRAIL_12M_CAP_EXPEND","FQ2 2024","FQ2 2024","Currency=USD","Period=FQ","BEST_FPERIOD_OVERRIDE=FQ","FILING_STATUS=MR","SCALING_FORMAT=MLN","Sort=A","Dates=H","DateFormat=P","Fill=—","Direction=H","UseDPDF=Y")</f>
        <v>-5.0860000000000003</v>
      </c>
      <c r="Z8" s="13">
        <f>_xll.BDH("BLUE US Equity","TRAIL_12M_CAP_EXPEND","FQ3 2024","FQ3 2024","Currency=USD","Period=FQ","BEST_FPERIOD_OVERRIDE=FQ","FILING_STATUS=MR","SCALING_FORMAT=MLN","Sort=A","Dates=H","DateFormat=P","Fill=—","Direction=H","UseDPDF=Y")</f>
        <v>-3.3279999999999998</v>
      </c>
      <c r="AA8" s="13">
        <f>_xll.BDH("BLUE US Equity","TRAIL_12M_CAP_EXPEND","FQ4 2024","FQ4 2024","Currency=USD","Period=FQ","BEST_FPERIOD_OVERRIDE=FQ","FILING_STATUS=MR","SCALING_FORMAT=MLN","Sort=A","Dates=H","DateFormat=P","Fill=—","Direction=H","UseDPDF=Y")</f>
        <v>-2.5990000000000002</v>
      </c>
    </row>
    <row r="9" spans="1:27" x14ac:dyDescent="0.25">
      <c r="A9" s="6" t="s">
        <v>88</v>
      </c>
      <c r="B9" s="6" t="s">
        <v>1423</v>
      </c>
      <c r="C9" s="19">
        <f>_xll.BDH("BLUE US Equity","TRAIL_12M_FREE_CASH_FLOW","FQ4 2018","FQ4 2018","Currency=USD","Period=FQ","BEST_FPERIOD_OVERRIDE=FQ","FILING_STATUS=MR","SCALING_FORMAT=MLN","Sort=A","Dates=H","DateFormat=P","Fill=—","Direction=H","UseDPDF=Y")</f>
        <v>-469.16300000000001</v>
      </c>
      <c r="D9" s="19">
        <f>_xll.BDH("BLUE US Equity","TRAIL_12M_FREE_CASH_FLOW","FQ1 2019","FQ1 2019","Currency=USD","Period=FQ","BEST_FPERIOD_OVERRIDE=FQ","FILING_STATUS=MR","SCALING_FORMAT=MLN","Sort=A","Dates=H","DateFormat=P","Fill=—","Direction=H","UseDPDF=Y")</f>
        <v>-526.36400000000003</v>
      </c>
      <c r="E9" s="19">
        <f>_xll.BDH("BLUE US Equity","TRAIL_12M_FREE_CASH_FLOW","FQ2 2019","FQ2 2019","Currency=USD","Period=FQ","BEST_FPERIOD_OVERRIDE=FQ","FILING_STATUS=MR","SCALING_FORMAT=MLN","Sort=A","Dates=H","DateFormat=P","Fill=—","Direction=H","UseDPDF=Y")</f>
        <v>-569.20399999999995</v>
      </c>
      <c r="F9" s="19">
        <f>_xll.BDH("BLUE US Equity","TRAIL_12M_FREE_CASH_FLOW","FQ3 2019","FQ3 2019","Currency=USD","Period=FQ","BEST_FPERIOD_OVERRIDE=FQ","FILING_STATUS=MR","SCALING_FORMAT=MLN","Sort=A","Dates=H","DateFormat=P","Fill=—","Direction=H","UseDPDF=Y")</f>
        <v>-606.66999999999996</v>
      </c>
      <c r="G9" s="19">
        <f>_xll.BDH("BLUE US Equity","TRAIL_12M_FREE_CASH_FLOW","FQ4 2019","FQ4 2019","Currency=USD","Period=FQ","BEST_FPERIOD_OVERRIDE=FQ","FILING_STATUS=MR","SCALING_FORMAT=MLN","Sort=A","Dates=H","DateFormat=P","Fill=—","Direction=H","UseDPDF=Y")</f>
        <v>-635.41200000000003</v>
      </c>
      <c r="H9" s="19">
        <f>_xll.BDH("BLUE US Equity","TRAIL_12M_FREE_CASH_FLOW","FQ1 2020","FQ1 2020","Currency=USD","Period=FQ","BEST_FPERIOD_OVERRIDE=FQ","FILING_STATUS=MR","SCALING_FORMAT=MLN","Sort=A","Dates=H","DateFormat=P","Fill=—","Direction=H","UseDPDF=Y")</f>
        <v>-678.73400000000004</v>
      </c>
      <c r="I9" s="19">
        <f>_xll.BDH("BLUE US Equity","TRAIL_12M_FREE_CASH_FLOW","FQ2 2020","FQ2 2020","Currency=USD","Period=FQ","BEST_FPERIOD_OVERRIDE=FQ","FILING_STATUS=MR","SCALING_FORMAT=MLN","Sort=A","Dates=H","DateFormat=P","Fill=—","Direction=H","UseDPDF=Y")</f>
        <v>-487.31599999999997</v>
      </c>
      <c r="J9" s="19">
        <f>_xll.BDH("BLUE US Equity","TRAIL_12M_FREE_CASH_FLOW","FQ3 2020","FQ3 2020","Currency=USD","Period=FQ","BEST_FPERIOD_OVERRIDE=FQ","FILING_STATUS=MR","SCALING_FORMAT=MLN","Sort=A","Dates=H","DateFormat=P","Fill=—","Direction=H","UseDPDF=Y")</f>
        <v>-507.62200000000001</v>
      </c>
      <c r="K9" s="19">
        <f>_xll.BDH("BLUE US Equity","TRAIL_12M_FREE_CASH_FLOW","FQ4 2020","FQ4 2020","Currency=USD","Period=FQ","BEST_FPERIOD_OVERRIDE=FQ","FILING_STATUS=MR","SCALING_FORMAT=MLN","Sort=A","Dates=H","DateFormat=P","Fill=—","Direction=H","UseDPDF=Y")</f>
        <v>-499.33699999999999</v>
      </c>
      <c r="L9" s="19">
        <f>_xll.BDH("BLUE US Equity","TRAIL_12M_FREE_CASH_FLOW","FQ1 2021","FQ1 2021","Currency=USD","Period=FQ","BEST_FPERIOD_OVERRIDE=FQ","FILING_STATUS=MR","SCALING_FORMAT=MLN","Sort=A","Dates=H","DateFormat=P","Fill=—","Direction=H","UseDPDF=Y")</f>
        <v>-493.49299999999999</v>
      </c>
      <c r="M9" s="19">
        <f>_xll.BDH("BLUE US Equity","TRAIL_12M_FREE_CASH_FLOW","FQ2 2021","FQ2 2021","Currency=USD","Period=FQ","BEST_FPERIOD_OVERRIDE=FQ","FILING_STATUS=MR","SCALING_FORMAT=MLN","Sort=A","Dates=H","DateFormat=P","Fill=—","Direction=H","UseDPDF=Y")</f>
        <v>-675.66</v>
      </c>
      <c r="N9" s="19">
        <f>_xll.BDH("BLUE US Equity","TRAIL_12M_FREE_CASH_FLOW","FQ3 2021","FQ3 2021","Currency=USD","Period=FQ","BEST_FPERIOD_OVERRIDE=FQ","FILING_STATUS=MR","SCALING_FORMAT=MLN","Sort=A","Dates=H","DateFormat=P","Fill=—","Direction=H","UseDPDF=Y")</f>
        <v>-671.93899999999996</v>
      </c>
      <c r="O9" s="19">
        <f>_xll.BDH("BLUE US Equity","TRAIL_12M_FREE_CASH_FLOW","FQ4 2021","FQ4 2021","Currency=USD","Period=FQ","BEST_FPERIOD_OVERRIDE=FQ","FILING_STATUS=MR","SCALING_FORMAT=MLN","Sort=A","Dates=H","DateFormat=P","Fill=—","Direction=H","UseDPDF=Y")</f>
        <v>-650.14200000000005</v>
      </c>
      <c r="P9" s="19">
        <f>_xll.BDH("BLUE US Equity","TRAIL_12M_FREE_CASH_FLOW","FQ1 2022","FQ1 2022","Currency=USD","Period=FQ","BEST_FPERIOD_OVERRIDE=FQ","FILING_STATUS=MR","SCALING_FORMAT=MLN","Sort=A","Dates=H","DateFormat=P","Fill=—","Direction=H","UseDPDF=Y")</f>
        <v>-565.34199999999998</v>
      </c>
      <c r="Q9" s="19">
        <f>_xll.BDH("BLUE US Equity","TRAIL_12M_FREE_CASH_FLOW","FQ2 2022","FQ2 2022","Currency=USD","Period=FQ","BEST_FPERIOD_OVERRIDE=FQ","FILING_STATUS=MR","SCALING_FORMAT=MLN","Sort=A","Dates=H","DateFormat=P","Fill=—","Direction=H","UseDPDF=Y")</f>
        <v>-518.45299999999997</v>
      </c>
      <c r="R9" s="19">
        <f>_xll.BDH("BLUE US Equity","TRAIL_12M_FREE_CASH_FLOW","FQ3 2022","FQ3 2022","Currency=USD","Period=FQ","BEST_FPERIOD_OVERRIDE=FQ","FILING_STATUS=MR","SCALING_FORMAT=MLN","Sort=A","Dates=H","DateFormat=P","Fill=—","Direction=H","UseDPDF=Y")</f>
        <v>-446.06400000000002</v>
      </c>
      <c r="S9" s="19">
        <f>_xll.BDH("BLUE US Equity","TRAIL_12M_FREE_CASH_FLOW","FQ4 2022","FQ4 2022","Currency=USD","Period=FQ","BEST_FPERIOD_OVERRIDE=FQ","FILING_STATUS=MR","SCALING_FORMAT=MLN","Sort=A","Dates=H","DateFormat=P","Fill=—","Direction=H","UseDPDF=Y")</f>
        <v>-324.42700000000002</v>
      </c>
      <c r="T9" s="19">
        <f>_xll.BDH("BLUE US Equity","TRAIL_12M_FREE_CASH_FLOW","FQ1 2023","FQ1 2023","Currency=USD","Period=FQ","BEST_FPERIOD_OVERRIDE=FQ","FILING_STATUS=MR","SCALING_FORMAT=MLN","Sort=A","Dates=H","DateFormat=P","Fill=—","Direction=H","UseDPDF=Y")</f>
        <v>-269.86399999999998</v>
      </c>
      <c r="U9" s="19">
        <f>_xll.BDH("BLUE US Equity","TRAIL_12M_FREE_CASH_FLOW","FQ2 2023","FQ2 2023","Currency=USD","Period=FQ","BEST_FPERIOD_OVERRIDE=FQ","FILING_STATUS=MR","SCALING_FORMAT=MLN","Sort=A","Dates=H","DateFormat=P","Fill=—","Direction=H","UseDPDF=Y")</f>
        <v>-229.733</v>
      </c>
      <c r="V9" s="19">
        <f>_xll.BDH("BLUE US Equity","TRAIL_12M_FREE_CASH_FLOW","FQ3 2023","FQ3 2023","Currency=USD","Period=FQ","BEST_FPERIOD_OVERRIDE=FQ","FILING_STATUS=MR","SCALING_FORMAT=MLN","Sort=A","Dates=H","DateFormat=P","Fill=—","Direction=H","UseDPDF=Y")</f>
        <v>-203.53200000000001</v>
      </c>
      <c r="W9" s="19">
        <f>_xll.BDH("BLUE US Equity","TRAIL_12M_FREE_CASH_FLOW","FQ4 2023","FQ4 2023","Currency=USD","Period=FQ","BEST_FPERIOD_OVERRIDE=FQ","FILING_STATUS=MR","SCALING_FORMAT=MLN","Sort=A","Dates=H","DateFormat=P","Fill=—","Direction=H","UseDPDF=Y")</f>
        <v>-198.93600000000001</v>
      </c>
      <c r="X9" s="19">
        <f>_xll.BDH("BLUE US Equity","TRAIL_12M_FREE_CASH_FLOW","FQ1 2024","FQ1 2024","Currency=USD","Period=FQ","BEST_FPERIOD_OVERRIDE=FQ","FILING_STATUS=MR","SCALING_FORMAT=MLN","Sort=A","Dates=H","DateFormat=P","Fill=—","Direction=H","UseDPDF=Y")</f>
        <v>-203.797</v>
      </c>
      <c r="Y9" s="19">
        <f>_xll.BDH("BLUE US Equity","TRAIL_12M_FREE_CASH_FLOW","FQ2 2024","FQ2 2024","Currency=USD","Period=FQ","BEST_FPERIOD_OVERRIDE=FQ","FILING_STATUS=MR","SCALING_FORMAT=MLN","Sort=A","Dates=H","DateFormat=P","Fill=—","Direction=H","UseDPDF=Y")</f>
        <v>-209.90199999999999</v>
      </c>
      <c r="Z9" s="19">
        <f>_xll.BDH("BLUE US Equity","TRAIL_12M_FREE_CASH_FLOW","FQ3 2024","FQ3 2024","Currency=USD","Period=FQ","BEST_FPERIOD_OVERRIDE=FQ","FILING_STATUS=MR","SCALING_FORMAT=MLN","Sort=A","Dates=H","DateFormat=P","Fill=—","Direction=H","UseDPDF=Y")</f>
        <v>-227.02099999999999</v>
      </c>
      <c r="AA9" s="19">
        <f>_xll.BDH("BLUE US Equity","TRAIL_12M_FREE_CASH_FLOW","FQ4 2024","FQ4 2024","Currency=USD","Period=FQ","BEST_FPERIOD_OVERRIDE=FQ","FILING_STATUS=MR","SCALING_FORMAT=MLN","Sort=A","Dates=H","DateFormat=P","Fill=—","Direction=H","UseDPDF=Y")</f>
        <v>-262.61900000000003</v>
      </c>
    </row>
    <row r="10" spans="1:27" x14ac:dyDescent="0.25">
      <c r="A10" s="11" t="s">
        <v>59</v>
      </c>
      <c r="B10" s="11" t="s">
        <v>60</v>
      </c>
      <c r="C10" s="25">
        <f>_xll.BDH("BLUE US Equity","HISTORICAL_MARKET_CAP","FQ4 2018","FQ4 2018","Currency=USD","Period=FQ","BEST_FPERIOD_OVERRIDE=FQ","FILING_STATUS=MR","SCALING_FORMAT=MLN","Sort=A","Dates=H","DateFormat=P","Fill=—","Direction=H","UseDPDF=Y")</f>
        <v>5430.0096000000003</v>
      </c>
      <c r="D10" s="25">
        <f>_xll.BDH("BLUE US Equity","HISTORICAL_MARKET_CAP","FQ1 2019","FQ1 2019","Currency=USD","Period=FQ","BEST_FPERIOD_OVERRIDE=FQ","FILING_STATUS=MR","SCALING_FORMAT=MLN","Sort=A","Dates=H","DateFormat=P","Fill=—","Direction=H","UseDPDF=Y")</f>
        <v>8664.0058000000008</v>
      </c>
      <c r="E10" s="25">
        <f>_xll.BDH("BLUE US Equity","HISTORICAL_MARKET_CAP","FQ2 2019","FQ2 2019","Currency=USD","Period=FQ","BEST_FPERIOD_OVERRIDE=FQ","FILING_STATUS=MR","SCALING_FORMAT=MLN","Sort=A","Dates=H","DateFormat=P","Fill=—","Direction=H","UseDPDF=Y")</f>
        <v>7025.0015999999996</v>
      </c>
      <c r="F10" s="25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G10" s="25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H10" s="25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I10" s="25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J10" s="25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K10" s="25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L10" s="25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M10" s="25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N10" s="25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O10" s="25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P10" s="25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Q10" s="25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R10" s="25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S10" s="25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T10" s="25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U10" s="25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V10" s="25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W10" s="25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X10" s="25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Y10" s="25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Z10" s="25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AA10" s="25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</row>
    <row r="11" spans="1:27" x14ac:dyDescent="0.25">
      <c r="A11" s="6" t="s">
        <v>1424</v>
      </c>
      <c r="B11" s="6" t="s">
        <v>1425</v>
      </c>
      <c r="C11" s="20">
        <f>_xll.BDH("BLUE US Equity","FREE_CASH_FLOW_YIELD","FQ4 2018","FQ4 2018","Currency=USD","Period=FQ","BEST_FPERIOD_OVERRIDE=FQ","FILING_STATUS=MR","Sort=A","Dates=H","DateFormat=P","Fill=—","Direction=H","UseDPDF=Y")</f>
        <v>-9.0881000000000007</v>
      </c>
      <c r="D11" s="20">
        <f>_xll.BDH("BLUE US Equity","FREE_CASH_FLOW_YIELD","FQ1 2019","FQ1 2019","Currency=USD","Period=FQ","BEST_FPERIOD_OVERRIDE=FQ","FILING_STATUS=MR","Sort=A","Dates=H","DateFormat=P","Fill=—","Direction=H","UseDPDF=Y")</f>
        <v>-6.2561999999999998</v>
      </c>
      <c r="E11" s="20">
        <f>_xll.BDH("BLUE US Equity","FREE_CASH_FLOW_YIELD","FQ2 2019","FQ2 2019","Currency=USD","Period=FQ","BEST_FPERIOD_OVERRIDE=FQ","FILING_STATUS=MR","Sort=A","Dates=H","DateFormat=P","Fill=—","Direction=H","UseDPDF=Y")</f>
        <v>-8.1867999999999999</v>
      </c>
      <c r="F11" s="20">
        <f>_xll.BDH("BLUE US Equity","FREE_CASH_FLOW_YIELD","FQ3 2019","FQ3 2019","Currency=USD","Period=FQ","BEST_FPERIOD_OVERRIDE=FQ","FILING_STATUS=MR","Sort=A","Dates=H","DateFormat=P","Fill=—","Direction=H","UseDPDF=Y")</f>
        <v>-12.007300000000001</v>
      </c>
      <c r="G11" s="20">
        <f>_xll.BDH("BLUE US Equity","FREE_CASH_FLOW_YIELD","FQ4 2019","FQ4 2019","Currency=USD","Period=FQ","BEST_FPERIOD_OVERRIDE=FQ","FILING_STATUS=MR","Sort=A","Dates=H","DateFormat=P","Fill=—","Direction=H","UseDPDF=Y")</f>
        <v>-13.1221</v>
      </c>
      <c r="H11" s="20">
        <f>_xll.BDH("BLUE US Equity","FREE_CASH_FLOW_YIELD","FQ1 2020","FQ1 2020","Currency=USD","Period=FQ","BEST_FPERIOD_OVERRIDE=FQ","FILING_STATUS=MR","Sort=A","Dates=H","DateFormat=P","Fill=—","Direction=H","UseDPDF=Y")</f>
        <v>-26.671099999999999</v>
      </c>
      <c r="I11" s="20">
        <f>_xll.BDH("BLUE US Equity","FREE_CASH_FLOW_YIELD","FQ2 2020","FQ2 2020","Currency=USD","Period=FQ","BEST_FPERIOD_OVERRIDE=FQ","FILING_STATUS=MR","Sort=A","Dates=H","DateFormat=P","Fill=—","Direction=H","UseDPDF=Y")</f>
        <v>-14.487</v>
      </c>
      <c r="J11" s="20">
        <f>_xll.BDH("BLUE US Equity","FREE_CASH_FLOW_YIELD","FQ3 2020","FQ3 2020","Currency=USD","Period=FQ","BEST_FPERIOD_OVERRIDE=FQ","FILING_STATUS=MR","Sort=A","Dates=H","DateFormat=P","Fill=—","Direction=H","UseDPDF=Y")</f>
        <v>-16.215399999999999</v>
      </c>
      <c r="K11" s="20">
        <f>_xll.BDH("BLUE US Equity","FREE_CASH_FLOW_YIELD","FQ4 2020","FQ4 2020","Currency=USD","Period=FQ","BEST_FPERIOD_OVERRIDE=FQ","FILING_STATUS=MR","Sort=A","Dates=H","DateFormat=P","Fill=—","Direction=H","UseDPDF=Y")</f>
        <v>-18.738199999999999</v>
      </c>
      <c r="L11" s="20">
        <f>_xll.BDH("BLUE US Equity","FREE_CASH_FLOW_YIELD","FQ1 2021","FQ1 2021","Currency=USD","Period=FQ","BEST_FPERIOD_OVERRIDE=FQ","FILING_STATUS=MR","Sort=A","Dates=H","DateFormat=P","Fill=—","Direction=H","UseDPDF=Y")</f>
        <v>-24.4039</v>
      </c>
      <c r="M11" s="20">
        <f>_xll.BDH("BLUE US Equity","FREE_CASH_FLOW_YIELD","FQ2 2021","FQ2 2021","Currency=USD","Period=FQ","BEST_FPERIOD_OVERRIDE=FQ","FILING_STATUS=MR","Sort=A","Dates=H","DateFormat=P","Fill=—","Direction=H","UseDPDF=Y")</f>
        <v>-31.638500000000001</v>
      </c>
      <c r="N11" s="20">
        <f>_xll.BDH("BLUE US Equity","FREE_CASH_FLOW_YIELD","FQ3 2021","FQ3 2021","Currency=USD","Period=FQ","BEST_FPERIOD_OVERRIDE=FQ","FILING_STATUS=MR","Sort=A","Dates=H","DateFormat=P","Fill=—","Direction=H","UseDPDF=Y")</f>
        <v>-52.241100000000003</v>
      </c>
      <c r="O11" s="20">
        <f>_xll.BDH("BLUE US Equity","FREE_CASH_FLOW_YIELD","FQ4 2021","FQ4 2021","Currency=USD","Period=FQ","BEST_FPERIOD_OVERRIDE=FQ","FILING_STATUS=MR","Sort=A","Dates=H","DateFormat=P","Fill=—","Direction=H","UseDPDF=Y")</f>
        <v>-94.853300000000004</v>
      </c>
      <c r="P11" s="20">
        <f>_xll.BDH("BLUE US Equity","FREE_CASH_FLOW_YIELD","FQ1 2022","FQ1 2022","Currency=USD","Period=FQ","BEST_FPERIOD_OVERRIDE=FQ","FILING_STATUS=MR","Sort=A","Dates=H","DateFormat=P","Fill=—","Direction=H","UseDPDF=Y")</f>
        <v>-165.73500000000001</v>
      </c>
      <c r="Q11" s="20">
        <f>_xll.BDH("BLUE US Equity","FREE_CASH_FLOW_YIELD","FQ2 2022","FQ2 2022","Currency=USD","Period=FQ","BEST_FPERIOD_OVERRIDE=FQ","FILING_STATUS=MR","Sort=A","Dates=H","DateFormat=P","Fill=—","Direction=H","UseDPDF=Y")</f>
        <v>-174.3186</v>
      </c>
      <c r="R11" s="20">
        <f>_xll.BDH("BLUE US Equity","FREE_CASH_FLOW_YIELD","FQ3 2022","FQ3 2022","Currency=USD","Period=FQ","BEST_FPERIOD_OVERRIDE=FQ","FILING_STATUS=MR","Sort=A","Dates=H","DateFormat=P","Fill=—","Direction=H","UseDPDF=Y")</f>
        <v>-94.487899999999996</v>
      </c>
      <c r="S11" s="20">
        <f>_xll.BDH("BLUE US Equity","FREE_CASH_FLOW_YIELD","FQ4 2022","FQ4 2022","Currency=USD","Period=FQ","BEST_FPERIOD_OVERRIDE=FQ","FILING_STATUS=MR","Sort=A","Dates=H","DateFormat=P","Fill=—","Direction=H","UseDPDF=Y")</f>
        <v>-61.596800000000002</v>
      </c>
      <c r="T11" s="20">
        <f>_xll.BDH("BLUE US Equity","FREE_CASH_FLOW_YIELD","FQ1 2023","FQ1 2023","Currency=USD","Period=FQ","BEST_FPERIOD_OVERRIDE=FQ","FILING_STATUS=MR","Sort=A","Dates=H","DateFormat=P","Fill=—","Direction=H","UseDPDF=Y")</f>
        <v>-102.07859999999999</v>
      </c>
      <c r="U11" s="20">
        <f>_xll.BDH("BLUE US Equity","FREE_CASH_FLOW_YIELD","FQ2 2023","FQ2 2023","Currency=USD","Period=FQ","BEST_FPERIOD_OVERRIDE=FQ","FILING_STATUS=MR","Sort=A","Dates=H","DateFormat=P","Fill=—","Direction=H","UseDPDF=Y")</f>
        <v>-74.159899999999993</v>
      </c>
      <c r="V11" s="20">
        <f>_xll.BDH("BLUE US Equity","FREE_CASH_FLOW_YIELD","FQ3 2023","FQ3 2023","Currency=USD","Period=FQ","BEST_FPERIOD_OVERRIDE=FQ","FILING_STATUS=MR","Sort=A","Dates=H","DateFormat=P","Fill=—","Direction=H","UseDPDF=Y")</f>
        <v>-64.381699999999995</v>
      </c>
      <c r="W11" s="20">
        <f>_xll.BDH("BLUE US Equity","FREE_CASH_FLOW_YIELD","FQ4 2023","FQ4 2023","Currency=USD","Period=FQ","BEST_FPERIOD_OVERRIDE=FQ","FILING_STATUS=MR","Sort=A","Dates=H","DateFormat=P","Fill=—","Direction=H","UseDPDF=Y")</f>
        <v>-134.34049999999999</v>
      </c>
      <c r="X11" s="20">
        <f>_xll.BDH("BLUE US Equity","FREE_CASH_FLOW_YIELD","FQ1 2024","FQ1 2024","Currency=USD","Period=FQ","BEST_FPERIOD_OVERRIDE=FQ","FILING_STATUS=MR","Sort=A","Dates=H","DateFormat=P","Fill=—","Direction=H","UseDPDF=Y")</f>
        <v>-121.4156</v>
      </c>
      <c r="Y11" s="20">
        <f>_xll.BDH("BLUE US Equity","FREE_CASH_FLOW_YIELD","FQ2 2024","FQ2 2024","Currency=USD","Period=FQ","BEST_FPERIOD_OVERRIDE=FQ","FILING_STATUS=MR","Sort=A","Dates=H","DateFormat=P","Fill=—","Direction=H","UseDPDF=Y")</f>
        <v>-136.4032</v>
      </c>
      <c r="Z11" s="20">
        <f>_xll.BDH("BLUE US Equity","FREE_CASH_FLOW_YIELD","FQ3 2024","FQ3 2024","Currency=USD","Period=FQ","BEST_FPERIOD_OVERRIDE=FQ","FILING_STATUS=MR","Sort=A","Dates=H","DateFormat=P","Fill=—","Direction=H","UseDPDF=Y")</f>
        <v>-235.22</v>
      </c>
      <c r="AA11" s="20">
        <f>_xll.BDH("BLUE US Equity","FREE_CASH_FLOW_YIELD","FQ4 2024","FQ4 2024","Currency=USD","Period=FQ","BEST_FPERIOD_OVERRIDE=FQ","FILING_STATUS=MR","Sort=A","Dates=H","DateFormat=P","Fill=—","Direction=H","UseDPDF=Y")</f>
        <v>-325.15449999999998</v>
      </c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x14ac:dyDescent="0.25">
      <c r="A13" s="10" t="s">
        <v>1426</v>
      </c>
      <c r="B13" s="10" t="s">
        <v>1427</v>
      </c>
      <c r="C13" s="13">
        <f>_xll.BDH("BLUE US Equity","T12M_DVDS_PAID","FQ4 2018","FQ4 2018","Currency=USD","Period=FQ","BEST_FPERIOD_OVERRIDE=FQ","FILING_STATUS=MR","SCALING_FORMAT=MLN","Sort=A","Dates=H","DateFormat=P","Fill=—","Direction=H","UseDPDF=Y")</f>
        <v>0</v>
      </c>
      <c r="D13" s="13">
        <f>_xll.BDH("BLUE US Equity","T12M_DVDS_PAID","FQ1 2019","FQ1 2019","Currency=USD","Period=FQ","BEST_FPERIOD_OVERRIDE=FQ","FILING_STATUS=MR","SCALING_FORMAT=MLN","Sort=A","Dates=H","DateFormat=P","Fill=—","Direction=H","UseDPDF=Y")</f>
        <v>0</v>
      </c>
      <c r="E13" s="13">
        <f>_xll.BDH("BLUE US Equity","T12M_DVDS_PAID","FQ2 2019","FQ2 2019","Currency=USD","Period=FQ","BEST_FPERIOD_OVERRIDE=FQ","FILING_STATUS=MR","SCALING_FORMAT=MLN","Sort=A","Dates=H","DateFormat=P","Fill=—","Direction=H","UseDPDF=Y")</f>
        <v>0</v>
      </c>
      <c r="F13" s="13">
        <f>_xll.BDH("BLUE US Equity","T12M_DVDS_PAID","FQ3 2019","FQ3 2019","Currency=USD","Period=FQ","BEST_FPERIOD_OVERRIDE=FQ","FILING_STATUS=MR","SCALING_FORMAT=MLN","Sort=A","Dates=H","DateFormat=P","Fill=—","Direction=H","UseDPDF=Y")</f>
        <v>0</v>
      </c>
      <c r="G13" s="13">
        <f>_xll.BDH("BLUE US Equity","T12M_DVDS_PAID","FQ4 2019","FQ4 2019","Currency=USD","Period=FQ","BEST_FPERIOD_OVERRIDE=FQ","FILING_STATUS=MR","SCALING_FORMAT=MLN","Sort=A","Dates=H","DateFormat=P","Fill=—","Direction=H","UseDPDF=Y")</f>
        <v>0</v>
      </c>
      <c r="H13" s="13">
        <f>_xll.BDH("BLUE US Equity","T12M_DVDS_PAID","FQ1 2020","FQ1 2020","Currency=USD","Period=FQ","BEST_FPERIOD_OVERRIDE=FQ","FILING_STATUS=MR","SCALING_FORMAT=MLN","Sort=A","Dates=H","DateFormat=P","Fill=—","Direction=H","UseDPDF=Y")</f>
        <v>0</v>
      </c>
      <c r="I13" s="13">
        <f>_xll.BDH("BLUE US Equity","T12M_DVDS_PAID","FQ2 2020","FQ2 2020","Currency=USD","Period=FQ","BEST_FPERIOD_OVERRIDE=FQ","FILING_STATUS=MR","SCALING_FORMAT=MLN","Sort=A","Dates=H","DateFormat=P","Fill=—","Direction=H","UseDPDF=Y")</f>
        <v>0</v>
      </c>
      <c r="J13" s="13">
        <f>_xll.BDH("BLUE US Equity","T12M_DVDS_PAID","FQ3 2020","FQ3 2020","Currency=USD","Period=FQ","BEST_FPERIOD_OVERRIDE=FQ","FILING_STATUS=MR","SCALING_FORMAT=MLN","Sort=A","Dates=H","DateFormat=P","Fill=—","Direction=H","UseDPDF=Y")</f>
        <v>0</v>
      </c>
      <c r="K13" s="13">
        <f>_xll.BDH("BLUE US Equity","T12M_DVDS_PAID","FQ4 2020","FQ4 2020","Currency=USD","Period=FQ","BEST_FPERIOD_OVERRIDE=FQ","FILING_STATUS=MR","SCALING_FORMAT=MLN","Sort=A","Dates=H","DateFormat=P","Fill=—","Direction=H","UseDPDF=Y")</f>
        <v>0</v>
      </c>
      <c r="L13" s="13">
        <f>_xll.BDH("BLUE US Equity","T12M_DVDS_PAID","FQ1 2021","FQ1 2021","Currency=USD","Period=FQ","BEST_FPERIOD_OVERRIDE=FQ","FILING_STATUS=MR","SCALING_FORMAT=MLN","Sort=A","Dates=H","DateFormat=P","Fill=—","Direction=H","UseDPDF=Y")</f>
        <v>0</v>
      </c>
      <c r="M13" s="13">
        <f>_xll.BDH("BLUE US Equity","T12M_DVDS_PAID","FQ2 2021","FQ2 2021","Currency=USD","Period=FQ","BEST_FPERIOD_OVERRIDE=FQ","FILING_STATUS=MR","SCALING_FORMAT=MLN","Sort=A","Dates=H","DateFormat=P","Fill=—","Direction=H","UseDPDF=Y")</f>
        <v>0</v>
      </c>
      <c r="N13" s="13">
        <f>_xll.BDH("BLUE US Equity","T12M_DVDS_PAID","FQ3 2021","FQ3 2021","Currency=USD","Period=FQ","BEST_FPERIOD_OVERRIDE=FQ","FILING_STATUS=MR","SCALING_FORMAT=MLN","Sort=A","Dates=H","DateFormat=P","Fill=—","Direction=H","UseDPDF=Y")</f>
        <v>0</v>
      </c>
      <c r="O13" s="13">
        <f>_xll.BDH("BLUE US Equity","T12M_DVDS_PAID","FQ4 2021","FQ4 2021","Currency=USD","Period=FQ","BEST_FPERIOD_OVERRIDE=FQ","FILING_STATUS=MR","SCALING_FORMAT=MLN","Sort=A","Dates=H","DateFormat=P","Fill=—","Direction=H","UseDPDF=Y")</f>
        <v>0</v>
      </c>
      <c r="P13" s="13">
        <f>_xll.BDH("BLUE US Equity","T12M_DVDS_PAID","FQ1 2022","FQ1 2022","Currency=USD","Period=FQ","BEST_FPERIOD_OVERRIDE=FQ","FILING_STATUS=MR","SCALING_FORMAT=MLN","Sort=A","Dates=H","DateFormat=P","Fill=—","Direction=H","UseDPDF=Y")</f>
        <v>0</v>
      </c>
      <c r="Q13" s="13">
        <f>_xll.BDH("BLUE US Equity","T12M_DVDS_PAID","FQ2 2022","FQ2 2022","Currency=USD","Period=FQ","BEST_FPERIOD_OVERRIDE=FQ","FILING_STATUS=MR","SCALING_FORMAT=MLN","Sort=A","Dates=H","DateFormat=P","Fill=—","Direction=H","UseDPDF=Y")</f>
        <v>0</v>
      </c>
      <c r="R13" s="13">
        <f>_xll.BDH("BLUE US Equity","T12M_DVDS_PAID","FQ3 2022","FQ3 2022","Currency=USD","Period=FQ","BEST_FPERIOD_OVERRIDE=FQ","FILING_STATUS=MR","SCALING_FORMAT=MLN","Sort=A","Dates=H","DateFormat=P","Fill=—","Direction=H","UseDPDF=Y")</f>
        <v>0</v>
      </c>
      <c r="S13" s="13">
        <f>_xll.BDH("BLUE US Equity","T12M_DVDS_PAID","FQ4 2022","FQ4 2022","Currency=USD","Period=FQ","BEST_FPERIOD_OVERRIDE=FQ","FILING_STATUS=MR","SCALING_FORMAT=MLN","Sort=A","Dates=H","DateFormat=P","Fill=—","Direction=H","UseDPDF=Y")</f>
        <v>0</v>
      </c>
      <c r="T13" s="13">
        <f>_xll.BDH("BLUE US Equity","T12M_DVDS_PAID","FQ1 2023","FQ1 2023","Currency=USD","Period=FQ","BEST_FPERIOD_OVERRIDE=FQ","FILING_STATUS=MR","SCALING_FORMAT=MLN","Sort=A","Dates=H","DateFormat=P","Fill=—","Direction=H","UseDPDF=Y")</f>
        <v>0</v>
      </c>
      <c r="U13" s="13">
        <f>_xll.BDH("BLUE US Equity","T12M_DVDS_PAID","FQ2 2023","FQ2 2023","Currency=USD","Period=FQ","BEST_FPERIOD_OVERRIDE=FQ","FILING_STATUS=MR","SCALING_FORMAT=MLN","Sort=A","Dates=H","DateFormat=P","Fill=—","Direction=H","UseDPDF=Y")</f>
        <v>0</v>
      </c>
      <c r="V13" s="13">
        <f>_xll.BDH("BLUE US Equity","T12M_DVDS_PAID","FQ3 2023","FQ3 2023","Currency=USD","Period=FQ","BEST_FPERIOD_OVERRIDE=FQ","FILING_STATUS=MR","SCALING_FORMAT=MLN","Sort=A","Dates=H","DateFormat=P","Fill=—","Direction=H","UseDPDF=Y")</f>
        <v>0</v>
      </c>
      <c r="W13" s="13">
        <f>_xll.BDH("BLUE US Equity","T12M_DVDS_PAID","FQ4 2023","FQ4 2023","Currency=USD","Period=FQ","BEST_FPERIOD_OVERRIDE=FQ","FILING_STATUS=MR","SCALING_FORMAT=MLN","Sort=A","Dates=H","DateFormat=P","Fill=—","Direction=H","UseDPDF=Y")</f>
        <v>0</v>
      </c>
      <c r="X13" s="13">
        <f>_xll.BDH("BLUE US Equity","T12M_DVDS_PAID","FQ1 2024","FQ1 2024","Currency=USD","Period=FQ","BEST_FPERIOD_OVERRIDE=FQ","FILING_STATUS=MR","SCALING_FORMAT=MLN","Sort=A","Dates=H","DateFormat=P","Fill=—","Direction=H","UseDPDF=Y")</f>
        <v>0</v>
      </c>
      <c r="Y13" s="13">
        <f>_xll.BDH("BLUE US Equity","T12M_DVDS_PAID","FQ2 2024","FQ2 2024","Currency=USD","Period=FQ","BEST_FPERIOD_OVERRIDE=FQ","FILING_STATUS=MR","SCALING_FORMAT=MLN","Sort=A","Dates=H","DateFormat=P","Fill=—","Direction=H","UseDPDF=Y")</f>
        <v>0</v>
      </c>
      <c r="Z13" s="13">
        <f>_xll.BDH("BLUE US Equity","T12M_DVDS_PAID","FQ3 2024","FQ3 2024","Currency=USD","Period=FQ","BEST_FPERIOD_OVERRIDE=FQ","FILING_STATUS=MR","SCALING_FORMAT=MLN","Sort=A","Dates=H","DateFormat=P","Fill=—","Direction=H","UseDPDF=Y")</f>
        <v>0</v>
      </c>
      <c r="AA13" s="13">
        <f>_xll.BDH("BLUE US Equity","T12M_DVDS_PAID","FQ4 2024","FQ4 2024","Currency=USD","Period=FQ","BEST_FPERIOD_OVERRIDE=FQ","FILING_STATUS=MR","SCALING_FORMAT=MLN","Sort=A","Dates=H","DateFormat=P","Fill=—","Direction=H","UseDPDF=Y")</f>
        <v>0</v>
      </c>
    </row>
    <row r="14" spans="1:27" x14ac:dyDescent="0.25">
      <c r="A14" s="10" t="s">
        <v>1428</v>
      </c>
      <c r="B14" s="10" t="s">
        <v>1429</v>
      </c>
      <c r="C14" s="13">
        <f>_xll.BDH("BLUE US Equity","T12M_NET_CAPITAL_STOCK","FQ4 2018","FQ4 2018","Currency=USD","Period=FQ","BEST_FPERIOD_OVERRIDE=FQ","FILING_STATUS=MR","SCALING_FORMAT=MLN","Sort=A","Dates=H","DateFormat=P","Fill=—","Direction=H","UseDPDF=Y")</f>
        <v>735.61099999999999</v>
      </c>
      <c r="D14" s="13">
        <f>_xll.BDH("BLUE US Equity","T12M_NET_CAPITAL_STOCK","FQ1 2019","FQ1 2019","Currency=USD","Period=FQ","BEST_FPERIOD_OVERRIDE=FQ","FILING_STATUS=MR","SCALING_FORMAT=MLN","Sort=A","Dates=H","DateFormat=P","Fill=—","Direction=H","UseDPDF=Y")</f>
        <v>677.149</v>
      </c>
      <c r="E14" s="13">
        <f>_xll.BDH("BLUE US Equity","T12M_NET_CAPITAL_STOCK","FQ2 2019","FQ2 2019","Currency=USD","Period=FQ","BEST_FPERIOD_OVERRIDE=FQ","FILING_STATUS=MR","SCALING_FORMAT=MLN","Sort=A","Dates=H","DateFormat=P","Fill=—","Direction=H","UseDPDF=Y")</f>
        <v>676.28899999999999</v>
      </c>
      <c r="F14" s="13">
        <f>_xll.BDH("BLUE US Equity","T12M_NET_CAPITAL_STOCK","FQ3 2019","FQ3 2019","Currency=USD","Period=FQ","BEST_FPERIOD_OVERRIDE=FQ","FILING_STATUS=MR","SCALING_FORMAT=MLN","Sort=A","Dates=H","DateFormat=P","Fill=—","Direction=H","UseDPDF=Y")</f>
        <v>21.391999999999999</v>
      </c>
      <c r="G14" s="13">
        <f>_xll.BDH("BLUE US Equity","T12M_NET_CAPITAL_STOCK","FQ4 2019","FQ4 2019","Currency=USD","Period=FQ","BEST_FPERIOD_OVERRIDE=FQ","FILING_STATUS=MR","SCALING_FORMAT=MLN","Sort=A","Dates=H","DateFormat=P","Fill=—","Direction=H","UseDPDF=Y")</f>
        <v>21.187000000000001</v>
      </c>
      <c r="H14" s="13">
        <f>_xll.BDH("BLUE US Equity","T12M_NET_CAPITAL_STOCK","FQ1 2020","FQ1 2020","Currency=USD","Period=FQ","BEST_FPERIOD_OVERRIDE=FQ","FILING_STATUS=MR","SCALING_FORMAT=MLN","Sort=A","Dates=H","DateFormat=P","Fill=—","Direction=H","UseDPDF=Y")</f>
        <v>11.927</v>
      </c>
      <c r="I14" s="13">
        <f>_xll.BDH("BLUE US Equity","T12M_NET_CAPITAL_STOCK","FQ2 2020","FQ2 2020","Currency=USD","Period=FQ","BEST_FPERIOD_OVERRIDE=FQ","FILING_STATUS=MR","SCALING_FORMAT=MLN","Sort=A","Dates=H","DateFormat=P","Fill=—","Direction=H","UseDPDF=Y")</f>
        <v>548.68200000000002</v>
      </c>
      <c r="J14" s="13">
        <f>_xll.BDH("BLUE US Equity","T12M_NET_CAPITAL_STOCK","FQ3 2020","FQ3 2020","Currency=USD","Period=FQ","BEST_FPERIOD_OVERRIDE=FQ","FILING_STATUS=MR","SCALING_FORMAT=MLN","Sort=A","Dates=H","DateFormat=P","Fill=—","Direction=H","UseDPDF=Y")</f>
        <v>544.50400000000002</v>
      </c>
      <c r="K14" s="13">
        <f>_xll.BDH("BLUE US Equity","T12M_NET_CAPITAL_STOCK","FQ4 2020","FQ4 2020","Currency=USD","Period=FQ","BEST_FPERIOD_OVERRIDE=FQ","FILING_STATUS=MR","SCALING_FORMAT=MLN","Sort=A","Dates=H","DateFormat=P","Fill=—","Direction=H","UseDPDF=Y")</f>
        <v>542.49900000000002</v>
      </c>
      <c r="L14" s="13">
        <f>_xll.BDH("BLUE US Equity","T12M_NET_CAPITAL_STOCK","FQ1 2021","FQ1 2021","Currency=USD","Period=FQ","BEST_FPERIOD_OVERRIDE=FQ","FILING_STATUS=MR","SCALING_FORMAT=MLN","Sort=A","Dates=H","DateFormat=P","Fill=—","Direction=H","UseDPDF=Y")</f>
        <v>545.33199999999999</v>
      </c>
      <c r="M14" s="13">
        <f>_xll.BDH("BLUE US Equity","T12M_NET_CAPITAL_STOCK","FQ2 2021","FQ2 2021","Currency=USD","Period=FQ","BEST_FPERIOD_OVERRIDE=FQ","FILING_STATUS=MR","SCALING_FORMAT=MLN","Sort=A","Dates=H","DateFormat=P","Fill=—","Direction=H","UseDPDF=Y")</f>
        <v>3.7959999999999998</v>
      </c>
      <c r="N14" s="13">
        <f>_xll.BDH("BLUE US Equity","T12M_NET_CAPITAL_STOCK","FQ3 2021","FQ3 2021","Currency=USD","Period=FQ","BEST_FPERIOD_OVERRIDE=FQ","FILING_STATUS=MR","SCALING_FORMAT=MLN","Sort=A","Dates=H","DateFormat=P","Fill=—","Direction=H","UseDPDF=Y")</f>
        <v>78.778000000000006</v>
      </c>
      <c r="O14" s="13">
        <f>_xll.BDH("BLUE US Equity","T12M_NET_CAPITAL_STOCK","FQ4 2021","FQ4 2021","Currency=USD","Period=FQ","BEST_FPERIOD_OVERRIDE=FQ","FILING_STATUS=MR","SCALING_FORMAT=MLN","Sort=A","Dates=H","DateFormat=P","Fill=—","Direction=H","UseDPDF=Y")</f>
        <v>78.771000000000001</v>
      </c>
      <c r="P14" s="13">
        <f>_xll.BDH("BLUE US Equity","T12M_NET_CAPITAL_STOCK","FQ1 2022","FQ1 2022","Currency=USD","Period=FQ","BEST_FPERIOD_OVERRIDE=FQ","FILING_STATUS=MR","SCALING_FORMAT=MLN","Sort=A","Dates=H","DateFormat=P","Fill=—","Direction=H","UseDPDF=Y")</f>
        <v>74.983999999999995</v>
      </c>
      <c r="Q14" s="13">
        <f>_xll.BDH("BLUE US Equity","T12M_NET_CAPITAL_STOCK","FQ2 2022","FQ2 2022","Currency=USD","Period=FQ","BEST_FPERIOD_OVERRIDE=FQ","FILING_STATUS=MR","SCALING_FORMAT=MLN","Sort=A","Dates=H","DateFormat=P","Fill=—","Direction=H","UseDPDF=Y")</f>
        <v>83.018000000000001</v>
      </c>
      <c r="R14" s="13">
        <f>_xll.BDH("BLUE US Equity","T12M_NET_CAPITAL_STOCK","FQ3 2022","FQ3 2022","Currency=USD","Period=FQ","BEST_FPERIOD_OVERRIDE=FQ","FILING_STATUS=MR","SCALING_FORMAT=MLN","Sort=A","Dates=H","DateFormat=P","Fill=—","Direction=H","UseDPDF=Y")</f>
        <v>54.360999999999997</v>
      </c>
      <c r="S14" s="13">
        <f>_xll.BDH("BLUE US Equity","T12M_NET_CAPITAL_STOCK","FQ4 2022","FQ4 2022","Currency=USD","Period=FQ","BEST_FPERIOD_OVERRIDE=FQ","FILING_STATUS=MR","SCALING_FORMAT=MLN","Sort=A","Dates=H","DateFormat=P","Fill=—","Direction=H","UseDPDF=Y")</f>
        <v>54.237000000000002</v>
      </c>
      <c r="T14" s="13">
        <f>_xll.BDH("BLUE US Equity","T12M_NET_CAPITAL_STOCK","FQ1 2023","FQ1 2023","Currency=USD","Period=FQ","BEST_FPERIOD_OVERRIDE=FQ","FILING_STATUS=MR","SCALING_FORMAT=MLN","Sort=A","Dates=H","DateFormat=P","Fill=—","Direction=H","UseDPDF=Y")</f>
        <v>184.88</v>
      </c>
      <c r="U14" s="13">
        <f>_xll.BDH("BLUE US Equity","T12M_NET_CAPITAL_STOCK","FQ2 2023","FQ2 2023","Currency=USD","Period=FQ","BEST_FPERIOD_OVERRIDE=FQ","FILING_STATUS=MR","SCALING_FORMAT=MLN","Sort=A","Dates=H","DateFormat=P","Fill=—","Direction=H","UseDPDF=Y")</f>
        <v>176.40100000000001</v>
      </c>
      <c r="V14" s="13">
        <f>_xll.BDH("BLUE US Equity","T12M_NET_CAPITAL_STOCK","FQ3 2023","FQ3 2023","Currency=USD","Period=FQ","BEST_FPERIOD_OVERRIDE=FQ","FILING_STATUS=MR","SCALING_FORMAT=MLN","Sort=A","Dates=H","DateFormat=P","Fill=—","Direction=H","UseDPDF=Y")</f>
        <v>130.03399999999999</v>
      </c>
      <c r="W14" s="13">
        <f>_xll.BDH("BLUE US Equity","T12M_NET_CAPITAL_STOCK","FQ4 2023","FQ4 2023","Currency=USD","Period=FQ","BEST_FPERIOD_OVERRIDE=FQ","FILING_STATUS=MR","SCALING_FORMAT=MLN","Sort=A","Dates=H","DateFormat=P","Fill=—","Direction=H","UseDPDF=Y")</f>
        <v>248.19800000000001</v>
      </c>
      <c r="X14" s="13">
        <f>_xll.BDH("BLUE US Equity","T12M_NET_CAPITAL_STOCK","FQ1 2024","FQ1 2024","Currency=USD","Period=FQ","BEST_FPERIOD_OVERRIDE=FQ","FILING_STATUS=MR","SCALING_FORMAT=MLN","Sort=A","Dates=H","DateFormat=P","Fill=—","Direction=H","UseDPDF=Y")</f>
        <v>117.54600000000001</v>
      </c>
      <c r="Y14" s="13">
        <f>_xll.BDH("BLUE US Equity","T12M_NET_CAPITAL_STOCK","FQ2 2024","FQ2 2024","Currency=USD","Period=FQ","BEST_FPERIOD_OVERRIDE=FQ","FILING_STATUS=MR","SCALING_FORMAT=MLN","Sort=A","Dates=H","DateFormat=P","Fill=—","Direction=H","UseDPDF=Y")</f>
        <v>117.991</v>
      </c>
      <c r="Z14" s="13">
        <f>_xll.BDH("BLUE US Equity","T12M_NET_CAPITAL_STOCK","FQ3 2024","FQ3 2024","Currency=USD","Period=FQ","BEST_FPERIOD_OVERRIDE=FQ","FILING_STATUS=MR","SCALING_FORMAT=MLN","Sort=A","Dates=H","DateFormat=P","Fill=—","Direction=H","UseDPDF=Y")</f>
        <v>118.033</v>
      </c>
      <c r="AA14" s="13">
        <f>_xll.BDH("BLUE US Equity","T12M_NET_CAPITAL_STOCK","FQ4 2024","FQ4 2024","Currency=USD","Period=FQ","BEST_FPERIOD_OVERRIDE=FQ","FILING_STATUS=MR","SCALING_FORMAT=MLN","Sort=A","Dates=H","DateFormat=P","Fill=—","Direction=H","UseDPDF=Y")</f>
        <v>0</v>
      </c>
    </row>
    <row r="15" spans="1:27" x14ac:dyDescent="0.25">
      <c r="A15" s="10" t="s">
        <v>1430</v>
      </c>
      <c r="B15" s="10" t="s">
        <v>1431</v>
      </c>
      <c r="C15" s="13">
        <f>_xll.BDH("BLUE US Equity","T12M_CHG_ST_BORROWINGS","FQ4 2018","FQ4 2018","Currency=USD","Period=FQ","BEST_FPERIOD_OVERRIDE=FQ","FILING_STATUS=MR","SCALING_FORMAT=MLN","Sort=A","Dates=H","DateFormat=P","Fill=—","Direction=H","UseDPDF=Y")</f>
        <v>0</v>
      </c>
      <c r="D15" s="13">
        <f>_xll.BDH("BLUE US Equity","T12M_CHG_ST_BORROWINGS","FQ1 2019","FQ1 2019","Currency=USD","Period=FQ","BEST_FPERIOD_OVERRIDE=FQ","FILING_STATUS=MR","SCALING_FORMAT=MLN","Sort=A","Dates=H","DateFormat=P","Fill=—","Direction=H","UseDPDF=Y")</f>
        <v>0</v>
      </c>
      <c r="E15" s="13">
        <f>_xll.BDH("BLUE US Equity","T12M_CHG_ST_BORROWINGS","FQ2 2019","FQ2 2019","Currency=USD","Period=FQ","BEST_FPERIOD_OVERRIDE=FQ","FILING_STATUS=MR","SCALING_FORMAT=MLN","Sort=A","Dates=H","DateFormat=P","Fill=—","Direction=H","UseDPDF=Y")</f>
        <v>0</v>
      </c>
      <c r="F15" s="13">
        <f>_xll.BDH("BLUE US Equity","T12M_CHG_ST_BORROWINGS","FQ3 2019","FQ3 2019","Currency=USD","Period=FQ","BEST_FPERIOD_OVERRIDE=FQ","FILING_STATUS=MR","SCALING_FORMAT=MLN","Sort=A","Dates=H","DateFormat=P","Fill=—","Direction=H","UseDPDF=Y")</f>
        <v>0</v>
      </c>
      <c r="G15" s="13">
        <f>_xll.BDH("BLUE US Equity","T12M_CHG_ST_BORROWINGS","FQ4 2019","FQ4 2019","Currency=USD","Period=FQ","BEST_FPERIOD_OVERRIDE=FQ","FILING_STATUS=MR","SCALING_FORMAT=MLN","Sort=A","Dates=H","DateFormat=P","Fill=—","Direction=H","UseDPDF=Y")</f>
        <v>0</v>
      </c>
      <c r="H15" s="13">
        <f>_xll.BDH("BLUE US Equity","T12M_CHG_ST_BORROWINGS","FQ1 2020","FQ1 2020","Currency=USD","Period=FQ","BEST_FPERIOD_OVERRIDE=FQ","FILING_STATUS=MR","SCALING_FORMAT=MLN","Sort=A","Dates=H","DateFormat=P","Fill=—","Direction=H","UseDPDF=Y")</f>
        <v>0</v>
      </c>
      <c r="I15" s="13">
        <f>_xll.BDH("BLUE US Equity","T12M_CHG_ST_BORROWINGS","FQ2 2020","FQ2 2020","Currency=USD","Period=FQ","BEST_FPERIOD_OVERRIDE=FQ","FILING_STATUS=MR","SCALING_FORMAT=MLN","Sort=A","Dates=H","DateFormat=P","Fill=—","Direction=H","UseDPDF=Y")</f>
        <v>0</v>
      </c>
      <c r="J15" s="13">
        <f>_xll.BDH("BLUE US Equity","T12M_CHG_ST_BORROWINGS","FQ3 2020","FQ3 2020","Currency=USD","Period=FQ","BEST_FPERIOD_OVERRIDE=FQ","FILING_STATUS=MR","SCALING_FORMAT=MLN","Sort=A","Dates=H","DateFormat=P","Fill=—","Direction=H","UseDPDF=Y")</f>
        <v>0</v>
      </c>
      <c r="K15" s="13">
        <f>_xll.BDH("BLUE US Equity","T12M_CHG_ST_BORROWINGS","FQ4 2020","FQ4 2020","Currency=USD","Period=FQ","BEST_FPERIOD_OVERRIDE=FQ","FILING_STATUS=MR","SCALING_FORMAT=MLN","Sort=A","Dates=H","DateFormat=P","Fill=—","Direction=H","UseDPDF=Y")</f>
        <v>0</v>
      </c>
      <c r="L15" s="13">
        <f>_xll.BDH("BLUE US Equity","T12M_CHG_ST_BORROWINGS","FQ1 2021","FQ1 2021","Currency=USD","Period=FQ","BEST_FPERIOD_OVERRIDE=FQ","FILING_STATUS=MR","SCALING_FORMAT=MLN","Sort=A","Dates=H","DateFormat=P","Fill=—","Direction=H","UseDPDF=Y")</f>
        <v>0</v>
      </c>
      <c r="M15" s="13">
        <f>_xll.BDH("BLUE US Equity","T12M_CHG_ST_BORROWINGS","FQ2 2021","FQ2 2021","Currency=USD","Period=FQ","BEST_FPERIOD_OVERRIDE=FQ","FILING_STATUS=MR","SCALING_FORMAT=MLN","Sort=A","Dates=H","DateFormat=P","Fill=—","Direction=H","UseDPDF=Y")</f>
        <v>0</v>
      </c>
      <c r="N15" s="13">
        <f>_xll.BDH("BLUE US Equity","T12M_CHG_ST_BORROWINGS","FQ3 2021","FQ3 2021","Currency=USD","Period=FQ","BEST_FPERIOD_OVERRIDE=FQ","FILING_STATUS=MR","SCALING_FORMAT=MLN","Sort=A","Dates=H","DateFormat=P","Fill=—","Direction=H","UseDPDF=Y")</f>
        <v>0</v>
      </c>
      <c r="O15" s="13">
        <f>_xll.BDH("BLUE US Equity","T12M_CHG_ST_BORROWINGS","FQ4 2021","FQ4 2021","Currency=USD","Period=FQ","BEST_FPERIOD_OVERRIDE=FQ","FILING_STATUS=MR","SCALING_FORMAT=MLN","Sort=A","Dates=H","DateFormat=P","Fill=—","Direction=H","UseDPDF=Y")</f>
        <v>0</v>
      </c>
      <c r="P15" s="13">
        <f>_xll.BDH("BLUE US Equity","T12M_CHG_ST_BORROWINGS","FQ1 2022","FQ1 2022","Currency=USD","Period=FQ","BEST_FPERIOD_OVERRIDE=FQ","FILING_STATUS=MR","SCALING_FORMAT=MLN","Sort=A","Dates=H","DateFormat=P","Fill=—","Direction=H","UseDPDF=Y")</f>
        <v>0</v>
      </c>
      <c r="Q15" s="13">
        <f>_xll.BDH("BLUE US Equity","T12M_CHG_ST_BORROWINGS","FQ2 2022","FQ2 2022","Currency=USD","Period=FQ","BEST_FPERIOD_OVERRIDE=FQ","FILING_STATUS=MR","SCALING_FORMAT=MLN","Sort=A","Dates=H","DateFormat=P","Fill=—","Direction=H","UseDPDF=Y")</f>
        <v>0</v>
      </c>
      <c r="R15" s="13">
        <f>_xll.BDH("BLUE US Equity","T12M_CHG_ST_BORROWINGS","FQ3 2022","FQ3 2022","Currency=USD","Period=FQ","BEST_FPERIOD_OVERRIDE=FQ","FILING_STATUS=MR","SCALING_FORMAT=MLN","Sort=A","Dates=H","DateFormat=P","Fill=—","Direction=H","UseDPDF=Y")</f>
        <v>0</v>
      </c>
      <c r="S15" s="13">
        <f>_xll.BDH("BLUE US Equity","T12M_CHG_ST_BORROWINGS","FQ4 2022","FQ4 2022","Currency=USD","Period=FQ","BEST_FPERIOD_OVERRIDE=FQ","FILING_STATUS=MR","SCALING_FORMAT=MLN","Sort=A","Dates=H","DateFormat=P","Fill=—","Direction=H","UseDPDF=Y")</f>
        <v>0</v>
      </c>
      <c r="T15" s="13">
        <f>_xll.BDH("BLUE US Equity","T12M_CHG_ST_BORROWINGS","FQ1 2023","FQ1 2023","Currency=USD","Period=FQ","BEST_FPERIOD_OVERRIDE=FQ","FILING_STATUS=MR","SCALING_FORMAT=MLN","Sort=A","Dates=H","DateFormat=P","Fill=—","Direction=H","UseDPDF=Y")</f>
        <v>0</v>
      </c>
      <c r="U15" s="13">
        <f>_xll.BDH("BLUE US Equity","T12M_CHG_ST_BORROWINGS","FQ2 2023","FQ2 2023","Currency=USD","Period=FQ","BEST_FPERIOD_OVERRIDE=FQ","FILING_STATUS=MR","SCALING_FORMAT=MLN","Sort=A","Dates=H","DateFormat=P","Fill=—","Direction=H","UseDPDF=Y")</f>
        <v>0</v>
      </c>
      <c r="V15" s="13">
        <f>_xll.BDH("BLUE US Equity","T12M_CHG_ST_BORROWINGS","FQ3 2023","FQ3 2023","Currency=USD","Period=FQ","BEST_FPERIOD_OVERRIDE=FQ","FILING_STATUS=MR","SCALING_FORMAT=MLN","Sort=A","Dates=H","DateFormat=P","Fill=—","Direction=H","UseDPDF=Y")</f>
        <v>0</v>
      </c>
      <c r="W15" s="13">
        <f>_xll.BDH("BLUE US Equity","T12M_CHG_ST_BORROWINGS","FQ4 2023","FQ4 2023","Currency=USD","Period=FQ","BEST_FPERIOD_OVERRIDE=FQ","FILING_STATUS=MR","SCALING_FORMAT=MLN","Sort=A","Dates=H","DateFormat=P","Fill=—","Direction=H","UseDPDF=Y")</f>
        <v>0</v>
      </c>
      <c r="X15" s="13">
        <f>_xll.BDH("BLUE US Equity","T12M_CHG_ST_BORROWINGS","FQ1 2024","FQ1 2024","Currency=USD","Period=FQ","BEST_FPERIOD_OVERRIDE=FQ","FILING_STATUS=MR","SCALING_FORMAT=MLN","Sort=A","Dates=H","DateFormat=P","Fill=—","Direction=H","UseDPDF=Y")</f>
        <v>0</v>
      </c>
      <c r="Y15" s="13">
        <f>_xll.BDH("BLUE US Equity","T12M_CHG_ST_BORROWINGS","FQ2 2024","FQ2 2024","Currency=USD","Period=FQ","BEST_FPERIOD_OVERRIDE=FQ","FILING_STATUS=MR","SCALING_FORMAT=MLN","Sort=A","Dates=H","DateFormat=P","Fill=—","Direction=H","UseDPDF=Y")</f>
        <v>0</v>
      </c>
      <c r="Z15" s="13">
        <f>_xll.BDH("BLUE US Equity","T12M_CHG_ST_BORROWINGS","FQ3 2024","FQ3 2024","Currency=USD","Period=FQ","BEST_FPERIOD_OVERRIDE=FQ","FILING_STATUS=MR","SCALING_FORMAT=MLN","Sort=A","Dates=H","DateFormat=P","Fill=—","Direction=H","UseDPDF=Y")</f>
        <v>0</v>
      </c>
      <c r="AA15" s="13">
        <f>_xll.BDH("BLUE US Equity","T12M_CHG_ST_BORROWINGS","FQ4 2024","FQ4 2024","Currency=USD","Period=FQ","BEST_FPERIOD_OVERRIDE=FQ","FILING_STATUS=MR","SCALING_FORMAT=MLN","Sort=A","Dates=H","DateFormat=P","Fill=—","Direction=H","UseDPDF=Y")</f>
        <v>0</v>
      </c>
    </row>
    <row r="16" spans="1:27" x14ac:dyDescent="0.25">
      <c r="A16" s="10" t="s">
        <v>1432</v>
      </c>
      <c r="B16" s="10" t="s">
        <v>1433</v>
      </c>
      <c r="C16" s="13">
        <f>_xll.BDH("BLUE US Equity","T12M_CHG_LT_DEBT","FQ4 2018","FQ4 2018","Currency=USD","Period=FQ","BEST_FPERIOD_OVERRIDE=FQ","FILING_STATUS=MR","SCALING_FORMAT=MLN","Sort=A","Dates=H","DateFormat=P","Fill=—","Direction=H","UseDPDF=Y")</f>
        <v>0</v>
      </c>
      <c r="D16" s="13">
        <f>_xll.BDH("BLUE US Equity","T12M_CHG_LT_DEBT","FQ1 2019","FQ1 2019","Currency=USD","Period=FQ","BEST_FPERIOD_OVERRIDE=FQ","FILING_STATUS=MR","SCALING_FORMAT=MLN","Sort=A","Dates=H","DateFormat=P","Fill=—","Direction=H","UseDPDF=Y")</f>
        <v>0</v>
      </c>
      <c r="E16" s="13">
        <f>_xll.BDH("BLUE US Equity","T12M_CHG_LT_DEBT","FQ2 2019","FQ2 2019","Currency=USD","Period=FQ","BEST_FPERIOD_OVERRIDE=FQ","FILING_STATUS=MR","SCALING_FORMAT=MLN","Sort=A","Dates=H","DateFormat=P","Fill=—","Direction=H","UseDPDF=Y")</f>
        <v>0</v>
      </c>
      <c r="F16" s="13">
        <f>_xll.BDH("BLUE US Equity","T12M_CHG_LT_DEBT","FQ3 2019","FQ3 2019","Currency=USD","Period=FQ","BEST_FPERIOD_OVERRIDE=FQ","FILING_STATUS=MR","SCALING_FORMAT=MLN","Sort=A","Dates=H","DateFormat=P","Fill=—","Direction=H","UseDPDF=Y")</f>
        <v>0</v>
      </c>
      <c r="G16" s="13">
        <f>_xll.BDH("BLUE US Equity","T12M_CHG_LT_DEBT","FQ4 2019","FQ4 2019","Currency=USD","Period=FQ","BEST_FPERIOD_OVERRIDE=FQ","FILING_STATUS=MR","SCALING_FORMAT=MLN","Sort=A","Dates=H","DateFormat=P","Fill=—","Direction=H","UseDPDF=Y")</f>
        <v>0</v>
      </c>
      <c r="H16" s="13">
        <f>_xll.BDH("BLUE US Equity","T12M_CHG_LT_DEBT","FQ1 2020","FQ1 2020","Currency=USD","Period=FQ","BEST_FPERIOD_OVERRIDE=FQ","FILING_STATUS=MR","SCALING_FORMAT=MLN","Sort=A","Dates=H","DateFormat=P","Fill=—","Direction=H","UseDPDF=Y")</f>
        <v>0</v>
      </c>
      <c r="I16" s="13">
        <f>_xll.BDH("BLUE US Equity","T12M_CHG_LT_DEBT","FQ2 2020","FQ2 2020","Currency=USD","Period=FQ","BEST_FPERIOD_OVERRIDE=FQ","FILING_STATUS=MR","SCALING_FORMAT=MLN","Sort=A","Dates=H","DateFormat=P","Fill=—","Direction=H","UseDPDF=Y")</f>
        <v>0</v>
      </c>
      <c r="J16" s="13">
        <f>_xll.BDH("BLUE US Equity","T12M_CHG_LT_DEBT","FQ3 2020","FQ3 2020","Currency=USD","Period=FQ","BEST_FPERIOD_OVERRIDE=FQ","FILING_STATUS=MR","SCALING_FORMAT=MLN","Sort=A","Dates=H","DateFormat=P","Fill=—","Direction=H","UseDPDF=Y")</f>
        <v>0</v>
      </c>
      <c r="K16" s="13">
        <f>_xll.BDH("BLUE US Equity","T12M_CHG_LT_DEBT","FQ4 2020","FQ4 2020","Currency=USD","Period=FQ","BEST_FPERIOD_OVERRIDE=FQ","FILING_STATUS=MR","SCALING_FORMAT=MLN","Sort=A","Dates=H","DateFormat=P","Fill=—","Direction=H","UseDPDF=Y")</f>
        <v>0</v>
      </c>
      <c r="L16" s="13">
        <f>_xll.BDH("BLUE US Equity","T12M_CHG_LT_DEBT","FQ1 2021","FQ1 2021","Currency=USD","Period=FQ","BEST_FPERIOD_OVERRIDE=FQ","FILING_STATUS=MR","SCALING_FORMAT=MLN","Sort=A","Dates=H","DateFormat=P","Fill=—","Direction=H","UseDPDF=Y")</f>
        <v>0</v>
      </c>
      <c r="M16" s="13">
        <f>_xll.BDH("BLUE US Equity","T12M_CHG_LT_DEBT","FQ2 2021","FQ2 2021","Currency=USD","Period=FQ","BEST_FPERIOD_OVERRIDE=FQ","FILING_STATUS=MR","SCALING_FORMAT=MLN","Sort=A","Dates=H","DateFormat=P","Fill=—","Direction=H","UseDPDF=Y")</f>
        <v>0</v>
      </c>
      <c r="N16" s="13">
        <f>_xll.BDH("BLUE US Equity","T12M_CHG_LT_DEBT","FQ3 2021","FQ3 2021","Currency=USD","Period=FQ","BEST_FPERIOD_OVERRIDE=FQ","FILING_STATUS=MR","SCALING_FORMAT=MLN","Sort=A","Dates=H","DateFormat=P","Fill=—","Direction=H","UseDPDF=Y")</f>
        <v>0</v>
      </c>
      <c r="O16" s="13">
        <f>_xll.BDH("BLUE US Equity","T12M_CHG_LT_DEBT","FQ4 2021","FQ4 2021","Currency=USD","Period=FQ","BEST_FPERIOD_OVERRIDE=FQ","FILING_STATUS=MR","SCALING_FORMAT=MLN","Sort=A","Dates=H","DateFormat=P","Fill=—","Direction=H","UseDPDF=Y")</f>
        <v>0</v>
      </c>
      <c r="P16" s="13">
        <f>_xll.BDH("BLUE US Equity","T12M_CHG_LT_DEBT","FQ1 2022","FQ1 2022","Currency=USD","Period=FQ","BEST_FPERIOD_OVERRIDE=FQ","FILING_STATUS=MR","SCALING_FORMAT=MLN","Sort=A","Dates=H","DateFormat=P","Fill=—","Direction=H","UseDPDF=Y")</f>
        <v>0</v>
      </c>
      <c r="Q16" s="13">
        <f>_xll.BDH("BLUE US Equity","T12M_CHG_LT_DEBT","FQ2 2022","FQ2 2022","Currency=USD","Period=FQ","BEST_FPERIOD_OVERRIDE=FQ","FILING_STATUS=MR","SCALING_FORMAT=MLN","Sort=A","Dates=H","DateFormat=P","Fill=—","Direction=H","UseDPDF=Y")</f>
        <v>0</v>
      </c>
      <c r="R16" s="13">
        <f>_xll.BDH("BLUE US Equity","T12M_CHG_LT_DEBT","FQ3 2022","FQ3 2022","Currency=USD","Period=FQ","BEST_FPERIOD_OVERRIDE=FQ","FILING_STATUS=MR","SCALING_FORMAT=MLN","Sort=A","Dates=H","DateFormat=P","Fill=—","Direction=H","UseDPDF=Y")</f>
        <v>0</v>
      </c>
      <c r="S16" s="13">
        <f>_xll.BDH("BLUE US Equity","T12M_CHG_LT_DEBT","FQ4 2022","FQ4 2022","Currency=USD","Period=FQ","BEST_FPERIOD_OVERRIDE=FQ","FILING_STATUS=MR","SCALING_FORMAT=MLN","Sort=A","Dates=H","DateFormat=P","Fill=—","Direction=H","UseDPDF=Y")</f>
        <v>-36.734000000000002</v>
      </c>
      <c r="T16" s="13">
        <f>_xll.BDH("BLUE US Equity","T12M_CHG_LT_DEBT","FQ1 2023","FQ1 2023","Currency=USD","Period=FQ","BEST_FPERIOD_OVERRIDE=FQ","FILING_STATUS=MR","SCALING_FORMAT=MLN","Sort=A","Dates=H","DateFormat=P","Fill=—","Direction=H","UseDPDF=Y")</f>
        <v>-52.014000000000003</v>
      </c>
      <c r="U16" s="13">
        <f>_xll.BDH("BLUE US Equity","T12M_CHG_LT_DEBT","FQ2 2023","FQ2 2023","Currency=USD","Period=FQ","BEST_FPERIOD_OVERRIDE=FQ","FILING_STATUS=MR","SCALING_FORMAT=MLN","Sort=A","Dates=H","DateFormat=P","Fill=—","Direction=H","UseDPDF=Y")</f>
        <v>-65.238</v>
      </c>
      <c r="V16" s="13">
        <f>_xll.BDH("BLUE US Equity","T12M_CHG_LT_DEBT","FQ3 2023","FQ3 2023","Currency=USD","Period=FQ","BEST_FPERIOD_OVERRIDE=FQ","FILING_STATUS=MR","SCALING_FORMAT=MLN","Sort=A","Dates=H","DateFormat=P","Fill=—","Direction=H","UseDPDF=Y")</f>
        <v>-77.033000000000001</v>
      </c>
      <c r="W16" s="13">
        <f>_xll.BDH("BLUE US Equity","T12M_CHG_LT_DEBT","FQ4 2023","FQ4 2023","Currency=USD","Period=FQ","BEST_FPERIOD_OVERRIDE=FQ","FILING_STATUS=MR","SCALING_FORMAT=MLN","Sort=A","Dates=H","DateFormat=P","Fill=—","Direction=H","UseDPDF=Y")</f>
        <v>-94.665999999999997</v>
      </c>
      <c r="X16" s="13">
        <f>_xll.BDH("BLUE US Equity","T12M_CHG_LT_DEBT","FQ1 2024","FQ1 2024","Currency=USD","Period=FQ","BEST_FPERIOD_OVERRIDE=FQ","FILING_STATUS=MR","SCALING_FORMAT=MLN","Sort=A","Dates=H","DateFormat=P","Fill=—","Direction=H","UseDPDF=Y")</f>
        <v>-101.17700000000001</v>
      </c>
      <c r="Y16" s="13">
        <f>_xll.BDH("BLUE US Equity","T12M_CHG_LT_DEBT","FQ2 2024","FQ2 2024","Currency=USD","Period=FQ","BEST_FPERIOD_OVERRIDE=FQ","FILING_STATUS=MR","SCALING_FORMAT=MLN","Sort=A","Dates=H","DateFormat=P","Fill=—","Direction=H","UseDPDF=Y")</f>
        <v>-114.714</v>
      </c>
      <c r="Z16" s="13">
        <f>_xll.BDH("BLUE US Equity","T12M_CHG_LT_DEBT","FQ3 2024","FQ3 2024","Currency=USD","Period=FQ","BEST_FPERIOD_OVERRIDE=FQ","FILING_STATUS=MR","SCALING_FORMAT=MLN","Sort=A","Dates=H","DateFormat=P","Fill=—","Direction=H","UseDPDF=Y")</f>
        <v>-123.85</v>
      </c>
      <c r="AA16" s="13">
        <f>_xll.BDH("BLUE US Equity","T12M_CHG_LT_DEBT","FQ4 2024","FQ4 2024","Currency=USD","Period=FQ","BEST_FPERIOD_OVERRIDE=FQ","FILING_STATUS=MR","SCALING_FORMAT=MLN","Sort=A","Dates=H","DateFormat=P","Fill=—","Direction=H","UseDPDF=Y")</f>
        <v>-85.95</v>
      </c>
    </row>
    <row r="17" spans="1:27" x14ac:dyDescent="0.25">
      <c r="A17" s="10" t="s">
        <v>1215</v>
      </c>
      <c r="B17" s="10" t="s">
        <v>1434</v>
      </c>
      <c r="C17" s="13">
        <f>_xll.BDH("BLUE US Equity","T12_OTHER_CFF","FQ4 2018","FQ4 2018","Currency=USD","Period=FQ","BEST_FPERIOD_OVERRIDE=FQ","FILING_STATUS=MR","SCALING_FORMAT=MLN","Sort=A","Dates=H","DateFormat=P","Fill=—","Direction=H","UseDPDF=Y")</f>
        <v>2.081</v>
      </c>
      <c r="D17" s="13">
        <f>_xll.BDH("BLUE US Equity","T12_OTHER_CFF","FQ1 2019","FQ1 2019","Currency=USD","Period=FQ","BEST_FPERIOD_OVERRIDE=FQ","FILING_STATUS=MR","SCALING_FORMAT=MLN","Sort=A","Dates=H","DateFormat=P","Fill=—","Direction=H","UseDPDF=Y")</f>
        <v>-0.91100000000000003</v>
      </c>
      <c r="E17" s="13">
        <f>_xll.BDH("BLUE US Equity","T12_OTHER_CFF","FQ2 2019","FQ2 2019","Currency=USD","Period=FQ","BEST_FPERIOD_OVERRIDE=FQ","FILING_STATUS=MR","SCALING_FORMAT=MLN","Sort=A","Dates=H","DateFormat=P","Fill=—","Direction=H","UseDPDF=Y")</f>
        <v>-0.57099999999999995</v>
      </c>
      <c r="F17" s="13">
        <f>_xll.BDH("BLUE US Equity","T12_OTHER_CFF","FQ3 2019","FQ3 2019","Currency=USD","Period=FQ","BEST_FPERIOD_OVERRIDE=FQ","FILING_STATUS=MR","SCALING_FORMAT=MLN","Sort=A","Dates=H","DateFormat=P","Fill=—","Direction=H","UseDPDF=Y")</f>
        <v>-0.28899999999999998</v>
      </c>
      <c r="G17" s="13">
        <f>_xll.BDH("BLUE US Equity","T12_OTHER_CFF","FQ4 2019","FQ4 2019","Currency=USD","Period=FQ","BEST_FPERIOD_OVERRIDE=FQ","FILING_STATUS=MR","SCALING_FORMAT=MLN","Sort=A","Dates=H","DateFormat=P","Fill=—","Direction=H","UseDPDF=Y")</f>
        <v>0</v>
      </c>
      <c r="H17" s="13">
        <f>_xll.BDH("BLUE US Equity","T12_OTHER_CFF","FQ1 2020","FQ1 2020","Currency=USD","Period=FQ","BEST_FPERIOD_OVERRIDE=FQ","FILING_STATUS=MR","SCALING_FORMAT=MLN","Sort=A","Dates=H","DateFormat=P","Fill=—","Direction=H","UseDPDF=Y")</f>
        <v>0</v>
      </c>
      <c r="I17" s="13">
        <f>_xll.BDH("BLUE US Equity","T12_OTHER_CFF","FQ2 2020","FQ2 2020","Currency=USD","Period=FQ","BEST_FPERIOD_OVERRIDE=FQ","FILING_STATUS=MR","SCALING_FORMAT=MLN","Sort=A","Dates=H","DateFormat=P","Fill=—","Direction=H","UseDPDF=Y")</f>
        <v>1.5860000000000001</v>
      </c>
      <c r="J17" s="13">
        <f>_xll.BDH("BLUE US Equity","T12_OTHER_CFF","FQ3 2020","FQ3 2020","Currency=USD","Period=FQ","BEST_FPERIOD_OVERRIDE=FQ","FILING_STATUS=MR","SCALING_FORMAT=MLN","Sort=A","Dates=H","DateFormat=P","Fill=—","Direction=H","UseDPDF=Y")</f>
        <v>2.7839999999999998</v>
      </c>
      <c r="K17" s="13">
        <f>_xll.BDH("BLUE US Equity","T12_OTHER_CFF","FQ4 2020","FQ4 2020","Currency=USD","Period=FQ","BEST_FPERIOD_OVERRIDE=FQ","FILING_STATUS=MR","SCALING_FORMAT=MLN","Sort=A","Dates=H","DateFormat=P","Fill=—","Direction=H","UseDPDF=Y")</f>
        <v>4.2160000000000002</v>
      </c>
      <c r="L17" s="13">
        <f>_xll.BDH("BLUE US Equity","T12_OTHER_CFF","FQ1 2021","FQ1 2021","Currency=USD","Period=FQ","BEST_FPERIOD_OVERRIDE=FQ","FILING_STATUS=MR","SCALING_FORMAT=MLN","Sort=A","Dates=H","DateFormat=P","Fill=—","Direction=H","UseDPDF=Y")</f>
        <v>4.2160000000000002</v>
      </c>
      <c r="M17" s="13">
        <f>_xll.BDH("BLUE US Equity","T12_OTHER_CFF","FQ2 2021","FQ2 2021","Currency=USD","Period=FQ","BEST_FPERIOD_OVERRIDE=FQ","FILING_STATUS=MR","SCALING_FORMAT=MLN","Sort=A","Dates=H","DateFormat=P","Fill=—","Direction=H","UseDPDF=Y")</f>
        <v>3.0259999999999998</v>
      </c>
      <c r="N17" s="13">
        <f>_xll.BDH("BLUE US Equity","T12_OTHER_CFF","FQ3 2021","FQ3 2021","Currency=USD","Period=FQ","BEST_FPERIOD_OVERRIDE=FQ","FILING_STATUS=MR","SCALING_FORMAT=MLN","Sort=A","Dates=H","DateFormat=P","Fill=—","Direction=H","UseDPDF=Y")</f>
        <v>2.714</v>
      </c>
      <c r="O17" s="13">
        <f>_xll.BDH("BLUE US Equity","T12_OTHER_CFF","FQ4 2021","FQ4 2021","Currency=USD","Period=FQ","BEST_FPERIOD_OVERRIDE=FQ","FILING_STATUS=MR","SCALING_FORMAT=MLN","Sort=A","Dates=H","DateFormat=P","Fill=—","Direction=H","UseDPDF=Y")</f>
        <v>-172.72499999999999</v>
      </c>
      <c r="P17" s="13">
        <f>_xll.BDH("BLUE US Equity","T12_OTHER_CFF","FQ1 2022","FQ1 2022","Currency=USD","Period=FQ","BEST_FPERIOD_OVERRIDE=FQ","FILING_STATUS=MR","SCALING_FORMAT=MLN","Sort=A","Dates=H","DateFormat=P","Fill=—","Direction=H","UseDPDF=Y")</f>
        <v>-172.72499999999999</v>
      </c>
      <c r="Q17" s="13">
        <f>_xll.BDH("BLUE US Equity","T12_OTHER_CFF","FQ2 2022","FQ2 2022","Currency=USD","Period=FQ","BEST_FPERIOD_OVERRIDE=FQ","FILING_STATUS=MR","SCALING_FORMAT=MLN","Sort=A","Dates=H","DateFormat=P","Fill=—","Direction=H","UseDPDF=Y")</f>
        <v>-173.12100000000001</v>
      </c>
      <c r="R17" s="13">
        <f>_xll.BDH("BLUE US Equity","T12_OTHER_CFF","FQ3 2022","FQ3 2022","Currency=USD","Period=FQ","BEST_FPERIOD_OVERRIDE=FQ","FILING_STATUS=MR","SCALING_FORMAT=MLN","Sort=A","Dates=H","DateFormat=P","Fill=—","Direction=H","UseDPDF=Y")</f>
        <v>-174.00700000000001</v>
      </c>
      <c r="S17" s="13">
        <f>_xll.BDH("BLUE US Equity","T12_OTHER_CFF","FQ4 2022","FQ4 2022","Currency=USD","Period=FQ","BEST_FPERIOD_OVERRIDE=FQ","FILING_STATUS=MR","SCALING_FORMAT=MLN","Sort=A","Dates=H","DateFormat=P","Fill=—","Direction=H","UseDPDF=Y")</f>
        <v>1.6E-2</v>
      </c>
      <c r="T17" s="13">
        <f>_xll.BDH("BLUE US Equity","T12_OTHER_CFF","FQ1 2023","FQ1 2023","Currency=USD","Period=FQ","BEST_FPERIOD_OVERRIDE=FQ","FILING_STATUS=MR","SCALING_FORMAT=MLN","Sort=A","Dates=H","DateFormat=P","Fill=—","Direction=H","UseDPDF=Y")</f>
        <v>-0.18</v>
      </c>
      <c r="U17" s="13">
        <f>_xll.BDH("BLUE US Equity","T12_OTHER_CFF","FQ2 2023","FQ2 2023","Currency=USD","Period=FQ","BEST_FPERIOD_OVERRIDE=FQ","FILING_STATUS=MR","SCALING_FORMAT=MLN","Sort=A","Dates=H","DateFormat=P","Fill=—","Direction=H","UseDPDF=Y")</f>
        <v>-0.18</v>
      </c>
      <c r="V17" s="13">
        <f>_xll.BDH("BLUE US Equity","T12_OTHER_CFF","FQ3 2023","FQ3 2023","Currency=USD","Period=FQ","BEST_FPERIOD_OVERRIDE=FQ","FILING_STATUS=MR","SCALING_FORMAT=MLN","Sort=A","Dates=H","DateFormat=P","Fill=—","Direction=H","UseDPDF=Y")</f>
        <v>-0.18</v>
      </c>
      <c r="W17" s="13">
        <f>_xll.BDH("BLUE US Equity","T12_OTHER_CFF","FQ4 2023","FQ4 2023","Currency=USD","Period=FQ","BEST_FPERIOD_OVERRIDE=FQ","FILING_STATUS=MR","SCALING_FORMAT=MLN","Sort=A","Dates=H","DateFormat=P","Fill=—","Direction=H","UseDPDF=Y")</f>
        <v>2.4169999999999998</v>
      </c>
      <c r="X17" s="13">
        <f>_xll.BDH("BLUE US Equity","T12_OTHER_CFF","FQ1 2024","FQ1 2024","Currency=USD","Period=FQ","BEST_FPERIOD_OVERRIDE=FQ","FILING_STATUS=MR","SCALING_FORMAT=MLN","Sort=A","Dates=H","DateFormat=P","Fill=—","Direction=H","UseDPDF=Y")</f>
        <v>89.049000000000007</v>
      </c>
      <c r="Y17" s="13">
        <f>_xll.BDH("BLUE US Equity","T12_OTHER_CFF","FQ2 2024","FQ2 2024","Currency=USD","Period=FQ","BEST_FPERIOD_OVERRIDE=FQ","FILING_STATUS=MR","SCALING_FORMAT=MLN","Sort=A","Dates=H","DateFormat=P","Fill=—","Direction=H","UseDPDF=Y")</f>
        <v>109.749</v>
      </c>
      <c r="Z17" s="13">
        <f>_xll.BDH("BLUE US Equity","T12_OTHER_CFF","FQ3 2024","FQ3 2024","Currency=USD","Period=FQ","BEST_FPERIOD_OVERRIDE=FQ","FILING_STATUS=MR","SCALING_FORMAT=MLN","Sort=A","Dates=H","DateFormat=P","Fill=—","Direction=H","UseDPDF=Y")</f>
        <v>124.575</v>
      </c>
      <c r="AA17" s="13">
        <f>_xll.BDH("BLUE US Equity","T12_OTHER_CFF","FQ4 2024","FQ4 2024","Currency=USD","Period=FQ","BEST_FPERIOD_OVERRIDE=FQ","FILING_STATUS=MR","SCALING_FORMAT=MLN","Sort=A","Dates=H","DateFormat=P","Fill=—","Direction=H","UseDPDF=Y")</f>
        <v>173.41900000000001</v>
      </c>
    </row>
    <row r="18" spans="1:27" x14ac:dyDescent="0.25">
      <c r="A18" s="6" t="s">
        <v>1435</v>
      </c>
      <c r="B18" s="6" t="s">
        <v>1436</v>
      </c>
      <c r="C18" s="19">
        <f>_xll.BDH("BLUE US Equity","T12_CFF","FQ4 2018","FQ4 2018","Currency=USD","Period=FQ","BEST_FPERIOD_OVERRIDE=FQ","FILING_STATUS=MR","SCALING_FORMAT=MLN","Sort=A","Dates=H","DateFormat=P","Fill=—","Direction=H","UseDPDF=Y")</f>
        <v>737.69200000000001</v>
      </c>
      <c r="D18" s="19">
        <f>_xll.BDH("BLUE US Equity","T12_CFF","FQ1 2019","FQ1 2019","Currency=USD","Period=FQ","BEST_FPERIOD_OVERRIDE=FQ","FILING_STATUS=MR","SCALING_FORMAT=MLN","Sort=A","Dates=H","DateFormat=P","Fill=—","Direction=H","UseDPDF=Y")</f>
        <v>676.23800000000006</v>
      </c>
      <c r="E18" s="19">
        <f>_xll.BDH("BLUE US Equity","T12_CFF","FQ2 2019","FQ2 2019","Currency=USD","Period=FQ","BEST_FPERIOD_OVERRIDE=FQ","FILING_STATUS=MR","SCALING_FORMAT=MLN","Sort=A","Dates=H","DateFormat=P","Fill=—","Direction=H","UseDPDF=Y")</f>
        <v>675.71799999999996</v>
      </c>
      <c r="F18" s="19">
        <f>_xll.BDH("BLUE US Equity","T12_CFF","FQ3 2019","FQ3 2019","Currency=USD","Period=FQ","BEST_FPERIOD_OVERRIDE=FQ","FILING_STATUS=MR","SCALING_FORMAT=MLN","Sort=A","Dates=H","DateFormat=P","Fill=—","Direction=H","UseDPDF=Y")</f>
        <v>21.103000000000002</v>
      </c>
      <c r="G18" s="19">
        <f>_xll.BDH("BLUE US Equity","T12_CFF","FQ4 2019","FQ4 2019","Currency=USD","Period=FQ","BEST_FPERIOD_OVERRIDE=FQ","FILING_STATUS=MR","SCALING_FORMAT=MLN","Sort=A","Dates=H","DateFormat=P","Fill=—","Direction=H","UseDPDF=Y")</f>
        <v>21.187000000000001</v>
      </c>
      <c r="H18" s="19">
        <f>_xll.BDH("BLUE US Equity","T12_CFF","FQ1 2020","FQ1 2020","Currency=USD","Period=FQ","BEST_FPERIOD_OVERRIDE=FQ","FILING_STATUS=MR","SCALING_FORMAT=MLN","Sort=A","Dates=H","DateFormat=P","Fill=—","Direction=H","UseDPDF=Y")</f>
        <v>11.927</v>
      </c>
      <c r="I18" s="19">
        <f>_xll.BDH("BLUE US Equity","T12_CFF","FQ2 2020","FQ2 2020","Currency=USD","Period=FQ","BEST_FPERIOD_OVERRIDE=FQ","FILING_STATUS=MR","SCALING_FORMAT=MLN","Sort=A","Dates=H","DateFormat=P","Fill=—","Direction=H","UseDPDF=Y")</f>
        <v>550.26800000000003</v>
      </c>
      <c r="J18" s="19">
        <f>_xll.BDH("BLUE US Equity","T12_CFF","FQ3 2020","FQ3 2020","Currency=USD","Period=FQ","BEST_FPERIOD_OVERRIDE=FQ","FILING_STATUS=MR","SCALING_FORMAT=MLN","Sort=A","Dates=H","DateFormat=P","Fill=—","Direction=H","UseDPDF=Y")</f>
        <v>547.28800000000001</v>
      </c>
      <c r="K18" s="19">
        <f>_xll.BDH("BLUE US Equity","T12_CFF","FQ4 2020","FQ4 2020","Currency=USD","Period=FQ","BEST_FPERIOD_OVERRIDE=FQ","FILING_STATUS=MR","SCALING_FORMAT=MLN","Sort=A","Dates=H","DateFormat=P","Fill=—","Direction=H","UseDPDF=Y")</f>
        <v>546.71500000000003</v>
      </c>
      <c r="L18" s="19">
        <f>_xll.BDH("BLUE US Equity","T12_CFF","FQ1 2021","FQ1 2021","Currency=USD","Period=FQ","BEST_FPERIOD_OVERRIDE=FQ","FILING_STATUS=MR","SCALING_FORMAT=MLN","Sort=A","Dates=H","DateFormat=P","Fill=—","Direction=H","UseDPDF=Y")</f>
        <v>549.548</v>
      </c>
      <c r="M18" s="19">
        <f>_xll.BDH("BLUE US Equity","T12_CFF","FQ2 2021","FQ2 2021","Currency=USD","Period=FQ","BEST_FPERIOD_OVERRIDE=FQ","FILING_STATUS=MR","SCALING_FORMAT=MLN","Sort=A","Dates=H","DateFormat=P","Fill=—","Direction=H","UseDPDF=Y")</f>
        <v>6.8220000000000001</v>
      </c>
      <c r="N18" s="19">
        <f>_xll.BDH("BLUE US Equity","T12_CFF","FQ3 2021","FQ3 2021","Currency=USD","Period=FQ","BEST_FPERIOD_OVERRIDE=FQ","FILING_STATUS=MR","SCALING_FORMAT=MLN","Sort=A","Dates=H","DateFormat=P","Fill=—","Direction=H","UseDPDF=Y")</f>
        <v>81.492000000000004</v>
      </c>
      <c r="O18" s="19">
        <f>_xll.BDH("BLUE US Equity","T12_CFF","FQ4 2021","FQ4 2021","Currency=USD","Period=FQ","BEST_FPERIOD_OVERRIDE=FQ","FILING_STATUS=MR","SCALING_FORMAT=MLN","Sort=A","Dates=H","DateFormat=P","Fill=—","Direction=H","UseDPDF=Y")</f>
        <v>-93.953999999999994</v>
      </c>
      <c r="P18" s="19">
        <f>_xll.BDH("BLUE US Equity","T12_CFF","FQ1 2022","FQ1 2022","Currency=USD","Period=FQ","BEST_FPERIOD_OVERRIDE=FQ","FILING_STATUS=MR","SCALING_FORMAT=MLN","Sort=A","Dates=H","DateFormat=P","Fill=—","Direction=H","UseDPDF=Y")</f>
        <v>-97.741</v>
      </c>
      <c r="Q18" s="19">
        <f>_xll.BDH("BLUE US Equity","T12_CFF","FQ2 2022","FQ2 2022","Currency=USD","Period=FQ","BEST_FPERIOD_OVERRIDE=FQ","FILING_STATUS=MR","SCALING_FORMAT=MLN","Sort=A","Dates=H","DateFormat=P","Fill=—","Direction=H","UseDPDF=Y")</f>
        <v>-90.102999999999994</v>
      </c>
      <c r="R18" s="19">
        <f>_xll.BDH("BLUE US Equity","T12_CFF","FQ3 2022","FQ3 2022","Currency=USD","Period=FQ","BEST_FPERIOD_OVERRIDE=FQ","FILING_STATUS=MR","SCALING_FORMAT=MLN","Sort=A","Dates=H","DateFormat=P","Fill=—","Direction=H","UseDPDF=Y")</f>
        <v>-119.646</v>
      </c>
      <c r="S18" s="19">
        <f>_xll.BDH("BLUE US Equity","T12_CFF","FQ4 2022","FQ4 2022","Currency=USD","Period=FQ","BEST_FPERIOD_OVERRIDE=FQ","FILING_STATUS=MR","SCALING_FORMAT=MLN","Sort=A","Dates=H","DateFormat=P","Fill=—","Direction=H","UseDPDF=Y")</f>
        <v>17.518999999999998</v>
      </c>
      <c r="T18" s="19">
        <f>_xll.BDH("BLUE US Equity","T12_CFF","FQ1 2023","FQ1 2023","Currency=USD","Period=FQ","BEST_FPERIOD_OVERRIDE=FQ","FILING_STATUS=MR","SCALING_FORMAT=MLN","Sort=A","Dates=H","DateFormat=P","Fill=—","Direction=H","UseDPDF=Y")</f>
        <v>132.68600000000001</v>
      </c>
      <c r="U18" s="19">
        <f>_xll.BDH("BLUE US Equity","T12_CFF","FQ2 2023","FQ2 2023","Currency=USD","Period=FQ","BEST_FPERIOD_OVERRIDE=FQ","FILING_STATUS=MR","SCALING_FORMAT=MLN","Sort=A","Dates=H","DateFormat=P","Fill=—","Direction=H","UseDPDF=Y")</f>
        <v>110.983</v>
      </c>
      <c r="V18" s="19">
        <f>_xll.BDH("BLUE US Equity","T12_CFF","FQ3 2023","FQ3 2023","Currency=USD","Period=FQ","BEST_FPERIOD_OVERRIDE=FQ","FILING_STATUS=MR","SCALING_FORMAT=MLN","Sort=A","Dates=H","DateFormat=P","Fill=—","Direction=H","UseDPDF=Y")</f>
        <v>52.820999999999998</v>
      </c>
      <c r="W18" s="19">
        <f>_xll.BDH("BLUE US Equity","T12_CFF","FQ4 2023","FQ4 2023","Currency=USD","Period=FQ","BEST_FPERIOD_OVERRIDE=FQ","FILING_STATUS=MR","SCALING_FORMAT=MLN","Sort=A","Dates=H","DateFormat=P","Fill=—","Direction=H","UseDPDF=Y")</f>
        <v>155.94900000000001</v>
      </c>
      <c r="X18" s="19">
        <f>_xll.BDH("BLUE US Equity","T12_CFF","FQ1 2024","FQ1 2024","Currency=USD","Period=FQ","BEST_FPERIOD_OVERRIDE=FQ","FILING_STATUS=MR","SCALING_FORMAT=MLN","Sort=A","Dates=H","DateFormat=P","Fill=—","Direction=H","UseDPDF=Y")</f>
        <v>105.41800000000001</v>
      </c>
      <c r="Y18" s="19">
        <f>_xll.BDH("BLUE US Equity","T12_CFF","FQ2 2024","FQ2 2024","Currency=USD","Period=FQ","BEST_FPERIOD_OVERRIDE=FQ","FILING_STATUS=MR","SCALING_FORMAT=MLN","Sort=A","Dates=H","DateFormat=P","Fill=—","Direction=H","UseDPDF=Y")</f>
        <v>113.026</v>
      </c>
      <c r="Z18" s="19">
        <f>_xll.BDH("BLUE US Equity","T12_CFF","FQ3 2024","FQ3 2024","Currency=USD","Period=FQ","BEST_FPERIOD_OVERRIDE=FQ","FILING_STATUS=MR","SCALING_FORMAT=MLN","Sort=A","Dates=H","DateFormat=P","Fill=—","Direction=H","UseDPDF=Y")</f>
        <v>118.758</v>
      </c>
      <c r="AA18" s="19">
        <f>_xll.BDH("BLUE US Equity","T12_CFF","FQ4 2024","FQ4 2024","Currency=USD","Period=FQ","BEST_FPERIOD_OVERRIDE=FQ","FILING_STATUS=MR","SCALING_FORMAT=MLN","Sort=A","Dates=H","DateFormat=P","Fill=—","Direction=H","UseDPDF=Y")</f>
        <v>87.468999999999994</v>
      </c>
    </row>
    <row r="19" spans="1:27" x14ac:dyDescent="0.25">
      <c r="A19" s="11" t="s">
        <v>59</v>
      </c>
      <c r="B19" s="11" t="s">
        <v>60</v>
      </c>
      <c r="C19" s="25">
        <f>_xll.BDH("BLUE US Equity","HISTORICAL_MARKET_CAP","FQ4 2018","FQ4 2018","Currency=USD","Period=FQ","BEST_FPERIOD_OVERRIDE=FQ","FILING_STATUS=MR","SCALING_FORMAT=MLN","Sort=A","Dates=H","DateFormat=P","Fill=—","Direction=H","UseDPDF=Y")</f>
        <v>5430.0096000000003</v>
      </c>
      <c r="D19" s="25">
        <f>_xll.BDH("BLUE US Equity","HISTORICAL_MARKET_CAP","FQ1 2019","FQ1 2019","Currency=USD","Period=FQ","BEST_FPERIOD_OVERRIDE=FQ","FILING_STATUS=MR","SCALING_FORMAT=MLN","Sort=A","Dates=H","DateFormat=P","Fill=—","Direction=H","UseDPDF=Y")</f>
        <v>8664.0058000000008</v>
      </c>
      <c r="E19" s="25">
        <f>_xll.BDH("BLUE US Equity","HISTORICAL_MARKET_CAP","FQ2 2019","FQ2 2019","Currency=USD","Period=FQ","BEST_FPERIOD_OVERRIDE=FQ","FILING_STATUS=MR","SCALING_FORMAT=MLN","Sort=A","Dates=H","DateFormat=P","Fill=—","Direction=H","UseDPDF=Y")</f>
        <v>7025.0015999999996</v>
      </c>
      <c r="F19" s="25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G19" s="25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H19" s="25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I19" s="25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J19" s="25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K19" s="25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L19" s="25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M19" s="25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N19" s="25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O19" s="25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P19" s="25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Q19" s="25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R19" s="25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S19" s="25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T19" s="25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U19" s="25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V19" s="25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W19" s="25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X19" s="25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Y19" s="25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Z19" s="25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AA19" s="25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</row>
    <row r="20" spans="1:27" x14ac:dyDescent="0.25">
      <c r="A20" s="6" t="s">
        <v>1437</v>
      </c>
      <c r="B20" s="6" t="s">
        <v>1438</v>
      </c>
      <c r="C20" s="20">
        <f>_xll.BDH("BLUE US Equity","SHAREHOLDER_YIELD_CFF","FQ4 2018","FQ4 2018","Currency=USD","Period=FQ","BEST_FPERIOD_OVERRIDE=FQ","FILING_STATUS=MR","Sort=A","Dates=H","DateFormat=P","Fill=—","Direction=H","UseDPDF=Y")</f>
        <v>-13.5855</v>
      </c>
      <c r="D20" s="20">
        <f>_xll.BDH("BLUE US Equity","SHAREHOLDER_YIELD_CFF","FQ1 2019","FQ1 2019","Currency=USD","Period=FQ","BEST_FPERIOD_OVERRIDE=FQ","FILING_STATUS=MR","Sort=A","Dates=H","DateFormat=P","Fill=—","Direction=H","UseDPDF=Y")</f>
        <v>-7.8051000000000004</v>
      </c>
      <c r="E20" s="20">
        <f>_xll.BDH("BLUE US Equity","SHAREHOLDER_YIELD_CFF","FQ2 2019","FQ2 2019","Currency=USD","Period=FQ","BEST_FPERIOD_OVERRIDE=FQ","FILING_STATUS=MR","Sort=A","Dates=H","DateFormat=P","Fill=—","Direction=H","UseDPDF=Y")</f>
        <v>-9.6188000000000002</v>
      </c>
      <c r="F20" s="20">
        <f>_xll.BDH("BLUE US Equity","SHAREHOLDER_YIELD_CFF","FQ3 2019","FQ3 2019","Currency=USD","Period=FQ","BEST_FPERIOD_OVERRIDE=FQ","FILING_STATUS=MR","Sort=A","Dates=H","DateFormat=P","Fill=—","Direction=H","UseDPDF=Y")</f>
        <v>-0.41549999999999998</v>
      </c>
      <c r="G20" s="20">
        <f>_xll.BDH("BLUE US Equity","SHAREHOLDER_YIELD_CFF","FQ4 2019","FQ4 2019","Currency=USD","Period=FQ","BEST_FPERIOD_OVERRIDE=FQ","FILING_STATUS=MR","Sort=A","Dates=H","DateFormat=P","Fill=—","Direction=H","UseDPDF=Y")</f>
        <v>-0.43609999999999999</v>
      </c>
      <c r="H20" s="20">
        <f>_xll.BDH("BLUE US Equity","SHAREHOLDER_YIELD_CFF","FQ1 2020","FQ1 2020","Currency=USD","Period=FQ","BEST_FPERIOD_OVERRIDE=FQ","FILING_STATUS=MR","Sort=A","Dates=H","DateFormat=P","Fill=—","Direction=H","UseDPDF=Y")</f>
        <v>-0.46660000000000001</v>
      </c>
      <c r="I20" s="20">
        <f>_xll.BDH("BLUE US Equity","SHAREHOLDER_YIELD_CFF","FQ2 2020","FQ2 2020","Currency=USD","Period=FQ","BEST_FPERIOD_OVERRIDE=FQ","FILING_STATUS=MR","Sort=A","Dates=H","DateFormat=P","Fill=—","Direction=H","UseDPDF=Y")</f>
        <v>-13.618499999999999</v>
      </c>
      <c r="J20" s="20">
        <f>_xll.BDH("BLUE US Equity","SHAREHOLDER_YIELD_CFF","FQ3 2020","FQ3 2020","Currency=USD","Period=FQ","BEST_FPERIOD_OVERRIDE=FQ","FILING_STATUS=MR","Sort=A","Dates=H","DateFormat=P","Fill=—","Direction=H","UseDPDF=Y")</f>
        <v>-15.291700000000001</v>
      </c>
      <c r="K20" s="20">
        <f>_xll.BDH("BLUE US Equity","SHAREHOLDER_YIELD_CFF","FQ4 2020","FQ4 2020","Currency=USD","Period=FQ","BEST_FPERIOD_OVERRIDE=FQ","FILING_STATUS=MR","Sort=A","Dates=H","DateFormat=P","Fill=—","Direction=H","UseDPDF=Y")</f>
        <v>-19.019400000000001</v>
      </c>
      <c r="L20" s="20">
        <f>_xll.BDH("BLUE US Equity","SHAREHOLDER_YIELD_CFF","FQ1 2021","FQ1 2021","Currency=USD","Period=FQ","BEST_FPERIOD_OVERRIDE=FQ","FILING_STATUS=MR","Sort=A","Dates=H","DateFormat=P","Fill=—","Direction=H","UseDPDF=Y")</f>
        <v>-27.034400000000002</v>
      </c>
      <c r="M20" s="20">
        <f>_xll.BDH("BLUE US Equity","SHAREHOLDER_YIELD_CFF","FQ2 2021","FQ2 2021","Currency=USD","Period=FQ","BEST_FPERIOD_OVERRIDE=FQ","FILING_STATUS=MR","Sort=A","Dates=H","DateFormat=P","Fill=—","Direction=H","UseDPDF=Y")</f>
        <v>-0.31580000000000003</v>
      </c>
      <c r="N20" s="20">
        <f>_xll.BDH("BLUE US Equity","SHAREHOLDER_YIELD_CFF","FQ3 2021","FQ3 2021","Currency=USD","Period=FQ","BEST_FPERIOD_OVERRIDE=FQ","FILING_STATUS=MR","Sort=A","Dates=H","DateFormat=P","Fill=—","Direction=H","UseDPDF=Y")</f>
        <v>-6.0834999999999999</v>
      </c>
      <c r="O20" s="20">
        <f>_xll.BDH("BLUE US Equity","SHAREHOLDER_YIELD_CFF","FQ4 2021","FQ4 2021","Currency=USD","Period=FQ","BEST_FPERIOD_OVERRIDE=FQ","FILING_STATUS=MR","Sort=A","Dates=H","DateFormat=P","Fill=—","Direction=H","UseDPDF=Y")</f>
        <v>13.2248</v>
      </c>
      <c r="P20" s="20">
        <f>_xll.BDH("BLUE US Equity","SHAREHOLDER_YIELD_CFF","FQ1 2022","FQ1 2022","Currency=USD","Period=FQ","BEST_FPERIOD_OVERRIDE=FQ","FILING_STATUS=MR","Sort=A","Dates=H","DateFormat=P","Fill=—","Direction=H","UseDPDF=Y")</f>
        <v>28.2102</v>
      </c>
      <c r="Q20" s="20">
        <f>_xll.BDH("BLUE US Equity","SHAREHOLDER_YIELD_CFF","FQ2 2022","FQ2 2022","Currency=USD","Period=FQ","BEST_FPERIOD_OVERRIDE=FQ","FILING_STATUS=MR","Sort=A","Dates=H","DateFormat=P","Fill=—","Direction=H","UseDPDF=Y")</f>
        <v>29.590399999999999</v>
      </c>
      <c r="R20" s="20">
        <f>_xll.BDH("BLUE US Equity","SHAREHOLDER_YIELD_CFF","FQ3 2022","FQ3 2022","Currency=USD","Period=FQ","BEST_FPERIOD_OVERRIDE=FQ","FILING_STATUS=MR","Sort=A","Dates=H","DateFormat=P","Fill=—","Direction=H","UseDPDF=Y")</f>
        <v>22.805800000000001</v>
      </c>
      <c r="S20" s="20">
        <f>_xll.BDH("BLUE US Equity","SHAREHOLDER_YIELD_CFF","FQ4 2022","FQ4 2022","Currency=USD","Period=FQ","BEST_FPERIOD_OVERRIDE=FQ","FILING_STATUS=MR","Sort=A","Dates=H","DateFormat=P","Fill=—","Direction=H","UseDPDF=Y")</f>
        <v>-3.0529999999999999</v>
      </c>
      <c r="T20" s="20">
        <f>_xll.BDH("BLUE US Equity","SHAREHOLDER_YIELD_CFF","FQ1 2023","FQ1 2023","Currency=USD","Period=FQ","BEST_FPERIOD_OVERRIDE=FQ","FILING_STATUS=MR","Sort=A","Dates=H","DateFormat=P","Fill=—","Direction=H","UseDPDF=Y")</f>
        <v>-39.226399999999998</v>
      </c>
      <c r="U20" s="20">
        <f>_xll.BDH("BLUE US Equity","SHAREHOLDER_YIELD_CFF","FQ2 2023","FQ2 2023","Currency=USD","Period=FQ","BEST_FPERIOD_OVERRIDE=FQ","FILING_STATUS=MR","Sort=A","Dates=H","DateFormat=P","Fill=—","Direction=H","UseDPDF=Y")</f>
        <v>-31.688300000000002</v>
      </c>
      <c r="V20" s="20">
        <f>_xll.BDH("BLUE US Equity","SHAREHOLDER_YIELD_CFF","FQ3 2023","FQ3 2023","Currency=USD","Period=FQ","BEST_FPERIOD_OVERRIDE=FQ","FILING_STATUS=MR","Sort=A","Dates=H","DateFormat=P","Fill=—","Direction=H","UseDPDF=Y")</f>
        <v>-16.235299999999999</v>
      </c>
      <c r="W20" s="20">
        <f>_xll.BDH("BLUE US Equity","SHAREHOLDER_YIELD_CFF","FQ4 2023","FQ4 2023","Currency=USD","Period=FQ","BEST_FPERIOD_OVERRIDE=FQ","FILING_STATUS=MR","Sort=A","Dates=H","DateFormat=P","Fill=—","Direction=H","UseDPDF=Y")</f>
        <v>-58.621899999999997</v>
      </c>
      <c r="X20" s="20">
        <f>_xll.BDH("BLUE US Equity","SHAREHOLDER_YIELD_CFF","FQ1 2024","FQ1 2024","Currency=USD","Period=FQ","BEST_FPERIOD_OVERRIDE=FQ","FILING_STATUS=MR","Sort=A","Dates=H","DateFormat=P","Fill=—","Direction=H","UseDPDF=Y")</f>
        <v>-42.543900000000001</v>
      </c>
      <c r="Y20" s="20">
        <f>_xll.BDH("BLUE US Equity","SHAREHOLDER_YIELD_CFF","FQ2 2024","FQ2 2024","Currency=USD","Period=FQ","BEST_FPERIOD_OVERRIDE=FQ","FILING_STATUS=MR","Sort=A","Dates=H","DateFormat=P","Fill=—","Direction=H","UseDPDF=Y")</f>
        <v>-59.240099999999998</v>
      </c>
      <c r="Z20" s="20">
        <f>_xll.BDH("BLUE US Equity","SHAREHOLDER_YIELD_CFF","FQ3 2024","FQ3 2024","Currency=USD","Period=FQ","BEST_FPERIOD_OVERRIDE=FQ","FILING_STATUS=MR","Sort=A","Dates=H","DateFormat=P","Fill=—","Direction=H","UseDPDF=Y")</f>
        <v>-117.8858</v>
      </c>
      <c r="AA20" s="20">
        <f>_xll.BDH("BLUE US Equity","SHAREHOLDER_YIELD_CFF","FQ4 2024","FQ4 2024","Currency=USD","Period=FQ","BEST_FPERIOD_OVERRIDE=FQ","FILING_STATUS=MR","Sort=A","Dates=H","DateFormat=P","Fill=—","Direction=H","UseDPDF=Y")</f>
        <v>-107.81140000000001</v>
      </c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0" t="s">
        <v>1439</v>
      </c>
      <c r="B22" s="10" t="s">
        <v>1427</v>
      </c>
      <c r="C22" s="13">
        <f>_xll.BDH("BLUE US Equity","T12M_DVDS_PAID","FQ4 2018","FQ4 2018","Currency=USD","Period=FQ","BEST_FPERIOD_OVERRIDE=FQ","FILING_STATUS=MR","SCALING_FORMAT=MLN","Sort=A","Dates=H","DateFormat=P","Fill=—","Direction=H","UseDPDF=Y")</f>
        <v>0</v>
      </c>
      <c r="D22" s="13">
        <f>_xll.BDH("BLUE US Equity","T12M_DVDS_PAID","FQ1 2019","FQ1 2019","Currency=USD","Period=FQ","BEST_FPERIOD_OVERRIDE=FQ","FILING_STATUS=MR","SCALING_FORMAT=MLN","Sort=A","Dates=H","DateFormat=P","Fill=—","Direction=H","UseDPDF=Y")</f>
        <v>0</v>
      </c>
      <c r="E22" s="13">
        <f>_xll.BDH("BLUE US Equity","T12M_DVDS_PAID","FQ2 2019","FQ2 2019","Currency=USD","Period=FQ","BEST_FPERIOD_OVERRIDE=FQ","FILING_STATUS=MR","SCALING_FORMAT=MLN","Sort=A","Dates=H","DateFormat=P","Fill=—","Direction=H","UseDPDF=Y")</f>
        <v>0</v>
      </c>
      <c r="F22" s="13">
        <f>_xll.BDH("BLUE US Equity","T12M_DVDS_PAID","FQ3 2019","FQ3 2019","Currency=USD","Period=FQ","BEST_FPERIOD_OVERRIDE=FQ","FILING_STATUS=MR","SCALING_FORMAT=MLN","Sort=A","Dates=H","DateFormat=P","Fill=—","Direction=H","UseDPDF=Y")</f>
        <v>0</v>
      </c>
      <c r="G22" s="13">
        <f>_xll.BDH("BLUE US Equity","T12M_DVDS_PAID","FQ4 2019","FQ4 2019","Currency=USD","Period=FQ","BEST_FPERIOD_OVERRIDE=FQ","FILING_STATUS=MR","SCALING_FORMAT=MLN","Sort=A","Dates=H","DateFormat=P","Fill=—","Direction=H","UseDPDF=Y")</f>
        <v>0</v>
      </c>
      <c r="H22" s="13">
        <f>_xll.BDH("BLUE US Equity","T12M_DVDS_PAID","FQ1 2020","FQ1 2020","Currency=USD","Period=FQ","BEST_FPERIOD_OVERRIDE=FQ","FILING_STATUS=MR","SCALING_FORMAT=MLN","Sort=A","Dates=H","DateFormat=P","Fill=—","Direction=H","UseDPDF=Y")</f>
        <v>0</v>
      </c>
      <c r="I22" s="13">
        <f>_xll.BDH("BLUE US Equity","T12M_DVDS_PAID","FQ2 2020","FQ2 2020","Currency=USD","Period=FQ","BEST_FPERIOD_OVERRIDE=FQ","FILING_STATUS=MR","SCALING_FORMAT=MLN","Sort=A","Dates=H","DateFormat=P","Fill=—","Direction=H","UseDPDF=Y")</f>
        <v>0</v>
      </c>
      <c r="J22" s="13">
        <f>_xll.BDH("BLUE US Equity","T12M_DVDS_PAID","FQ3 2020","FQ3 2020","Currency=USD","Period=FQ","BEST_FPERIOD_OVERRIDE=FQ","FILING_STATUS=MR","SCALING_FORMAT=MLN","Sort=A","Dates=H","DateFormat=P","Fill=—","Direction=H","UseDPDF=Y")</f>
        <v>0</v>
      </c>
      <c r="K22" s="13">
        <f>_xll.BDH("BLUE US Equity","T12M_DVDS_PAID","FQ4 2020","FQ4 2020","Currency=USD","Period=FQ","BEST_FPERIOD_OVERRIDE=FQ","FILING_STATUS=MR","SCALING_FORMAT=MLN","Sort=A","Dates=H","DateFormat=P","Fill=—","Direction=H","UseDPDF=Y")</f>
        <v>0</v>
      </c>
      <c r="L22" s="13">
        <f>_xll.BDH("BLUE US Equity","T12M_DVDS_PAID","FQ1 2021","FQ1 2021","Currency=USD","Period=FQ","BEST_FPERIOD_OVERRIDE=FQ","FILING_STATUS=MR","SCALING_FORMAT=MLN","Sort=A","Dates=H","DateFormat=P","Fill=—","Direction=H","UseDPDF=Y")</f>
        <v>0</v>
      </c>
      <c r="M22" s="13">
        <f>_xll.BDH("BLUE US Equity","T12M_DVDS_PAID","FQ2 2021","FQ2 2021","Currency=USD","Period=FQ","BEST_FPERIOD_OVERRIDE=FQ","FILING_STATUS=MR","SCALING_FORMAT=MLN","Sort=A","Dates=H","DateFormat=P","Fill=—","Direction=H","UseDPDF=Y")</f>
        <v>0</v>
      </c>
      <c r="N22" s="13">
        <f>_xll.BDH("BLUE US Equity","T12M_DVDS_PAID","FQ3 2021","FQ3 2021","Currency=USD","Period=FQ","BEST_FPERIOD_OVERRIDE=FQ","FILING_STATUS=MR","SCALING_FORMAT=MLN","Sort=A","Dates=H","DateFormat=P","Fill=—","Direction=H","UseDPDF=Y")</f>
        <v>0</v>
      </c>
      <c r="O22" s="13">
        <f>_xll.BDH("BLUE US Equity","T12M_DVDS_PAID","FQ4 2021","FQ4 2021","Currency=USD","Period=FQ","BEST_FPERIOD_OVERRIDE=FQ","FILING_STATUS=MR","SCALING_FORMAT=MLN","Sort=A","Dates=H","DateFormat=P","Fill=—","Direction=H","UseDPDF=Y")</f>
        <v>0</v>
      </c>
      <c r="P22" s="13">
        <f>_xll.BDH("BLUE US Equity","T12M_DVDS_PAID","FQ1 2022","FQ1 2022","Currency=USD","Period=FQ","BEST_FPERIOD_OVERRIDE=FQ","FILING_STATUS=MR","SCALING_FORMAT=MLN","Sort=A","Dates=H","DateFormat=P","Fill=—","Direction=H","UseDPDF=Y")</f>
        <v>0</v>
      </c>
      <c r="Q22" s="13">
        <f>_xll.BDH("BLUE US Equity","T12M_DVDS_PAID","FQ2 2022","FQ2 2022","Currency=USD","Period=FQ","BEST_FPERIOD_OVERRIDE=FQ","FILING_STATUS=MR","SCALING_FORMAT=MLN","Sort=A","Dates=H","DateFormat=P","Fill=—","Direction=H","UseDPDF=Y")</f>
        <v>0</v>
      </c>
      <c r="R22" s="13">
        <f>_xll.BDH("BLUE US Equity","T12M_DVDS_PAID","FQ3 2022","FQ3 2022","Currency=USD","Period=FQ","BEST_FPERIOD_OVERRIDE=FQ","FILING_STATUS=MR","SCALING_FORMAT=MLN","Sort=A","Dates=H","DateFormat=P","Fill=—","Direction=H","UseDPDF=Y")</f>
        <v>0</v>
      </c>
      <c r="S22" s="13">
        <f>_xll.BDH("BLUE US Equity","T12M_DVDS_PAID","FQ4 2022","FQ4 2022","Currency=USD","Period=FQ","BEST_FPERIOD_OVERRIDE=FQ","FILING_STATUS=MR","SCALING_FORMAT=MLN","Sort=A","Dates=H","DateFormat=P","Fill=—","Direction=H","UseDPDF=Y")</f>
        <v>0</v>
      </c>
      <c r="T22" s="13">
        <f>_xll.BDH("BLUE US Equity","T12M_DVDS_PAID","FQ1 2023","FQ1 2023","Currency=USD","Period=FQ","BEST_FPERIOD_OVERRIDE=FQ","FILING_STATUS=MR","SCALING_FORMAT=MLN","Sort=A","Dates=H","DateFormat=P","Fill=—","Direction=H","UseDPDF=Y")</f>
        <v>0</v>
      </c>
      <c r="U22" s="13">
        <f>_xll.BDH("BLUE US Equity","T12M_DVDS_PAID","FQ2 2023","FQ2 2023","Currency=USD","Period=FQ","BEST_FPERIOD_OVERRIDE=FQ","FILING_STATUS=MR","SCALING_FORMAT=MLN","Sort=A","Dates=H","DateFormat=P","Fill=—","Direction=H","UseDPDF=Y")</f>
        <v>0</v>
      </c>
      <c r="V22" s="13">
        <f>_xll.BDH("BLUE US Equity","T12M_DVDS_PAID","FQ3 2023","FQ3 2023","Currency=USD","Period=FQ","BEST_FPERIOD_OVERRIDE=FQ","FILING_STATUS=MR","SCALING_FORMAT=MLN","Sort=A","Dates=H","DateFormat=P","Fill=—","Direction=H","UseDPDF=Y")</f>
        <v>0</v>
      </c>
      <c r="W22" s="13">
        <f>_xll.BDH("BLUE US Equity","T12M_DVDS_PAID","FQ4 2023","FQ4 2023","Currency=USD","Period=FQ","BEST_FPERIOD_OVERRIDE=FQ","FILING_STATUS=MR","SCALING_FORMAT=MLN","Sort=A","Dates=H","DateFormat=P","Fill=—","Direction=H","UseDPDF=Y")</f>
        <v>0</v>
      </c>
      <c r="X22" s="13">
        <f>_xll.BDH("BLUE US Equity","T12M_DVDS_PAID","FQ1 2024","FQ1 2024","Currency=USD","Period=FQ","BEST_FPERIOD_OVERRIDE=FQ","FILING_STATUS=MR","SCALING_FORMAT=MLN","Sort=A","Dates=H","DateFormat=P","Fill=—","Direction=H","UseDPDF=Y")</f>
        <v>0</v>
      </c>
      <c r="Y22" s="13">
        <f>_xll.BDH("BLUE US Equity","T12M_DVDS_PAID","FQ2 2024","FQ2 2024","Currency=USD","Period=FQ","BEST_FPERIOD_OVERRIDE=FQ","FILING_STATUS=MR","SCALING_FORMAT=MLN","Sort=A","Dates=H","DateFormat=P","Fill=—","Direction=H","UseDPDF=Y")</f>
        <v>0</v>
      </c>
      <c r="Z22" s="13">
        <f>_xll.BDH("BLUE US Equity","T12M_DVDS_PAID","FQ3 2024","FQ3 2024","Currency=USD","Period=FQ","BEST_FPERIOD_OVERRIDE=FQ","FILING_STATUS=MR","SCALING_FORMAT=MLN","Sort=A","Dates=H","DateFormat=P","Fill=—","Direction=H","UseDPDF=Y")</f>
        <v>0</v>
      </c>
      <c r="AA22" s="13">
        <f>_xll.BDH("BLUE US Equity","T12M_DVDS_PAID","FQ4 2024","FQ4 2024","Currency=USD","Period=FQ","BEST_FPERIOD_OVERRIDE=FQ","FILING_STATUS=MR","SCALING_FORMAT=MLN","Sort=A","Dates=H","DateFormat=P","Fill=—","Direction=H","UseDPDF=Y")</f>
        <v>0</v>
      </c>
    </row>
    <row r="23" spans="1:27" x14ac:dyDescent="0.25">
      <c r="A23" s="10" t="s">
        <v>1440</v>
      </c>
      <c r="B23" s="10" t="s">
        <v>1429</v>
      </c>
      <c r="C23" s="13">
        <f>_xll.BDH("BLUE US Equity","T12M_NET_CAPITAL_STOCK","FQ4 2018","FQ4 2018","Currency=USD","Period=FQ","BEST_FPERIOD_OVERRIDE=FQ","FILING_STATUS=MR","SCALING_FORMAT=MLN","Sort=A","Dates=H","DateFormat=P","Fill=—","Direction=H","UseDPDF=Y")</f>
        <v>735.61099999999999</v>
      </c>
      <c r="D23" s="13">
        <f>_xll.BDH("BLUE US Equity","T12M_NET_CAPITAL_STOCK","FQ1 2019","FQ1 2019","Currency=USD","Period=FQ","BEST_FPERIOD_OVERRIDE=FQ","FILING_STATUS=MR","SCALING_FORMAT=MLN","Sort=A","Dates=H","DateFormat=P","Fill=—","Direction=H","UseDPDF=Y")</f>
        <v>677.149</v>
      </c>
      <c r="E23" s="13">
        <f>_xll.BDH("BLUE US Equity","T12M_NET_CAPITAL_STOCK","FQ2 2019","FQ2 2019","Currency=USD","Period=FQ","BEST_FPERIOD_OVERRIDE=FQ","FILING_STATUS=MR","SCALING_FORMAT=MLN","Sort=A","Dates=H","DateFormat=P","Fill=—","Direction=H","UseDPDF=Y")</f>
        <v>676.28899999999999</v>
      </c>
      <c r="F23" s="13">
        <f>_xll.BDH("BLUE US Equity","T12M_NET_CAPITAL_STOCK","FQ3 2019","FQ3 2019","Currency=USD","Period=FQ","BEST_FPERIOD_OVERRIDE=FQ","FILING_STATUS=MR","SCALING_FORMAT=MLN","Sort=A","Dates=H","DateFormat=P","Fill=—","Direction=H","UseDPDF=Y")</f>
        <v>21.391999999999999</v>
      </c>
      <c r="G23" s="13">
        <f>_xll.BDH("BLUE US Equity","T12M_NET_CAPITAL_STOCK","FQ4 2019","FQ4 2019","Currency=USD","Period=FQ","BEST_FPERIOD_OVERRIDE=FQ","FILING_STATUS=MR","SCALING_FORMAT=MLN","Sort=A","Dates=H","DateFormat=P","Fill=—","Direction=H","UseDPDF=Y")</f>
        <v>21.187000000000001</v>
      </c>
      <c r="H23" s="13">
        <f>_xll.BDH("BLUE US Equity","T12M_NET_CAPITAL_STOCK","FQ1 2020","FQ1 2020","Currency=USD","Period=FQ","BEST_FPERIOD_OVERRIDE=FQ","FILING_STATUS=MR","SCALING_FORMAT=MLN","Sort=A","Dates=H","DateFormat=P","Fill=—","Direction=H","UseDPDF=Y")</f>
        <v>11.927</v>
      </c>
      <c r="I23" s="13">
        <f>_xll.BDH("BLUE US Equity","T12M_NET_CAPITAL_STOCK","FQ2 2020","FQ2 2020","Currency=USD","Period=FQ","BEST_FPERIOD_OVERRIDE=FQ","FILING_STATUS=MR","SCALING_FORMAT=MLN","Sort=A","Dates=H","DateFormat=P","Fill=—","Direction=H","UseDPDF=Y")</f>
        <v>548.68200000000002</v>
      </c>
      <c r="J23" s="13">
        <f>_xll.BDH("BLUE US Equity","T12M_NET_CAPITAL_STOCK","FQ3 2020","FQ3 2020","Currency=USD","Period=FQ","BEST_FPERIOD_OVERRIDE=FQ","FILING_STATUS=MR","SCALING_FORMAT=MLN","Sort=A","Dates=H","DateFormat=P","Fill=—","Direction=H","UseDPDF=Y")</f>
        <v>544.50400000000002</v>
      </c>
      <c r="K23" s="13">
        <f>_xll.BDH("BLUE US Equity","T12M_NET_CAPITAL_STOCK","FQ4 2020","FQ4 2020","Currency=USD","Period=FQ","BEST_FPERIOD_OVERRIDE=FQ","FILING_STATUS=MR","SCALING_FORMAT=MLN","Sort=A","Dates=H","DateFormat=P","Fill=—","Direction=H","UseDPDF=Y")</f>
        <v>542.49900000000002</v>
      </c>
      <c r="L23" s="13">
        <f>_xll.BDH("BLUE US Equity","T12M_NET_CAPITAL_STOCK","FQ1 2021","FQ1 2021","Currency=USD","Period=FQ","BEST_FPERIOD_OVERRIDE=FQ","FILING_STATUS=MR","SCALING_FORMAT=MLN","Sort=A","Dates=H","DateFormat=P","Fill=—","Direction=H","UseDPDF=Y")</f>
        <v>545.33199999999999</v>
      </c>
      <c r="M23" s="13">
        <f>_xll.BDH("BLUE US Equity","T12M_NET_CAPITAL_STOCK","FQ2 2021","FQ2 2021","Currency=USD","Period=FQ","BEST_FPERIOD_OVERRIDE=FQ","FILING_STATUS=MR","SCALING_FORMAT=MLN","Sort=A","Dates=H","DateFormat=P","Fill=—","Direction=H","UseDPDF=Y")</f>
        <v>3.7959999999999998</v>
      </c>
      <c r="N23" s="13">
        <f>_xll.BDH("BLUE US Equity","T12M_NET_CAPITAL_STOCK","FQ3 2021","FQ3 2021","Currency=USD","Period=FQ","BEST_FPERIOD_OVERRIDE=FQ","FILING_STATUS=MR","SCALING_FORMAT=MLN","Sort=A","Dates=H","DateFormat=P","Fill=—","Direction=H","UseDPDF=Y")</f>
        <v>78.778000000000006</v>
      </c>
      <c r="O23" s="13">
        <f>_xll.BDH("BLUE US Equity","T12M_NET_CAPITAL_STOCK","FQ4 2021","FQ4 2021","Currency=USD","Period=FQ","BEST_FPERIOD_OVERRIDE=FQ","FILING_STATUS=MR","SCALING_FORMAT=MLN","Sort=A","Dates=H","DateFormat=P","Fill=—","Direction=H","UseDPDF=Y")</f>
        <v>78.771000000000001</v>
      </c>
      <c r="P23" s="13">
        <f>_xll.BDH("BLUE US Equity","T12M_NET_CAPITAL_STOCK","FQ1 2022","FQ1 2022","Currency=USD","Period=FQ","BEST_FPERIOD_OVERRIDE=FQ","FILING_STATUS=MR","SCALING_FORMAT=MLN","Sort=A","Dates=H","DateFormat=P","Fill=—","Direction=H","UseDPDF=Y")</f>
        <v>74.983999999999995</v>
      </c>
      <c r="Q23" s="13">
        <f>_xll.BDH("BLUE US Equity","T12M_NET_CAPITAL_STOCK","FQ2 2022","FQ2 2022","Currency=USD","Period=FQ","BEST_FPERIOD_OVERRIDE=FQ","FILING_STATUS=MR","SCALING_FORMAT=MLN","Sort=A","Dates=H","DateFormat=P","Fill=—","Direction=H","UseDPDF=Y")</f>
        <v>83.018000000000001</v>
      </c>
      <c r="R23" s="13">
        <f>_xll.BDH("BLUE US Equity","T12M_NET_CAPITAL_STOCK","FQ3 2022","FQ3 2022","Currency=USD","Period=FQ","BEST_FPERIOD_OVERRIDE=FQ","FILING_STATUS=MR","SCALING_FORMAT=MLN","Sort=A","Dates=H","DateFormat=P","Fill=—","Direction=H","UseDPDF=Y")</f>
        <v>54.360999999999997</v>
      </c>
      <c r="S23" s="13">
        <f>_xll.BDH("BLUE US Equity","T12M_NET_CAPITAL_STOCK","FQ4 2022","FQ4 2022","Currency=USD","Period=FQ","BEST_FPERIOD_OVERRIDE=FQ","FILING_STATUS=MR","SCALING_FORMAT=MLN","Sort=A","Dates=H","DateFormat=P","Fill=—","Direction=H","UseDPDF=Y")</f>
        <v>54.237000000000002</v>
      </c>
      <c r="T23" s="13">
        <f>_xll.BDH("BLUE US Equity","T12M_NET_CAPITAL_STOCK","FQ1 2023","FQ1 2023","Currency=USD","Period=FQ","BEST_FPERIOD_OVERRIDE=FQ","FILING_STATUS=MR","SCALING_FORMAT=MLN","Sort=A","Dates=H","DateFormat=P","Fill=—","Direction=H","UseDPDF=Y")</f>
        <v>184.88</v>
      </c>
      <c r="U23" s="13">
        <f>_xll.BDH("BLUE US Equity","T12M_NET_CAPITAL_STOCK","FQ2 2023","FQ2 2023","Currency=USD","Period=FQ","BEST_FPERIOD_OVERRIDE=FQ","FILING_STATUS=MR","SCALING_FORMAT=MLN","Sort=A","Dates=H","DateFormat=P","Fill=—","Direction=H","UseDPDF=Y")</f>
        <v>176.40100000000001</v>
      </c>
      <c r="V23" s="13">
        <f>_xll.BDH("BLUE US Equity","T12M_NET_CAPITAL_STOCK","FQ3 2023","FQ3 2023","Currency=USD","Period=FQ","BEST_FPERIOD_OVERRIDE=FQ","FILING_STATUS=MR","SCALING_FORMAT=MLN","Sort=A","Dates=H","DateFormat=P","Fill=—","Direction=H","UseDPDF=Y")</f>
        <v>130.03399999999999</v>
      </c>
      <c r="W23" s="13">
        <f>_xll.BDH("BLUE US Equity","T12M_NET_CAPITAL_STOCK","FQ4 2023","FQ4 2023","Currency=USD","Period=FQ","BEST_FPERIOD_OVERRIDE=FQ","FILING_STATUS=MR","SCALING_FORMAT=MLN","Sort=A","Dates=H","DateFormat=P","Fill=—","Direction=H","UseDPDF=Y")</f>
        <v>248.19800000000001</v>
      </c>
      <c r="X23" s="13">
        <f>_xll.BDH("BLUE US Equity","T12M_NET_CAPITAL_STOCK","FQ1 2024","FQ1 2024","Currency=USD","Period=FQ","BEST_FPERIOD_OVERRIDE=FQ","FILING_STATUS=MR","SCALING_FORMAT=MLN","Sort=A","Dates=H","DateFormat=P","Fill=—","Direction=H","UseDPDF=Y")</f>
        <v>117.54600000000001</v>
      </c>
      <c r="Y23" s="13">
        <f>_xll.BDH("BLUE US Equity","T12M_NET_CAPITAL_STOCK","FQ2 2024","FQ2 2024","Currency=USD","Period=FQ","BEST_FPERIOD_OVERRIDE=FQ","FILING_STATUS=MR","SCALING_FORMAT=MLN","Sort=A","Dates=H","DateFormat=P","Fill=—","Direction=H","UseDPDF=Y")</f>
        <v>117.991</v>
      </c>
      <c r="Z23" s="13">
        <f>_xll.BDH("BLUE US Equity","T12M_NET_CAPITAL_STOCK","FQ3 2024","FQ3 2024","Currency=USD","Period=FQ","BEST_FPERIOD_OVERRIDE=FQ","FILING_STATUS=MR","SCALING_FORMAT=MLN","Sort=A","Dates=H","DateFormat=P","Fill=—","Direction=H","UseDPDF=Y")</f>
        <v>118.033</v>
      </c>
      <c r="AA23" s="13">
        <f>_xll.BDH("BLUE US Equity","T12M_NET_CAPITAL_STOCK","FQ4 2024","FQ4 2024","Currency=USD","Period=FQ","BEST_FPERIOD_OVERRIDE=FQ","FILING_STATUS=MR","SCALING_FORMAT=MLN","Sort=A","Dates=H","DateFormat=P","Fill=—","Direction=H","UseDPDF=Y")</f>
        <v>0</v>
      </c>
    </row>
    <row r="24" spans="1:27" x14ac:dyDescent="0.25">
      <c r="A24" s="6" t="s">
        <v>1441</v>
      </c>
      <c r="B24" s="6" t="s">
        <v>1442</v>
      </c>
      <c r="C24" s="19">
        <f>_xll.BDH("BLUE US Equity","RETURNED_CAPITAL_EX_DEBT","FQ4 2018","FQ4 2018","Currency=USD","Period=FQ","BEST_FPERIOD_OVERRIDE=FQ","FILING_STATUS=MR","SCALING_FORMAT=MLN","Sort=A","Dates=H","DateFormat=P","Fill=—","Direction=H","UseDPDF=Y")</f>
        <v>-735.61099999999999</v>
      </c>
      <c r="D24" s="19">
        <f>_xll.BDH("BLUE US Equity","RETURNED_CAPITAL_EX_DEBT","FQ1 2019","FQ1 2019","Currency=USD","Period=FQ","BEST_FPERIOD_OVERRIDE=FQ","FILING_STATUS=MR","SCALING_FORMAT=MLN","Sort=A","Dates=H","DateFormat=P","Fill=—","Direction=H","UseDPDF=Y")</f>
        <v>-677.149</v>
      </c>
      <c r="E24" s="19">
        <f>_xll.BDH("BLUE US Equity","RETURNED_CAPITAL_EX_DEBT","FQ2 2019","FQ2 2019","Currency=USD","Period=FQ","BEST_FPERIOD_OVERRIDE=FQ","FILING_STATUS=MR","SCALING_FORMAT=MLN","Sort=A","Dates=H","DateFormat=P","Fill=—","Direction=H","UseDPDF=Y")</f>
        <v>-676.28899999999999</v>
      </c>
      <c r="F24" s="19">
        <f>_xll.BDH("BLUE US Equity","RETURNED_CAPITAL_EX_DEBT","FQ3 2019","FQ3 2019","Currency=USD","Period=FQ","BEST_FPERIOD_OVERRIDE=FQ","FILING_STATUS=MR","SCALING_FORMAT=MLN","Sort=A","Dates=H","DateFormat=P","Fill=—","Direction=H","UseDPDF=Y")</f>
        <v>-21.391999999999999</v>
      </c>
      <c r="G24" s="19">
        <f>_xll.BDH("BLUE US Equity","RETURNED_CAPITAL_EX_DEBT","FQ4 2019","FQ4 2019","Currency=USD","Period=FQ","BEST_FPERIOD_OVERRIDE=FQ","FILING_STATUS=MR","SCALING_FORMAT=MLN","Sort=A","Dates=H","DateFormat=P","Fill=—","Direction=H","UseDPDF=Y")</f>
        <v>-21.187000000000001</v>
      </c>
      <c r="H24" s="19">
        <f>_xll.BDH("BLUE US Equity","RETURNED_CAPITAL_EX_DEBT","FQ1 2020","FQ1 2020","Currency=USD","Period=FQ","BEST_FPERIOD_OVERRIDE=FQ","FILING_STATUS=MR","SCALING_FORMAT=MLN","Sort=A","Dates=H","DateFormat=P","Fill=—","Direction=H","UseDPDF=Y")</f>
        <v>-11.927</v>
      </c>
      <c r="I24" s="19">
        <f>_xll.BDH("BLUE US Equity","RETURNED_CAPITAL_EX_DEBT","FQ2 2020","FQ2 2020","Currency=USD","Period=FQ","BEST_FPERIOD_OVERRIDE=FQ","FILING_STATUS=MR","SCALING_FORMAT=MLN","Sort=A","Dates=H","DateFormat=P","Fill=—","Direction=H","UseDPDF=Y")</f>
        <v>-548.68200000000002</v>
      </c>
      <c r="J24" s="19">
        <f>_xll.BDH("BLUE US Equity","RETURNED_CAPITAL_EX_DEBT","FQ3 2020","FQ3 2020","Currency=USD","Period=FQ","BEST_FPERIOD_OVERRIDE=FQ","FILING_STATUS=MR","SCALING_FORMAT=MLN","Sort=A","Dates=H","DateFormat=P","Fill=—","Direction=H","UseDPDF=Y")</f>
        <v>-544.50400000000002</v>
      </c>
      <c r="K24" s="19">
        <f>_xll.BDH("BLUE US Equity","RETURNED_CAPITAL_EX_DEBT","FQ4 2020","FQ4 2020","Currency=USD","Period=FQ","BEST_FPERIOD_OVERRIDE=FQ","FILING_STATUS=MR","SCALING_FORMAT=MLN","Sort=A","Dates=H","DateFormat=P","Fill=—","Direction=H","UseDPDF=Y")</f>
        <v>-542.49900000000002</v>
      </c>
      <c r="L24" s="19">
        <f>_xll.BDH("BLUE US Equity","RETURNED_CAPITAL_EX_DEBT","FQ1 2021","FQ1 2021","Currency=USD","Period=FQ","BEST_FPERIOD_OVERRIDE=FQ","FILING_STATUS=MR","SCALING_FORMAT=MLN","Sort=A","Dates=H","DateFormat=P","Fill=—","Direction=H","UseDPDF=Y")</f>
        <v>-545.33199999999999</v>
      </c>
      <c r="M24" s="19">
        <f>_xll.BDH("BLUE US Equity","RETURNED_CAPITAL_EX_DEBT","FQ2 2021","FQ2 2021","Currency=USD","Period=FQ","BEST_FPERIOD_OVERRIDE=FQ","FILING_STATUS=MR","SCALING_FORMAT=MLN","Sort=A","Dates=H","DateFormat=P","Fill=—","Direction=H","UseDPDF=Y")</f>
        <v>-3.7959999999999998</v>
      </c>
      <c r="N24" s="19">
        <f>_xll.BDH("BLUE US Equity","RETURNED_CAPITAL_EX_DEBT","FQ3 2021","FQ3 2021","Currency=USD","Period=FQ","BEST_FPERIOD_OVERRIDE=FQ","FILING_STATUS=MR","SCALING_FORMAT=MLN","Sort=A","Dates=H","DateFormat=P","Fill=—","Direction=H","UseDPDF=Y")</f>
        <v>-78.778000000000006</v>
      </c>
      <c r="O24" s="19">
        <f>_xll.BDH("BLUE US Equity","RETURNED_CAPITAL_EX_DEBT","FQ4 2021","FQ4 2021","Currency=USD","Period=FQ","BEST_FPERIOD_OVERRIDE=FQ","FILING_STATUS=MR","SCALING_FORMAT=MLN","Sort=A","Dates=H","DateFormat=P","Fill=—","Direction=H","UseDPDF=Y")</f>
        <v>-78.771000000000001</v>
      </c>
      <c r="P24" s="19">
        <f>_xll.BDH("BLUE US Equity","RETURNED_CAPITAL_EX_DEBT","FQ1 2022","FQ1 2022","Currency=USD","Period=FQ","BEST_FPERIOD_OVERRIDE=FQ","FILING_STATUS=MR","SCALING_FORMAT=MLN","Sort=A","Dates=H","DateFormat=P","Fill=—","Direction=H","UseDPDF=Y")</f>
        <v>-74.983999999999995</v>
      </c>
      <c r="Q24" s="19">
        <f>_xll.BDH("BLUE US Equity","RETURNED_CAPITAL_EX_DEBT","FQ2 2022","FQ2 2022","Currency=USD","Period=FQ","BEST_FPERIOD_OVERRIDE=FQ","FILING_STATUS=MR","SCALING_FORMAT=MLN","Sort=A","Dates=H","DateFormat=P","Fill=—","Direction=H","UseDPDF=Y")</f>
        <v>-83.018000000000001</v>
      </c>
      <c r="R24" s="19">
        <f>_xll.BDH("BLUE US Equity","RETURNED_CAPITAL_EX_DEBT","FQ3 2022","FQ3 2022","Currency=USD","Period=FQ","BEST_FPERIOD_OVERRIDE=FQ","FILING_STATUS=MR","SCALING_FORMAT=MLN","Sort=A","Dates=H","DateFormat=P","Fill=—","Direction=H","UseDPDF=Y")</f>
        <v>-54.360999999999997</v>
      </c>
      <c r="S24" s="19">
        <f>_xll.BDH("BLUE US Equity","RETURNED_CAPITAL_EX_DEBT","FQ4 2022","FQ4 2022","Currency=USD","Period=FQ","BEST_FPERIOD_OVERRIDE=FQ","FILING_STATUS=MR","SCALING_FORMAT=MLN","Sort=A","Dates=H","DateFormat=P","Fill=—","Direction=H","UseDPDF=Y")</f>
        <v>-54.237000000000002</v>
      </c>
      <c r="T24" s="19">
        <f>_xll.BDH("BLUE US Equity","RETURNED_CAPITAL_EX_DEBT","FQ1 2023","FQ1 2023","Currency=USD","Period=FQ","BEST_FPERIOD_OVERRIDE=FQ","FILING_STATUS=MR","SCALING_FORMAT=MLN","Sort=A","Dates=H","DateFormat=P","Fill=—","Direction=H","UseDPDF=Y")</f>
        <v>-184.88</v>
      </c>
      <c r="U24" s="19">
        <f>_xll.BDH("BLUE US Equity","RETURNED_CAPITAL_EX_DEBT","FQ2 2023","FQ2 2023","Currency=USD","Period=FQ","BEST_FPERIOD_OVERRIDE=FQ","FILING_STATUS=MR","SCALING_FORMAT=MLN","Sort=A","Dates=H","DateFormat=P","Fill=—","Direction=H","UseDPDF=Y")</f>
        <v>-176.40100000000001</v>
      </c>
      <c r="V24" s="19">
        <f>_xll.BDH("BLUE US Equity","RETURNED_CAPITAL_EX_DEBT","FQ3 2023","FQ3 2023","Currency=USD","Period=FQ","BEST_FPERIOD_OVERRIDE=FQ","FILING_STATUS=MR","SCALING_FORMAT=MLN","Sort=A","Dates=H","DateFormat=P","Fill=—","Direction=H","UseDPDF=Y")</f>
        <v>-130.03399999999999</v>
      </c>
      <c r="W24" s="19">
        <f>_xll.BDH("BLUE US Equity","RETURNED_CAPITAL_EX_DEBT","FQ4 2023","FQ4 2023","Currency=USD","Period=FQ","BEST_FPERIOD_OVERRIDE=FQ","FILING_STATUS=MR","SCALING_FORMAT=MLN","Sort=A","Dates=H","DateFormat=P","Fill=—","Direction=H","UseDPDF=Y")</f>
        <v>-248.19800000000001</v>
      </c>
      <c r="X24" s="19">
        <f>_xll.BDH("BLUE US Equity","RETURNED_CAPITAL_EX_DEBT","FQ1 2024","FQ1 2024","Currency=USD","Period=FQ","BEST_FPERIOD_OVERRIDE=FQ","FILING_STATUS=MR","SCALING_FORMAT=MLN","Sort=A","Dates=H","DateFormat=P","Fill=—","Direction=H","UseDPDF=Y")</f>
        <v>-117.54600000000001</v>
      </c>
      <c r="Y24" s="19">
        <f>_xll.BDH("BLUE US Equity","RETURNED_CAPITAL_EX_DEBT","FQ2 2024","FQ2 2024","Currency=USD","Period=FQ","BEST_FPERIOD_OVERRIDE=FQ","FILING_STATUS=MR","SCALING_FORMAT=MLN","Sort=A","Dates=H","DateFormat=P","Fill=—","Direction=H","UseDPDF=Y")</f>
        <v>-117.991</v>
      </c>
      <c r="Z24" s="19">
        <f>_xll.BDH("BLUE US Equity","RETURNED_CAPITAL_EX_DEBT","FQ3 2024","FQ3 2024","Currency=USD","Period=FQ","BEST_FPERIOD_OVERRIDE=FQ","FILING_STATUS=MR","SCALING_FORMAT=MLN","Sort=A","Dates=H","DateFormat=P","Fill=—","Direction=H","UseDPDF=Y")</f>
        <v>-118.033</v>
      </c>
      <c r="AA24" s="19">
        <f>_xll.BDH("BLUE US Equity","RETURNED_CAPITAL_EX_DEBT","FQ4 2024","FQ4 2024","Currency=USD","Period=FQ","BEST_FPERIOD_OVERRIDE=FQ","FILING_STATUS=MR","SCALING_FORMAT=MLN","Sort=A","Dates=H","DateFormat=P","Fill=—","Direction=H","UseDPDF=Y")</f>
        <v>0</v>
      </c>
    </row>
    <row r="25" spans="1:27" x14ac:dyDescent="0.25">
      <c r="A25" s="11" t="s">
        <v>59</v>
      </c>
      <c r="B25" s="11" t="s">
        <v>60</v>
      </c>
      <c r="C25" s="25">
        <f>_xll.BDH("BLUE US Equity","HISTORICAL_MARKET_CAP","FQ4 2018","FQ4 2018","Currency=USD","Period=FQ","BEST_FPERIOD_OVERRIDE=FQ","FILING_STATUS=MR","SCALING_FORMAT=MLN","Sort=A","Dates=H","DateFormat=P","Fill=—","Direction=H","UseDPDF=Y")</f>
        <v>5430.0096000000003</v>
      </c>
      <c r="D25" s="25">
        <f>_xll.BDH("BLUE US Equity","HISTORICAL_MARKET_CAP","FQ1 2019","FQ1 2019","Currency=USD","Period=FQ","BEST_FPERIOD_OVERRIDE=FQ","FILING_STATUS=MR","SCALING_FORMAT=MLN","Sort=A","Dates=H","DateFormat=P","Fill=—","Direction=H","UseDPDF=Y")</f>
        <v>8664.0058000000008</v>
      </c>
      <c r="E25" s="25">
        <f>_xll.BDH("BLUE US Equity","HISTORICAL_MARKET_CAP","FQ2 2019","FQ2 2019","Currency=USD","Period=FQ","BEST_FPERIOD_OVERRIDE=FQ","FILING_STATUS=MR","SCALING_FORMAT=MLN","Sort=A","Dates=H","DateFormat=P","Fill=—","Direction=H","UseDPDF=Y")</f>
        <v>7025.0015999999996</v>
      </c>
      <c r="F25" s="25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G25" s="25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H25" s="25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I25" s="25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J25" s="25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K25" s="25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L25" s="25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M25" s="25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N25" s="25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O25" s="25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P25" s="25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Q25" s="25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R25" s="25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S25" s="25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T25" s="25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U25" s="25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V25" s="25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W25" s="25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X25" s="25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Y25" s="25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Z25" s="25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AA25" s="25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</row>
    <row r="26" spans="1:27" x14ac:dyDescent="0.25">
      <c r="A26" s="6" t="s">
        <v>1443</v>
      </c>
      <c r="B26" s="6" t="s">
        <v>1444</v>
      </c>
      <c r="C26" s="20">
        <f>_xll.BDH("BLUE US Equity","SHAREHOLDER_YIELD_EX_DEBT","FQ4 2018","FQ4 2018","Currency=USD","Period=FQ","BEST_FPERIOD_OVERRIDE=FQ","FILING_STATUS=MR","Sort=A","Dates=H","DateFormat=P","Fill=—","Direction=H","UseDPDF=Y")</f>
        <v>-13.5471</v>
      </c>
      <c r="D26" s="20">
        <f>_xll.BDH("BLUE US Equity","SHAREHOLDER_YIELD_EX_DEBT","FQ1 2019","FQ1 2019","Currency=USD","Period=FQ","BEST_FPERIOD_OVERRIDE=FQ","FILING_STATUS=MR","Sort=A","Dates=H","DateFormat=P","Fill=—","Direction=H","UseDPDF=Y")</f>
        <v>-7.8156999999999996</v>
      </c>
      <c r="E26" s="20">
        <f>_xll.BDH("BLUE US Equity","SHAREHOLDER_YIELD_EX_DEBT","FQ2 2019","FQ2 2019","Currency=USD","Period=FQ","BEST_FPERIOD_OVERRIDE=FQ","FILING_STATUS=MR","Sort=A","Dates=H","DateFormat=P","Fill=—","Direction=H","UseDPDF=Y")</f>
        <v>-9.6268999999999991</v>
      </c>
      <c r="F26" s="20">
        <f>_xll.BDH("BLUE US Equity","SHAREHOLDER_YIELD_EX_DEBT","FQ3 2019","FQ3 2019","Currency=USD","Period=FQ","BEST_FPERIOD_OVERRIDE=FQ","FILING_STATUS=MR","Sort=A","Dates=H","DateFormat=P","Fill=—","Direction=H","UseDPDF=Y")</f>
        <v>-0.42109999999999997</v>
      </c>
      <c r="G26" s="20">
        <f>_xll.BDH("BLUE US Equity","SHAREHOLDER_YIELD_EX_DEBT","FQ4 2019","FQ4 2019","Currency=USD","Period=FQ","BEST_FPERIOD_OVERRIDE=FQ","FILING_STATUS=MR","Sort=A","Dates=H","DateFormat=P","Fill=—","Direction=H","UseDPDF=Y")</f>
        <v>-0.43609999999999999</v>
      </c>
      <c r="H26" s="20">
        <f>_xll.BDH("BLUE US Equity","SHAREHOLDER_YIELD_EX_DEBT","FQ1 2020","FQ1 2020","Currency=USD","Period=FQ","BEST_FPERIOD_OVERRIDE=FQ","FILING_STATUS=MR","Sort=A","Dates=H","DateFormat=P","Fill=—","Direction=H","UseDPDF=Y")</f>
        <v>-0.46660000000000001</v>
      </c>
      <c r="I26" s="20">
        <f>_xll.BDH("BLUE US Equity","SHAREHOLDER_YIELD_EX_DEBT","FQ2 2020","FQ2 2020","Currency=USD","Period=FQ","BEST_FPERIOD_OVERRIDE=FQ","FILING_STATUS=MR","Sort=A","Dates=H","DateFormat=P","Fill=—","Direction=H","UseDPDF=Y")</f>
        <v>-13.5792</v>
      </c>
      <c r="J26" s="20">
        <f>_xll.BDH("BLUE US Equity","SHAREHOLDER_YIELD_EX_DEBT","FQ3 2020","FQ3 2020","Currency=USD","Period=FQ","BEST_FPERIOD_OVERRIDE=FQ","FILING_STATUS=MR","Sort=A","Dates=H","DateFormat=P","Fill=—","Direction=H","UseDPDF=Y")</f>
        <v>-15.213900000000001</v>
      </c>
      <c r="K26" s="20">
        <f>_xll.BDH("BLUE US Equity","SHAREHOLDER_YIELD_EX_DEBT","FQ4 2020","FQ4 2020","Currency=USD","Period=FQ","BEST_FPERIOD_OVERRIDE=FQ","FILING_STATUS=MR","Sort=A","Dates=H","DateFormat=P","Fill=—","Direction=H","UseDPDF=Y")</f>
        <v>-18.872699999999998</v>
      </c>
      <c r="L26" s="20">
        <f>_xll.BDH("BLUE US Equity","SHAREHOLDER_YIELD_EX_DEBT","FQ1 2021","FQ1 2021","Currency=USD","Period=FQ","BEST_FPERIOD_OVERRIDE=FQ","FILING_STATUS=MR","Sort=A","Dates=H","DateFormat=P","Fill=—","Direction=H","UseDPDF=Y")</f>
        <v>-26.827000000000002</v>
      </c>
      <c r="M26" s="20">
        <f>_xll.BDH("BLUE US Equity","SHAREHOLDER_YIELD_EX_DEBT","FQ2 2021","FQ2 2021","Currency=USD","Period=FQ","BEST_FPERIOD_OVERRIDE=FQ","FILING_STATUS=MR","Sort=A","Dates=H","DateFormat=P","Fill=—","Direction=H","UseDPDF=Y")</f>
        <v>-0.1757</v>
      </c>
      <c r="N26" s="20">
        <f>_xll.BDH("BLUE US Equity","SHAREHOLDER_YIELD_EX_DEBT","FQ3 2021","FQ3 2021","Currency=USD","Period=FQ","BEST_FPERIOD_OVERRIDE=FQ","FILING_STATUS=MR","Sort=A","Dates=H","DateFormat=P","Fill=—","Direction=H","UseDPDF=Y")</f>
        <v>-5.8808999999999996</v>
      </c>
      <c r="O26" s="20">
        <f>_xll.BDH("BLUE US Equity","SHAREHOLDER_YIELD_EX_DEBT","FQ4 2021","FQ4 2021","Currency=USD","Period=FQ","BEST_FPERIOD_OVERRIDE=FQ","FILING_STATUS=MR","Sort=A","Dates=H","DateFormat=P","Fill=—","Direction=H","UseDPDF=Y")</f>
        <v>-11.0877</v>
      </c>
      <c r="P26" s="20">
        <f>_xll.BDH("BLUE US Equity","SHAREHOLDER_YIELD_EX_DEBT","FQ1 2022","FQ1 2022","Currency=USD","Period=FQ","BEST_FPERIOD_OVERRIDE=FQ","FILING_STATUS=MR","Sort=A","Dates=H","DateFormat=P","Fill=—","Direction=H","UseDPDF=Y")</f>
        <v>-21.641999999999999</v>
      </c>
      <c r="Q26" s="20">
        <f>_xll.BDH("BLUE US Equity","SHAREHOLDER_YIELD_EX_DEBT","FQ2 2022","FQ2 2022","Currency=USD","Period=FQ","BEST_FPERIOD_OVERRIDE=FQ","FILING_STATUS=MR","Sort=A","Dates=H","DateFormat=P","Fill=—","Direction=H","UseDPDF=Y")</f>
        <v>-27.2636</v>
      </c>
      <c r="R26" s="20">
        <f>_xll.BDH("BLUE US Equity","SHAREHOLDER_YIELD_EX_DEBT","FQ3 2022","FQ3 2022","Currency=USD","Period=FQ","BEST_FPERIOD_OVERRIDE=FQ","FILING_STATUS=MR","Sort=A","Dates=H","DateFormat=P","Fill=—","Direction=H","UseDPDF=Y")</f>
        <v>-10.361800000000001</v>
      </c>
      <c r="S26" s="20">
        <f>_xll.BDH("BLUE US Equity","SHAREHOLDER_YIELD_EX_DEBT","FQ4 2022","FQ4 2022","Currency=USD","Period=FQ","BEST_FPERIOD_OVERRIDE=FQ","FILING_STATUS=MR","Sort=A","Dates=H","DateFormat=P","Fill=—","Direction=H","UseDPDF=Y")</f>
        <v>-9.4518000000000004</v>
      </c>
      <c r="T26" s="20">
        <f>_xll.BDH("BLUE US Equity","SHAREHOLDER_YIELD_EX_DEBT","FQ1 2023","FQ1 2023","Currency=USD","Period=FQ","BEST_FPERIOD_OVERRIDE=FQ","FILING_STATUS=MR","Sort=A","Dates=H","DateFormat=P","Fill=—","Direction=H","UseDPDF=Y")</f>
        <v>-54.656700000000001</v>
      </c>
      <c r="U26" s="20">
        <f>_xll.BDH("BLUE US Equity","SHAREHOLDER_YIELD_EX_DEBT","FQ2 2023","FQ2 2023","Currency=USD","Period=FQ","BEST_FPERIOD_OVERRIDE=FQ","FILING_STATUS=MR","Sort=A","Dates=H","DateFormat=P","Fill=—","Direction=H","UseDPDF=Y")</f>
        <v>-50.366700000000002</v>
      </c>
      <c r="V26" s="20">
        <f>_xll.BDH("BLUE US Equity","SHAREHOLDER_YIELD_EX_DEBT","FQ3 2023","FQ3 2023","Currency=USD","Period=FQ","BEST_FPERIOD_OVERRIDE=FQ","FILING_STATUS=MR","Sort=A","Dates=H","DateFormat=P","Fill=—","Direction=H","UseDPDF=Y")</f>
        <v>-39.967799999999997</v>
      </c>
      <c r="W26" s="20">
        <f>_xll.BDH("BLUE US Equity","SHAREHOLDER_YIELD_EX_DEBT","FQ4 2023","FQ4 2023","Currency=USD","Period=FQ","BEST_FPERIOD_OVERRIDE=FQ","FILING_STATUS=MR","Sort=A","Dates=H","DateFormat=P","Fill=—","Direction=H","UseDPDF=Y")</f>
        <v>-93.298599999999993</v>
      </c>
      <c r="X26" s="20">
        <f>_xll.BDH("BLUE US Equity","SHAREHOLDER_YIELD_EX_DEBT","FQ1 2024","FQ1 2024","Currency=USD","Period=FQ","BEST_FPERIOD_OVERRIDE=FQ","FILING_STATUS=MR","Sort=A","Dates=H","DateFormat=P","Fill=—","Direction=H","UseDPDF=Y")</f>
        <v>-47.438499999999998</v>
      </c>
      <c r="Y26" s="20">
        <f>_xll.BDH("BLUE US Equity","SHAREHOLDER_YIELD_EX_DEBT","FQ2 2024","FQ2 2024","Currency=USD","Period=FQ","BEST_FPERIOD_OVERRIDE=FQ","FILING_STATUS=MR","Sort=A","Dates=H","DateFormat=P","Fill=—","Direction=H","UseDPDF=Y")</f>
        <v>-61.842399999999998</v>
      </c>
      <c r="Z26" s="20">
        <f>_xll.BDH("BLUE US Equity","SHAREHOLDER_YIELD_EX_DEBT","FQ3 2024","FQ3 2024","Currency=USD","Period=FQ","BEST_FPERIOD_OVERRIDE=FQ","FILING_STATUS=MR","Sort=A","Dates=H","DateFormat=P","Fill=—","Direction=H","UseDPDF=Y")</f>
        <v>-117.1661</v>
      </c>
      <c r="AA26" s="20">
        <f>_xll.BDH("BLUE US Equity","SHAREHOLDER_YIELD_EX_DEBT","FQ4 2024","FQ4 2024","Currency=USD","Period=FQ","BEST_FPERIOD_OVERRIDE=FQ","FILING_STATUS=MR","Sort=A","Dates=H","DateFormat=P","Fill=—","Direction=H","UseDPDF=Y")</f>
        <v>0</v>
      </c>
    </row>
    <row r="27" spans="1:27" x14ac:dyDescent="0.25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6" t="s">
        <v>1445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0" t="s">
        <v>1419</v>
      </c>
      <c r="B29" s="10" t="s">
        <v>1420</v>
      </c>
      <c r="C29" s="13">
        <f>_xll.BDH("BLUE US Equity","TRAIL_12M_CASH_FROM_OPER","FQ4 2018","FQ4 2018","Currency=USD","Period=FQ","BEST_FPERIOD_OVERRIDE=FQ","FILING_STATUS=MR","SCALING_FORMAT=MLN","Sort=A","Dates=H","DateFormat=P","Fill=—","Direction=H","UseDPDF=Y")</f>
        <v>-413.42599999999999</v>
      </c>
      <c r="D29" s="13">
        <f>_xll.BDH("BLUE US Equity","TRAIL_12M_CASH_FROM_OPER","FQ1 2019","FQ1 2019","Currency=USD","Period=FQ","BEST_FPERIOD_OVERRIDE=FQ","FILING_STATUS=MR","SCALING_FORMAT=MLN","Sort=A","Dates=H","DateFormat=P","Fill=—","Direction=H","UseDPDF=Y")</f>
        <v>-458.75799999999998</v>
      </c>
      <c r="E29" s="13">
        <f>_xll.BDH("BLUE US Equity","TRAIL_12M_CASH_FROM_OPER","FQ2 2019","FQ2 2019","Currency=USD","Period=FQ","BEST_FPERIOD_OVERRIDE=FQ","FILING_STATUS=MR","SCALING_FORMAT=MLN","Sort=A","Dates=H","DateFormat=P","Fill=—","Direction=H","UseDPDF=Y")</f>
        <v>-496.23099999999999</v>
      </c>
      <c r="F29" s="13">
        <f>_xll.BDH("BLUE US Equity","TRAIL_12M_CASH_FROM_OPER","FQ3 2019","FQ3 2019","Currency=USD","Period=FQ","BEST_FPERIOD_OVERRIDE=FQ","FILING_STATUS=MR","SCALING_FORMAT=MLN","Sort=A","Dates=H","DateFormat=P","Fill=—","Direction=H","UseDPDF=Y")</f>
        <v>-535.13900000000001</v>
      </c>
      <c r="G29" s="13">
        <f>_xll.BDH("BLUE US Equity","TRAIL_12M_CASH_FROM_OPER","FQ4 2019","FQ4 2019","Currency=USD","Period=FQ","BEST_FPERIOD_OVERRIDE=FQ","FILING_STATUS=MR","SCALING_FORMAT=MLN","Sort=A","Dates=H","DateFormat=P","Fill=—","Direction=H","UseDPDF=Y")</f>
        <v>-564.38400000000001</v>
      </c>
      <c r="H29" s="13">
        <f>_xll.BDH("BLUE US Equity","TRAIL_12M_CASH_FROM_OPER","FQ1 2020","FQ1 2020","Currency=USD","Period=FQ","BEST_FPERIOD_OVERRIDE=FQ","FILING_STATUS=MR","SCALING_FORMAT=MLN","Sort=A","Dates=H","DateFormat=P","Fill=—","Direction=H","UseDPDF=Y")</f>
        <v>-616.351</v>
      </c>
      <c r="I29" s="13">
        <f>_xll.BDH("BLUE US Equity","TRAIL_12M_CASH_FROM_OPER","FQ2 2020","FQ2 2020","Currency=USD","Period=FQ","BEST_FPERIOD_OVERRIDE=FQ","FILING_STATUS=MR","SCALING_FORMAT=MLN","Sort=A","Dates=H","DateFormat=P","Fill=—","Direction=H","UseDPDF=Y")</f>
        <v>-438.73500000000001</v>
      </c>
      <c r="J29" s="13">
        <f>_xll.BDH("BLUE US Equity","TRAIL_12M_CASH_FROM_OPER","FQ3 2020","FQ3 2020","Currency=USD","Period=FQ","BEST_FPERIOD_OVERRIDE=FQ","FILING_STATUS=MR","SCALING_FORMAT=MLN","Sort=A","Dates=H","DateFormat=P","Fill=—","Direction=H","UseDPDF=Y")</f>
        <v>-474.13400000000001</v>
      </c>
      <c r="K29" s="13">
        <f>_xll.BDH("BLUE US Equity","TRAIL_12M_CASH_FROM_OPER","FQ4 2020","FQ4 2020","Currency=USD","Period=FQ","BEST_FPERIOD_OVERRIDE=FQ","FILING_STATUS=MR","SCALING_FORMAT=MLN","Sort=A","Dates=H","DateFormat=P","Fill=—","Direction=H","UseDPDF=Y")</f>
        <v>-470.351</v>
      </c>
      <c r="L29" s="13">
        <f>_xll.BDH("BLUE US Equity","TRAIL_12M_CASH_FROM_OPER","FQ1 2021","FQ1 2021","Currency=USD","Period=FQ","BEST_FPERIOD_OVERRIDE=FQ","FILING_STATUS=MR","SCALING_FORMAT=MLN","Sort=A","Dates=H","DateFormat=P","Fill=—","Direction=H","UseDPDF=Y")</f>
        <v>-467.55700000000002</v>
      </c>
      <c r="M29" s="13">
        <f>_xll.BDH("BLUE US Equity","TRAIL_12M_CASH_FROM_OPER","FQ2 2021","FQ2 2021","Currency=USD","Period=FQ","BEST_FPERIOD_OVERRIDE=FQ","FILING_STATUS=MR","SCALING_FORMAT=MLN","Sort=A","Dates=H","DateFormat=P","Fill=—","Direction=H","UseDPDF=Y")</f>
        <v>-652.94799999999998</v>
      </c>
      <c r="N29" s="13">
        <f>_xll.BDH("BLUE US Equity","TRAIL_12M_CASH_FROM_OPER","FQ3 2021","FQ3 2021","Currency=USD","Period=FQ","BEST_FPERIOD_OVERRIDE=FQ","FILING_STATUS=MR","SCALING_FORMAT=MLN","Sort=A","Dates=H","DateFormat=P","Fill=—","Direction=H","UseDPDF=Y")</f>
        <v>-651.10699999999997</v>
      </c>
      <c r="O29" s="13">
        <f>_xll.BDH("BLUE US Equity","TRAIL_12M_CASH_FROM_OPER","FQ4 2021","FQ4 2021","Currency=USD","Period=FQ","BEST_FPERIOD_OVERRIDE=FQ","FILING_STATUS=MR","SCALING_FORMAT=MLN","Sort=A","Dates=H","DateFormat=P","Fill=—","Direction=H","UseDPDF=Y")</f>
        <v>-635.63900000000001</v>
      </c>
      <c r="P29" s="13">
        <f>_xll.BDH("BLUE US Equity","TRAIL_12M_CASH_FROM_OPER","FQ1 2022","FQ1 2022","Currency=USD","Period=FQ","BEST_FPERIOD_OVERRIDE=FQ","FILING_STATUS=MR","SCALING_FORMAT=MLN","Sort=A","Dates=H","DateFormat=P","Fill=—","Direction=H","UseDPDF=Y")</f>
        <v>-557.60799999999995</v>
      </c>
      <c r="Q29" s="13">
        <f>_xll.BDH("BLUE US Equity","TRAIL_12M_CASH_FROM_OPER","FQ2 2022","FQ2 2022","Currency=USD","Period=FQ","BEST_FPERIOD_OVERRIDE=FQ","FILING_STATUS=MR","SCALING_FORMAT=MLN","Sort=A","Dates=H","DateFormat=P","Fill=—","Direction=H","UseDPDF=Y")</f>
        <v>-506.31799999999998</v>
      </c>
      <c r="R29" s="13">
        <f>_xll.BDH("BLUE US Equity","TRAIL_12M_CASH_FROM_OPER","FQ3 2022","FQ3 2022","Currency=USD","Period=FQ","BEST_FPERIOD_OVERRIDE=FQ","FILING_STATUS=MR","SCALING_FORMAT=MLN","Sort=A","Dates=H","DateFormat=P","Fill=—","Direction=H","UseDPDF=Y")</f>
        <v>-436.40499999999997</v>
      </c>
      <c r="S29" s="13">
        <f>_xll.BDH("BLUE US Equity","TRAIL_12M_CASH_FROM_OPER","FQ4 2022","FQ4 2022","Currency=USD","Period=FQ","BEST_FPERIOD_OVERRIDE=FQ","FILING_STATUS=MR","SCALING_FORMAT=MLN","Sort=A","Dates=H","DateFormat=P","Fill=—","Direction=H","UseDPDF=Y")</f>
        <v>-316.21899999999999</v>
      </c>
      <c r="T29" s="13">
        <f>_xll.BDH("BLUE US Equity","TRAIL_12M_CASH_FROM_OPER","FQ1 2023","FQ1 2023","Currency=USD","Period=FQ","BEST_FPERIOD_OVERRIDE=FQ","FILING_STATUS=MR","SCALING_FORMAT=MLN","Sort=A","Dates=H","DateFormat=P","Fill=—","Direction=H","UseDPDF=Y")</f>
        <v>-262.28100000000001</v>
      </c>
      <c r="U29" s="13">
        <f>_xll.BDH("BLUE US Equity","TRAIL_12M_CASH_FROM_OPER","FQ2 2023","FQ2 2023","Currency=USD","Period=FQ","BEST_FPERIOD_OVERRIDE=FQ","FILING_STATUS=MR","SCALING_FORMAT=MLN","Sort=A","Dates=H","DateFormat=P","Fill=—","Direction=H","UseDPDF=Y")</f>
        <v>-227.42400000000001</v>
      </c>
      <c r="V29" s="13">
        <f>_xll.BDH("BLUE US Equity","TRAIL_12M_CASH_FROM_OPER","FQ3 2023","FQ3 2023","Currency=USD","Period=FQ","BEST_FPERIOD_OVERRIDE=FQ","FILING_STATUS=MR","SCALING_FORMAT=MLN","Sort=A","Dates=H","DateFormat=P","Fill=—","Direction=H","UseDPDF=Y")</f>
        <v>-200.44900000000001</v>
      </c>
      <c r="W29" s="13">
        <f>_xll.BDH("BLUE US Equity","TRAIL_12M_CASH_FROM_OPER","FQ4 2023","FQ4 2023","Currency=USD","Period=FQ","BEST_FPERIOD_OVERRIDE=FQ","FILING_STATUS=MR","SCALING_FORMAT=MLN","Sort=A","Dates=H","DateFormat=P","Fill=—","Direction=H","UseDPDF=Y")</f>
        <v>-194.74700000000001</v>
      </c>
      <c r="X29" s="13">
        <f>_xll.BDH("BLUE US Equity","TRAIL_12M_CASH_FROM_OPER","FQ1 2024","FQ1 2024","Currency=USD","Period=FQ","BEST_FPERIOD_OVERRIDE=FQ","FILING_STATUS=MR","SCALING_FORMAT=MLN","Sort=A","Dates=H","DateFormat=P","Fill=—","Direction=H","UseDPDF=Y")</f>
        <v>-198.065</v>
      </c>
      <c r="Y29" s="13">
        <f>_xll.BDH("BLUE US Equity","TRAIL_12M_CASH_FROM_OPER","FQ2 2024","FQ2 2024","Currency=USD","Period=FQ","BEST_FPERIOD_OVERRIDE=FQ","FILING_STATUS=MR","SCALING_FORMAT=MLN","Sort=A","Dates=H","DateFormat=P","Fill=—","Direction=H","UseDPDF=Y")</f>
        <v>-204.816</v>
      </c>
      <c r="Z29" s="13">
        <f>_xll.BDH("BLUE US Equity","TRAIL_12M_CASH_FROM_OPER","FQ3 2024","FQ3 2024","Currency=USD","Period=FQ","BEST_FPERIOD_OVERRIDE=FQ","FILING_STATUS=MR","SCALING_FORMAT=MLN","Sort=A","Dates=H","DateFormat=P","Fill=—","Direction=H","UseDPDF=Y")</f>
        <v>-223.69300000000001</v>
      </c>
      <c r="AA29" s="13">
        <f>_xll.BDH("BLUE US Equity","TRAIL_12M_CASH_FROM_OPER","FQ4 2024","FQ4 2024","Currency=USD","Period=FQ","BEST_FPERIOD_OVERRIDE=FQ","FILING_STATUS=MR","SCALING_FORMAT=MLN","Sort=A","Dates=H","DateFormat=P","Fill=—","Direction=H","UseDPDF=Y")</f>
        <v>-260.02</v>
      </c>
    </row>
    <row r="30" spans="1:27" x14ac:dyDescent="0.25">
      <c r="A30" s="10" t="s">
        <v>1421</v>
      </c>
      <c r="B30" s="10" t="s">
        <v>1422</v>
      </c>
      <c r="C30" s="13">
        <f>_xll.BDH("BLUE US Equity","TRAIL_12M_CAP_EXPEND","FQ4 2018","FQ4 2018","Currency=USD","Period=FQ","BEST_FPERIOD_OVERRIDE=FQ","FILING_STATUS=MR","SCALING_FORMAT=MLN","Sort=A","Dates=H","DateFormat=P","Fill=—","Direction=H","UseDPDF=Y")</f>
        <v>-55.737000000000002</v>
      </c>
      <c r="D30" s="13">
        <f>_xll.BDH("BLUE US Equity","TRAIL_12M_CAP_EXPEND","FQ1 2019","FQ1 2019","Currency=USD","Period=FQ","BEST_FPERIOD_OVERRIDE=FQ","FILING_STATUS=MR","SCALING_FORMAT=MLN","Sort=A","Dates=H","DateFormat=P","Fill=—","Direction=H","UseDPDF=Y")</f>
        <v>-67.605999999999995</v>
      </c>
      <c r="E30" s="13">
        <f>_xll.BDH("BLUE US Equity","TRAIL_12M_CAP_EXPEND","FQ2 2019","FQ2 2019","Currency=USD","Period=FQ","BEST_FPERIOD_OVERRIDE=FQ","FILING_STATUS=MR","SCALING_FORMAT=MLN","Sort=A","Dates=H","DateFormat=P","Fill=—","Direction=H","UseDPDF=Y")</f>
        <v>-72.972999999999999</v>
      </c>
      <c r="F30" s="13">
        <f>_xll.BDH("BLUE US Equity","TRAIL_12M_CAP_EXPEND","FQ3 2019","FQ3 2019","Currency=USD","Period=FQ","BEST_FPERIOD_OVERRIDE=FQ","FILING_STATUS=MR","SCALING_FORMAT=MLN","Sort=A","Dates=H","DateFormat=P","Fill=—","Direction=H","UseDPDF=Y")</f>
        <v>-71.531000000000006</v>
      </c>
      <c r="G30" s="13">
        <f>_xll.BDH("BLUE US Equity","TRAIL_12M_CAP_EXPEND","FQ4 2019","FQ4 2019","Currency=USD","Period=FQ","BEST_FPERIOD_OVERRIDE=FQ","FILING_STATUS=MR","SCALING_FORMAT=MLN","Sort=A","Dates=H","DateFormat=P","Fill=—","Direction=H","UseDPDF=Y")</f>
        <v>-71.028000000000006</v>
      </c>
      <c r="H30" s="13">
        <f>_xll.BDH("BLUE US Equity","TRAIL_12M_CAP_EXPEND","FQ1 2020","FQ1 2020","Currency=USD","Period=FQ","BEST_FPERIOD_OVERRIDE=FQ","FILING_STATUS=MR","SCALING_FORMAT=MLN","Sort=A","Dates=H","DateFormat=P","Fill=—","Direction=H","UseDPDF=Y")</f>
        <v>-62.383000000000003</v>
      </c>
      <c r="I30" s="13">
        <f>_xll.BDH("BLUE US Equity","TRAIL_12M_CAP_EXPEND","FQ2 2020","FQ2 2020","Currency=USD","Period=FQ","BEST_FPERIOD_OVERRIDE=FQ","FILING_STATUS=MR","SCALING_FORMAT=MLN","Sort=A","Dates=H","DateFormat=P","Fill=—","Direction=H","UseDPDF=Y")</f>
        <v>-48.581000000000003</v>
      </c>
      <c r="J30" s="13">
        <f>_xll.BDH("BLUE US Equity","TRAIL_12M_CAP_EXPEND","FQ3 2020","FQ3 2020","Currency=USD","Period=FQ","BEST_FPERIOD_OVERRIDE=FQ","FILING_STATUS=MR","SCALING_FORMAT=MLN","Sort=A","Dates=H","DateFormat=P","Fill=—","Direction=H","UseDPDF=Y")</f>
        <v>-33.488</v>
      </c>
      <c r="K30" s="13">
        <f>_xll.BDH("BLUE US Equity","TRAIL_12M_CAP_EXPEND","FQ4 2020","FQ4 2020","Currency=USD","Period=FQ","BEST_FPERIOD_OVERRIDE=FQ","FILING_STATUS=MR","SCALING_FORMAT=MLN","Sort=A","Dates=H","DateFormat=P","Fill=—","Direction=H","UseDPDF=Y")</f>
        <v>-28.986000000000001</v>
      </c>
      <c r="L30" s="13">
        <f>_xll.BDH("BLUE US Equity","TRAIL_12M_CAP_EXPEND","FQ1 2021","FQ1 2021","Currency=USD","Period=FQ","BEST_FPERIOD_OVERRIDE=FQ","FILING_STATUS=MR","SCALING_FORMAT=MLN","Sort=A","Dates=H","DateFormat=P","Fill=—","Direction=H","UseDPDF=Y")</f>
        <v>-25.936</v>
      </c>
      <c r="M30" s="13">
        <f>_xll.BDH("BLUE US Equity","TRAIL_12M_CAP_EXPEND","FQ2 2021","FQ2 2021","Currency=USD","Period=FQ","BEST_FPERIOD_OVERRIDE=FQ","FILING_STATUS=MR","SCALING_FORMAT=MLN","Sort=A","Dates=H","DateFormat=P","Fill=—","Direction=H","UseDPDF=Y")</f>
        <v>-22.712</v>
      </c>
      <c r="N30" s="13">
        <f>_xll.BDH("BLUE US Equity","TRAIL_12M_CAP_EXPEND","FQ3 2021","FQ3 2021","Currency=USD","Period=FQ","BEST_FPERIOD_OVERRIDE=FQ","FILING_STATUS=MR","SCALING_FORMAT=MLN","Sort=A","Dates=H","DateFormat=P","Fill=—","Direction=H","UseDPDF=Y")</f>
        <v>-20.832000000000001</v>
      </c>
      <c r="O30" s="13">
        <f>_xll.BDH("BLUE US Equity","TRAIL_12M_CAP_EXPEND","FQ4 2021","FQ4 2021","Currency=USD","Period=FQ","BEST_FPERIOD_OVERRIDE=FQ","FILING_STATUS=MR","SCALING_FORMAT=MLN","Sort=A","Dates=H","DateFormat=P","Fill=—","Direction=H","UseDPDF=Y")</f>
        <v>-14.503</v>
      </c>
      <c r="P30" s="13">
        <f>_xll.BDH("BLUE US Equity","TRAIL_12M_CAP_EXPEND","FQ1 2022","FQ1 2022","Currency=USD","Period=FQ","BEST_FPERIOD_OVERRIDE=FQ","FILING_STATUS=MR","SCALING_FORMAT=MLN","Sort=A","Dates=H","DateFormat=P","Fill=—","Direction=H","UseDPDF=Y")</f>
        <v>-7.734</v>
      </c>
      <c r="Q30" s="13">
        <f>_xll.BDH("BLUE US Equity","TRAIL_12M_CAP_EXPEND","FQ2 2022","FQ2 2022","Currency=USD","Period=FQ","BEST_FPERIOD_OVERRIDE=FQ","FILING_STATUS=MR","SCALING_FORMAT=MLN","Sort=A","Dates=H","DateFormat=P","Fill=—","Direction=H","UseDPDF=Y")</f>
        <v>-12.135</v>
      </c>
      <c r="R30" s="13">
        <f>_xll.BDH("BLUE US Equity","TRAIL_12M_CAP_EXPEND","FQ3 2022","FQ3 2022","Currency=USD","Period=FQ","BEST_FPERIOD_OVERRIDE=FQ","FILING_STATUS=MR","SCALING_FORMAT=MLN","Sort=A","Dates=H","DateFormat=P","Fill=—","Direction=H","UseDPDF=Y")</f>
        <v>-9.6590000000000007</v>
      </c>
      <c r="S30" s="13">
        <f>_xll.BDH("BLUE US Equity","TRAIL_12M_CAP_EXPEND","FQ4 2022","FQ4 2022","Currency=USD","Period=FQ","BEST_FPERIOD_OVERRIDE=FQ","FILING_STATUS=MR","SCALING_FORMAT=MLN","Sort=A","Dates=H","DateFormat=P","Fill=—","Direction=H","UseDPDF=Y")</f>
        <v>-8.2080000000000002</v>
      </c>
      <c r="T30" s="13">
        <f>_xll.BDH("BLUE US Equity","TRAIL_12M_CAP_EXPEND","FQ1 2023","FQ1 2023","Currency=USD","Period=FQ","BEST_FPERIOD_OVERRIDE=FQ","FILING_STATUS=MR","SCALING_FORMAT=MLN","Sort=A","Dates=H","DateFormat=P","Fill=—","Direction=H","UseDPDF=Y")</f>
        <v>-7.5830000000000002</v>
      </c>
      <c r="U30" s="13">
        <f>_xll.BDH("BLUE US Equity","TRAIL_12M_CAP_EXPEND","FQ2 2023","FQ2 2023","Currency=USD","Period=FQ","BEST_FPERIOD_OVERRIDE=FQ","FILING_STATUS=MR","SCALING_FORMAT=MLN","Sort=A","Dates=H","DateFormat=P","Fill=—","Direction=H","UseDPDF=Y")</f>
        <v>-2.3090000000000002</v>
      </c>
      <c r="V30" s="13">
        <f>_xll.BDH("BLUE US Equity","TRAIL_12M_CAP_EXPEND","FQ3 2023","FQ3 2023","Currency=USD","Period=FQ","BEST_FPERIOD_OVERRIDE=FQ","FILING_STATUS=MR","SCALING_FORMAT=MLN","Sort=A","Dates=H","DateFormat=P","Fill=—","Direction=H","UseDPDF=Y")</f>
        <v>-3.0830000000000002</v>
      </c>
      <c r="W30" s="13">
        <f>_xll.BDH("BLUE US Equity","TRAIL_12M_CAP_EXPEND","FQ4 2023","FQ4 2023","Currency=USD","Period=FQ","BEST_FPERIOD_OVERRIDE=FQ","FILING_STATUS=MR","SCALING_FORMAT=MLN","Sort=A","Dates=H","DateFormat=P","Fill=—","Direction=H","UseDPDF=Y")</f>
        <v>-4.1890000000000001</v>
      </c>
      <c r="X30" s="13">
        <f>_xll.BDH("BLUE US Equity","TRAIL_12M_CAP_EXPEND","FQ1 2024","FQ1 2024","Currency=USD","Period=FQ","BEST_FPERIOD_OVERRIDE=FQ","FILING_STATUS=MR","SCALING_FORMAT=MLN","Sort=A","Dates=H","DateFormat=P","Fill=—","Direction=H","UseDPDF=Y")</f>
        <v>-5.7320000000000002</v>
      </c>
      <c r="Y30" s="13">
        <f>_xll.BDH("BLUE US Equity","TRAIL_12M_CAP_EXPEND","FQ2 2024","FQ2 2024","Currency=USD","Period=FQ","BEST_FPERIOD_OVERRIDE=FQ","FILING_STATUS=MR","SCALING_FORMAT=MLN","Sort=A","Dates=H","DateFormat=P","Fill=—","Direction=H","UseDPDF=Y")</f>
        <v>-5.0860000000000003</v>
      </c>
      <c r="Z30" s="13">
        <f>_xll.BDH("BLUE US Equity","TRAIL_12M_CAP_EXPEND","FQ3 2024","FQ3 2024","Currency=USD","Period=FQ","BEST_FPERIOD_OVERRIDE=FQ","FILING_STATUS=MR","SCALING_FORMAT=MLN","Sort=A","Dates=H","DateFormat=P","Fill=—","Direction=H","UseDPDF=Y")</f>
        <v>-3.3279999999999998</v>
      </c>
      <c r="AA30" s="13">
        <f>_xll.BDH("BLUE US Equity","TRAIL_12M_CAP_EXPEND","FQ4 2024","FQ4 2024","Currency=USD","Period=FQ","BEST_FPERIOD_OVERRIDE=FQ","FILING_STATUS=MR","SCALING_FORMAT=MLN","Sort=A","Dates=H","DateFormat=P","Fill=—","Direction=H","UseDPDF=Y")</f>
        <v>-2.5990000000000002</v>
      </c>
    </row>
    <row r="31" spans="1:27" x14ac:dyDescent="0.25">
      <c r="A31" s="11" t="s">
        <v>1446</v>
      </c>
      <c r="B31" s="11" t="s">
        <v>68</v>
      </c>
      <c r="C31" s="25">
        <f>_xll.BDH("BLUE US Equity","ENTERPRISE_VALUE","FQ4 2018","FQ4 2018","Currency=USD","Period=FQ","BEST_FPERIOD_OVERRIDE=FQ","FILING_STATUS=MR","SCALING_FORMAT=MLN","Sort=A","Dates=H","DateFormat=P","Fill=—","Direction=H","UseDPDF=Y")</f>
        <v>3691.9016000000001</v>
      </c>
      <c r="D31" s="25">
        <f>_xll.BDH("BLUE US Equity","ENTERPRISE_VALUE","FQ1 2019","FQ1 2019","Currency=USD","Period=FQ","BEST_FPERIOD_OVERRIDE=FQ","FILING_STATUS=MR","SCALING_FORMAT=MLN","Sort=A","Dates=H","DateFormat=P","Fill=—","Direction=H","UseDPDF=Y")</f>
        <v>7119.0057999999999</v>
      </c>
      <c r="E31" s="25">
        <f>_xll.BDH("BLUE US Equity","ENTERPRISE_VALUE","FQ2 2019","FQ2 2019","Currency=USD","Period=FQ","BEST_FPERIOD_OVERRIDE=FQ","FILING_STATUS=MR","SCALING_FORMAT=MLN","Sort=A","Dates=H","DateFormat=P","Fill=—","Direction=H","UseDPDF=Y")</f>
        <v>5677.4215999999997</v>
      </c>
      <c r="F31" s="25">
        <f>_xll.BDH("BLUE US Equity","ENTERPRISE_VALUE","FQ3 2019","FQ3 2019","Currency=USD","Period=FQ","BEST_FPERIOD_OVERRIDE=FQ","FILING_STATUS=MR","SCALING_FORMAT=MLN","Sort=A","Dates=H","DateFormat=P","Fill=—","Direction=H","UseDPDF=Y")</f>
        <v>3869.5524</v>
      </c>
      <c r="G31" s="25">
        <f>_xll.BDH("BLUE US Equity","ENTERPRISE_VALUE","FQ4 2019","FQ4 2019","Currency=USD","Period=FQ","BEST_FPERIOD_OVERRIDE=FQ","FILING_STATUS=MR","SCALING_FORMAT=MLN","Sort=A","Dates=H","DateFormat=P","Fill=—","Direction=H","UseDPDF=Y")</f>
        <v>3811.5630000000001</v>
      </c>
      <c r="H31" s="25">
        <f>_xll.BDH("BLUE US Equity","ENTERPRISE_VALUE","FQ1 2020","FQ1 2020","Currency=USD","Period=FQ","BEST_FPERIOD_OVERRIDE=FQ","FILING_STATUS=MR","SCALING_FORMAT=MLN","Sort=A","Dates=H","DateFormat=P","Fill=—","Direction=H","UseDPDF=Y")</f>
        <v>1738.2801999999999</v>
      </c>
      <c r="I31" s="25">
        <f>_xll.BDH("BLUE US Equity","ENTERPRISE_VALUE","FQ2 2020","FQ2 2020","Currency=USD","Period=FQ","BEST_FPERIOD_OVERRIDE=FQ","FILING_STATUS=MR","SCALING_FORMAT=MLN","Sort=A","Dates=H","DateFormat=P","Fill=—","Direction=H","UseDPDF=Y")</f>
        <v>2637.3298</v>
      </c>
      <c r="J31" s="25">
        <f>_xll.BDH("BLUE US Equity","ENTERPRISE_VALUE","FQ3 2020","FQ3 2020","Currency=USD","Period=FQ","BEST_FPERIOD_OVERRIDE=FQ","FILING_STATUS=MR","SCALING_FORMAT=MLN","Sort=A","Dates=H","DateFormat=P","Fill=—","Direction=H","UseDPDF=Y")</f>
        <v>2336.4121</v>
      </c>
      <c r="K31" s="25">
        <f>_xll.BDH("BLUE US Equity","ENTERPRISE_VALUE","FQ4 2020","FQ4 2020","Currency=USD","Period=FQ","BEST_FPERIOD_OVERRIDE=FQ","FILING_STATUS=MR","SCALING_FORMAT=MLN","Sort=A","Dates=H","DateFormat=P","Fill=—","Direction=H","UseDPDF=Y")</f>
        <v>2198.2575999999999</v>
      </c>
      <c r="L31" s="25">
        <f>_xll.BDH("BLUE US Equity","ENTERPRISE_VALUE","FQ1 2021","FQ1 2021","Currency=USD","Period=FQ","BEST_FPERIOD_OVERRIDE=FQ","FILING_STATUS=MR","SCALING_FORMAT=MLN","Sort=A","Dates=H","DateFormat=P","Fill=—","Direction=H","UseDPDF=Y")</f>
        <v>1144.9873</v>
      </c>
      <c r="M31" s="25">
        <f>_xll.BDH("BLUE US Equity","ENTERPRISE_VALUE","FQ2 2021","FQ2 2021","Currency=USD","Period=FQ","BEST_FPERIOD_OVERRIDE=FQ","FILING_STATUS=MR","SCALING_FORMAT=MLN","Sort=A","Dates=H","DateFormat=P","Fill=—","Direction=H","UseDPDF=Y")</f>
        <v>1417.2550000000001</v>
      </c>
      <c r="N31" s="25">
        <f>_xll.BDH("BLUE US Equity","ENTERPRISE_VALUE","FQ3 2021","FQ3 2021","Currency=USD","Period=FQ","BEST_FPERIOD_OVERRIDE=FQ","FILING_STATUS=MR","SCALING_FORMAT=MLN","Sort=A","Dates=H","DateFormat=P","Fill=—","Direction=H","UseDPDF=Y")</f>
        <v>550.39070000000004</v>
      </c>
      <c r="O31" s="25">
        <f>_xll.BDH("BLUE US Equity","ENTERPRISE_VALUE","FQ4 2021","FQ4 2021","Currency=USD","Period=FQ","BEST_FPERIOD_OVERRIDE=FQ","FILING_STATUS=MR","SCALING_FORMAT=MLN","Sort=A","Dates=H","DateFormat=P","Fill=—","Direction=H","UseDPDF=Y")</f>
        <v>403.40589999999997</v>
      </c>
      <c r="P31" s="25">
        <f>_xll.BDH("BLUE US Equity","ENTERPRISE_VALUE","FQ1 2022","FQ1 2022","Currency=USD","Period=FQ","BEST_FPERIOD_OVERRIDE=FQ","FILING_STATUS=MR","SCALING_FORMAT=MLN","Sort=A","Dates=H","DateFormat=P","Fill=—","Direction=H","UseDPDF=Y")</f>
        <v>190.17529999999999</v>
      </c>
      <c r="Q31" s="25">
        <f>_xll.BDH("BLUE US Equity","ENTERPRISE_VALUE","FQ2 2022","FQ2 2022","Currency=USD","Period=FQ","BEST_FPERIOD_OVERRIDE=FQ","FILING_STATUS=MR","SCALING_FORMAT=MLN","Sort=A","Dates=H","DateFormat=P","Fill=—","Direction=H","UseDPDF=Y")</f>
        <v>424.31909999999999</v>
      </c>
      <c r="R31" s="25">
        <f>_xll.BDH("BLUE US Equity","ENTERPRISE_VALUE","FQ3 2022","FQ3 2022","Currency=USD","Period=FQ","BEST_FPERIOD_OVERRIDE=FQ","FILING_STATUS=MR","SCALING_FORMAT=MLN","Sort=A","Dates=H","DateFormat=P","Fill=—","Direction=H","UseDPDF=Y")</f>
        <v>661.80340000000001</v>
      </c>
      <c r="S31" s="25">
        <f>_xll.BDH("BLUE US Equity","ENTERPRISE_VALUE","FQ4 2022","FQ4 2022","Currency=USD","Period=FQ","BEST_FPERIOD_OVERRIDE=FQ","FILING_STATUS=MR","SCALING_FORMAT=MLN","Sort=A","Dates=H","DateFormat=P","Fill=—","Direction=H","UseDPDF=Y")</f>
        <v>759.14419999999996</v>
      </c>
      <c r="T31" s="25">
        <f>_xll.BDH("BLUE US Equity","ENTERPRISE_VALUE","FQ1 2023","FQ1 2023","Currency=USD","Period=FQ","BEST_FPERIOD_OVERRIDE=FQ","FILING_STATUS=MR","SCALING_FORMAT=MLN","Sort=A","Dates=H","DateFormat=P","Fill=—","Direction=H","UseDPDF=Y")</f>
        <v>293.37459999999999</v>
      </c>
      <c r="U31" s="25">
        <f>_xll.BDH("BLUE US Equity","ENTERPRISE_VALUE","FQ2 2023","FQ2 2023","Currency=USD","Period=FQ","BEST_FPERIOD_OVERRIDE=FQ","FILING_STATUS=MR","SCALING_FORMAT=MLN","Sort=A","Dates=H","DateFormat=P","Fill=—","Direction=H","UseDPDF=Y")</f>
        <v>411.78769999999997</v>
      </c>
      <c r="V31" s="25">
        <f>_xll.BDH("BLUE US Equity","ENTERPRISE_VALUE","FQ3 2023","FQ3 2023","Currency=USD","Period=FQ","BEST_FPERIOD_OVERRIDE=FQ","FILING_STATUS=MR","SCALING_FORMAT=MLN","Sort=A","Dates=H","DateFormat=P","Fill=—","Direction=H","UseDPDF=Y")</f>
        <v>454.76089999999999</v>
      </c>
      <c r="W31" s="25">
        <f>_xll.BDH("BLUE US Equity","ENTERPRISE_VALUE","FQ4 2023","FQ4 2023","Currency=USD","Period=FQ","BEST_FPERIOD_OVERRIDE=FQ","FILING_STATUS=MR","SCALING_FORMAT=MLN","Sort=A","Dates=H","DateFormat=P","Fill=—","Direction=H","UseDPDF=Y")</f>
        <v>374.59640000000002</v>
      </c>
      <c r="X31" s="25">
        <f>_xll.BDH("BLUE US Equity","ENTERPRISE_VALUE","FQ1 2024","FQ1 2024","Currency=USD","Period=FQ","BEST_FPERIOD_OVERRIDE=FQ","FILING_STATUS=MR","SCALING_FORMAT=MLN","Sort=A","Dates=H","DateFormat=P","Fill=—","Direction=H","UseDPDF=Y")</f>
        <v>450.08120000000002</v>
      </c>
      <c r="Y31" s="25">
        <f>_xll.BDH("BLUE US Equity","ENTERPRISE_VALUE","FQ2 2024","FQ2 2024","Currency=USD","Period=FQ","BEST_FPERIOD_OVERRIDE=FQ","FILING_STATUS=MR","SCALING_FORMAT=MLN","Sort=A","Dates=H","DateFormat=P","Fill=—","Direction=H","UseDPDF=Y")</f>
        <v>437.14609999999999</v>
      </c>
      <c r="Z31" s="25">
        <f>_xll.BDH("BLUE US Equity","ENTERPRISE_VALUE","FQ3 2024","FQ3 2024","Currency=USD","Period=FQ","BEST_FPERIOD_OVERRIDE=FQ","FILING_STATUS=MR","SCALING_FORMAT=MLN","Sort=A","Dates=H","DateFormat=P","Fill=—","Direction=H","UseDPDF=Y")</f>
        <v>395.11189999999999</v>
      </c>
      <c r="AA31" s="25">
        <f>_xll.BDH("BLUE US Equity","ENTERPRISE_VALUE","FQ4 2024","FQ4 2024","Currency=USD","Period=FQ","BEST_FPERIOD_OVERRIDE=FQ","FILING_STATUS=MR","SCALING_FORMAT=MLN","Sort=A","Dates=H","DateFormat=P","Fill=—","Direction=H","UseDPDF=Y")</f>
        <v>373.69450000000001</v>
      </c>
    </row>
    <row r="32" spans="1:27" x14ac:dyDescent="0.25">
      <c r="A32" s="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10" t="s">
        <v>1439</v>
      </c>
      <c r="B33" s="10" t="s">
        <v>1427</v>
      </c>
      <c r="C33" s="13">
        <f>_xll.BDH("BLUE US Equity","T12M_DVDS_PAID","FQ4 2018","FQ4 2018","Currency=USD","Period=FQ","BEST_FPERIOD_OVERRIDE=FQ","FILING_STATUS=MR","SCALING_FORMAT=MLN","Sort=A","Dates=H","DateFormat=P","Fill=—","Direction=H","UseDPDF=Y")</f>
        <v>0</v>
      </c>
      <c r="D33" s="13">
        <f>_xll.BDH("BLUE US Equity","T12M_DVDS_PAID","FQ1 2019","FQ1 2019","Currency=USD","Period=FQ","BEST_FPERIOD_OVERRIDE=FQ","FILING_STATUS=MR","SCALING_FORMAT=MLN","Sort=A","Dates=H","DateFormat=P","Fill=—","Direction=H","UseDPDF=Y")</f>
        <v>0</v>
      </c>
      <c r="E33" s="13">
        <f>_xll.BDH("BLUE US Equity","T12M_DVDS_PAID","FQ2 2019","FQ2 2019","Currency=USD","Period=FQ","BEST_FPERIOD_OVERRIDE=FQ","FILING_STATUS=MR","SCALING_FORMAT=MLN","Sort=A","Dates=H","DateFormat=P","Fill=—","Direction=H","UseDPDF=Y")</f>
        <v>0</v>
      </c>
      <c r="F33" s="13">
        <f>_xll.BDH("BLUE US Equity","T12M_DVDS_PAID","FQ3 2019","FQ3 2019","Currency=USD","Period=FQ","BEST_FPERIOD_OVERRIDE=FQ","FILING_STATUS=MR","SCALING_FORMAT=MLN","Sort=A","Dates=H","DateFormat=P","Fill=—","Direction=H","UseDPDF=Y")</f>
        <v>0</v>
      </c>
      <c r="G33" s="13">
        <f>_xll.BDH("BLUE US Equity","T12M_DVDS_PAID","FQ4 2019","FQ4 2019","Currency=USD","Period=FQ","BEST_FPERIOD_OVERRIDE=FQ","FILING_STATUS=MR","SCALING_FORMAT=MLN","Sort=A","Dates=H","DateFormat=P","Fill=—","Direction=H","UseDPDF=Y")</f>
        <v>0</v>
      </c>
      <c r="H33" s="13">
        <f>_xll.BDH("BLUE US Equity","T12M_DVDS_PAID","FQ1 2020","FQ1 2020","Currency=USD","Period=FQ","BEST_FPERIOD_OVERRIDE=FQ","FILING_STATUS=MR","SCALING_FORMAT=MLN","Sort=A","Dates=H","DateFormat=P","Fill=—","Direction=H","UseDPDF=Y")</f>
        <v>0</v>
      </c>
      <c r="I33" s="13">
        <f>_xll.BDH("BLUE US Equity","T12M_DVDS_PAID","FQ2 2020","FQ2 2020","Currency=USD","Period=FQ","BEST_FPERIOD_OVERRIDE=FQ","FILING_STATUS=MR","SCALING_FORMAT=MLN","Sort=A","Dates=H","DateFormat=P","Fill=—","Direction=H","UseDPDF=Y")</f>
        <v>0</v>
      </c>
      <c r="J33" s="13">
        <f>_xll.BDH("BLUE US Equity","T12M_DVDS_PAID","FQ3 2020","FQ3 2020","Currency=USD","Period=FQ","BEST_FPERIOD_OVERRIDE=FQ","FILING_STATUS=MR","SCALING_FORMAT=MLN","Sort=A","Dates=H","DateFormat=P","Fill=—","Direction=H","UseDPDF=Y")</f>
        <v>0</v>
      </c>
      <c r="K33" s="13">
        <f>_xll.BDH("BLUE US Equity","T12M_DVDS_PAID","FQ4 2020","FQ4 2020","Currency=USD","Period=FQ","BEST_FPERIOD_OVERRIDE=FQ","FILING_STATUS=MR","SCALING_FORMAT=MLN","Sort=A","Dates=H","DateFormat=P","Fill=—","Direction=H","UseDPDF=Y")</f>
        <v>0</v>
      </c>
      <c r="L33" s="13">
        <f>_xll.BDH("BLUE US Equity","T12M_DVDS_PAID","FQ1 2021","FQ1 2021","Currency=USD","Period=FQ","BEST_FPERIOD_OVERRIDE=FQ","FILING_STATUS=MR","SCALING_FORMAT=MLN","Sort=A","Dates=H","DateFormat=P","Fill=—","Direction=H","UseDPDF=Y")</f>
        <v>0</v>
      </c>
      <c r="M33" s="13">
        <f>_xll.BDH("BLUE US Equity","T12M_DVDS_PAID","FQ2 2021","FQ2 2021","Currency=USD","Period=FQ","BEST_FPERIOD_OVERRIDE=FQ","FILING_STATUS=MR","SCALING_FORMAT=MLN","Sort=A","Dates=H","DateFormat=P","Fill=—","Direction=H","UseDPDF=Y")</f>
        <v>0</v>
      </c>
      <c r="N33" s="13">
        <f>_xll.BDH("BLUE US Equity","T12M_DVDS_PAID","FQ3 2021","FQ3 2021","Currency=USD","Period=FQ","BEST_FPERIOD_OVERRIDE=FQ","FILING_STATUS=MR","SCALING_FORMAT=MLN","Sort=A","Dates=H","DateFormat=P","Fill=—","Direction=H","UseDPDF=Y")</f>
        <v>0</v>
      </c>
      <c r="O33" s="13">
        <f>_xll.BDH("BLUE US Equity","T12M_DVDS_PAID","FQ4 2021","FQ4 2021","Currency=USD","Period=FQ","BEST_FPERIOD_OVERRIDE=FQ","FILING_STATUS=MR","SCALING_FORMAT=MLN","Sort=A","Dates=H","DateFormat=P","Fill=—","Direction=H","UseDPDF=Y")</f>
        <v>0</v>
      </c>
      <c r="P33" s="13">
        <f>_xll.BDH("BLUE US Equity","T12M_DVDS_PAID","FQ1 2022","FQ1 2022","Currency=USD","Period=FQ","BEST_FPERIOD_OVERRIDE=FQ","FILING_STATUS=MR","SCALING_FORMAT=MLN","Sort=A","Dates=H","DateFormat=P","Fill=—","Direction=H","UseDPDF=Y")</f>
        <v>0</v>
      </c>
      <c r="Q33" s="13">
        <f>_xll.BDH("BLUE US Equity","T12M_DVDS_PAID","FQ2 2022","FQ2 2022","Currency=USD","Period=FQ","BEST_FPERIOD_OVERRIDE=FQ","FILING_STATUS=MR","SCALING_FORMAT=MLN","Sort=A","Dates=H","DateFormat=P","Fill=—","Direction=H","UseDPDF=Y")</f>
        <v>0</v>
      </c>
      <c r="R33" s="13">
        <f>_xll.BDH("BLUE US Equity","T12M_DVDS_PAID","FQ3 2022","FQ3 2022","Currency=USD","Period=FQ","BEST_FPERIOD_OVERRIDE=FQ","FILING_STATUS=MR","SCALING_FORMAT=MLN","Sort=A","Dates=H","DateFormat=P","Fill=—","Direction=H","UseDPDF=Y")</f>
        <v>0</v>
      </c>
      <c r="S33" s="13">
        <f>_xll.BDH("BLUE US Equity","T12M_DVDS_PAID","FQ4 2022","FQ4 2022","Currency=USD","Period=FQ","BEST_FPERIOD_OVERRIDE=FQ","FILING_STATUS=MR","SCALING_FORMAT=MLN","Sort=A","Dates=H","DateFormat=P","Fill=—","Direction=H","UseDPDF=Y")</f>
        <v>0</v>
      </c>
      <c r="T33" s="13">
        <f>_xll.BDH("BLUE US Equity","T12M_DVDS_PAID","FQ1 2023","FQ1 2023","Currency=USD","Period=FQ","BEST_FPERIOD_OVERRIDE=FQ","FILING_STATUS=MR","SCALING_FORMAT=MLN","Sort=A","Dates=H","DateFormat=P","Fill=—","Direction=H","UseDPDF=Y")</f>
        <v>0</v>
      </c>
      <c r="U33" s="13">
        <f>_xll.BDH("BLUE US Equity","T12M_DVDS_PAID","FQ2 2023","FQ2 2023","Currency=USD","Period=FQ","BEST_FPERIOD_OVERRIDE=FQ","FILING_STATUS=MR","SCALING_FORMAT=MLN","Sort=A","Dates=H","DateFormat=P","Fill=—","Direction=H","UseDPDF=Y")</f>
        <v>0</v>
      </c>
      <c r="V33" s="13">
        <f>_xll.BDH("BLUE US Equity","T12M_DVDS_PAID","FQ3 2023","FQ3 2023","Currency=USD","Period=FQ","BEST_FPERIOD_OVERRIDE=FQ","FILING_STATUS=MR","SCALING_FORMAT=MLN","Sort=A","Dates=H","DateFormat=P","Fill=—","Direction=H","UseDPDF=Y")</f>
        <v>0</v>
      </c>
      <c r="W33" s="13">
        <f>_xll.BDH("BLUE US Equity","T12M_DVDS_PAID","FQ4 2023","FQ4 2023","Currency=USD","Period=FQ","BEST_FPERIOD_OVERRIDE=FQ","FILING_STATUS=MR","SCALING_FORMAT=MLN","Sort=A","Dates=H","DateFormat=P","Fill=—","Direction=H","UseDPDF=Y")</f>
        <v>0</v>
      </c>
      <c r="X33" s="13">
        <f>_xll.BDH("BLUE US Equity","T12M_DVDS_PAID","FQ1 2024","FQ1 2024","Currency=USD","Period=FQ","BEST_FPERIOD_OVERRIDE=FQ","FILING_STATUS=MR","SCALING_FORMAT=MLN","Sort=A","Dates=H","DateFormat=P","Fill=—","Direction=H","UseDPDF=Y")</f>
        <v>0</v>
      </c>
      <c r="Y33" s="13">
        <f>_xll.BDH("BLUE US Equity","T12M_DVDS_PAID","FQ2 2024","FQ2 2024","Currency=USD","Period=FQ","BEST_FPERIOD_OVERRIDE=FQ","FILING_STATUS=MR","SCALING_FORMAT=MLN","Sort=A","Dates=H","DateFormat=P","Fill=—","Direction=H","UseDPDF=Y")</f>
        <v>0</v>
      </c>
      <c r="Z33" s="13">
        <f>_xll.BDH("BLUE US Equity","T12M_DVDS_PAID","FQ3 2024","FQ3 2024","Currency=USD","Period=FQ","BEST_FPERIOD_OVERRIDE=FQ","FILING_STATUS=MR","SCALING_FORMAT=MLN","Sort=A","Dates=H","DateFormat=P","Fill=—","Direction=H","UseDPDF=Y")</f>
        <v>0</v>
      </c>
      <c r="AA33" s="13">
        <f>_xll.BDH("BLUE US Equity","T12M_DVDS_PAID","FQ4 2024","FQ4 2024","Currency=USD","Period=FQ","BEST_FPERIOD_OVERRIDE=FQ","FILING_STATUS=MR","SCALING_FORMAT=MLN","Sort=A","Dates=H","DateFormat=P","Fill=—","Direction=H","UseDPDF=Y")</f>
        <v>0</v>
      </c>
    </row>
    <row r="34" spans="1:27" x14ac:dyDescent="0.25">
      <c r="A34" s="10" t="s">
        <v>1440</v>
      </c>
      <c r="B34" s="10" t="s">
        <v>1429</v>
      </c>
      <c r="C34" s="13">
        <f>_xll.BDH("BLUE US Equity","T12M_NET_CAPITAL_STOCK","FQ4 2018","FQ4 2018","Currency=USD","Period=FQ","BEST_FPERIOD_OVERRIDE=FQ","FILING_STATUS=MR","SCALING_FORMAT=MLN","Sort=A","Dates=H","DateFormat=P","Fill=—","Direction=H","UseDPDF=Y")</f>
        <v>735.61099999999999</v>
      </c>
      <c r="D34" s="13">
        <f>_xll.BDH("BLUE US Equity","T12M_NET_CAPITAL_STOCK","FQ1 2019","FQ1 2019","Currency=USD","Period=FQ","BEST_FPERIOD_OVERRIDE=FQ","FILING_STATUS=MR","SCALING_FORMAT=MLN","Sort=A","Dates=H","DateFormat=P","Fill=—","Direction=H","UseDPDF=Y")</f>
        <v>677.149</v>
      </c>
      <c r="E34" s="13">
        <f>_xll.BDH("BLUE US Equity","T12M_NET_CAPITAL_STOCK","FQ2 2019","FQ2 2019","Currency=USD","Period=FQ","BEST_FPERIOD_OVERRIDE=FQ","FILING_STATUS=MR","SCALING_FORMAT=MLN","Sort=A","Dates=H","DateFormat=P","Fill=—","Direction=H","UseDPDF=Y")</f>
        <v>676.28899999999999</v>
      </c>
      <c r="F34" s="13">
        <f>_xll.BDH("BLUE US Equity","T12M_NET_CAPITAL_STOCK","FQ3 2019","FQ3 2019","Currency=USD","Period=FQ","BEST_FPERIOD_OVERRIDE=FQ","FILING_STATUS=MR","SCALING_FORMAT=MLN","Sort=A","Dates=H","DateFormat=P","Fill=—","Direction=H","UseDPDF=Y")</f>
        <v>21.391999999999999</v>
      </c>
      <c r="G34" s="13">
        <f>_xll.BDH("BLUE US Equity","T12M_NET_CAPITAL_STOCK","FQ4 2019","FQ4 2019","Currency=USD","Period=FQ","BEST_FPERIOD_OVERRIDE=FQ","FILING_STATUS=MR","SCALING_FORMAT=MLN","Sort=A","Dates=H","DateFormat=P","Fill=—","Direction=H","UseDPDF=Y")</f>
        <v>21.187000000000001</v>
      </c>
      <c r="H34" s="13">
        <f>_xll.BDH("BLUE US Equity","T12M_NET_CAPITAL_STOCK","FQ1 2020","FQ1 2020","Currency=USD","Period=FQ","BEST_FPERIOD_OVERRIDE=FQ","FILING_STATUS=MR","SCALING_FORMAT=MLN","Sort=A","Dates=H","DateFormat=P","Fill=—","Direction=H","UseDPDF=Y")</f>
        <v>11.927</v>
      </c>
      <c r="I34" s="13">
        <f>_xll.BDH("BLUE US Equity","T12M_NET_CAPITAL_STOCK","FQ2 2020","FQ2 2020","Currency=USD","Period=FQ","BEST_FPERIOD_OVERRIDE=FQ","FILING_STATUS=MR","SCALING_FORMAT=MLN","Sort=A","Dates=H","DateFormat=P","Fill=—","Direction=H","UseDPDF=Y")</f>
        <v>548.68200000000002</v>
      </c>
      <c r="J34" s="13">
        <f>_xll.BDH("BLUE US Equity","T12M_NET_CAPITAL_STOCK","FQ3 2020","FQ3 2020","Currency=USD","Period=FQ","BEST_FPERIOD_OVERRIDE=FQ","FILING_STATUS=MR","SCALING_FORMAT=MLN","Sort=A","Dates=H","DateFormat=P","Fill=—","Direction=H","UseDPDF=Y")</f>
        <v>544.50400000000002</v>
      </c>
      <c r="K34" s="13">
        <f>_xll.BDH("BLUE US Equity","T12M_NET_CAPITAL_STOCK","FQ4 2020","FQ4 2020","Currency=USD","Period=FQ","BEST_FPERIOD_OVERRIDE=FQ","FILING_STATUS=MR","SCALING_FORMAT=MLN","Sort=A","Dates=H","DateFormat=P","Fill=—","Direction=H","UseDPDF=Y")</f>
        <v>542.49900000000002</v>
      </c>
      <c r="L34" s="13">
        <f>_xll.BDH("BLUE US Equity","T12M_NET_CAPITAL_STOCK","FQ1 2021","FQ1 2021","Currency=USD","Period=FQ","BEST_FPERIOD_OVERRIDE=FQ","FILING_STATUS=MR","SCALING_FORMAT=MLN","Sort=A","Dates=H","DateFormat=P","Fill=—","Direction=H","UseDPDF=Y")</f>
        <v>545.33199999999999</v>
      </c>
      <c r="M34" s="13">
        <f>_xll.BDH("BLUE US Equity","T12M_NET_CAPITAL_STOCK","FQ2 2021","FQ2 2021","Currency=USD","Period=FQ","BEST_FPERIOD_OVERRIDE=FQ","FILING_STATUS=MR","SCALING_FORMAT=MLN","Sort=A","Dates=H","DateFormat=P","Fill=—","Direction=H","UseDPDF=Y")</f>
        <v>3.7959999999999998</v>
      </c>
      <c r="N34" s="13">
        <f>_xll.BDH("BLUE US Equity","T12M_NET_CAPITAL_STOCK","FQ3 2021","FQ3 2021","Currency=USD","Period=FQ","BEST_FPERIOD_OVERRIDE=FQ","FILING_STATUS=MR","SCALING_FORMAT=MLN","Sort=A","Dates=H","DateFormat=P","Fill=—","Direction=H","UseDPDF=Y")</f>
        <v>78.778000000000006</v>
      </c>
      <c r="O34" s="13">
        <f>_xll.BDH("BLUE US Equity","T12M_NET_CAPITAL_STOCK","FQ4 2021","FQ4 2021","Currency=USD","Period=FQ","BEST_FPERIOD_OVERRIDE=FQ","FILING_STATUS=MR","SCALING_FORMAT=MLN","Sort=A","Dates=H","DateFormat=P","Fill=—","Direction=H","UseDPDF=Y")</f>
        <v>78.771000000000001</v>
      </c>
      <c r="P34" s="13">
        <f>_xll.BDH("BLUE US Equity","T12M_NET_CAPITAL_STOCK","FQ1 2022","FQ1 2022","Currency=USD","Period=FQ","BEST_FPERIOD_OVERRIDE=FQ","FILING_STATUS=MR","SCALING_FORMAT=MLN","Sort=A","Dates=H","DateFormat=P","Fill=—","Direction=H","UseDPDF=Y")</f>
        <v>74.983999999999995</v>
      </c>
      <c r="Q34" s="13">
        <f>_xll.BDH("BLUE US Equity","T12M_NET_CAPITAL_STOCK","FQ2 2022","FQ2 2022","Currency=USD","Period=FQ","BEST_FPERIOD_OVERRIDE=FQ","FILING_STATUS=MR","SCALING_FORMAT=MLN","Sort=A","Dates=H","DateFormat=P","Fill=—","Direction=H","UseDPDF=Y")</f>
        <v>83.018000000000001</v>
      </c>
      <c r="R34" s="13">
        <f>_xll.BDH("BLUE US Equity","T12M_NET_CAPITAL_STOCK","FQ3 2022","FQ3 2022","Currency=USD","Period=FQ","BEST_FPERIOD_OVERRIDE=FQ","FILING_STATUS=MR","SCALING_FORMAT=MLN","Sort=A","Dates=H","DateFormat=P","Fill=—","Direction=H","UseDPDF=Y")</f>
        <v>54.360999999999997</v>
      </c>
      <c r="S34" s="13">
        <f>_xll.BDH("BLUE US Equity","T12M_NET_CAPITAL_STOCK","FQ4 2022","FQ4 2022","Currency=USD","Period=FQ","BEST_FPERIOD_OVERRIDE=FQ","FILING_STATUS=MR","SCALING_FORMAT=MLN","Sort=A","Dates=H","DateFormat=P","Fill=—","Direction=H","UseDPDF=Y")</f>
        <v>54.237000000000002</v>
      </c>
      <c r="T34" s="13">
        <f>_xll.BDH("BLUE US Equity","T12M_NET_CAPITAL_STOCK","FQ1 2023","FQ1 2023","Currency=USD","Period=FQ","BEST_FPERIOD_OVERRIDE=FQ","FILING_STATUS=MR","SCALING_FORMAT=MLN","Sort=A","Dates=H","DateFormat=P","Fill=—","Direction=H","UseDPDF=Y")</f>
        <v>184.88</v>
      </c>
      <c r="U34" s="13">
        <f>_xll.BDH("BLUE US Equity","T12M_NET_CAPITAL_STOCK","FQ2 2023","FQ2 2023","Currency=USD","Period=FQ","BEST_FPERIOD_OVERRIDE=FQ","FILING_STATUS=MR","SCALING_FORMAT=MLN","Sort=A","Dates=H","DateFormat=P","Fill=—","Direction=H","UseDPDF=Y")</f>
        <v>176.40100000000001</v>
      </c>
      <c r="V34" s="13">
        <f>_xll.BDH("BLUE US Equity","T12M_NET_CAPITAL_STOCK","FQ3 2023","FQ3 2023","Currency=USD","Period=FQ","BEST_FPERIOD_OVERRIDE=FQ","FILING_STATUS=MR","SCALING_FORMAT=MLN","Sort=A","Dates=H","DateFormat=P","Fill=—","Direction=H","UseDPDF=Y")</f>
        <v>130.03399999999999</v>
      </c>
      <c r="W34" s="13">
        <f>_xll.BDH("BLUE US Equity","T12M_NET_CAPITAL_STOCK","FQ4 2023","FQ4 2023","Currency=USD","Period=FQ","BEST_FPERIOD_OVERRIDE=FQ","FILING_STATUS=MR","SCALING_FORMAT=MLN","Sort=A","Dates=H","DateFormat=P","Fill=—","Direction=H","UseDPDF=Y")</f>
        <v>248.19800000000001</v>
      </c>
      <c r="X34" s="13">
        <f>_xll.BDH("BLUE US Equity","T12M_NET_CAPITAL_STOCK","FQ1 2024","FQ1 2024","Currency=USD","Period=FQ","BEST_FPERIOD_OVERRIDE=FQ","FILING_STATUS=MR","SCALING_FORMAT=MLN","Sort=A","Dates=H","DateFormat=P","Fill=—","Direction=H","UseDPDF=Y")</f>
        <v>117.54600000000001</v>
      </c>
      <c r="Y34" s="13">
        <f>_xll.BDH("BLUE US Equity","T12M_NET_CAPITAL_STOCK","FQ2 2024","FQ2 2024","Currency=USD","Period=FQ","BEST_FPERIOD_OVERRIDE=FQ","FILING_STATUS=MR","SCALING_FORMAT=MLN","Sort=A","Dates=H","DateFormat=P","Fill=—","Direction=H","UseDPDF=Y")</f>
        <v>117.991</v>
      </c>
      <c r="Z34" s="13">
        <f>_xll.BDH("BLUE US Equity","T12M_NET_CAPITAL_STOCK","FQ3 2024","FQ3 2024","Currency=USD","Period=FQ","BEST_FPERIOD_OVERRIDE=FQ","FILING_STATUS=MR","SCALING_FORMAT=MLN","Sort=A","Dates=H","DateFormat=P","Fill=—","Direction=H","UseDPDF=Y")</f>
        <v>118.033</v>
      </c>
      <c r="AA34" s="13">
        <f>_xll.BDH("BLUE US Equity","T12M_NET_CAPITAL_STOCK","FQ4 2024","FQ4 2024","Currency=USD","Period=FQ","BEST_FPERIOD_OVERRIDE=FQ","FILING_STATUS=MR","SCALING_FORMAT=MLN","Sort=A","Dates=H","DateFormat=P","Fill=—","Direction=H","UseDPDF=Y")</f>
        <v>0</v>
      </c>
    </row>
    <row r="35" spans="1:27" x14ac:dyDescent="0.25">
      <c r="A35" s="10" t="s">
        <v>1447</v>
      </c>
      <c r="B35" s="10" t="s">
        <v>1431</v>
      </c>
      <c r="C35" s="13">
        <f>_xll.BDH("BLUE US Equity","T12M_CHG_ST_BORROWINGS","FQ4 2018","FQ4 2018","Currency=USD","Period=FQ","BEST_FPERIOD_OVERRIDE=FQ","FILING_STATUS=MR","SCALING_FORMAT=MLN","Sort=A","Dates=H","DateFormat=P","Fill=—","Direction=H","UseDPDF=Y")</f>
        <v>0</v>
      </c>
      <c r="D35" s="13">
        <f>_xll.BDH("BLUE US Equity","T12M_CHG_ST_BORROWINGS","FQ1 2019","FQ1 2019","Currency=USD","Period=FQ","BEST_FPERIOD_OVERRIDE=FQ","FILING_STATUS=MR","SCALING_FORMAT=MLN","Sort=A","Dates=H","DateFormat=P","Fill=—","Direction=H","UseDPDF=Y")</f>
        <v>0</v>
      </c>
      <c r="E35" s="13">
        <f>_xll.BDH("BLUE US Equity","T12M_CHG_ST_BORROWINGS","FQ2 2019","FQ2 2019","Currency=USD","Period=FQ","BEST_FPERIOD_OVERRIDE=FQ","FILING_STATUS=MR","SCALING_FORMAT=MLN","Sort=A","Dates=H","DateFormat=P","Fill=—","Direction=H","UseDPDF=Y")</f>
        <v>0</v>
      </c>
      <c r="F35" s="13">
        <f>_xll.BDH("BLUE US Equity","T12M_CHG_ST_BORROWINGS","FQ3 2019","FQ3 2019","Currency=USD","Period=FQ","BEST_FPERIOD_OVERRIDE=FQ","FILING_STATUS=MR","SCALING_FORMAT=MLN","Sort=A","Dates=H","DateFormat=P","Fill=—","Direction=H","UseDPDF=Y")</f>
        <v>0</v>
      </c>
      <c r="G35" s="13">
        <f>_xll.BDH("BLUE US Equity","T12M_CHG_ST_BORROWINGS","FQ4 2019","FQ4 2019","Currency=USD","Period=FQ","BEST_FPERIOD_OVERRIDE=FQ","FILING_STATUS=MR","SCALING_FORMAT=MLN","Sort=A","Dates=H","DateFormat=P","Fill=—","Direction=H","UseDPDF=Y")</f>
        <v>0</v>
      </c>
      <c r="H35" s="13">
        <f>_xll.BDH("BLUE US Equity","T12M_CHG_ST_BORROWINGS","FQ1 2020","FQ1 2020","Currency=USD","Period=FQ","BEST_FPERIOD_OVERRIDE=FQ","FILING_STATUS=MR","SCALING_FORMAT=MLN","Sort=A","Dates=H","DateFormat=P","Fill=—","Direction=H","UseDPDF=Y")</f>
        <v>0</v>
      </c>
      <c r="I35" s="13">
        <f>_xll.BDH("BLUE US Equity","T12M_CHG_ST_BORROWINGS","FQ2 2020","FQ2 2020","Currency=USD","Period=FQ","BEST_FPERIOD_OVERRIDE=FQ","FILING_STATUS=MR","SCALING_FORMAT=MLN","Sort=A","Dates=H","DateFormat=P","Fill=—","Direction=H","UseDPDF=Y")</f>
        <v>0</v>
      </c>
      <c r="J35" s="13">
        <f>_xll.BDH("BLUE US Equity","T12M_CHG_ST_BORROWINGS","FQ3 2020","FQ3 2020","Currency=USD","Period=FQ","BEST_FPERIOD_OVERRIDE=FQ","FILING_STATUS=MR","SCALING_FORMAT=MLN","Sort=A","Dates=H","DateFormat=P","Fill=—","Direction=H","UseDPDF=Y")</f>
        <v>0</v>
      </c>
      <c r="K35" s="13">
        <f>_xll.BDH("BLUE US Equity","T12M_CHG_ST_BORROWINGS","FQ4 2020","FQ4 2020","Currency=USD","Period=FQ","BEST_FPERIOD_OVERRIDE=FQ","FILING_STATUS=MR","SCALING_FORMAT=MLN","Sort=A","Dates=H","DateFormat=P","Fill=—","Direction=H","UseDPDF=Y")</f>
        <v>0</v>
      </c>
      <c r="L35" s="13">
        <f>_xll.BDH("BLUE US Equity","T12M_CHG_ST_BORROWINGS","FQ1 2021","FQ1 2021","Currency=USD","Period=FQ","BEST_FPERIOD_OVERRIDE=FQ","FILING_STATUS=MR","SCALING_FORMAT=MLN","Sort=A","Dates=H","DateFormat=P","Fill=—","Direction=H","UseDPDF=Y")</f>
        <v>0</v>
      </c>
      <c r="M35" s="13">
        <f>_xll.BDH("BLUE US Equity","T12M_CHG_ST_BORROWINGS","FQ2 2021","FQ2 2021","Currency=USD","Period=FQ","BEST_FPERIOD_OVERRIDE=FQ","FILING_STATUS=MR","SCALING_FORMAT=MLN","Sort=A","Dates=H","DateFormat=P","Fill=—","Direction=H","UseDPDF=Y")</f>
        <v>0</v>
      </c>
      <c r="N35" s="13">
        <f>_xll.BDH("BLUE US Equity","T12M_CHG_ST_BORROWINGS","FQ3 2021","FQ3 2021","Currency=USD","Period=FQ","BEST_FPERIOD_OVERRIDE=FQ","FILING_STATUS=MR","SCALING_FORMAT=MLN","Sort=A","Dates=H","DateFormat=P","Fill=—","Direction=H","UseDPDF=Y")</f>
        <v>0</v>
      </c>
      <c r="O35" s="13">
        <f>_xll.BDH("BLUE US Equity","T12M_CHG_ST_BORROWINGS","FQ4 2021","FQ4 2021","Currency=USD","Period=FQ","BEST_FPERIOD_OVERRIDE=FQ","FILING_STATUS=MR","SCALING_FORMAT=MLN","Sort=A","Dates=H","DateFormat=P","Fill=—","Direction=H","UseDPDF=Y")</f>
        <v>0</v>
      </c>
      <c r="P35" s="13">
        <f>_xll.BDH("BLUE US Equity","T12M_CHG_ST_BORROWINGS","FQ1 2022","FQ1 2022","Currency=USD","Period=FQ","BEST_FPERIOD_OVERRIDE=FQ","FILING_STATUS=MR","SCALING_FORMAT=MLN","Sort=A","Dates=H","DateFormat=P","Fill=—","Direction=H","UseDPDF=Y")</f>
        <v>0</v>
      </c>
      <c r="Q35" s="13">
        <f>_xll.BDH("BLUE US Equity","T12M_CHG_ST_BORROWINGS","FQ2 2022","FQ2 2022","Currency=USD","Period=FQ","BEST_FPERIOD_OVERRIDE=FQ","FILING_STATUS=MR","SCALING_FORMAT=MLN","Sort=A","Dates=H","DateFormat=P","Fill=—","Direction=H","UseDPDF=Y")</f>
        <v>0</v>
      </c>
      <c r="R35" s="13">
        <f>_xll.BDH("BLUE US Equity","T12M_CHG_ST_BORROWINGS","FQ3 2022","FQ3 2022","Currency=USD","Period=FQ","BEST_FPERIOD_OVERRIDE=FQ","FILING_STATUS=MR","SCALING_FORMAT=MLN","Sort=A","Dates=H","DateFormat=P","Fill=—","Direction=H","UseDPDF=Y")</f>
        <v>0</v>
      </c>
      <c r="S35" s="13">
        <f>_xll.BDH("BLUE US Equity","T12M_CHG_ST_BORROWINGS","FQ4 2022","FQ4 2022","Currency=USD","Period=FQ","BEST_FPERIOD_OVERRIDE=FQ","FILING_STATUS=MR","SCALING_FORMAT=MLN","Sort=A","Dates=H","DateFormat=P","Fill=—","Direction=H","UseDPDF=Y")</f>
        <v>0</v>
      </c>
      <c r="T35" s="13">
        <f>_xll.BDH("BLUE US Equity","T12M_CHG_ST_BORROWINGS","FQ1 2023","FQ1 2023","Currency=USD","Period=FQ","BEST_FPERIOD_OVERRIDE=FQ","FILING_STATUS=MR","SCALING_FORMAT=MLN","Sort=A","Dates=H","DateFormat=P","Fill=—","Direction=H","UseDPDF=Y")</f>
        <v>0</v>
      </c>
      <c r="U35" s="13">
        <f>_xll.BDH("BLUE US Equity","T12M_CHG_ST_BORROWINGS","FQ2 2023","FQ2 2023","Currency=USD","Period=FQ","BEST_FPERIOD_OVERRIDE=FQ","FILING_STATUS=MR","SCALING_FORMAT=MLN","Sort=A","Dates=H","DateFormat=P","Fill=—","Direction=H","UseDPDF=Y")</f>
        <v>0</v>
      </c>
      <c r="V35" s="13">
        <f>_xll.BDH("BLUE US Equity","T12M_CHG_ST_BORROWINGS","FQ3 2023","FQ3 2023","Currency=USD","Period=FQ","BEST_FPERIOD_OVERRIDE=FQ","FILING_STATUS=MR","SCALING_FORMAT=MLN","Sort=A","Dates=H","DateFormat=P","Fill=—","Direction=H","UseDPDF=Y")</f>
        <v>0</v>
      </c>
      <c r="W35" s="13">
        <f>_xll.BDH("BLUE US Equity","T12M_CHG_ST_BORROWINGS","FQ4 2023","FQ4 2023","Currency=USD","Period=FQ","BEST_FPERIOD_OVERRIDE=FQ","FILING_STATUS=MR","SCALING_FORMAT=MLN","Sort=A","Dates=H","DateFormat=P","Fill=—","Direction=H","UseDPDF=Y")</f>
        <v>0</v>
      </c>
      <c r="X35" s="13">
        <f>_xll.BDH("BLUE US Equity","T12M_CHG_ST_BORROWINGS","FQ1 2024","FQ1 2024","Currency=USD","Period=FQ","BEST_FPERIOD_OVERRIDE=FQ","FILING_STATUS=MR","SCALING_FORMAT=MLN","Sort=A","Dates=H","DateFormat=P","Fill=—","Direction=H","UseDPDF=Y")</f>
        <v>0</v>
      </c>
      <c r="Y35" s="13">
        <f>_xll.BDH("BLUE US Equity","T12M_CHG_ST_BORROWINGS","FQ2 2024","FQ2 2024","Currency=USD","Period=FQ","BEST_FPERIOD_OVERRIDE=FQ","FILING_STATUS=MR","SCALING_FORMAT=MLN","Sort=A","Dates=H","DateFormat=P","Fill=—","Direction=H","UseDPDF=Y")</f>
        <v>0</v>
      </c>
      <c r="Z35" s="13">
        <f>_xll.BDH("BLUE US Equity","T12M_CHG_ST_BORROWINGS","FQ3 2024","FQ3 2024","Currency=USD","Period=FQ","BEST_FPERIOD_OVERRIDE=FQ","FILING_STATUS=MR","SCALING_FORMAT=MLN","Sort=A","Dates=H","DateFormat=P","Fill=—","Direction=H","UseDPDF=Y")</f>
        <v>0</v>
      </c>
      <c r="AA35" s="13">
        <f>_xll.BDH("BLUE US Equity","T12M_CHG_ST_BORROWINGS","FQ4 2024","FQ4 2024","Currency=USD","Period=FQ","BEST_FPERIOD_OVERRIDE=FQ","FILING_STATUS=MR","SCALING_FORMAT=MLN","Sort=A","Dates=H","DateFormat=P","Fill=—","Direction=H","UseDPDF=Y")</f>
        <v>0</v>
      </c>
    </row>
    <row r="36" spans="1:27" x14ac:dyDescent="0.25">
      <c r="A36" s="10" t="s">
        <v>1448</v>
      </c>
      <c r="B36" s="10" t="s">
        <v>1433</v>
      </c>
      <c r="C36" s="13">
        <f>_xll.BDH("BLUE US Equity","T12M_CHG_LT_DEBT","FQ4 2018","FQ4 2018","Currency=USD","Period=FQ","BEST_FPERIOD_OVERRIDE=FQ","FILING_STATUS=MR","SCALING_FORMAT=MLN","Sort=A","Dates=H","DateFormat=P","Fill=—","Direction=H","UseDPDF=Y")</f>
        <v>0</v>
      </c>
      <c r="D36" s="13">
        <f>_xll.BDH("BLUE US Equity","T12M_CHG_LT_DEBT","FQ1 2019","FQ1 2019","Currency=USD","Period=FQ","BEST_FPERIOD_OVERRIDE=FQ","FILING_STATUS=MR","SCALING_FORMAT=MLN","Sort=A","Dates=H","DateFormat=P","Fill=—","Direction=H","UseDPDF=Y")</f>
        <v>0</v>
      </c>
      <c r="E36" s="13">
        <f>_xll.BDH("BLUE US Equity","T12M_CHG_LT_DEBT","FQ2 2019","FQ2 2019","Currency=USD","Period=FQ","BEST_FPERIOD_OVERRIDE=FQ","FILING_STATUS=MR","SCALING_FORMAT=MLN","Sort=A","Dates=H","DateFormat=P","Fill=—","Direction=H","UseDPDF=Y")</f>
        <v>0</v>
      </c>
      <c r="F36" s="13">
        <f>_xll.BDH("BLUE US Equity","T12M_CHG_LT_DEBT","FQ3 2019","FQ3 2019","Currency=USD","Period=FQ","BEST_FPERIOD_OVERRIDE=FQ","FILING_STATUS=MR","SCALING_FORMAT=MLN","Sort=A","Dates=H","DateFormat=P","Fill=—","Direction=H","UseDPDF=Y")</f>
        <v>0</v>
      </c>
      <c r="G36" s="13">
        <f>_xll.BDH("BLUE US Equity","T12M_CHG_LT_DEBT","FQ4 2019","FQ4 2019","Currency=USD","Period=FQ","BEST_FPERIOD_OVERRIDE=FQ","FILING_STATUS=MR","SCALING_FORMAT=MLN","Sort=A","Dates=H","DateFormat=P","Fill=—","Direction=H","UseDPDF=Y")</f>
        <v>0</v>
      </c>
      <c r="H36" s="13">
        <f>_xll.BDH("BLUE US Equity","T12M_CHG_LT_DEBT","FQ1 2020","FQ1 2020","Currency=USD","Period=FQ","BEST_FPERIOD_OVERRIDE=FQ","FILING_STATUS=MR","SCALING_FORMAT=MLN","Sort=A","Dates=H","DateFormat=P","Fill=—","Direction=H","UseDPDF=Y")</f>
        <v>0</v>
      </c>
      <c r="I36" s="13">
        <f>_xll.BDH("BLUE US Equity","T12M_CHG_LT_DEBT","FQ2 2020","FQ2 2020","Currency=USD","Period=FQ","BEST_FPERIOD_OVERRIDE=FQ","FILING_STATUS=MR","SCALING_FORMAT=MLN","Sort=A","Dates=H","DateFormat=P","Fill=—","Direction=H","UseDPDF=Y")</f>
        <v>0</v>
      </c>
      <c r="J36" s="13">
        <f>_xll.BDH("BLUE US Equity","T12M_CHG_LT_DEBT","FQ3 2020","FQ3 2020","Currency=USD","Period=FQ","BEST_FPERIOD_OVERRIDE=FQ","FILING_STATUS=MR","SCALING_FORMAT=MLN","Sort=A","Dates=H","DateFormat=P","Fill=—","Direction=H","UseDPDF=Y")</f>
        <v>0</v>
      </c>
      <c r="K36" s="13">
        <f>_xll.BDH("BLUE US Equity","T12M_CHG_LT_DEBT","FQ4 2020","FQ4 2020","Currency=USD","Period=FQ","BEST_FPERIOD_OVERRIDE=FQ","FILING_STATUS=MR","SCALING_FORMAT=MLN","Sort=A","Dates=H","DateFormat=P","Fill=—","Direction=H","UseDPDF=Y")</f>
        <v>0</v>
      </c>
      <c r="L36" s="13">
        <f>_xll.BDH("BLUE US Equity","T12M_CHG_LT_DEBT","FQ1 2021","FQ1 2021","Currency=USD","Period=FQ","BEST_FPERIOD_OVERRIDE=FQ","FILING_STATUS=MR","SCALING_FORMAT=MLN","Sort=A","Dates=H","DateFormat=P","Fill=—","Direction=H","UseDPDF=Y")</f>
        <v>0</v>
      </c>
      <c r="M36" s="13">
        <f>_xll.BDH("BLUE US Equity","T12M_CHG_LT_DEBT","FQ2 2021","FQ2 2021","Currency=USD","Period=FQ","BEST_FPERIOD_OVERRIDE=FQ","FILING_STATUS=MR","SCALING_FORMAT=MLN","Sort=A","Dates=H","DateFormat=P","Fill=—","Direction=H","UseDPDF=Y")</f>
        <v>0</v>
      </c>
      <c r="N36" s="13">
        <f>_xll.BDH("BLUE US Equity","T12M_CHG_LT_DEBT","FQ3 2021","FQ3 2021","Currency=USD","Period=FQ","BEST_FPERIOD_OVERRIDE=FQ","FILING_STATUS=MR","SCALING_FORMAT=MLN","Sort=A","Dates=H","DateFormat=P","Fill=—","Direction=H","UseDPDF=Y")</f>
        <v>0</v>
      </c>
      <c r="O36" s="13">
        <f>_xll.BDH("BLUE US Equity","T12M_CHG_LT_DEBT","FQ4 2021","FQ4 2021","Currency=USD","Period=FQ","BEST_FPERIOD_OVERRIDE=FQ","FILING_STATUS=MR","SCALING_FORMAT=MLN","Sort=A","Dates=H","DateFormat=P","Fill=—","Direction=H","UseDPDF=Y")</f>
        <v>0</v>
      </c>
      <c r="P36" s="13">
        <f>_xll.BDH("BLUE US Equity","T12M_CHG_LT_DEBT","FQ1 2022","FQ1 2022","Currency=USD","Period=FQ","BEST_FPERIOD_OVERRIDE=FQ","FILING_STATUS=MR","SCALING_FORMAT=MLN","Sort=A","Dates=H","DateFormat=P","Fill=—","Direction=H","UseDPDF=Y")</f>
        <v>0</v>
      </c>
      <c r="Q36" s="13">
        <f>_xll.BDH("BLUE US Equity","T12M_CHG_LT_DEBT","FQ2 2022","FQ2 2022","Currency=USD","Period=FQ","BEST_FPERIOD_OVERRIDE=FQ","FILING_STATUS=MR","SCALING_FORMAT=MLN","Sort=A","Dates=H","DateFormat=P","Fill=—","Direction=H","UseDPDF=Y")</f>
        <v>0</v>
      </c>
      <c r="R36" s="13">
        <f>_xll.BDH("BLUE US Equity","T12M_CHG_LT_DEBT","FQ3 2022","FQ3 2022","Currency=USD","Period=FQ","BEST_FPERIOD_OVERRIDE=FQ","FILING_STATUS=MR","SCALING_FORMAT=MLN","Sort=A","Dates=H","DateFormat=P","Fill=—","Direction=H","UseDPDF=Y")</f>
        <v>0</v>
      </c>
      <c r="S36" s="13">
        <f>_xll.BDH("BLUE US Equity","T12M_CHG_LT_DEBT","FQ4 2022","FQ4 2022","Currency=USD","Period=FQ","BEST_FPERIOD_OVERRIDE=FQ","FILING_STATUS=MR","SCALING_FORMAT=MLN","Sort=A","Dates=H","DateFormat=P","Fill=—","Direction=H","UseDPDF=Y")</f>
        <v>-36.734000000000002</v>
      </c>
      <c r="T36" s="13">
        <f>_xll.BDH("BLUE US Equity","T12M_CHG_LT_DEBT","FQ1 2023","FQ1 2023","Currency=USD","Period=FQ","BEST_FPERIOD_OVERRIDE=FQ","FILING_STATUS=MR","SCALING_FORMAT=MLN","Sort=A","Dates=H","DateFormat=P","Fill=—","Direction=H","UseDPDF=Y")</f>
        <v>-52.014000000000003</v>
      </c>
      <c r="U36" s="13">
        <f>_xll.BDH("BLUE US Equity","T12M_CHG_LT_DEBT","FQ2 2023","FQ2 2023","Currency=USD","Period=FQ","BEST_FPERIOD_OVERRIDE=FQ","FILING_STATUS=MR","SCALING_FORMAT=MLN","Sort=A","Dates=H","DateFormat=P","Fill=—","Direction=H","UseDPDF=Y")</f>
        <v>-65.238</v>
      </c>
      <c r="V36" s="13">
        <f>_xll.BDH("BLUE US Equity","T12M_CHG_LT_DEBT","FQ3 2023","FQ3 2023","Currency=USD","Period=FQ","BEST_FPERIOD_OVERRIDE=FQ","FILING_STATUS=MR","SCALING_FORMAT=MLN","Sort=A","Dates=H","DateFormat=P","Fill=—","Direction=H","UseDPDF=Y")</f>
        <v>-77.033000000000001</v>
      </c>
      <c r="W36" s="13">
        <f>_xll.BDH("BLUE US Equity","T12M_CHG_LT_DEBT","FQ4 2023","FQ4 2023","Currency=USD","Period=FQ","BEST_FPERIOD_OVERRIDE=FQ","FILING_STATUS=MR","SCALING_FORMAT=MLN","Sort=A","Dates=H","DateFormat=P","Fill=—","Direction=H","UseDPDF=Y")</f>
        <v>-94.665999999999997</v>
      </c>
      <c r="X36" s="13">
        <f>_xll.BDH("BLUE US Equity","T12M_CHG_LT_DEBT","FQ1 2024","FQ1 2024","Currency=USD","Period=FQ","BEST_FPERIOD_OVERRIDE=FQ","FILING_STATUS=MR","SCALING_FORMAT=MLN","Sort=A","Dates=H","DateFormat=P","Fill=—","Direction=H","UseDPDF=Y")</f>
        <v>-101.17700000000001</v>
      </c>
      <c r="Y36" s="13">
        <f>_xll.BDH("BLUE US Equity","T12M_CHG_LT_DEBT","FQ2 2024","FQ2 2024","Currency=USD","Period=FQ","BEST_FPERIOD_OVERRIDE=FQ","FILING_STATUS=MR","SCALING_FORMAT=MLN","Sort=A","Dates=H","DateFormat=P","Fill=—","Direction=H","UseDPDF=Y")</f>
        <v>-114.714</v>
      </c>
      <c r="Z36" s="13">
        <f>_xll.BDH("BLUE US Equity","T12M_CHG_LT_DEBT","FQ3 2024","FQ3 2024","Currency=USD","Period=FQ","BEST_FPERIOD_OVERRIDE=FQ","FILING_STATUS=MR","SCALING_FORMAT=MLN","Sort=A","Dates=H","DateFormat=P","Fill=—","Direction=H","UseDPDF=Y")</f>
        <v>-123.85</v>
      </c>
      <c r="AA36" s="13">
        <f>_xll.BDH("BLUE US Equity","T12M_CHG_LT_DEBT","FQ4 2024","FQ4 2024","Currency=USD","Period=FQ","BEST_FPERIOD_OVERRIDE=FQ","FILING_STATUS=MR","SCALING_FORMAT=MLN","Sort=A","Dates=H","DateFormat=P","Fill=—","Direction=H","UseDPDF=Y")</f>
        <v>-85.95</v>
      </c>
    </row>
    <row r="37" spans="1:27" x14ac:dyDescent="0.25">
      <c r="A37" s="10" t="s">
        <v>1449</v>
      </c>
      <c r="B37" s="10" t="s">
        <v>1434</v>
      </c>
      <c r="C37" s="13">
        <f>_xll.BDH("BLUE US Equity","T12_OTHER_CFF","FQ4 2018","FQ4 2018","Currency=USD","Period=FQ","BEST_FPERIOD_OVERRIDE=FQ","FILING_STATUS=MR","SCALING_FORMAT=MLN","Sort=A","Dates=H","DateFormat=P","Fill=—","Direction=H","UseDPDF=Y")</f>
        <v>2.081</v>
      </c>
      <c r="D37" s="13">
        <f>_xll.BDH("BLUE US Equity","T12_OTHER_CFF","FQ1 2019","FQ1 2019","Currency=USD","Period=FQ","BEST_FPERIOD_OVERRIDE=FQ","FILING_STATUS=MR","SCALING_FORMAT=MLN","Sort=A","Dates=H","DateFormat=P","Fill=—","Direction=H","UseDPDF=Y")</f>
        <v>-0.91100000000000003</v>
      </c>
      <c r="E37" s="13">
        <f>_xll.BDH("BLUE US Equity","T12_OTHER_CFF","FQ2 2019","FQ2 2019","Currency=USD","Period=FQ","BEST_FPERIOD_OVERRIDE=FQ","FILING_STATUS=MR","SCALING_FORMAT=MLN","Sort=A","Dates=H","DateFormat=P","Fill=—","Direction=H","UseDPDF=Y")</f>
        <v>-0.57099999999999995</v>
      </c>
      <c r="F37" s="13">
        <f>_xll.BDH("BLUE US Equity","T12_OTHER_CFF","FQ3 2019","FQ3 2019","Currency=USD","Period=FQ","BEST_FPERIOD_OVERRIDE=FQ","FILING_STATUS=MR","SCALING_FORMAT=MLN","Sort=A","Dates=H","DateFormat=P","Fill=—","Direction=H","UseDPDF=Y")</f>
        <v>-0.28899999999999998</v>
      </c>
      <c r="G37" s="13">
        <f>_xll.BDH("BLUE US Equity","T12_OTHER_CFF","FQ4 2019","FQ4 2019","Currency=USD","Period=FQ","BEST_FPERIOD_OVERRIDE=FQ","FILING_STATUS=MR","SCALING_FORMAT=MLN","Sort=A","Dates=H","DateFormat=P","Fill=—","Direction=H","UseDPDF=Y")</f>
        <v>0</v>
      </c>
      <c r="H37" s="13">
        <f>_xll.BDH("BLUE US Equity","T12_OTHER_CFF","FQ1 2020","FQ1 2020","Currency=USD","Period=FQ","BEST_FPERIOD_OVERRIDE=FQ","FILING_STATUS=MR","SCALING_FORMAT=MLN","Sort=A","Dates=H","DateFormat=P","Fill=—","Direction=H","UseDPDF=Y")</f>
        <v>0</v>
      </c>
      <c r="I37" s="13">
        <f>_xll.BDH("BLUE US Equity","T12_OTHER_CFF","FQ2 2020","FQ2 2020","Currency=USD","Period=FQ","BEST_FPERIOD_OVERRIDE=FQ","FILING_STATUS=MR","SCALING_FORMAT=MLN","Sort=A","Dates=H","DateFormat=P","Fill=—","Direction=H","UseDPDF=Y")</f>
        <v>1.5860000000000001</v>
      </c>
      <c r="J37" s="13">
        <f>_xll.BDH("BLUE US Equity","T12_OTHER_CFF","FQ3 2020","FQ3 2020","Currency=USD","Period=FQ","BEST_FPERIOD_OVERRIDE=FQ","FILING_STATUS=MR","SCALING_FORMAT=MLN","Sort=A","Dates=H","DateFormat=P","Fill=—","Direction=H","UseDPDF=Y")</f>
        <v>2.7839999999999998</v>
      </c>
      <c r="K37" s="13">
        <f>_xll.BDH("BLUE US Equity","T12_OTHER_CFF","FQ4 2020","FQ4 2020","Currency=USD","Period=FQ","BEST_FPERIOD_OVERRIDE=FQ","FILING_STATUS=MR","SCALING_FORMAT=MLN","Sort=A","Dates=H","DateFormat=P","Fill=—","Direction=H","UseDPDF=Y")</f>
        <v>4.2160000000000002</v>
      </c>
      <c r="L37" s="13">
        <f>_xll.BDH("BLUE US Equity","T12_OTHER_CFF","FQ1 2021","FQ1 2021","Currency=USD","Period=FQ","BEST_FPERIOD_OVERRIDE=FQ","FILING_STATUS=MR","SCALING_FORMAT=MLN","Sort=A","Dates=H","DateFormat=P","Fill=—","Direction=H","UseDPDF=Y")</f>
        <v>4.2160000000000002</v>
      </c>
      <c r="M37" s="13">
        <f>_xll.BDH("BLUE US Equity","T12_OTHER_CFF","FQ2 2021","FQ2 2021","Currency=USD","Period=FQ","BEST_FPERIOD_OVERRIDE=FQ","FILING_STATUS=MR","SCALING_FORMAT=MLN","Sort=A","Dates=H","DateFormat=P","Fill=—","Direction=H","UseDPDF=Y")</f>
        <v>3.0259999999999998</v>
      </c>
      <c r="N37" s="13">
        <f>_xll.BDH("BLUE US Equity","T12_OTHER_CFF","FQ3 2021","FQ3 2021","Currency=USD","Period=FQ","BEST_FPERIOD_OVERRIDE=FQ","FILING_STATUS=MR","SCALING_FORMAT=MLN","Sort=A","Dates=H","DateFormat=P","Fill=—","Direction=H","UseDPDF=Y")</f>
        <v>2.714</v>
      </c>
      <c r="O37" s="13">
        <f>_xll.BDH("BLUE US Equity","T12_OTHER_CFF","FQ4 2021","FQ4 2021","Currency=USD","Period=FQ","BEST_FPERIOD_OVERRIDE=FQ","FILING_STATUS=MR","SCALING_FORMAT=MLN","Sort=A","Dates=H","DateFormat=P","Fill=—","Direction=H","UseDPDF=Y")</f>
        <v>-172.72499999999999</v>
      </c>
      <c r="P37" s="13">
        <f>_xll.BDH("BLUE US Equity","T12_OTHER_CFF","FQ1 2022","FQ1 2022","Currency=USD","Period=FQ","BEST_FPERIOD_OVERRIDE=FQ","FILING_STATUS=MR","SCALING_FORMAT=MLN","Sort=A","Dates=H","DateFormat=P","Fill=—","Direction=H","UseDPDF=Y")</f>
        <v>-172.72499999999999</v>
      </c>
      <c r="Q37" s="13">
        <f>_xll.BDH("BLUE US Equity","T12_OTHER_CFF","FQ2 2022","FQ2 2022","Currency=USD","Period=FQ","BEST_FPERIOD_OVERRIDE=FQ","FILING_STATUS=MR","SCALING_FORMAT=MLN","Sort=A","Dates=H","DateFormat=P","Fill=—","Direction=H","UseDPDF=Y")</f>
        <v>-173.12100000000001</v>
      </c>
      <c r="R37" s="13">
        <f>_xll.BDH("BLUE US Equity","T12_OTHER_CFF","FQ3 2022","FQ3 2022","Currency=USD","Period=FQ","BEST_FPERIOD_OVERRIDE=FQ","FILING_STATUS=MR","SCALING_FORMAT=MLN","Sort=A","Dates=H","DateFormat=P","Fill=—","Direction=H","UseDPDF=Y")</f>
        <v>-174.00700000000001</v>
      </c>
      <c r="S37" s="13">
        <f>_xll.BDH("BLUE US Equity","T12_OTHER_CFF","FQ4 2022","FQ4 2022","Currency=USD","Period=FQ","BEST_FPERIOD_OVERRIDE=FQ","FILING_STATUS=MR","SCALING_FORMAT=MLN","Sort=A","Dates=H","DateFormat=P","Fill=—","Direction=H","UseDPDF=Y")</f>
        <v>1.6E-2</v>
      </c>
      <c r="T37" s="13">
        <f>_xll.BDH("BLUE US Equity","T12_OTHER_CFF","FQ1 2023","FQ1 2023","Currency=USD","Period=FQ","BEST_FPERIOD_OVERRIDE=FQ","FILING_STATUS=MR","SCALING_FORMAT=MLN","Sort=A","Dates=H","DateFormat=P","Fill=—","Direction=H","UseDPDF=Y")</f>
        <v>-0.18</v>
      </c>
      <c r="U37" s="13">
        <f>_xll.BDH("BLUE US Equity","T12_OTHER_CFF","FQ2 2023","FQ2 2023","Currency=USD","Period=FQ","BEST_FPERIOD_OVERRIDE=FQ","FILING_STATUS=MR","SCALING_FORMAT=MLN","Sort=A","Dates=H","DateFormat=P","Fill=—","Direction=H","UseDPDF=Y")</f>
        <v>-0.18</v>
      </c>
      <c r="V37" s="13">
        <f>_xll.BDH("BLUE US Equity","T12_OTHER_CFF","FQ3 2023","FQ3 2023","Currency=USD","Period=FQ","BEST_FPERIOD_OVERRIDE=FQ","FILING_STATUS=MR","SCALING_FORMAT=MLN","Sort=A","Dates=H","DateFormat=P","Fill=—","Direction=H","UseDPDF=Y")</f>
        <v>-0.18</v>
      </c>
      <c r="W37" s="13">
        <f>_xll.BDH("BLUE US Equity","T12_OTHER_CFF","FQ4 2023","FQ4 2023","Currency=USD","Period=FQ","BEST_FPERIOD_OVERRIDE=FQ","FILING_STATUS=MR","SCALING_FORMAT=MLN","Sort=A","Dates=H","DateFormat=P","Fill=—","Direction=H","UseDPDF=Y")</f>
        <v>2.4169999999999998</v>
      </c>
      <c r="X37" s="13">
        <f>_xll.BDH("BLUE US Equity","T12_OTHER_CFF","FQ1 2024","FQ1 2024","Currency=USD","Period=FQ","BEST_FPERIOD_OVERRIDE=FQ","FILING_STATUS=MR","SCALING_FORMAT=MLN","Sort=A","Dates=H","DateFormat=P","Fill=—","Direction=H","UseDPDF=Y")</f>
        <v>89.049000000000007</v>
      </c>
      <c r="Y37" s="13">
        <f>_xll.BDH("BLUE US Equity","T12_OTHER_CFF","FQ2 2024","FQ2 2024","Currency=USD","Period=FQ","BEST_FPERIOD_OVERRIDE=FQ","FILING_STATUS=MR","SCALING_FORMAT=MLN","Sort=A","Dates=H","DateFormat=P","Fill=—","Direction=H","UseDPDF=Y")</f>
        <v>109.749</v>
      </c>
      <c r="Z37" s="13">
        <f>_xll.BDH("BLUE US Equity","T12_OTHER_CFF","FQ3 2024","FQ3 2024","Currency=USD","Period=FQ","BEST_FPERIOD_OVERRIDE=FQ","FILING_STATUS=MR","SCALING_FORMAT=MLN","Sort=A","Dates=H","DateFormat=P","Fill=—","Direction=H","UseDPDF=Y")</f>
        <v>124.575</v>
      </c>
      <c r="AA37" s="13">
        <f>_xll.BDH("BLUE US Equity","T12_OTHER_CFF","FQ4 2024","FQ4 2024","Currency=USD","Period=FQ","BEST_FPERIOD_OVERRIDE=FQ","FILING_STATUS=MR","SCALING_FORMAT=MLN","Sort=A","Dates=H","DateFormat=P","Fill=—","Direction=H","UseDPDF=Y")</f>
        <v>173.41900000000001</v>
      </c>
    </row>
    <row r="38" spans="1:27" x14ac:dyDescent="0.25">
      <c r="A38" s="6" t="s">
        <v>1435</v>
      </c>
      <c r="B38" s="6" t="s">
        <v>1436</v>
      </c>
      <c r="C38" s="19">
        <f>_xll.BDH("BLUE US Equity","T12_CFF","FQ4 2018","FQ4 2018","Currency=USD","Period=FQ","BEST_FPERIOD_OVERRIDE=FQ","FILING_STATUS=MR","SCALING_FORMAT=MLN","Sort=A","Dates=H","DateFormat=P","Fill=—","Direction=H","UseDPDF=Y")</f>
        <v>737.69200000000001</v>
      </c>
      <c r="D38" s="19">
        <f>_xll.BDH("BLUE US Equity","T12_CFF","FQ1 2019","FQ1 2019","Currency=USD","Period=FQ","BEST_FPERIOD_OVERRIDE=FQ","FILING_STATUS=MR","SCALING_FORMAT=MLN","Sort=A","Dates=H","DateFormat=P","Fill=—","Direction=H","UseDPDF=Y")</f>
        <v>676.23800000000006</v>
      </c>
      <c r="E38" s="19">
        <f>_xll.BDH("BLUE US Equity","T12_CFF","FQ2 2019","FQ2 2019","Currency=USD","Period=FQ","BEST_FPERIOD_OVERRIDE=FQ","FILING_STATUS=MR","SCALING_FORMAT=MLN","Sort=A","Dates=H","DateFormat=P","Fill=—","Direction=H","UseDPDF=Y")</f>
        <v>675.71799999999996</v>
      </c>
      <c r="F38" s="19">
        <f>_xll.BDH("BLUE US Equity","T12_CFF","FQ3 2019","FQ3 2019","Currency=USD","Period=FQ","BEST_FPERIOD_OVERRIDE=FQ","FILING_STATUS=MR","SCALING_FORMAT=MLN","Sort=A","Dates=H","DateFormat=P","Fill=—","Direction=H","UseDPDF=Y")</f>
        <v>21.103000000000002</v>
      </c>
      <c r="G38" s="19">
        <f>_xll.BDH("BLUE US Equity","T12_CFF","FQ4 2019","FQ4 2019","Currency=USD","Period=FQ","BEST_FPERIOD_OVERRIDE=FQ","FILING_STATUS=MR","SCALING_FORMAT=MLN","Sort=A","Dates=H","DateFormat=P","Fill=—","Direction=H","UseDPDF=Y")</f>
        <v>21.187000000000001</v>
      </c>
      <c r="H38" s="19">
        <f>_xll.BDH("BLUE US Equity","T12_CFF","FQ1 2020","FQ1 2020","Currency=USD","Period=FQ","BEST_FPERIOD_OVERRIDE=FQ","FILING_STATUS=MR","SCALING_FORMAT=MLN","Sort=A","Dates=H","DateFormat=P","Fill=—","Direction=H","UseDPDF=Y")</f>
        <v>11.927</v>
      </c>
      <c r="I38" s="19">
        <f>_xll.BDH("BLUE US Equity","T12_CFF","FQ2 2020","FQ2 2020","Currency=USD","Period=FQ","BEST_FPERIOD_OVERRIDE=FQ","FILING_STATUS=MR","SCALING_FORMAT=MLN","Sort=A","Dates=H","DateFormat=P","Fill=—","Direction=H","UseDPDF=Y")</f>
        <v>550.26800000000003</v>
      </c>
      <c r="J38" s="19">
        <f>_xll.BDH("BLUE US Equity","T12_CFF","FQ3 2020","FQ3 2020","Currency=USD","Period=FQ","BEST_FPERIOD_OVERRIDE=FQ","FILING_STATUS=MR","SCALING_FORMAT=MLN","Sort=A","Dates=H","DateFormat=P","Fill=—","Direction=H","UseDPDF=Y")</f>
        <v>547.28800000000001</v>
      </c>
      <c r="K38" s="19">
        <f>_xll.BDH("BLUE US Equity","T12_CFF","FQ4 2020","FQ4 2020","Currency=USD","Period=FQ","BEST_FPERIOD_OVERRIDE=FQ","FILING_STATUS=MR","SCALING_FORMAT=MLN","Sort=A","Dates=H","DateFormat=P","Fill=—","Direction=H","UseDPDF=Y")</f>
        <v>546.71500000000003</v>
      </c>
      <c r="L38" s="19">
        <f>_xll.BDH("BLUE US Equity","T12_CFF","FQ1 2021","FQ1 2021","Currency=USD","Period=FQ","BEST_FPERIOD_OVERRIDE=FQ","FILING_STATUS=MR","SCALING_FORMAT=MLN","Sort=A","Dates=H","DateFormat=P","Fill=—","Direction=H","UseDPDF=Y")</f>
        <v>549.548</v>
      </c>
      <c r="M38" s="19">
        <f>_xll.BDH("BLUE US Equity","T12_CFF","FQ2 2021","FQ2 2021","Currency=USD","Period=FQ","BEST_FPERIOD_OVERRIDE=FQ","FILING_STATUS=MR","SCALING_FORMAT=MLN","Sort=A","Dates=H","DateFormat=P","Fill=—","Direction=H","UseDPDF=Y")</f>
        <v>6.8220000000000001</v>
      </c>
      <c r="N38" s="19">
        <f>_xll.BDH("BLUE US Equity","T12_CFF","FQ3 2021","FQ3 2021","Currency=USD","Period=FQ","BEST_FPERIOD_OVERRIDE=FQ","FILING_STATUS=MR","SCALING_FORMAT=MLN","Sort=A","Dates=H","DateFormat=P","Fill=—","Direction=H","UseDPDF=Y")</f>
        <v>81.492000000000004</v>
      </c>
      <c r="O38" s="19">
        <f>_xll.BDH("BLUE US Equity","T12_CFF","FQ4 2021","FQ4 2021","Currency=USD","Period=FQ","BEST_FPERIOD_OVERRIDE=FQ","FILING_STATUS=MR","SCALING_FORMAT=MLN","Sort=A","Dates=H","DateFormat=P","Fill=—","Direction=H","UseDPDF=Y")</f>
        <v>-93.953999999999994</v>
      </c>
      <c r="P38" s="19">
        <f>_xll.BDH("BLUE US Equity","T12_CFF","FQ1 2022","FQ1 2022","Currency=USD","Period=FQ","BEST_FPERIOD_OVERRIDE=FQ","FILING_STATUS=MR","SCALING_FORMAT=MLN","Sort=A","Dates=H","DateFormat=P","Fill=—","Direction=H","UseDPDF=Y")</f>
        <v>-97.741</v>
      </c>
      <c r="Q38" s="19">
        <f>_xll.BDH("BLUE US Equity","T12_CFF","FQ2 2022","FQ2 2022","Currency=USD","Period=FQ","BEST_FPERIOD_OVERRIDE=FQ","FILING_STATUS=MR","SCALING_FORMAT=MLN","Sort=A","Dates=H","DateFormat=P","Fill=—","Direction=H","UseDPDF=Y")</f>
        <v>-90.102999999999994</v>
      </c>
      <c r="R38" s="19">
        <f>_xll.BDH("BLUE US Equity","T12_CFF","FQ3 2022","FQ3 2022","Currency=USD","Period=FQ","BEST_FPERIOD_OVERRIDE=FQ","FILING_STATUS=MR","SCALING_FORMAT=MLN","Sort=A","Dates=H","DateFormat=P","Fill=—","Direction=H","UseDPDF=Y")</f>
        <v>-119.646</v>
      </c>
      <c r="S38" s="19">
        <f>_xll.BDH("BLUE US Equity","T12_CFF","FQ4 2022","FQ4 2022","Currency=USD","Period=FQ","BEST_FPERIOD_OVERRIDE=FQ","FILING_STATUS=MR","SCALING_FORMAT=MLN","Sort=A","Dates=H","DateFormat=P","Fill=—","Direction=H","UseDPDF=Y")</f>
        <v>17.518999999999998</v>
      </c>
      <c r="T38" s="19">
        <f>_xll.BDH("BLUE US Equity","T12_CFF","FQ1 2023","FQ1 2023","Currency=USD","Period=FQ","BEST_FPERIOD_OVERRIDE=FQ","FILING_STATUS=MR","SCALING_FORMAT=MLN","Sort=A","Dates=H","DateFormat=P","Fill=—","Direction=H","UseDPDF=Y")</f>
        <v>132.68600000000001</v>
      </c>
      <c r="U38" s="19">
        <f>_xll.BDH("BLUE US Equity","T12_CFF","FQ2 2023","FQ2 2023","Currency=USD","Period=FQ","BEST_FPERIOD_OVERRIDE=FQ","FILING_STATUS=MR","SCALING_FORMAT=MLN","Sort=A","Dates=H","DateFormat=P","Fill=—","Direction=H","UseDPDF=Y")</f>
        <v>110.983</v>
      </c>
      <c r="V38" s="19">
        <f>_xll.BDH("BLUE US Equity","T12_CFF","FQ3 2023","FQ3 2023","Currency=USD","Period=FQ","BEST_FPERIOD_OVERRIDE=FQ","FILING_STATUS=MR","SCALING_FORMAT=MLN","Sort=A","Dates=H","DateFormat=P","Fill=—","Direction=H","UseDPDF=Y")</f>
        <v>52.820999999999998</v>
      </c>
      <c r="W38" s="19">
        <f>_xll.BDH("BLUE US Equity","T12_CFF","FQ4 2023","FQ4 2023","Currency=USD","Period=FQ","BEST_FPERIOD_OVERRIDE=FQ","FILING_STATUS=MR","SCALING_FORMAT=MLN","Sort=A","Dates=H","DateFormat=P","Fill=—","Direction=H","UseDPDF=Y")</f>
        <v>155.94900000000001</v>
      </c>
      <c r="X38" s="19">
        <f>_xll.BDH("BLUE US Equity","T12_CFF","FQ1 2024","FQ1 2024","Currency=USD","Period=FQ","BEST_FPERIOD_OVERRIDE=FQ","FILING_STATUS=MR","SCALING_FORMAT=MLN","Sort=A","Dates=H","DateFormat=P","Fill=—","Direction=H","UseDPDF=Y")</f>
        <v>105.41800000000001</v>
      </c>
      <c r="Y38" s="19">
        <f>_xll.BDH("BLUE US Equity","T12_CFF","FQ2 2024","FQ2 2024","Currency=USD","Period=FQ","BEST_FPERIOD_OVERRIDE=FQ","FILING_STATUS=MR","SCALING_FORMAT=MLN","Sort=A","Dates=H","DateFormat=P","Fill=—","Direction=H","UseDPDF=Y")</f>
        <v>113.026</v>
      </c>
      <c r="Z38" s="19">
        <f>_xll.BDH("BLUE US Equity","T12_CFF","FQ3 2024","FQ3 2024","Currency=USD","Period=FQ","BEST_FPERIOD_OVERRIDE=FQ","FILING_STATUS=MR","SCALING_FORMAT=MLN","Sort=A","Dates=H","DateFormat=P","Fill=—","Direction=H","UseDPDF=Y")</f>
        <v>118.758</v>
      </c>
      <c r="AA38" s="19">
        <f>_xll.BDH("BLUE US Equity","T12_CFF","FQ4 2024","FQ4 2024","Currency=USD","Period=FQ","BEST_FPERIOD_OVERRIDE=FQ","FILING_STATUS=MR","SCALING_FORMAT=MLN","Sort=A","Dates=H","DateFormat=P","Fill=—","Direction=H","UseDPDF=Y")</f>
        <v>87.468999999999994</v>
      </c>
    </row>
    <row r="39" spans="1:27" x14ac:dyDescent="0.25">
      <c r="A39" s="11" t="s">
        <v>1446</v>
      </c>
      <c r="B39" s="11" t="s">
        <v>68</v>
      </c>
      <c r="C39" s="25">
        <f>_xll.BDH("BLUE US Equity","ENTERPRISE_VALUE","FQ4 2018","FQ4 2018","Currency=USD","Period=FQ","BEST_FPERIOD_OVERRIDE=FQ","FILING_STATUS=MR","SCALING_FORMAT=MLN","Sort=A","Dates=H","DateFormat=P","Fill=—","Direction=H","UseDPDF=Y")</f>
        <v>3691.9016000000001</v>
      </c>
      <c r="D39" s="25">
        <f>_xll.BDH("BLUE US Equity","ENTERPRISE_VALUE","FQ1 2019","FQ1 2019","Currency=USD","Period=FQ","BEST_FPERIOD_OVERRIDE=FQ","FILING_STATUS=MR","SCALING_FORMAT=MLN","Sort=A","Dates=H","DateFormat=P","Fill=—","Direction=H","UseDPDF=Y")</f>
        <v>7119.0057999999999</v>
      </c>
      <c r="E39" s="25">
        <f>_xll.BDH("BLUE US Equity","ENTERPRISE_VALUE","FQ2 2019","FQ2 2019","Currency=USD","Period=FQ","BEST_FPERIOD_OVERRIDE=FQ","FILING_STATUS=MR","SCALING_FORMAT=MLN","Sort=A","Dates=H","DateFormat=P","Fill=—","Direction=H","UseDPDF=Y")</f>
        <v>5677.4215999999997</v>
      </c>
      <c r="F39" s="25">
        <f>_xll.BDH("BLUE US Equity","ENTERPRISE_VALUE","FQ3 2019","FQ3 2019","Currency=USD","Period=FQ","BEST_FPERIOD_OVERRIDE=FQ","FILING_STATUS=MR","SCALING_FORMAT=MLN","Sort=A","Dates=H","DateFormat=P","Fill=—","Direction=H","UseDPDF=Y")</f>
        <v>3869.5524</v>
      </c>
      <c r="G39" s="25">
        <f>_xll.BDH("BLUE US Equity","ENTERPRISE_VALUE","FQ4 2019","FQ4 2019","Currency=USD","Period=FQ","BEST_FPERIOD_OVERRIDE=FQ","FILING_STATUS=MR","SCALING_FORMAT=MLN","Sort=A","Dates=H","DateFormat=P","Fill=—","Direction=H","UseDPDF=Y")</f>
        <v>3811.5630000000001</v>
      </c>
      <c r="H39" s="25">
        <f>_xll.BDH("BLUE US Equity","ENTERPRISE_VALUE","FQ1 2020","FQ1 2020","Currency=USD","Period=FQ","BEST_FPERIOD_OVERRIDE=FQ","FILING_STATUS=MR","SCALING_FORMAT=MLN","Sort=A","Dates=H","DateFormat=P","Fill=—","Direction=H","UseDPDF=Y")</f>
        <v>1738.2801999999999</v>
      </c>
      <c r="I39" s="25">
        <f>_xll.BDH("BLUE US Equity","ENTERPRISE_VALUE","FQ2 2020","FQ2 2020","Currency=USD","Period=FQ","BEST_FPERIOD_OVERRIDE=FQ","FILING_STATUS=MR","SCALING_FORMAT=MLN","Sort=A","Dates=H","DateFormat=P","Fill=—","Direction=H","UseDPDF=Y")</f>
        <v>2637.3298</v>
      </c>
      <c r="J39" s="25">
        <f>_xll.BDH("BLUE US Equity","ENTERPRISE_VALUE","FQ3 2020","FQ3 2020","Currency=USD","Period=FQ","BEST_FPERIOD_OVERRIDE=FQ","FILING_STATUS=MR","SCALING_FORMAT=MLN","Sort=A","Dates=H","DateFormat=P","Fill=—","Direction=H","UseDPDF=Y")</f>
        <v>2336.4121</v>
      </c>
      <c r="K39" s="25">
        <f>_xll.BDH("BLUE US Equity","ENTERPRISE_VALUE","FQ4 2020","FQ4 2020","Currency=USD","Period=FQ","BEST_FPERIOD_OVERRIDE=FQ","FILING_STATUS=MR","SCALING_FORMAT=MLN","Sort=A","Dates=H","DateFormat=P","Fill=—","Direction=H","UseDPDF=Y")</f>
        <v>2198.2575999999999</v>
      </c>
      <c r="L39" s="25">
        <f>_xll.BDH("BLUE US Equity","ENTERPRISE_VALUE","FQ1 2021","FQ1 2021","Currency=USD","Period=FQ","BEST_FPERIOD_OVERRIDE=FQ","FILING_STATUS=MR","SCALING_FORMAT=MLN","Sort=A","Dates=H","DateFormat=P","Fill=—","Direction=H","UseDPDF=Y")</f>
        <v>1144.9873</v>
      </c>
      <c r="M39" s="25">
        <f>_xll.BDH("BLUE US Equity","ENTERPRISE_VALUE","FQ2 2021","FQ2 2021","Currency=USD","Period=FQ","BEST_FPERIOD_OVERRIDE=FQ","FILING_STATUS=MR","SCALING_FORMAT=MLN","Sort=A","Dates=H","DateFormat=P","Fill=—","Direction=H","UseDPDF=Y")</f>
        <v>1417.2550000000001</v>
      </c>
      <c r="N39" s="25">
        <f>_xll.BDH("BLUE US Equity","ENTERPRISE_VALUE","FQ3 2021","FQ3 2021","Currency=USD","Period=FQ","BEST_FPERIOD_OVERRIDE=FQ","FILING_STATUS=MR","SCALING_FORMAT=MLN","Sort=A","Dates=H","DateFormat=P","Fill=—","Direction=H","UseDPDF=Y")</f>
        <v>550.39070000000004</v>
      </c>
      <c r="O39" s="25">
        <f>_xll.BDH("BLUE US Equity","ENTERPRISE_VALUE","FQ4 2021","FQ4 2021","Currency=USD","Period=FQ","BEST_FPERIOD_OVERRIDE=FQ","FILING_STATUS=MR","SCALING_FORMAT=MLN","Sort=A","Dates=H","DateFormat=P","Fill=—","Direction=H","UseDPDF=Y")</f>
        <v>403.40589999999997</v>
      </c>
      <c r="P39" s="25">
        <f>_xll.BDH("BLUE US Equity","ENTERPRISE_VALUE","FQ1 2022","FQ1 2022","Currency=USD","Period=FQ","BEST_FPERIOD_OVERRIDE=FQ","FILING_STATUS=MR","SCALING_FORMAT=MLN","Sort=A","Dates=H","DateFormat=P","Fill=—","Direction=H","UseDPDF=Y")</f>
        <v>190.17529999999999</v>
      </c>
      <c r="Q39" s="25">
        <f>_xll.BDH("BLUE US Equity","ENTERPRISE_VALUE","FQ2 2022","FQ2 2022","Currency=USD","Period=FQ","BEST_FPERIOD_OVERRIDE=FQ","FILING_STATUS=MR","SCALING_FORMAT=MLN","Sort=A","Dates=H","DateFormat=P","Fill=—","Direction=H","UseDPDF=Y")</f>
        <v>424.31909999999999</v>
      </c>
      <c r="R39" s="25">
        <f>_xll.BDH("BLUE US Equity","ENTERPRISE_VALUE","FQ3 2022","FQ3 2022","Currency=USD","Period=FQ","BEST_FPERIOD_OVERRIDE=FQ","FILING_STATUS=MR","SCALING_FORMAT=MLN","Sort=A","Dates=H","DateFormat=P","Fill=—","Direction=H","UseDPDF=Y")</f>
        <v>661.80340000000001</v>
      </c>
      <c r="S39" s="25">
        <f>_xll.BDH("BLUE US Equity","ENTERPRISE_VALUE","FQ4 2022","FQ4 2022","Currency=USD","Period=FQ","BEST_FPERIOD_OVERRIDE=FQ","FILING_STATUS=MR","SCALING_FORMAT=MLN","Sort=A","Dates=H","DateFormat=P","Fill=—","Direction=H","UseDPDF=Y")</f>
        <v>759.14419999999996</v>
      </c>
      <c r="T39" s="25">
        <f>_xll.BDH("BLUE US Equity","ENTERPRISE_VALUE","FQ1 2023","FQ1 2023","Currency=USD","Period=FQ","BEST_FPERIOD_OVERRIDE=FQ","FILING_STATUS=MR","SCALING_FORMAT=MLN","Sort=A","Dates=H","DateFormat=P","Fill=—","Direction=H","UseDPDF=Y")</f>
        <v>293.37459999999999</v>
      </c>
      <c r="U39" s="25">
        <f>_xll.BDH("BLUE US Equity","ENTERPRISE_VALUE","FQ2 2023","FQ2 2023","Currency=USD","Period=FQ","BEST_FPERIOD_OVERRIDE=FQ","FILING_STATUS=MR","SCALING_FORMAT=MLN","Sort=A","Dates=H","DateFormat=P","Fill=—","Direction=H","UseDPDF=Y")</f>
        <v>411.78769999999997</v>
      </c>
      <c r="V39" s="25">
        <f>_xll.BDH("BLUE US Equity","ENTERPRISE_VALUE","FQ3 2023","FQ3 2023","Currency=USD","Period=FQ","BEST_FPERIOD_OVERRIDE=FQ","FILING_STATUS=MR","SCALING_FORMAT=MLN","Sort=A","Dates=H","DateFormat=P","Fill=—","Direction=H","UseDPDF=Y")</f>
        <v>454.76089999999999</v>
      </c>
      <c r="W39" s="25">
        <f>_xll.BDH("BLUE US Equity","ENTERPRISE_VALUE","FQ4 2023","FQ4 2023","Currency=USD","Period=FQ","BEST_FPERIOD_OVERRIDE=FQ","FILING_STATUS=MR","SCALING_FORMAT=MLN","Sort=A","Dates=H","DateFormat=P","Fill=—","Direction=H","UseDPDF=Y")</f>
        <v>374.59640000000002</v>
      </c>
      <c r="X39" s="25">
        <f>_xll.BDH("BLUE US Equity","ENTERPRISE_VALUE","FQ1 2024","FQ1 2024","Currency=USD","Period=FQ","BEST_FPERIOD_OVERRIDE=FQ","FILING_STATUS=MR","SCALING_FORMAT=MLN","Sort=A","Dates=H","DateFormat=P","Fill=—","Direction=H","UseDPDF=Y")</f>
        <v>450.08120000000002</v>
      </c>
      <c r="Y39" s="25">
        <f>_xll.BDH("BLUE US Equity","ENTERPRISE_VALUE","FQ2 2024","FQ2 2024","Currency=USD","Period=FQ","BEST_FPERIOD_OVERRIDE=FQ","FILING_STATUS=MR","SCALING_FORMAT=MLN","Sort=A","Dates=H","DateFormat=P","Fill=—","Direction=H","UseDPDF=Y")</f>
        <v>437.14609999999999</v>
      </c>
      <c r="Z39" s="25">
        <f>_xll.BDH("BLUE US Equity","ENTERPRISE_VALUE","FQ3 2024","FQ3 2024","Currency=USD","Period=FQ","BEST_FPERIOD_OVERRIDE=FQ","FILING_STATUS=MR","SCALING_FORMAT=MLN","Sort=A","Dates=H","DateFormat=P","Fill=—","Direction=H","UseDPDF=Y")</f>
        <v>395.11189999999999</v>
      </c>
      <c r="AA39" s="25">
        <f>_xll.BDH("BLUE US Equity","ENTERPRISE_VALUE","FQ4 2024","FQ4 2024","Currency=USD","Period=FQ","BEST_FPERIOD_OVERRIDE=FQ","FILING_STATUS=MR","SCALING_FORMAT=MLN","Sort=A","Dates=H","DateFormat=P","Fill=—","Direction=H","UseDPDF=Y")</f>
        <v>373.69450000000001</v>
      </c>
    </row>
    <row r="40" spans="1:27" x14ac:dyDescent="0.25">
      <c r="A40" s="6" t="s">
        <v>1450</v>
      </c>
      <c r="B40" s="6" t="s">
        <v>1451</v>
      </c>
      <c r="C40" s="20">
        <f>_xll.BDH("BLUE US Equity","CAPITAL_YIELD","FQ4 2018","FQ4 2018","Currency=USD","Period=FQ","BEST_FPERIOD_OVERRIDE=FQ","FILING_STATUS=MR","Sort=A","Dates=H","DateFormat=P","Fill=—","Direction=H","UseDPDF=Y")</f>
        <v>-19.981400000000001</v>
      </c>
      <c r="D40" s="20">
        <f>_xll.BDH("BLUE US Equity","CAPITAL_YIELD","FQ1 2019","FQ1 2019","Currency=USD","Period=FQ","BEST_FPERIOD_OVERRIDE=FQ","FILING_STATUS=MR","Sort=A","Dates=H","DateFormat=P","Fill=—","Direction=H","UseDPDF=Y")</f>
        <v>-9.4991000000000003</v>
      </c>
      <c r="E40" s="20">
        <f>_xll.BDH("BLUE US Equity","CAPITAL_YIELD","FQ2 2019","FQ2 2019","Currency=USD","Period=FQ","BEST_FPERIOD_OVERRIDE=FQ","FILING_STATUS=MR","Sort=A","Dates=H","DateFormat=P","Fill=—","Direction=H","UseDPDF=Y")</f>
        <v>-11.9018</v>
      </c>
      <c r="F40" s="20">
        <f>_xll.BDH("BLUE US Equity","CAPITAL_YIELD","FQ3 2019","FQ3 2019","Currency=USD","Period=FQ","BEST_FPERIOD_OVERRIDE=FQ","FILING_STATUS=MR","Sort=A","Dates=H","DateFormat=P","Fill=—","Direction=H","UseDPDF=Y")</f>
        <v>-0.5454</v>
      </c>
      <c r="G40" s="20">
        <f>_xll.BDH("BLUE US Equity","CAPITAL_YIELD","FQ4 2019","FQ4 2019","Currency=USD","Period=FQ","BEST_FPERIOD_OVERRIDE=FQ","FILING_STATUS=MR","Sort=A","Dates=H","DateFormat=P","Fill=—","Direction=H","UseDPDF=Y")</f>
        <v>-0.55589999999999995</v>
      </c>
      <c r="H40" s="20">
        <f>_xll.BDH("BLUE US Equity","CAPITAL_YIELD","FQ1 2020","FQ1 2020","Currency=USD","Period=FQ","BEST_FPERIOD_OVERRIDE=FQ","FILING_STATUS=MR","Sort=A","Dates=H","DateFormat=P","Fill=—","Direction=H","UseDPDF=Y")</f>
        <v>-0.68610000000000004</v>
      </c>
      <c r="I40" s="20">
        <f>_xll.BDH("BLUE US Equity","CAPITAL_YIELD","FQ2 2020","FQ2 2020","Currency=USD","Period=FQ","BEST_FPERIOD_OVERRIDE=FQ","FILING_STATUS=MR","Sort=A","Dates=H","DateFormat=P","Fill=—","Direction=H","UseDPDF=Y")</f>
        <v>-20.864599999999999</v>
      </c>
      <c r="J40" s="20">
        <f>_xll.BDH("BLUE US Equity","CAPITAL_YIELD","FQ3 2020","FQ3 2020","Currency=USD","Period=FQ","BEST_FPERIOD_OVERRIDE=FQ","FILING_STATUS=MR","Sort=A","Dates=H","DateFormat=P","Fill=—","Direction=H","UseDPDF=Y")</f>
        <v>-23.424299999999999</v>
      </c>
      <c r="K40" s="20">
        <f>_xll.BDH("BLUE US Equity","CAPITAL_YIELD","FQ4 2020","FQ4 2020","Currency=USD","Period=FQ","BEST_FPERIOD_OVERRIDE=FQ","FILING_STATUS=MR","Sort=A","Dates=H","DateFormat=P","Fill=—","Direction=H","UseDPDF=Y")</f>
        <v>-24.8704</v>
      </c>
      <c r="L40" s="20">
        <f>_xll.BDH("BLUE US Equity","CAPITAL_YIELD","FQ1 2021","FQ1 2021","Currency=USD","Period=FQ","BEST_FPERIOD_OVERRIDE=FQ","FILING_STATUS=MR","Sort=A","Dates=H","DateFormat=P","Fill=—","Direction=H","UseDPDF=Y")</f>
        <v>-47.996000000000002</v>
      </c>
      <c r="M40" s="20">
        <f>_xll.BDH("BLUE US Equity","CAPITAL_YIELD","FQ2 2021","FQ2 2021","Currency=USD","Period=FQ","BEST_FPERIOD_OVERRIDE=FQ","FILING_STATUS=MR","Sort=A","Dates=H","DateFormat=P","Fill=—","Direction=H","UseDPDF=Y")</f>
        <v>-0.48139999999999999</v>
      </c>
      <c r="N40" s="20">
        <f>_xll.BDH("BLUE US Equity","CAPITAL_YIELD","FQ3 2021","FQ3 2021","Currency=USD","Period=FQ","BEST_FPERIOD_OVERRIDE=FQ","FILING_STATUS=MR","Sort=A","Dates=H","DateFormat=P","Fill=—","Direction=H","UseDPDF=Y")</f>
        <v>-14.8062</v>
      </c>
      <c r="O40" s="20">
        <f>_xll.BDH("BLUE US Equity","CAPITAL_YIELD","FQ4 2021","FQ4 2021","Currency=USD","Period=FQ","BEST_FPERIOD_OVERRIDE=FQ","FILING_STATUS=MR","Sort=A","Dates=H","DateFormat=P","Fill=—","Direction=H","UseDPDF=Y")</f>
        <v>23.290199999999999</v>
      </c>
      <c r="P40" s="20">
        <f>_xll.BDH("BLUE US Equity","CAPITAL_YIELD","FQ1 2022","FQ1 2022","Currency=USD","Period=FQ","BEST_FPERIOD_OVERRIDE=FQ","FILING_STATUS=MR","Sort=A","Dates=H","DateFormat=P","Fill=—","Direction=H","UseDPDF=Y")</f>
        <v>51.395200000000003</v>
      </c>
      <c r="Q40" s="20">
        <f>_xll.BDH("BLUE US Equity","CAPITAL_YIELD","FQ2 2022","FQ2 2022","Currency=USD","Period=FQ","BEST_FPERIOD_OVERRIDE=FQ","FILING_STATUS=MR","Sort=A","Dates=H","DateFormat=P","Fill=—","Direction=H","UseDPDF=Y")</f>
        <v>21.2347</v>
      </c>
      <c r="R40" s="20">
        <f>_xll.BDH("BLUE US Equity","CAPITAL_YIELD","FQ3 2022","FQ3 2022","Currency=USD","Period=FQ","BEST_FPERIOD_OVERRIDE=FQ","FILING_STATUS=MR","Sort=A","Dates=H","DateFormat=P","Fill=—","Direction=H","UseDPDF=Y")</f>
        <v>18.078800000000001</v>
      </c>
      <c r="S40" s="20">
        <f>_xll.BDH("BLUE US Equity","CAPITAL_YIELD","FQ4 2022","FQ4 2022","Currency=USD","Period=FQ","BEST_FPERIOD_OVERRIDE=FQ","FILING_STATUS=MR","Sort=A","Dates=H","DateFormat=P","Fill=—","Direction=H","UseDPDF=Y")</f>
        <v>-2.3077000000000001</v>
      </c>
      <c r="T40" s="20">
        <f>_xll.BDH("BLUE US Equity","CAPITAL_YIELD","FQ1 2023","FQ1 2023","Currency=USD","Period=FQ","BEST_FPERIOD_OVERRIDE=FQ","FILING_STATUS=MR","Sort=A","Dates=H","DateFormat=P","Fill=—","Direction=H","UseDPDF=Y")</f>
        <v>-45.227499999999999</v>
      </c>
      <c r="U40" s="20">
        <f>_xll.BDH("BLUE US Equity","CAPITAL_YIELD","FQ2 2023","FQ2 2023","Currency=USD","Period=FQ","BEST_FPERIOD_OVERRIDE=FQ","FILING_STATUS=MR","Sort=A","Dates=H","DateFormat=P","Fill=—","Direction=H","UseDPDF=Y")</f>
        <v>-26.951499999999999</v>
      </c>
      <c r="V40" s="20">
        <f>_xll.BDH("BLUE US Equity","CAPITAL_YIELD","FQ3 2023","FQ3 2023","Currency=USD","Period=FQ","BEST_FPERIOD_OVERRIDE=FQ","FILING_STATUS=MR","Sort=A","Dates=H","DateFormat=P","Fill=—","Direction=H","UseDPDF=Y")</f>
        <v>-11.6151</v>
      </c>
      <c r="W40" s="20">
        <f>_xll.BDH("BLUE US Equity","CAPITAL_YIELD","FQ4 2023","FQ4 2023","Currency=USD","Period=FQ","BEST_FPERIOD_OVERRIDE=FQ","FILING_STATUS=MR","Sort=A","Dates=H","DateFormat=P","Fill=—","Direction=H","UseDPDF=Y")</f>
        <v>-41.6312</v>
      </c>
      <c r="X40" s="20">
        <f>_xll.BDH("BLUE US Equity","CAPITAL_YIELD","FQ1 2024","FQ1 2024","Currency=USD","Period=FQ","BEST_FPERIOD_OVERRIDE=FQ","FILING_STATUS=MR","Sort=A","Dates=H","DateFormat=P","Fill=—","Direction=H","UseDPDF=Y")</f>
        <v>-23.422000000000001</v>
      </c>
      <c r="Y40" s="20">
        <f>_xll.BDH("BLUE US Equity","CAPITAL_YIELD","FQ2 2024","FQ2 2024","Currency=USD","Period=FQ","BEST_FPERIOD_OVERRIDE=FQ","FILING_STATUS=MR","Sort=A","Dates=H","DateFormat=P","Fill=—","Direction=H","UseDPDF=Y")</f>
        <v>-25.855399999999999</v>
      </c>
      <c r="Z40" s="20">
        <f>_xll.BDH("BLUE US Equity","CAPITAL_YIELD","FQ3 2024","FQ3 2024","Currency=USD","Period=FQ","BEST_FPERIOD_OVERRIDE=FQ","FILING_STATUS=MR","Sort=A","Dates=H","DateFormat=P","Fill=—","Direction=H","UseDPDF=Y")</f>
        <v>-30.056799999999999</v>
      </c>
      <c r="AA40" s="20">
        <f>_xll.BDH("BLUE US Equity","CAPITAL_YIELD","FQ4 2024","FQ4 2024","Currency=USD","Period=FQ","BEST_FPERIOD_OVERRIDE=FQ","FILING_STATUS=MR","Sort=A","Dates=H","DateFormat=P","Fill=—","Direction=H","UseDPDF=Y")</f>
        <v>-23.406600000000001</v>
      </c>
    </row>
    <row r="41" spans="1:27" x14ac:dyDescent="0.25">
      <c r="A41" s="7" t="s">
        <v>90</v>
      </c>
      <c r="B41" s="7"/>
      <c r="C41" s="7" t="s">
        <v>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2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1453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1454</v>
      </c>
      <c r="B7" s="10" t="s">
        <v>1455</v>
      </c>
      <c r="C7" s="14">
        <f>_xll.BDH("BLUE US Equity","TAX_EFFICIENCY","FQ4 2018","FQ4 2018","Currency=USD","Period=FQ","BEST_FPERIOD_OVERRIDE=FQ","FILING_STATUS=MR","FA_ADJUSTED=GAAP","Sort=A","Dates=H","DateFormat=P","Fill=—","Direction=H","UseDPDF=Y")</f>
        <v>100.0337</v>
      </c>
      <c r="D7" s="14">
        <f>_xll.BDH("BLUE US Equity","TAX_EFFICIENCY","FQ1 2019","FQ1 2019","Currency=USD","Period=FQ","BEST_FPERIOD_OVERRIDE=FQ","FILING_STATUS=MR","FA_ADJUSTED=GAAP","Sort=A","Dates=H","DateFormat=P","Fill=—","Direction=H","UseDPDF=Y")</f>
        <v>100.0284</v>
      </c>
      <c r="E7" s="14">
        <f>_xll.BDH("BLUE US Equity","TAX_EFFICIENCY","FQ2 2019","FQ2 2019","Currency=USD","Period=FQ","BEST_FPERIOD_OVERRIDE=FQ","FILING_STATUS=MR","FA_ADJUSTED=GAAP","Sort=A","Dates=H","DateFormat=P","Fill=—","Direction=H","UseDPDF=Y")</f>
        <v>99.954700000000003</v>
      </c>
      <c r="F7" s="14">
        <f>_xll.BDH("BLUE US Equity","TAX_EFFICIENCY","FQ3 2019","FQ3 2019","Currency=USD","Period=FQ","BEST_FPERIOD_OVERRIDE=FQ","FILING_STATUS=MR","FA_ADJUSTED=GAAP","Sort=A","Dates=H","DateFormat=P","Fill=—","Direction=H","UseDPDF=Y")</f>
        <v>99.921599999999998</v>
      </c>
      <c r="G7" s="14">
        <f>_xll.BDH("BLUE US Equity","TAX_EFFICIENCY","FQ4 2019","FQ4 2019","Currency=USD","Period=FQ","BEST_FPERIOD_OVERRIDE=FQ","FILING_STATUS=MR","FA_ADJUSTED=GAAP","Sort=A","Dates=H","DateFormat=P","Fill=—","Direction=H","UseDPDF=Y")</f>
        <v>99.930999999999997</v>
      </c>
      <c r="H7" s="14">
        <f>_xll.BDH("BLUE US Equity","TAX_EFFICIENCY","FQ1 2020","FQ1 2020","Currency=USD","Period=FQ","BEST_FPERIOD_OVERRIDE=FQ","FILING_STATUS=MR","FA_ADJUSTED=GAAP","Sort=A","Dates=H","DateFormat=P","Fill=—","Direction=H","UseDPDF=Y")</f>
        <v>99.947400000000002</v>
      </c>
      <c r="I7" s="14">
        <f>_xll.BDH("BLUE US Equity","TAX_EFFICIENCY","FQ2 2020","FQ2 2020","Currency=USD","Period=FQ","BEST_FPERIOD_OVERRIDE=FQ","FILING_STATUS=MR","FA_ADJUSTED=GAAP","Sort=A","Dates=H","DateFormat=P","Fill=—","Direction=H","UseDPDF=Y")</f>
        <v>100.00660000000001</v>
      </c>
      <c r="J7" s="14">
        <f>_xll.BDH("BLUE US Equity","TAX_EFFICIENCY","FQ3 2020","FQ3 2020","Currency=USD","Period=FQ","BEST_FPERIOD_OVERRIDE=FQ","FILING_STATUS=MR","FA_ADJUSTED=GAAP","Sort=A","Dates=H","DateFormat=P","Fill=—","Direction=H","UseDPDF=Y")</f>
        <v>100.09910000000001</v>
      </c>
      <c r="K7" s="14">
        <f>_xll.BDH("BLUE US Equity","TAX_EFFICIENCY","FQ4 2020","FQ4 2020","Currency=USD","Period=FQ","BEST_FPERIOD_OVERRIDE=FQ","FILING_STATUS=MR","FA_ADJUSTED=GAAP","Sort=A","Dates=H","DateFormat=P","Fill=—","Direction=H","UseDPDF=Y")</f>
        <v>111.586</v>
      </c>
      <c r="L7" s="14">
        <f>_xll.BDH("BLUE US Equity","TAX_EFFICIENCY","FQ1 2021","FQ1 2021","Currency=USD","Period=FQ","BEST_FPERIOD_OVERRIDE=FQ","FILING_STATUS=MR","FA_ADJUSTED=GAAP","Sort=A","Dates=H","DateFormat=P","Fill=—","Direction=H","UseDPDF=Y")</f>
        <v>131.37350000000001</v>
      </c>
      <c r="M7" s="14">
        <f>_xll.BDH("BLUE US Equity","TAX_EFFICIENCY","FQ2 2021","FQ2 2021","Currency=USD","Period=FQ","BEST_FPERIOD_OVERRIDE=FQ","FILING_STATUS=MR","FA_ADJUSTED=GAAP","Sort=A","Dates=H","DateFormat=P","Fill=—","Direction=H","UseDPDF=Y")</f>
        <v>121.4478</v>
      </c>
      <c r="N7" s="14">
        <f>_xll.BDH("BLUE US Equity","TAX_EFFICIENCY","FQ3 2021","FQ3 2021","Currency=USD","Period=FQ","BEST_FPERIOD_OVERRIDE=FQ","FILING_STATUS=MR","FA_ADJUSTED=GAAP","Sort=A","Dates=H","DateFormat=P","Fill=—","Direction=H","UseDPDF=Y")</f>
        <v>132.55840000000001</v>
      </c>
      <c r="O7" s="14">
        <f>_xll.BDH("BLUE US Equity","TAX_EFFICIENCY","FQ4 2021","FQ4 2021","Currency=USD","Period=FQ","BEST_FPERIOD_OVERRIDE=FQ","FILING_STATUS=MR","FA_ADJUSTED=GAAP","Sort=A","Dates=H","DateFormat=P","Fill=—","Direction=H","UseDPDF=Y")</f>
        <v>126.426</v>
      </c>
      <c r="P7" s="14">
        <f>_xll.BDH("BLUE US Equity","TAX_EFFICIENCY","FQ1 2022","FQ1 2022","Currency=USD","Period=FQ","BEST_FPERIOD_OVERRIDE=FQ","FILING_STATUS=MR","FA_ADJUSTED=GAAP","Sort=A","Dates=H","DateFormat=P","Fill=—","Direction=H","UseDPDF=Y")</f>
        <v>113.3933</v>
      </c>
      <c r="Q7" s="14">
        <f>_xll.BDH("BLUE US Equity","TAX_EFFICIENCY","FQ2 2022","FQ2 2022","Currency=USD","Period=FQ","BEST_FPERIOD_OVERRIDE=FQ","FILING_STATUS=MR","FA_ADJUSTED=GAAP","Sort=A","Dates=H","DateFormat=P","Fill=—","Direction=H","UseDPDF=Y")</f>
        <v>117.0812</v>
      </c>
      <c r="R7" s="14">
        <f>_xll.BDH("BLUE US Equity","TAX_EFFICIENCY","FQ3 2022","FQ3 2022","Currency=USD","Period=FQ","BEST_FPERIOD_OVERRIDE=FQ","FILING_STATUS=MR","FA_ADJUSTED=GAAP","Sort=A","Dates=H","DateFormat=P","Fill=—","Direction=H","UseDPDF=Y")</f>
        <v>105.2944</v>
      </c>
      <c r="S7" s="14">
        <f>_xll.BDH("BLUE US Equity","TAX_EFFICIENCY","FQ4 2022","FQ4 2022","Currency=USD","Period=FQ","BEST_FPERIOD_OVERRIDE=FQ","FILING_STATUS=MR","FA_ADJUSTED=GAAP","Sort=A","Dates=H","DateFormat=P","Fill=—","Direction=H","UseDPDF=Y")</f>
        <v>100.0508</v>
      </c>
      <c r="T7" s="14">
        <f>_xll.BDH("BLUE US Equity","TAX_EFFICIENCY","FQ1 2023","FQ1 2023","Currency=USD","Period=FQ","BEST_FPERIOD_OVERRIDE=FQ","FILING_STATUS=MR","FA_ADJUSTED=GAAP","Sort=A","Dates=H","DateFormat=P","Fill=—","Direction=H","UseDPDF=Y")</f>
        <v>100.13120000000001</v>
      </c>
      <c r="U7" s="14">
        <f>_xll.BDH("BLUE US Equity","TAX_EFFICIENCY","FQ2 2023","FQ2 2023","Currency=USD","Period=FQ","BEST_FPERIOD_OVERRIDE=FQ","FILING_STATUS=MR","FA_ADJUSTED=GAAP","Sort=A","Dates=H","DateFormat=P","Fill=—","Direction=H","UseDPDF=Y")</f>
        <v>100.07129999999999</v>
      </c>
      <c r="V7" s="14">
        <f>_xll.BDH("BLUE US Equity","TAX_EFFICIENCY","FQ3 2023","FQ3 2023","Currency=USD","Period=FQ","BEST_FPERIOD_OVERRIDE=FQ","FILING_STATUS=MR","FA_ADJUSTED=GAAP","Sort=A","Dates=H","DateFormat=P","Fill=—","Direction=H","UseDPDF=Y")</f>
        <v>100.0479</v>
      </c>
      <c r="W7" s="14">
        <f>_xll.BDH("BLUE US Equity","TAX_EFFICIENCY","FQ4 2023","FQ4 2023","Currency=USD","Period=FQ","BEST_FPERIOD_OVERRIDE=FQ","FILING_STATUS=MR","FA_ADJUSTED=GAAP","Sort=A","Dates=H","DateFormat=P","Fill=—","Direction=H","UseDPDF=Y")</f>
        <v>99.942700000000002</v>
      </c>
      <c r="X7" s="14">
        <f>_xll.BDH("BLUE US Equity","TAX_EFFICIENCY","FQ1 2024","FQ1 2024","Currency=USD","Period=FQ","BEST_FPERIOD_OVERRIDE=FQ","FILING_STATUS=MR","FA_ADJUSTED=GAAP","Sort=A","Dates=H","DateFormat=P","Fill=—","Direction=H","UseDPDF=Y")</f>
        <v>99.959199999999996</v>
      </c>
      <c r="Y7" s="14">
        <f>_xll.BDH("BLUE US Equity","TAX_EFFICIENCY","FQ2 2024","FQ2 2024","Currency=USD","Period=FQ","BEST_FPERIOD_OVERRIDE=FQ","FILING_STATUS=MR","FA_ADJUSTED=GAAP","Sort=A","Dates=H","DateFormat=P","Fill=—","Direction=H","UseDPDF=Y")</f>
        <v>99.992400000000004</v>
      </c>
      <c r="Z7" s="14">
        <f>_xll.BDH("BLUE US Equity","TAX_EFFICIENCY","FQ3 2024","FQ3 2024","Currency=USD","Period=FQ","BEST_FPERIOD_OVERRIDE=FQ","FILING_STATUS=MR","FA_ADJUSTED=GAAP","Sort=A","Dates=H","DateFormat=P","Fill=—","Direction=H","UseDPDF=Y")</f>
        <v>99.972399999999993</v>
      </c>
      <c r="AA7" s="14">
        <f>_xll.BDH("BLUE US Equity","TAX_EFFICIENCY","FQ4 2024","FQ4 2024","Currency=USD","Period=FQ","BEST_FPERIOD_OVERRIDE=FQ","FILING_STATUS=MR","FA_ADJUSTED=GAAP","Sort=A","Dates=H","DateFormat=P","Fill=—","Direction=H","UseDPDF=Y")</f>
        <v>100.0291</v>
      </c>
    </row>
    <row r="8" spans="1:27" x14ac:dyDescent="0.25">
      <c r="A8" s="6" t="s">
        <v>1456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x14ac:dyDescent="0.25">
      <c r="A9" s="6" t="s">
        <v>1457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25">
      <c r="A10" s="10" t="s">
        <v>1458</v>
      </c>
      <c r="B10" s="10" t="s">
        <v>1459</v>
      </c>
      <c r="C10" s="14">
        <f>_xll.BDH("BLUE US Equity","INT_BURDEN","FQ4 2018","FQ4 2018","Currency=USD","Period=FQ","BEST_FPERIOD_OVERRIDE=FQ","FILING_STATUS=MR","FA_ADJUSTED=GAAP","Sort=A","Dates=H","DateFormat=P","Fill=—","Direction=H","UseDPDF=Y")</f>
        <v>100</v>
      </c>
      <c r="D10" s="14">
        <f>_xll.BDH("BLUE US Equity","INT_BURDEN","FQ1 2019","FQ1 2019","Currency=USD","Period=FQ","BEST_FPERIOD_OVERRIDE=FQ","FILING_STATUS=MR","FA_ADJUSTED=GAAP","Sort=A","Dates=H","DateFormat=P","Fill=—","Direction=H","UseDPDF=Y")</f>
        <v>100</v>
      </c>
      <c r="E10" s="14">
        <f>_xll.BDH("BLUE US Equity","INT_BURDEN","FQ2 2019","FQ2 2019","Currency=USD","Period=FQ","BEST_FPERIOD_OVERRIDE=FQ","FILING_STATUS=MR","FA_ADJUSTED=GAAP","Sort=A","Dates=H","DateFormat=P","Fill=—","Direction=H","UseDPDF=Y")</f>
        <v>100</v>
      </c>
      <c r="F10" s="14">
        <f>_xll.BDH("BLUE US Equity","INT_BURDEN","FQ3 2019","FQ3 2019","Currency=USD","Period=FQ","BEST_FPERIOD_OVERRIDE=FQ","FILING_STATUS=MR","FA_ADJUSTED=GAAP","Sort=A","Dates=H","DateFormat=P","Fill=—","Direction=H","UseDPDF=Y")</f>
        <v>100</v>
      </c>
      <c r="G10" s="14">
        <f>_xll.BDH("BLUE US Equity","INT_BURDEN","FQ4 2019","FQ4 2019","Currency=USD","Period=FQ","BEST_FPERIOD_OVERRIDE=FQ","FILING_STATUS=MR","FA_ADJUSTED=GAAP","Sort=A","Dates=H","DateFormat=P","Fill=—","Direction=H","UseDPDF=Y")</f>
        <v>100</v>
      </c>
      <c r="H10" s="14">
        <f>_xll.BDH("BLUE US Equity","INT_BURDEN","FQ1 2020","FQ1 2020","Currency=USD","Period=FQ","BEST_FPERIOD_OVERRIDE=FQ","FILING_STATUS=MR","FA_ADJUSTED=GAAP","Sort=A","Dates=H","DateFormat=P","Fill=—","Direction=H","UseDPDF=Y")</f>
        <v>100</v>
      </c>
      <c r="I10" s="14">
        <f>_xll.BDH("BLUE US Equity","INT_BURDEN","FQ2 2020","FQ2 2020","Currency=USD","Period=FQ","BEST_FPERIOD_OVERRIDE=FQ","FILING_STATUS=MR","FA_ADJUSTED=GAAP","Sort=A","Dates=H","DateFormat=P","Fill=—","Direction=H","UseDPDF=Y")</f>
        <v>100</v>
      </c>
      <c r="J10" s="14">
        <f>_xll.BDH("BLUE US Equity","INT_BURDEN","FQ3 2020","FQ3 2020","Currency=USD","Period=FQ","BEST_FPERIOD_OVERRIDE=FQ","FILING_STATUS=MR","FA_ADJUSTED=GAAP","Sort=A","Dates=H","DateFormat=P","Fill=—","Direction=H","UseDPDF=Y")</f>
        <v>100</v>
      </c>
      <c r="K10" s="14">
        <f>_xll.BDH("BLUE US Equity","INT_BURDEN","FQ4 2020","FQ4 2020","Currency=USD","Period=FQ","BEST_FPERIOD_OVERRIDE=FQ","FILING_STATUS=MR","FA_ADJUSTED=GAAP","Sort=A","Dates=H","DateFormat=P","Fill=—","Direction=H","UseDPDF=Y")</f>
        <v>100</v>
      </c>
      <c r="L10" s="14">
        <f>_xll.BDH("BLUE US Equity","INT_BURDEN","FQ1 2021","FQ1 2021","Currency=USD","Period=FQ","BEST_FPERIOD_OVERRIDE=FQ","FILING_STATUS=MR","FA_ADJUSTED=GAAP","Sort=A","Dates=H","DateFormat=P","Fill=—","Direction=H","UseDPDF=Y")</f>
        <v>100</v>
      </c>
      <c r="M10" s="14">
        <f>_xll.BDH("BLUE US Equity","INT_BURDEN","FQ2 2021","FQ2 2021","Currency=USD","Period=FQ","BEST_FPERIOD_OVERRIDE=FQ","FILING_STATUS=MR","FA_ADJUSTED=GAAP","Sort=A","Dates=H","DateFormat=P","Fill=—","Direction=H","UseDPDF=Y")</f>
        <v>100</v>
      </c>
      <c r="N10" s="14">
        <f>_xll.BDH("BLUE US Equity","INT_BURDEN","FQ3 2021","FQ3 2021","Currency=USD","Period=FQ","BEST_FPERIOD_OVERRIDE=FQ","FILING_STATUS=MR","FA_ADJUSTED=GAAP","Sort=A","Dates=H","DateFormat=P","Fill=—","Direction=H","UseDPDF=Y")</f>
        <v>100</v>
      </c>
      <c r="O10" s="14">
        <f>_xll.BDH("BLUE US Equity","INT_BURDEN","FQ4 2021","FQ4 2021","Currency=USD","Period=FQ","BEST_FPERIOD_OVERRIDE=FQ","FILING_STATUS=MR","FA_ADJUSTED=GAAP","Sort=A","Dates=H","DateFormat=P","Fill=—","Direction=H","UseDPDF=Y")</f>
        <v>100</v>
      </c>
      <c r="P10" s="14">
        <f>_xll.BDH("BLUE US Equity","INT_BURDEN","FQ1 2022","FQ1 2022","Currency=USD","Period=FQ","BEST_FPERIOD_OVERRIDE=FQ","FILING_STATUS=MR","FA_ADJUSTED=GAAP","Sort=A","Dates=H","DateFormat=P","Fill=—","Direction=H","UseDPDF=Y")</f>
        <v>100</v>
      </c>
      <c r="Q10" s="14">
        <f>_xll.BDH("BLUE US Equity","INT_BURDEN","FQ2 2022","FQ2 2022","Currency=USD","Period=FQ","BEST_FPERIOD_OVERRIDE=FQ","FILING_STATUS=MR","FA_ADJUSTED=GAAP","Sort=A","Dates=H","DateFormat=P","Fill=—","Direction=H","UseDPDF=Y")</f>
        <v>100</v>
      </c>
      <c r="R10" s="14">
        <f>_xll.BDH("BLUE US Equity","INT_BURDEN","FQ3 2022","FQ3 2022","Currency=USD","Period=FQ","BEST_FPERIOD_OVERRIDE=FQ","FILING_STATUS=MR","FA_ADJUSTED=GAAP","Sort=A","Dates=H","DateFormat=P","Fill=—","Direction=H","UseDPDF=Y")</f>
        <v>100</v>
      </c>
      <c r="S10" s="14">
        <f>_xll.BDH("BLUE US Equity","INT_BURDEN","FQ4 2022","FQ4 2022","Currency=USD","Period=FQ","BEST_FPERIOD_OVERRIDE=FQ","FILING_STATUS=MR","FA_ADJUSTED=GAAP","Sort=A","Dates=H","DateFormat=P","Fill=—","Direction=H","UseDPDF=Y")</f>
        <v>102.8235</v>
      </c>
      <c r="T10" s="14">
        <f>_xll.BDH("BLUE US Equity","INT_BURDEN","FQ1 2023","FQ1 2023","Currency=USD","Period=FQ","BEST_FPERIOD_OVERRIDE=FQ","FILING_STATUS=MR","FA_ADJUSTED=GAAP","Sort=A","Dates=H","DateFormat=P","Fill=—","Direction=H","UseDPDF=Y")</f>
        <v>113.4842</v>
      </c>
      <c r="U10" s="14">
        <f>_xll.BDH("BLUE US Equity","INT_BURDEN","FQ2 2023","FQ2 2023","Currency=USD","Period=FQ","BEST_FPERIOD_OVERRIDE=FQ","FILING_STATUS=MR","FA_ADJUSTED=GAAP","Sort=A","Dates=H","DateFormat=P","Fill=—","Direction=H","UseDPDF=Y")</f>
        <v>138.21270000000001</v>
      </c>
      <c r="V10" s="14">
        <f>_xll.BDH("BLUE US Equity","INT_BURDEN","FQ3 2023","FQ3 2023","Currency=USD","Period=FQ","BEST_FPERIOD_OVERRIDE=FQ","FILING_STATUS=MR","FA_ADJUSTED=GAAP","Sort=A","Dates=H","DateFormat=P","Fill=—","Direction=H","UseDPDF=Y")</f>
        <v>142.4511</v>
      </c>
      <c r="W10" s="14">
        <f>_xll.BDH("BLUE US Equity","INT_BURDEN","FQ4 2023","FQ4 2023","Currency=USD","Period=FQ","BEST_FPERIOD_OVERRIDE=FQ","FILING_STATUS=MR","FA_ADJUSTED=GAAP","Sort=A","Dates=H","DateFormat=P","Fill=—","Direction=H","UseDPDF=Y")</f>
        <v>115.0141</v>
      </c>
      <c r="X10" s="14">
        <f>_xll.BDH("BLUE US Equity","INT_BURDEN","FQ1 2024","FQ1 2024","Currency=USD","Period=FQ","BEST_FPERIOD_OVERRIDE=FQ","FILING_STATUS=MR","FA_ADJUSTED=GAAP","Sort=A","Dates=H","DateFormat=P","Fill=—","Direction=H","UseDPDF=Y")</f>
        <v>110.4837</v>
      </c>
      <c r="Y10" s="14">
        <f>_xll.BDH("BLUE US Equity","INT_BURDEN","FQ2 2024","FQ2 2024","Currency=USD","Period=FQ","BEST_FPERIOD_OVERRIDE=FQ","FILING_STATUS=MR","FA_ADJUSTED=GAAP","Sort=A","Dates=H","DateFormat=P","Fill=—","Direction=H","UseDPDF=Y")</f>
        <v>110.464</v>
      </c>
      <c r="Z10" s="14">
        <f>_xll.BDH("BLUE US Equity","INT_BURDEN","FQ3 2024","FQ3 2024","Currency=USD","Period=FQ","BEST_FPERIOD_OVERRIDE=FQ","FILING_STATUS=MR","FA_ADJUSTED=GAAP","Sort=A","Dates=H","DateFormat=P","Fill=—","Direction=H","UseDPDF=Y")</f>
        <v>112.0972</v>
      </c>
      <c r="AA10" s="14">
        <f>_xll.BDH("BLUE US Equity","INT_BURDEN","FQ4 2024","FQ4 2024","Currency=USD","Period=FQ","BEST_FPERIOD_OVERRIDE=FQ","FILING_STATUS=MR","FA_ADJUSTED=GAAP","Sort=A","Dates=H","DateFormat=P","Fill=—","Direction=H","UseDPDF=Y")</f>
        <v>110.35420000000001</v>
      </c>
    </row>
    <row r="11" spans="1:27" x14ac:dyDescent="0.25">
      <c r="A11" s="6" t="s">
        <v>359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x14ac:dyDescent="0.25">
      <c r="A12" s="10" t="s">
        <v>1460</v>
      </c>
      <c r="B12" s="10" t="s">
        <v>1461</v>
      </c>
      <c r="C12" s="14">
        <f>_xll.BDH("BLUE US Equity","T12_EBIT_TO_REVENUE","FQ4 2018","FQ4 2018","Currency=USD","Period=FQ","BEST_FPERIOD_OVERRIDE=FQ","FILING_STATUS=MR","FA_ADJUSTED=GAAP","Sort=A","Dates=H","DateFormat=P","Fill=—","Direction=H","UseDPDF=Y")</f>
        <v>-1017.6771</v>
      </c>
      <c r="D12" s="14">
        <f>_xll.BDH("BLUE US Equity","T12_EBIT_TO_REVENUE","FQ1 2019","FQ1 2019","Currency=USD","Period=FQ","BEST_FPERIOD_OVERRIDE=FQ","FILING_STATUS=MR","FA_ADJUSTED=GAAP","Sort=A","Dates=H","DateFormat=P","Fill=—","Direction=H","UseDPDF=Y")</f>
        <v>-1183.671</v>
      </c>
      <c r="E12" s="14">
        <f>_xll.BDH("BLUE US Equity","T12_EBIT_TO_REVENUE","FQ2 2019","FQ2 2019","Currency=USD","Period=FQ","BEST_FPERIOD_OVERRIDE=FQ","FILING_STATUS=MR","FA_ADJUSTED=GAAP","Sort=A","Dates=H","DateFormat=P","Fill=—","Direction=H","UseDPDF=Y")</f>
        <v>-1158.5624</v>
      </c>
      <c r="F12" s="14">
        <f>_xll.BDH("BLUE US Equity","T12_EBIT_TO_REVENUE","FQ3 2019","FQ3 2019","Currency=USD","Period=FQ","BEST_FPERIOD_OVERRIDE=FQ","FILING_STATUS=MR","FA_ADJUSTED=GAAP","Sort=A","Dates=H","DateFormat=P","Fill=—","Direction=H","UseDPDF=Y")</f>
        <v>-1327.6057000000001</v>
      </c>
      <c r="G12" s="14">
        <f>_xll.BDH("BLUE US Equity","T12_EBIT_TO_REVENUE","FQ4 2019","FQ4 2019","Currency=USD","Period=FQ","BEST_FPERIOD_OVERRIDE=FQ","FILING_STATUS=MR","FA_ADJUSTED=GAAP","Sort=A","Dates=H","DateFormat=P","Fill=—","Direction=H","UseDPDF=Y")</f>
        <v>-1768.7089000000001</v>
      </c>
      <c r="H12" s="14">
        <f>_xll.BDH("BLUE US Equity","T12_EBIT_TO_REVENUE","FQ1 2020","FQ1 2020","Currency=USD","Period=FQ","BEST_FPERIOD_OVERRIDE=FQ","FILING_STATUS=MR","FA_ADJUSTED=GAAP","Sort=A","Dates=H","DateFormat=P","Fill=—","Direction=H","UseDPDF=Y")</f>
        <v>-1531.8480999999999</v>
      </c>
      <c r="I12" s="14">
        <f>_xll.BDH("BLUE US Equity","T12_EBIT_TO_REVENUE","FQ2 2020","FQ2 2020","Currency=USD","Period=FQ","BEST_FPERIOD_OVERRIDE=FQ","FILING_STATUS=MR","FA_ADJUSTED=GAAP","Sort=A","Dates=H","DateFormat=P","Fill=—","Direction=H","UseDPDF=Y")</f>
        <v>-272.64170000000001</v>
      </c>
      <c r="J12" s="14">
        <f>_xll.BDH("BLUE US Equity","T12_EBIT_TO_REVENUE","FQ3 2020","FQ3 2020","Currency=USD","Period=FQ","BEST_FPERIOD_OVERRIDE=FQ","FILING_STATUS=MR","FA_ADJUSTED=GAAP","Sort=A","Dates=H","DateFormat=P","Fill=—","Direction=H","UseDPDF=Y")</f>
        <v>-256.58920000000001</v>
      </c>
      <c r="K12" s="14">
        <f>_xll.BDH("BLUE US Equity","T12_EBIT_TO_REVENUE","FQ4 2020","FQ4 2020","Currency=USD","Period=FQ","BEST_FPERIOD_OVERRIDE=FQ","FILING_STATUS=MR","FA_ADJUSTED=GAAP","Sort=A","Dates=H","DateFormat=P","Fill=—","Direction=H","UseDPDF=Y")</f>
        <v>-230.9983</v>
      </c>
      <c r="L12" s="14">
        <f>_xll.BDH("BLUE US Equity","T12_EBIT_TO_REVENUE","FQ1 2021","FQ1 2021","Currency=USD","Period=FQ","BEST_FPERIOD_OVERRIDE=FQ","FILING_STATUS=MR","FA_ADJUSTED=GAAP","Sort=A","Dates=H","DateFormat=P","Fill=—","Direction=H","UseDPDF=Y")</f>
        <v>-216.0976</v>
      </c>
      <c r="M12" s="14">
        <f>_xll.BDH("BLUE US Equity","T12_EBIT_TO_REVENUE","FQ2 2021","FQ2 2021","Currency=USD","Period=FQ","BEST_FPERIOD_OVERRIDE=FQ","FILING_STATUS=MR","FA_ADJUSTED=GAAP","Sort=A","Dates=H","DateFormat=P","Fill=—","Direction=H","UseDPDF=Y")</f>
        <v>-2508.8027999999999</v>
      </c>
      <c r="N12" s="14">
        <f>_xll.BDH("BLUE US Equity","T12_EBIT_TO_REVENUE","FQ3 2021","FQ3 2021","Currency=USD","Period=FQ","BEST_FPERIOD_OVERRIDE=FQ","FILING_STATUS=MR","FA_ADJUSTED=GAAP","Sort=A","Dates=H","DateFormat=P","Fill=—","Direction=H","UseDPDF=Y")</f>
        <v>-6946.6063000000004</v>
      </c>
      <c r="O12" s="14">
        <f>_xll.BDH("BLUE US Equity","T12_EBIT_TO_REVENUE","FQ4 2021","FQ4 2021","Currency=USD","Period=FQ","BEST_FPERIOD_OVERRIDE=FQ","FILING_STATUS=MR","FA_ADJUSTED=GAAP","Sort=A","Dates=H","DateFormat=P","Fill=—","Direction=H","UseDPDF=Y")</f>
        <v>-5896.7245999999996</v>
      </c>
      <c r="P12" s="14">
        <f>_xll.BDH("BLUE US Equity","T12_EBIT_TO_REVENUE","FQ1 2022","FQ1 2022","Currency=USD","Period=FQ","BEST_FPERIOD_OVERRIDE=FQ","FILING_STATUS=MR","FA_ADJUSTED=GAAP","Sort=A","Dates=H","DateFormat=P","Fill=—","Direction=H","UseDPDF=Y")</f>
        <v>-5388.0002999999997</v>
      </c>
      <c r="Q12" s="14">
        <f>_xll.BDH("BLUE US Equity","T12_EBIT_TO_REVENUE","FQ2 2022","FQ2 2022","Currency=USD","Period=FQ","BEST_FPERIOD_OVERRIDE=FQ","FILING_STATUS=MR","FA_ADJUSTED=GAAP","Sort=A","Dates=H","DateFormat=P","Fill=—","Direction=H","UseDPDF=Y")</f>
        <v>-8334.2913000000008</v>
      </c>
      <c r="R12" s="14">
        <f>_xll.BDH("BLUE US Equity","T12_EBIT_TO_REVENUE","FQ3 2022","FQ3 2022","Currency=USD","Period=FQ","BEST_FPERIOD_OVERRIDE=FQ","FILING_STATUS=MR","FA_ADJUSTED=GAAP","Sort=A","Dates=H","DateFormat=P","Fill=—","Direction=H","UseDPDF=Y")</f>
        <v>-8384.3804999999993</v>
      </c>
      <c r="S12" s="14">
        <f>_xll.BDH("BLUE US Equity","T12_EBIT_TO_REVENUE","FQ4 2022","FQ4 2022","Currency=USD","Period=FQ","BEST_FPERIOD_OVERRIDE=FQ","FILING_STATUS=MR","FA_ADJUSTED=GAAP","Sort=A","Dates=H","DateFormat=P","Fill=—","Direction=H","UseDPDF=Y")</f>
        <v>-6224.7150000000001</v>
      </c>
      <c r="T12" s="14">
        <f>_xll.BDH("BLUE US Equity","T12_EBIT_TO_REVENUE","FQ1 2023","FQ1 2023","Currency=USD","Period=FQ","BEST_FPERIOD_OVERRIDE=FQ","FILING_STATUS=MR","FA_ADJUSTED=GAAP","Sort=A","Dates=H","DateFormat=P","Fill=—","Direction=H","UseDPDF=Y")</f>
        <v>-1947.7064</v>
      </c>
      <c r="U12" s="14">
        <f>_xll.BDH("BLUE US Equity","T12_EBIT_TO_REVENUE","FQ2 2023","FQ2 2023","Currency=USD","Period=FQ","BEST_FPERIOD_OVERRIDE=FQ","FILING_STATUS=MR","FA_ADJUSTED=GAAP","Sort=A","Dates=H","DateFormat=P","Fill=—","Direction=H","UseDPDF=Y")</f>
        <v>-399.10680000000002</v>
      </c>
      <c r="V12" s="14">
        <f>_xll.BDH("BLUE US Equity","T12_EBIT_TO_REVENUE","FQ3 2023","FQ3 2023","Currency=USD","Period=FQ","BEST_FPERIOD_OVERRIDE=FQ","FILING_STATUS=MR","FA_ADJUSTED=GAAP","Sort=A","Dates=H","DateFormat=P","Fill=—","Direction=H","UseDPDF=Y")</f>
        <v>-202.25550000000001</v>
      </c>
      <c r="W12" s="14">
        <f>_xll.BDH("BLUE US Equity","T12_EBIT_TO_REVENUE","FQ4 2023","FQ4 2023","Currency=USD","Period=FQ","BEST_FPERIOD_OVERRIDE=FQ","FILING_STATUS=MR","FA_ADJUSTED=GAAP","Sort=A","Dates=H","DateFormat=P","Fill=—","Direction=H","UseDPDF=Y")</f>
        <v>-647.68280000000004</v>
      </c>
      <c r="X12" s="14">
        <f>_xll.BDH("BLUE US Equity","T12_EBIT_TO_REVENUE","FQ1 2024","FQ1 2024","Currency=USD","Period=FQ","BEST_FPERIOD_OVERRIDE=FQ","FILING_STATUS=MR","FA_ADJUSTED=GAAP","Sort=A","Dates=H","DateFormat=P","Fill=—","Direction=H","UseDPDF=Y")</f>
        <v>-611.07709999999997</v>
      </c>
      <c r="Y12" s="14">
        <f>_xll.BDH("BLUE US Equity","T12_EBIT_TO_REVENUE","FQ2 2024","FQ2 2024","Currency=USD","Period=FQ","BEST_FPERIOD_OVERRIDE=FQ","FILING_STATUS=MR","FA_ADJUSTED=GAAP","Sort=A","Dates=H","DateFormat=P","Fill=—","Direction=H","UseDPDF=Y")</f>
        <v>-539.15300000000002</v>
      </c>
      <c r="Z12" s="14">
        <f>_xll.BDH("BLUE US Equity","T12_EBIT_TO_REVENUE","FQ3 2024","FQ3 2024","Currency=USD","Period=FQ","BEST_FPERIOD_OVERRIDE=FQ","FILING_STATUS=MR","FA_ADJUSTED=GAAP","Sort=A","Dates=H","DateFormat=P","Fill=—","Direction=H","UseDPDF=Y")</f>
        <v>-504.82299999999998</v>
      </c>
      <c r="AA12" s="14">
        <f>_xll.BDH("BLUE US Equity","T12_EBIT_TO_REVENUE","FQ4 2024","FQ4 2024","Currency=USD","Period=FQ","BEST_FPERIOD_OVERRIDE=FQ","FILING_STATUS=MR","FA_ADJUSTED=GAAP","Sort=A","Dates=H","DateFormat=P","Fill=—","Direction=H","UseDPDF=Y")</f>
        <v>-260.2002</v>
      </c>
    </row>
    <row r="13" spans="1:27" x14ac:dyDescent="0.25">
      <c r="A13" s="6" t="s">
        <v>1462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1463</v>
      </c>
      <c r="B14" s="10" t="s">
        <v>1464</v>
      </c>
      <c r="C14" s="14">
        <f>_xll.BDH("BLUE US Equity","ASSET_TURNOVER","FQ4 2018","FQ4 2018","Currency=USD","Period=FQ","BEST_FPERIOD_OVERRIDE=FQ","FILING_STATUS=MR","FA_ADJUSTED=GAAP","Sort=A","Dates=H","DateFormat=P","Fill=—","Direction=H","UseDPDF=Y")</f>
        <v>2.63E-2</v>
      </c>
      <c r="D14" s="14">
        <f>_xll.BDH("BLUE US Equity","ASSET_TURNOVER","FQ1 2019","FQ1 2019","Currency=USD","Period=FQ","BEST_FPERIOD_OVERRIDE=FQ","FILING_STATUS=MR","FA_ADJUSTED=GAAP","Sort=A","Dates=H","DateFormat=P","Fill=—","Direction=H","UseDPDF=Y")</f>
        <v>2.5499999999999998E-2</v>
      </c>
      <c r="E14" s="14">
        <f>_xll.BDH("BLUE US Equity","ASSET_TURNOVER","FQ2 2019","FQ2 2019","Currency=USD","Period=FQ","BEST_FPERIOD_OVERRIDE=FQ","FILING_STATUS=MR","FA_ADJUSTED=GAAP","Sort=A","Dates=H","DateFormat=P","Fill=—","Direction=H","UseDPDF=Y")</f>
        <v>2.9899999999999999E-2</v>
      </c>
      <c r="F14" s="14">
        <f>_xll.BDH("BLUE US Equity","ASSET_TURNOVER","FQ3 2019","FQ3 2019","Currency=USD","Period=FQ","BEST_FPERIOD_OVERRIDE=FQ","FILING_STATUS=MR","FA_ADJUSTED=GAAP","Sort=A","Dates=H","DateFormat=P","Fill=—","Direction=H","UseDPDF=Y")</f>
        <v>2.5399999999999999E-2</v>
      </c>
      <c r="G14" s="14">
        <f>_xll.BDH("BLUE US Equity","ASSET_TURNOVER","FQ4 2019","FQ4 2019","Currency=USD","Period=FQ","BEST_FPERIOD_OVERRIDE=FQ","FILING_STATUS=MR","FA_ADJUSTED=GAAP","Sort=A","Dates=H","DateFormat=P","Fill=—","Direction=H","UseDPDF=Y")</f>
        <v>2.2499999999999999E-2</v>
      </c>
      <c r="H14" s="14">
        <f>_xll.BDH("BLUE US Equity","ASSET_TURNOVER","FQ1 2020","FQ1 2020","Currency=USD","Period=FQ","BEST_FPERIOD_OVERRIDE=FQ","FILING_STATUS=MR","FA_ADJUSTED=GAAP","Sort=A","Dates=H","DateFormat=P","Fill=—","Direction=H","UseDPDF=Y")</f>
        <v>2.9499999999999998E-2</v>
      </c>
      <c r="I14" s="14">
        <f>_xll.BDH("BLUE US Equity","ASSET_TURNOVER","FQ2 2020","FQ2 2020","Currency=USD","Period=FQ","BEST_FPERIOD_OVERRIDE=FQ","FILING_STATUS=MR","FA_ADJUSTED=GAAP","Sort=A","Dates=H","DateFormat=P","Fill=—","Direction=H","UseDPDF=Y")</f>
        <v>0.11600000000000001</v>
      </c>
      <c r="J14" s="14">
        <f>_xll.BDH("BLUE US Equity","ASSET_TURNOVER","FQ3 2020","FQ3 2020","Currency=USD","Period=FQ","BEST_FPERIOD_OVERRIDE=FQ","FILING_STATUS=MR","FA_ADJUSTED=GAAP","Sort=A","Dates=H","DateFormat=P","Fill=—","Direction=H","UseDPDF=Y")</f>
        <v>0.1303</v>
      </c>
      <c r="K14" s="14">
        <f>_xll.BDH("BLUE US Equity","ASSET_TURNOVER","FQ4 2020","FQ4 2020","Currency=USD","Period=FQ","BEST_FPERIOD_OVERRIDE=FQ","FILING_STATUS=MR","FA_ADJUSTED=GAAP","Sort=A","Dates=H","DateFormat=P","Fill=—","Direction=H","UseDPDF=Y")</f>
        <v>0.1368</v>
      </c>
      <c r="L14" s="14">
        <f>_xll.BDH("BLUE US Equity","ASSET_TURNOVER","FQ1 2021","FQ1 2021","Currency=USD","Period=FQ","BEST_FPERIOD_OVERRIDE=FQ","FILING_STATUS=MR","FA_ADJUSTED=GAAP","Sort=A","Dates=H","DateFormat=P","Fill=—","Direction=H","UseDPDF=Y")</f>
        <v>0.1384</v>
      </c>
      <c r="M14" s="14">
        <f>_xll.BDH("BLUE US Equity","ASSET_TURNOVER","FQ2 2021","FQ2 2021","Currency=USD","Period=FQ","BEST_FPERIOD_OVERRIDE=FQ","FILING_STATUS=MR","FA_ADJUSTED=GAAP","Sort=A","Dates=H","DateFormat=P","Fill=—","Direction=H","UseDPDF=Y")</f>
        <v>1.55E-2</v>
      </c>
      <c r="N14" s="14">
        <f>_xll.BDH("BLUE US Equity","ASSET_TURNOVER","FQ3 2021","FQ3 2021","Currency=USD","Period=FQ","BEST_FPERIOD_OVERRIDE=FQ","FILING_STATUS=MR","FA_ADJUSTED=GAAP","Sort=A","Dates=H","DateFormat=P","Fill=—","Direction=H","UseDPDF=Y")</f>
        <v>5.7000000000000002E-3</v>
      </c>
      <c r="O14" s="14">
        <f>_xll.BDH("BLUE US Equity","ASSET_TURNOVER","FQ4 2021","FQ4 2021","Currency=USD","Period=FQ","BEST_FPERIOD_OVERRIDE=FQ","FILING_STATUS=MR","FA_ADJUSTED=GAAP","Sort=A","Dates=H","DateFormat=P","Fill=—","Direction=H","UseDPDF=Y")</f>
        <v>9.2999999999999992E-3</v>
      </c>
      <c r="P14" s="14">
        <f>_xll.BDH("BLUE US Equity","ASSET_TURNOVER","FQ1 2022","FQ1 2022","Currency=USD","Period=FQ","BEST_FPERIOD_OVERRIDE=FQ","FILING_STATUS=MR","FA_ADJUSTED=GAAP","Sort=A","Dates=H","DateFormat=P","Fill=—","Direction=H","UseDPDF=Y")</f>
        <v>1.1299999999999999E-2</v>
      </c>
      <c r="Q14" s="14">
        <f>_xll.BDH("BLUE US Equity","ASSET_TURNOVER","FQ2 2022","FQ2 2022","Currency=USD","Period=FQ","BEST_FPERIOD_OVERRIDE=FQ","FILING_STATUS=MR","FA_ADJUSTED=GAAP","Sort=A","Dates=H","DateFormat=P","Fill=—","Direction=H","UseDPDF=Y")</f>
        <v>6.0000000000000001E-3</v>
      </c>
      <c r="R14" s="14">
        <f>_xll.BDH("BLUE US Equity","ASSET_TURNOVER","FQ3 2022","FQ3 2022","Currency=USD","Period=FQ","BEST_FPERIOD_OVERRIDE=FQ","FILING_STATUS=MR","FA_ADJUSTED=GAAP","Sort=A","Dates=H","DateFormat=P","Fill=—","Direction=H","UseDPDF=Y")</f>
        <v>5.4999999999999997E-3</v>
      </c>
      <c r="S14" s="14">
        <f>_xll.BDH("BLUE US Equity","ASSET_TURNOVER","FQ4 2022","FQ4 2022","Currency=USD","Period=FQ","BEST_FPERIOD_OVERRIDE=FQ","FILING_STATUS=MR","FA_ADJUSTED=GAAP","Sort=A","Dates=H","DateFormat=P","Fill=—","Direction=H","UseDPDF=Y")</f>
        <v>6.1999999999999998E-3</v>
      </c>
      <c r="T14" s="14">
        <f>_xll.BDH("BLUE US Equity","ASSET_TURNOVER","FQ1 2023","FQ1 2023","Currency=USD","Period=FQ","BEST_FPERIOD_OVERRIDE=FQ","FILING_STATUS=MR","FA_ADJUSTED=GAAP","Sort=A","Dates=H","DateFormat=P","Fill=—","Direction=H","UseDPDF=Y")</f>
        <v>6.7999999999999996E-3</v>
      </c>
      <c r="U14" s="14">
        <f>_xll.BDH("BLUE US Equity","ASSET_TURNOVER","FQ2 2023","FQ2 2023","Currency=USD","Period=FQ","BEST_FPERIOD_OVERRIDE=FQ","FILING_STATUS=MR","FA_ADJUSTED=GAAP","Sort=A","Dates=H","DateFormat=P","Fill=—","Direction=H","UseDPDF=Y")</f>
        <v>1.52E-2</v>
      </c>
      <c r="V14" s="14">
        <f>_xll.BDH("BLUE US Equity","ASSET_TURNOVER","FQ3 2023","FQ3 2023","Currency=USD","Period=FQ","BEST_FPERIOD_OVERRIDE=FQ","FILING_STATUS=MR","FA_ADJUSTED=GAAP","Sort=A","Dates=H","DateFormat=P","Fill=—","Direction=H","UseDPDF=Y")</f>
        <v>3.8300000000000001E-2</v>
      </c>
      <c r="W14" s="14">
        <f>_xll.BDH("BLUE US Equity","ASSET_TURNOVER","FQ4 2023","FQ4 2023","Currency=USD","Period=FQ","BEST_FPERIOD_OVERRIDE=FQ","FILING_STATUS=MR","FA_ADJUSTED=GAAP","Sort=A","Dates=H","DateFormat=P","Fill=—","Direction=H","UseDPDF=Y")</f>
        <v>4.9599999999999998E-2</v>
      </c>
      <c r="X14" s="14">
        <f>_xll.BDH("BLUE US Equity","ASSET_TURNOVER","FQ1 2024","FQ1 2024","Currency=USD","Period=FQ","BEST_FPERIOD_OVERRIDE=FQ","FILING_STATUS=MR","FA_ADJUSTED=GAAP","Sort=A","Dates=H","DateFormat=P","Fill=—","Direction=H","UseDPDF=Y")</f>
        <v>6.9000000000000006E-2</v>
      </c>
      <c r="Y14" s="14">
        <f>_xll.BDH("BLUE US Equity","ASSET_TURNOVER","FQ2 2024","FQ2 2024","Currency=USD","Period=FQ","BEST_FPERIOD_OVERRIDE=FQ","FILING_STATUS=MR","FA_ADJUSTED=GAAP","Sort=A","Dates=H","DateFormat=P","Fill=—","Direction=H","UseDPDF=Y")</f>
        <v>9.0800000000000006E-2</v>
      </c>
      <c r="Z14" s="14">
        <f>_xll.BDH("BLUE US Equity","ASSET_TURNOVER","FQ3 2024","FQ3 2024","Currency=USD","Period=FQ","BEST_FPERIOD_OVERRIDE=FQ","FILING_STATUS=MR","FA_ADJUSTED=GAAP","Sort=A","Dates=H","DateFormat=P","Fill=—","Direction=H","UseDPDF=Y")</f>
        <v>9.8500000000000004E-2</v>
      </c>
      <c r="AA14" s="14">
        <f>_xll.BDH("BLUE US Equity","ASSET_TURNOVER","FQ4 2024","FQ4 2024","Currency=USD","Period=FQ","BEST_FPERIOD_OVERRIDE=FQ","FILING_STATUS=MR","FA_ADJUSTED=GAAP","Sort=A","Dates=H","DateFormat=P","Fill=—","Direction=H","UseDPDF=Y")</f>
        <v>0.15529999999999999</v>
      </c>
    </row>
    <row r="15" spans="1:27" x14ac:dyDescent="0.25">
      <c r="A15" s="6" t="s">
        <v>1465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0" t="s">
        <v>1466</v>
      </c>
      <c r="B16" s="10" t="s">
        <v>1467</v>
      </c>
      <c r="C16" s="14">
        <f>_xll.BDH("BLUE US Equity","FNCL_LVRG","FQ4 2018","FQ4 2018","Currency=USD","Period=FQ","BEST_FPERIOD_OVERRIDE=FQ","FILING_STATUS=MR","Sort=A","Dates=H","DateFormat=P","Fill=—","Direction=H","UseDPDF=Y")</f>
        <v>1.1823999999999999</v>
      </c>
      <c r="D16" s="14">
        <f>_xll.BDH("BLUE US Equity","FNCL_LVRG","FQ1 2019","FQ1 2019","Currency=USD","Period=FQ","BEST_FPERIOD_OVERRIDE=FQ","FILING_STATUS=MR","Sort=A","Dates=H","DateFormat=P","Fill=—","Direction=H","UseDPDF=Y")</f>
        <v>1.198</v>
      </c>
      <c r="E16" s="14">
        <f>_xll.BDH("BLUE US Equity","FNCL_LVRG","FQ2 2019","FQ2 2019","Currency=USD","Period=FQ","BEST_FPERIOD_OVERRIDE=FQ","FILING_STATUS=MR","Sort=A","Dates=H","DateFormat=P","Fill=—","Direction=H","UseDPDF=Y")</f>
        <v>1.2211000000000001</v>
      </c>
      <c r="F16" s="14">
        <f>_xll.BDH("BLUE US Equity","FNCL_LVRG","FQ3 2019","FQ3 2019","Currency=USD","Period=FQ","BEST_FPERIOD_OVERRIDE=FQ","FILING_STATUS=MR","Sort=A","Dates=H","DateFormat=P","Fill=—","Direction=H","UseDPDF=Y")</f>
        <v>1.2598</v>
      </c>
      <c r="G16" s="14">
        <f>_xll.BDH("BLUE US Equity","FNCL_LVRG","FQ4 2019","FQ4 2019","Currency=USD","Period=FQ","BEST_FPERIOD_OVERRIDE=FQ","FILING_STATUS=MR","Sort=A","Dates=H","DateFormat=P","Fill=—","Direction=H","UseDPDF=Y")</f>
        <v>1.3129999999999999</v>
      </c>
      <c r="H16" s="14">
        <f>_xll.BDH("BLUE US Equity","FNCL_LVRG","FQ1 2020","FQ1 2020","Currency=USD","Period=FQ","BEST_FPERIOD_OVERRIDE=FQ","FILING_STATUS=MR","Sort=A","Dates=H","DateFormat=P","Fill=—","Direction=H","UseDPDF=Y")</f>
        <v>1.3537999999999999</v>
      </c>
      <c r="I16" s="14">
        <f>_xll.BDH("BLUE US Equity","FNCL_LVRG","FQ2 2020","FQ2 2020","Currency=USD","Period=FQ","BEST_FPERIOD_OVERRIDE=FQ","FILING_STATUS=MR","Sort=A","Dates=H","DateFormat=P","Fill=—","Direction=H","UseDPDF=Y")</f>
        <v>1.2977000000000001</v>
      </c>
      <c r="J16" s="14">
        <f>_xll.BDH("BLUE US Equity","FNCL_LVRG","FQ3 2020","FQ3 2020","Currency=USD","Period=FQ","BEST_FPERIOD_OVERRIDE=FQ","FILING_STATUS=MR","Sort=A","Dates=H","DateFormat=P","Fill=—","Direction=H","UseDPDF=Y")</f>
        <v>1.2646999999999999</v>
      </c>
      <c r="K16" s="14">
        <f>_xll.BDH("BLUE US Equity","FNCL_LVRG","FQ4 2020","FQ4 2020","Currency=USD","Period=FQ","BEST_FPERIOD_OVERRIDE=FQ","FILING_STATUS=MR","Sort=A","Dates=H","DateFormat=P","Fill=—","Direction=H","UseDPDF=Y")</f>
        <v>1.2948999999999999</v>
      </c>
      <c r="L16" s="14">
        <f>_xll.BDH("BLUE US Equity","FNCL_LVRG","FQ1 2021","FQ1 2021","Currency=USD","Period=FQ","BEST_FPERIOD_OVERRIDE=FQ","FILING_STATUS=MR","Sort=A","Dates=H","DateFormat=P","Fill=—","Direction=H","UseDPDF=Y")</f>
        <v>1.3378000000000001</v>
      </c>
      <c r="M16" s="14">
        <f>_xll.BDH("BLUE US Equity","FNCL_LVRG","FQ2 2021","FQ2 2021","Currency=USD","Period=FQ","BEST_FPERIOD_OVERRIDE=FQ","FILING_STATUS=MR","Sort=A","Dates=H","DateFormat=P","Fill=—","Direction=H","UseDPDF=Y")</f>
        <v>1.4151</v>
      </c>
      <c r="N16" s="14">
        <f>_xll.BDH("BLUE US Equity","FNCL_LVRG","FQ3 2021","FQ3 2021","Currency=USD","Period=FQ","BEST_FPERIOD_OVERRIDE=FQ","FILING_STATUS=MR","Sort=A","Dates=H","DateFormat=P","Fill=—","Direction=H","UseDPDF=Y")</f>
        <v>1.5062</v>
      </c>
      <c r="O16" s="14">
        <f>_xll.BDH("BLUE US Equity","FNCL_LVRG","FQ4 2021","FQ4 2021","Currency=USD","Period=FQ","BEST_FPERIOD_OVERRIDE=FQ","FILING_STATUS=MR","Sort=A","Dates=H","DateFormat=P","Fill=—","Direction=H","UseDPDF=Y")</f>
        <v>1.5531999999999999</v>
      </c>
      <c r="P16" s="14">
        <f>_xll.BDH("BLUE US Equity","FNCL_LVRG","FQ1 2022","FQ1 2022","Currency=USD","Period=FQ","BEST_FPERIOD_OVERRIDE=FQ","FILING_STATUS=MR","Sort=A","Dates=H","DateFormat=P","Fill=—","Direction=H","UseDPDF=Y")</f>
        <v>1.7017</v>
      </c>
      <c r="Q16" s="14">
        <f>_xll.BDH("BLUE US Equity","FNCL_LVRG","FQ2 2022","FQ2 2022","Currency=USD","Period=FQ","BEST_FPERIOD_OVERRIDE=FQ","FILING_STATUS=MR","Sort=A","Dates=H","DateFormat=P","Fill=—","Direction=H","UseDPDF=Y")</f>
        <v>2.4013</v>
      </c>
      <c r="R16" s="14">
        <f>_xll.BDH("BLUE US Equity","FNCL_LVRG","FQ3 2022","FQ3 2022","Currency=USD","Period=FQ","BEST_FPERIOD_OVERRIDE=FQ","FILING_STATUS=MR","Sort=A","Dates=H","DateFormat=P","Fill=—","Direction=H","UseDPDF=Y")</f>
        <v>3.2265000000000001</v>
      </c>
      <c r="S16" s="14">
        <f>_xll.BDH("BLUE US Equity","FNCL_LVRG","FQ4 2022","FQ4 2022","Currency=USD","Period=FQ","BEST_FPERIOD_OVERRIDE=FQ","FILING_STATUS=MR","Sort=A","Dates=H","DateFormat=P","Fill=—","Direction=H","UseDPDF=Y")</f>
        <v>3.7174</v>
      </c>
      <c r="T16" s="14">
        <f>_xll.BDH("BLUE US Equity","FNCL_LVRG","FQ1 2023","FQ1 2023","Currency=USD","Period=FQ","BEST_FPERIOD_OVERRIDE=FQ","FILING_STATUS=MR","Sort=A","Dates=H","DateFormat=P","Fill=—","Direction=H","UseDPDF=Y")</f>
        <v>2.5815000000000001</v>
      </c>
      <c r="U16" s="14">
        <f>_xll.BDH("BLUE US Equity","FNCL_LVRG","FQ2 2023","FQ2 2023","Currency=USD","Period=FQ","BEST_FPERIOD_OVERRIDE=FQ","FILING_STATUS=MR","Sort=A","Dates=H","DateFormat=P","Fill=—","Direction=H","UseDPDF=Y")</f>
        <v>2.1065999999999998</v>
      </c>
      <c r="V16" s="14">
        <f>_xll.BDH("BLUE US Equity","FNCL_LVRG","FQ3 2023","FQ3 2023","Currency=USD","Period=FQ","BEST_FPERIOD_OVERRIDE=FQ","FILING_STATUS=MR","Sort=A","Dates=H","DateFormat=P","Fill=—","Direction=H","UseDPDF=Y")</f>
        <v>2.4963000000000002</v>
      </c>
      <c r="W16" s="14">
        <f>_xll.BDH("BLUE US Equity","FNCL_LVRG","FQ4 2023","FQ4 2023","Currency=USD","Period=FQ","BEST_FPERIOD_OVERRIDE=FQ","FILING_STATUS=MR","Sort=A","Dates=H","DateFormat=P","Fill=—","Direction=H","UseDPDF=Y")</f>
        <v>2.9558</v>
      </c>
      <c r="X16" s="14">
        <f>_xll.BDH("BLUE US Equity","FNCL_LVRG","FQ1 2024","FQ1 2024","Currency=USD","Period=FQ","BEST_FPERIOD_OVERRIDE=FQ","FILING_STATUS=MR","Sort=A","Dates=H","DateFormat=P","Fill=—","Direction=H","UseDPDF=Y")</f>
        <v>3.8412000000000002</v>
      </c>
      <c r="Y16" s="14">
        <f>_xll.BDH("BLUE US Equity","FNCL_LVRG","FQ2 2024","FQ2 2024","Currency=USD","Period=FQ","BEST_FPERIOD_OVERRIDE=FQ","FILING_STATUS=MR","Sort=A","Dates=H","DateFormat=P","Fill=—","Direction=H","UseDPDF=Y")</f>
        <v>6.3940000000000001</v>
      </c>
      <c r="Z16" s="14">
        <f>_xll.BDH("BLUE US Equity","FNCL_LVRG","FQ3 2024","FQ3 2024","Currency=USD","Period=FQ","BEST_FPERIOD_OVERRIDE=FQ","FILING_STATUS=MR","Sort=A","Dates=H","DateFormat=P","Fill=—","Direction=H","UseDPDF=Y")</f>
        <v>21.405799999999999</v>
      </c>
      <c r="AA16" s="14" t="str">
        <f>_xll.BDH("BLUE US Equity","FNCL_LVRG","FQ4 2024","FQ4 2024","Currency=USD","Period=FQ","BEST_FPERIOD_OVERRIDE=FQ","FILING_STATUS=MR","Sort=A","Dates=H","DateFormat=P","Fill=—","Direction=H","UseDPDF=Y")</f>
        <v>—</v>
      </c>
    </row>
    <row r="17" spans="1:27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10" t="s">
        <v>1468</v>
      </c>
      <c r="B18" s="10" t="s">
        <v>1469</v>
      </c>
      <c r="C18" s="14">
        <f>_xll.BDH("BLUE US Equity","NORMALIZED_ROE","FQ4 2018","FQ4 2018","Currency=USD","Period=FQ","BEST_FPERIOD_OVERRIDE=FQ","FILING_STATUS=MR","FA_ADJUSTED=GAAP","Sort=A","Dates=H","DateFormat=P","Fill=—","Direction=H","UseDPDF=Y")</f>
        <v>-31.538</v>
      </c>
      <c r="D18" s="14">
        <f>_xll.BDH("BLUE US Equity","NORMALIZED_ROE","FQ1 2019","FQ1 2019","Currency=USD","Period=FQ","BEST_FPERIOD_OVERRIDE=FQ","FILING_STATUS=MR","FA_ADJUSTED=GAAP","Sort=A","Dates=H","DateFormat=P","Fill=—","Direction=H","UseDPDF=Y")</f>
        <v>-36.068800000000003</v>
      </c>
      <c r="E18" s="14">
        <f>_xll.BDH("BLUE US Equity","NORMALIZED_ROE","FQ2 2019","FQ2 2019","Currency=USD","Period=FQ","BEST_FPERIOD_OVERRIDE=FQ","FILING_STATUS=MR","FA_ADJUSTED=GAAP","Sort=A","Dates=H","DateFormat=P","Fill=—","Direction=H","UseDPDF=Y")</f>
        <v>-42.185299999999998</v>
      </c>
      <c r="F18" s="14">
        <f>_xll.BDH("BLUE US Equity","NORMALIZED_ROE","FQ3 2019","FQ3 2019","Currency=USD","Period=FQ","BEST_FPERIOD_OVERRIDE=FQ","FILING_STATUS=MR","FA_ADJUSTED=GAAP","Sort=A","Dates=H","DateFormat=P","Fill=—","Direction=H","UseDPDF=Y")</f>
        <v>-41.039299999999997</v>
      </c>
      <c r="G18" s="14">
        <f>_xll.BDH("BLUE US Equity","NORMALIZED_ROE","FQ4 2019","FQ4 2019","Currency=USD","Period=FQ","BEST_FPERIOD_OVERRIDE=FQ","FILING_STATUS=MR","FA_ADJUSTED=GAAP","Sort=A","Dates=H","DateFormat=P","Fill=—","Direction=H","UseDPDF=Y")</f>
        <v>-49.679600000000001</v>
      </c>
      <c r="H18" s="14">
        <f>_xll.BDH("BLUE US Equity","NORMALIZED_ROE","FQ1 2020","FQ1 2020","Currency=USD","Period=FQ","BEST_FPERIOD_OVERRIDE=FQ","FILING_STATUS=MR","FA_ADJUSTED=GAAP","Sort=A","Dates=H","DateFormat=P","Fill=—","Direction=H","UseDPDF=Y")</f>
        <v>-57.271099999999997</v>
      </c>
      <c r="I18" s="14">
        <f>_xll.BDH("BLUE US Equity","NORMALIZED_ROE","FQ2 2020","FQ2 2020","Currency=USD","Period=FQ","BEST_FPERIOD_OVERRIDE=FQ","FILING_STATUS=MR","FA_ADJUSTED=GAAP","Sort=A","Dates=H","DateFormat=P","Fill=—","Direction=H","UseDPDF=Y")</f>
        <v>-39.503999999999998</v>
      </c>
      <c r="J18" s="14">
        <f>_xll.BDH("BLUE US Equity","NORMALIZED_ROE","FQ3 2020","FQ3 2020","Currency=USD","Period=FQ","BEST_FPERIOD_OVERRIDE=FQ","FILING_STATUS=MR","FA_ADJUSTED=GAAP","Sort=A","Dates=H","DateFormat=P","Fill=—","Direction=H","UseDPDF=Y")</f>
        <v>-43.105800000000002</v>
      </c>
      <c r="K18" s="14">
        <f>_xll.BDH("BLUE US Equity","NORMALIZED_ROE","FQ4 2020","FQ4 2020","Currency=USD","Period=FQ","BEST_FPERIOD_OVERRIDE=FQ","FILING_STATUS=MR","FA_ADJUSTED=GAAP","Sort=A","Dates=H","DateFormat=P","Fill=—","Direction=H","UseDPDF=Y")</f>
        <v>-42.39</v>
      </c>
      <c r="L18" s="14">
        <f>_xll.BDH("BLUE US Equity","NORMALIZED_ROE","FQ1 2021","FQ1 2021","Currency=USD","Period=FQ","BEST_FPERIOD_OVERRIDE=FQ","FILING_STATUS=MR","FA_ADJUSTED=GAAP","Sort=A","Dates=H","DateFormat=P","Fill=—","Direction=H","UseDPDF=Y")</f>
        <v>-42.927100000000003</v>
      </c>
      <c r="M18" s="14">
        <f>_xll.BDH("BLUE US Equity","NORMALIZED_ROE","FQ2 2021","FQ2 2021","Currency=USD","Period=FQ","BEST_FPERIOD_OVERRIDE=FQ","FILING_STATUS=MR","FA_ADJUSTED=GAAP","Sort=A","Dates=H","DateFormat=P","Fill=—","Direction=H","UseDPDF=Y")</f>
        <v>-53.7774</v>
      </c>
      <c r="N18" s="14">
        <f>_xll.BDH("BLUE US Equity","NORMALIZED_ROE","FQ3 2021","FQ3 2021","Currency=USD","Period=FQ","BEST_FPERIOD_OVERRIDE=FQ","FILING_STATUS=MR","FA_ADJUSTED=GAAP","Sort=A","Dates=H","DateFormat=P","Fill=—","Direction=H","UseDPDF=Y")</f>
        <v>-56.922400000000003</v>
      </c>
      <c r="O18" s="14">
        <f>_xll.BDH("BLUE US Equity","NORMALIZED_ROE","FQ4 2021","FQ4 2021","Currency=USD","Period=FQ","BEST_FPERIOD_OVERRIDE=FQ","FILING_STATUS=MR","FA_ADJUSTED=GAAP","Sort=A","Dates=H","DateFormat=P","Fill=—","Direction=H","UseDPDF=Y")</f>
        <v>-78.239199999999997</v>
      </c>
      <c r="P18" s="14">
        <f>_xll.BDH("BLUE US Equity","NORMALIZED_ROE","FQ1 2022","FQ1 2022","Currency=USD","Period=FQ","BEST_FPERIOD_OVERRIDE=FQ","FILING_STATUS=MR","FA_ADJUSTED=GAAP","Sort=A","Dates=H","DateFormat=P","Fill=—","Direction=H","UseDPDF=Y")</f>
        <v>-89.239699999999999</v>
      </c>
      <c r="Q18" s="14">
        <f>_xll.BDH("BLUE US Equity","NORMALIZED_ROE","FQ2 2022","FQ2 2022","Currency=USD","Period=FQ","BEST_FPERIOD_OVERRIDE=FQ","FILING_STATUS=MR","FA_ADJUSTED=GAAP","Sort=A","Dates=H","DateFormat=P","Fill=—","Direction=H","UseDPDF=Y")</f>
        <v>-86.854200000000006</v>
      </c>
      <c r="R18" s="14">
        <f>_xll.BDH("BLUE US Equity","NORMALIZED_ROE","FQ3 2022","FQ3 2022","Currency=USD","Period=FQ","BEST_FPERIOD_OVERRIDE=FQ","FILING_STATUS=MR","FA_ADJUSTED=GAAP","Sort=A","Dates=H","DateFormat=P","Fill=—","Direction=H","UseDPDF=Y")</f>
        <v>-81.903599999999997</v>
      </c>
      <c r="S18" s="14">
        <f>_xll.BDH("BLUE US Equity","NORMALIZED_ROE","FQ4 2022","FQ4 2022","Currency=USD","Period=FQ","BEST_FPERIOD_OVERRIDE=FQ","FILING_STATUS=MR","FA_ADJUSTED=GAAP","Sort=A","Dates=H","DateFormat=P","Fill=—","Direction=H","UseDPDF=Y")</f>
        <v>-120.72880000000001</v>
      </c>
      <c r="T18" s="14">
        <f>_xll.BDH("BLUE US Equity","NORMALIZED_ROE","FQ1 2023","FQ1 2023","Currency=USD","Period=FQ","BEST_FPERIOD_OVERRIDE=FQ","FILING_STATUS=MR","FA_ADJUSTED=GAAP","Sort=A","Dates=H","DateFormat=P","Fill=—","Direction=H","UseDPDF=Y")</f>
        <v>-78.101600000000005</v>
      </c>
      <c r="U18" s="14">
        <f>_xll.BDH("BLUE US Equity","NORMALIZED_ROE","FQ2 2023","FQ2 2023","Currency=USD","Period=FQ","BEST_FPERIOD_OVERRIDE=FQ","FILING_STATUS=MR","FA_ADJUSTED=GAAP","Sort=A","Dates=H","DateFormat=P","Fill=—","Direction=H","UseDPDF=Y")</f>
        <v>-89.409000000000006</v>
      </c>
      <c r="V18" s="14">
        <f>_xll.BDH("BLUE US Equity","NORMALIZED_ROE","FQ3 2023","FQ3 2023","Currency=USD","Period=FQ","BEST_FPERIOD_OVERRIDE=FQ","FILING_STATUS=MR","FA_ADJUSTED=GAAP","Sort=A","Dates=H","DateFormat=P","Fill=—","Direction=H","UseDPDF=Y")</f>
        <v>-116.1904</v>
      </c>
      <c r="W18" s="14">
        <f>_xll.BDH("BLUE US Equity","NORMALIZED_ROE","FQ4 2023","FQ4 2023","Currency=USD","Period=FQ","BEST_FPERIOD_OVERRIDE=FQ","FILING_STATUS=MR","FA_ADJUSTED=GAAP","Sort=A","Dates=H","DateFormat=P","Fill=—","Direction=H","UseDPDF=Y")</f>
        <v>-178.1979</v>
      </c>
      <c r="X18" s="14">
        <f>_xll.BDH("BLUE US Equity","NORMALIZED_ROE","FQ1 2024","FQ1 2024","Currency=USD","Period=FQ","BEST_FPERIOD_OVERRIDE=FQ","FILING_STATUS=MR","FA_ADJUSTED=GAAP","Sort=A","Dates=H","DateFormat=P","Fill=—","Direction=H","UseDPDF=Y")</f>
        <v>-126.9444</v>
      </c>
      <c r="Y18" s="14">
        <f>_xll.BDH("BLUE US Equity","NORMALIZED_ROE","FQ2 2024","FQ2 2024","Currency=USD","Period=FQ","BEST_FPERIOD_OVERRIDE=FQ","FILING_STATUS=MR","FA_ADJUSTED=GAAP","Sort=A","Dates=H","DateFormat=P","Fill=—","Direction=H","UseDPDF=Y")</f>
        <v>-191.19470000000001</v>
      </c>
      <c r="Z18" s="14" t="str">
        <f>_xll.BDH("BLUE US Equity","NORMALIZED_ROE","FQ3 2024","FQ3 2024","Currency=USD","Period=FQ","BEST_FPERIOD_OVERRIDE=FQ","FILING_STATUS=MR","FA_ADJUSTED=GAAP","Sort=A","Dates=H","DateFormat=P","Fill=—","Direction=H","UseDPDF=Y")</f>
        <v>—</v>
      </c>
      <c r="AA18" s="14" t="str">
        <f>_xll.BDH("BLUE US Equity","NORMALIZED_ROE","FQ4 2024","FQ4 2024","Currency=USD","Period=FQ","BEST_FPERIOD_OVERRIDE=FQ","FILING_STATUS=MR","FA_ADJUSTED=GAAP","Sort=A","Dates=H","DateFormat=P","Fill=—","Direction=H","UseDPDF=Y")</f>
        <v>—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10" t="s">
        <v>1470</v>
      </c>
      <c r="B20" s="10" t="s">
        <v>1471</v>
      </c>
      <c r="C20" s="14">
        <f>_xll.BDH("BLUE US Equity","5_YEAR_AVERAGE_ADJUSTED_ROE","FQ4 2018","FQ4 2018","Currency=USD","Period=FQ","BEST_FPERIOD_OVERRIDE=FQ","FILING_STATUS=MR","FA_ADJUSTED=GAAP","Sort=A","Dates=H","DateFormat=P","Fill=—","Direction=H","UseDPDF=Y")</f>
        <v>-31.6662</v>
      </c>
      <c r="D20" s="14">
        <f>_xll.BDH("BLUE US Equity","5_YEAR_AVERAGE_ADJUSTED_ROE","FQ1 2019","FQ1 2019","Currency=USD","Period=FQ","BEST_FPERIOD_OVERRIDE=FQ","FILING_STATUS=MR","FA_ADJUSTED=GAAP","Sort=A","Dates=H","DateFormat=P","Fill=—","Direction=H","UseDPDF=Y")</f>
        <v>-33.488900000000001</v>
      </c>
      <c r="E20" s="14">
        <f>_xll.BDH("BLUE US Equity","5_YEAR_AVERAGE_ADJUSTED_ROE","FQ2 2019","FQ2 2019","Currency=USD","Period=FQ","BEST_FPERIOD_OVERRIDE=FQ","FILING_STATUS=MR","FA_ADJUSTED=GAAP","Sort=A","Dates=H","DateFormat=P","Fill=—","Direction=H","UseDPDF=Y")</f>
        <v>-35.505600000000001</v>
      </c>
      <c r="F20" s="14">
        <f>_xll.BDH("BLUE US Equity","5_YEAR_AVERAGE_ADJUSTED_ROE","FQ3 2019","FQ3 2019","Currency=USD","Period=FQ","BEST_FPERIOD_OVERRIDE=FQ","FILING_STATUS=MR","FA_ADJUSTED=GAAP","Sort=A","Dates=H","DateFormat=P","Fill=—","Direction=H","UseDPDF=Y")</f>
        <v>-36.8324</v>
      </c>
      <c r="G20" s="14">
        <f>_xll.BDH("BLUE US Equity","5_YEAR_AVERAGE_ADJUSTED_ROE","FQ4 2019","FQ4 2019","Currency=USD","Period=FQ","BEST_FPERIOD_OVERRIDE=FQ","FILING_STATUS=MR","FA_ADJUSTED=GAAP","Sort=A","Dates=H","DateFormat=P","Fill=—","Direction=H","UseDPDF=Y")</f>
        <v>-40.102200000000003</v>
      </c>
      <c r="H20" s="14">
        <f>_xll.BDH("BLUE US Equity","5_YEAR_AVERAGE_ADJUSTED_ROE","FQ1 2020","FQ1 2020","Currency=USD","Period=FQ","BEST_FPERIOD_OVERRIDE=FQ","FILING_STATUS=MR","FA_ADJUSTED=GAAP","Sort=A","Dates=H","DateFormat=P","Fill=—","Direction=H","UseDPDF=Y")</f>
        <v>-45.248800000000003</v>
      </c>
      <c r="I20" s="14">
        <f>_xll.BDH("BLUE US Equity","5_YEAR_AVERAGE_ADJUSTED_ROE","FQ2 2020","FQ2 2020","Currency=USD","Period=FQ","BEST_FPERIOD_OVERRIDE=FQ","FILING_STATUS=MR","FA_ADJUSTED=GAAP","Sort=A","Dates=H","DateFormat=P","Fill=—","Direction=H","UseDPDF=Y")</f>
        <v>-45.935899999999997</v>
      </c>
      <c r="J20" s="14">
        <f>_xll.BDH("BLUE US Equity","5_YEAR_AVERAGE_ADJUSTED_ROE","FQ3 2020","FQ3 2020","Currency=USD","Period=FQ","BEST_FPERIOD_OVERRIDE=FQ","FILING_STATUS=MR","FA_ADJUSTED=GAAP","Sort=A","Dates=H","DateFormat=P","Fill=—","Direction=H","UseDPDF=Y")</f>
        <v>-46.12</v>
      </c>
      <c r="K20" s="14">
        <f>_xll.BDH("BLUE US Equity","5_YEAR_AVERAGE_ADJUSTED_ROE","FQ4 2020","FQ4 2020","Currency=USD","Period=FQ","BEST_FPERIOD_OVERRIDE=FQ","FILING_STATUS=MR","FA_ADJUSTED=GAAP","Sort=A","Dates=H","DateFormat=P","Fill=—","Direction=H","UseDPDF=Y")</f>
        <v>-46.390099999999997</v>
      </c>
      <c r="L20" s="14">
        <f>_xll.BDH("BLUE US Equity","5_YEAR_AVERAGE_ADJUSTED_ROE","FQ1 2021","FQ1 2021","Currency=USD","Period=FQ","BEST_FPERIOD_OVERRIDE=FQ","FILING_STATUS=MR","FA_ADJUSTED=GAAP","Sort=A","Dates=H","DateFormat=P","Fill=—","Direction=H","UseDPDF=Y")</f>
        <v>-45.0396</v>
      </c>
      <c r="M20" s="14">
        <f>_xll.BDH("BLUE US Equity","5_YEAR_AVERAGE_ADJUSTED_ROE","FQ2 2021","FQ2 2021","Currency=USD","Period=FQ","BEST_FPERIOD_OVERRIDE=FQ","FILING_STATUS=MR","FA_ADJUSTED=GAAP","Sort=A","Dates=H","DateFormat=P","Fill=—","Direction=H","UseDPDF=Y")</f>
        <v>-44.340899999999998</v>
      </c>
      <c r="N20" s="14">
        <f>_xll.BDH("BLUE US Equity","5_YEAR_AVERAGE_ADJUSTED_ROE","FQ3 2021","FQ3 2021","Currency=USD","Period=FQ","BEST_FPERIOD_OVERRIDE=FQ","FILING_STATUS=MR","FA_ADJUSTED=GAAP","Sort=A","Dates=H","DateFormat=P","Fill=—","Direction=H","UseDPDF=Y")</f>
        <v>-47.8245</v>
      </c>
      <c r="O20" s="14">
        <f>_xll.BDH("BLUE US Equity","5_YEAR_AVERAGE_ADJUSTED_ROE","FQ4 2021","FQ4 2021","Currency=USD","Period=FQ","BEST_FPERIOD_OVERRIDE=FQ","FILING_STATUS=MR","FA_ADJUSTED=GAAP","Sort=A","Dates=H","DateFormat=P","Fill=—","Direction=H","UseDPDF=Y")</f>
        <v>-54.851199999999999</v>
      </c>
      <c r="P20" s="14">
        <f>_xll.BDH("BLUE US Equity","5_YEAR_AVERAGE_ADJUSTED_ROE","FQ1 2022","FQ1 2022","Currency=USD","Period=FQ","BEST_FPERIOD_OVERRIDE=FQ","FILING_STATUS=MR","FA_ADJUSTED=GAAP","Sort=A","Dates=H","DateFormat=P","Fill=—","Direction=H","UseDPDF=Y")</f>
        <v>-64.221199999999996</v>
      </c>
      <c r="Q20" s="14">
        <f>_xll.BDH("BLUE US Equity","5_YEAR_AVERAGE_ADJUSTED_ROE","FQ2 2022","FQ2 2022","Currency=USD","Period=FQ","BEST_FPERIOD_OVERRIDE=FQ","FILING_STATUS=MR","FA_ADJUSTED=GAAP","Sort=A","Dates=H","DateFormat=P","Fill=—","Direction=H","UseDPDF=Y")</f>
        <v>-73.006600000000006</v>
      </c>
      <c r="R20" s="14">
        <f>_xll.BDH("BLUE US Equity","5_YEAR_AVERAGE_ADJUSTED_ROE","FQ3 2022","FQ3 2022","Currency=USD","Period=FQ","BEST_FPERIOD_OVERRIDE=FQ","FILING_STATUS=MR","FA_ADJUSTED=GAAP","Sort=A","Dates=H","DateFormat=P","Fill=—","Direction=H","UseDPDF=Y")</f>
        <v>-78.631799999999998</v>
      </c>
      <c r="S20" s="14">
        <f>_xll.BDH("BLUE US Equity","5_YEAR_AVERAGE_ADJUSTED_ROE","FQ4 2022","FQ4 2022","Currency=USD","Period=FQ","BEST_FPERIOD_OVERRIDE=FQ","FILING_STATUS=MR","FA_ADJUSTED=GAAP","Sort=A","Dates=H","DateFormat=P","Fill=—","Direction=H","UseDPDF=Y")</f>
        <v>-91.393100000000004</v>
      </c>
      <c r="T20" s="14">
        <f>_xll.BDH("BLUE US Equity","5_YEAR_AVERAGE_ADJUSTED_ROE","FQ1 2023","FQ1 2023","Currency=USD","Period=FQ","BEST_FPERIOD_OVERRIDE=FQ","FILING_STATUS=MR","FA_ADJUSTED=GAAP","Sort=A","Dates=H","DateFormat=P","Fill=—","Direction=H","UseDPDF=Y")</f>
        <v>-91.365600000000001</v>
      </c>
      <c r="U20" s="14">
        <f>_xll.BDH("BLUE US Equity","5_YEAR_AVERAGE_ADJUSTED_ROE","FQ2 2023","FQ2 2023","Currency=USD","Period=FQ","BEST_FPERIOD_OVERRIDE=FQ","FILING_STATUS=MR","FA_ADJUSTED=GAAP","Sort=A","Dates=H","DateFormat=P","Fill=—","Direction=H","UseDPDF=Y")</f>
        <v>-91.3994</v>
      </c>
      <c r="V20" s="14">
        <f>_xll.BDH("BLUE US Equity","5_YEAR_AVERAGE_ADJUSTED_ROE","FQ3 2023","FQ3 2023","Currency=USD","Period=FQ","BEST_FPERIOD_OVERRIDE=FQ","FILING_STATUS=MR","FA_ADJUSTED=GAAP","Sort=A","Dates=H","DateFormat=P","Fill=—","Direction=H","UseDPDF=Y")</f>
        <v>-97.2667</v>
      </c>
      <c r="W20" s="14">
        <f>_xll.BDH("BLUE US Equity","5_YEAR_AVERAGE_ADJUSTED_ROE","FQ4 2023","FQ4 2023","Currency=USD","Period=FQ","BEST_FPERIOD_OVERRIDE=FQ","FILING_STATUS=MR","FA_ADJUSTED=GAAP","Sort=A","Dates=H","DateFormat=P","Fill=—","Direction=H","UseDPDF=Y")</f>
        <v>-116.52549999999999</v>
      </c>
      <c r="X20" s="14">
        <f>_xll.BDH("BLUE US Equity","5_YEAR_AVERAGE_ADJUSTED_ROE","FQ1 2024","FQ1 2024","Currency=USD","Period=FQ","BEST_FPERIOD_OVERRIDE=FQ","FILING_STATUS=MR","FA_ADJUSTED=GAAP","Sort=A","Dates=H","DateFormat=P","Fill=—","Direction=H","UseDPDF=Y")</f>
        <v>-117.7687</v>
      </c>
      <c r="Y20" s="14">
        <f>_xll.BDH("BLUE US Equity","5_YEAR_AVERAGE_ADJUSTED_ROE","FQ2 2024","FQ2 2024","Currency=USD","Period=FQ","BEST_FPERIOD_OVERRIDE=FQ","FILING_STATUS=MR","FA_ADJUSTED=GAAP","Sort=A","Dates=H","DateFormat=P","Fill=—","Direction=H","UseDPDF=Y")</f>
        <v>-140.38730000000001</v>
      </c>
      <c r="Z20" s="14" t="str">
        <f>_xll.BDH("BLUE US Equity","5_YEAR_AVERAGE_ADJUSTED_ROE","FQ3 2024","FQ3 2024","Currency=USD","Period=FQ","BEST_FPERIOD_OVERRIDE=FQ","FILING_STATUS=MR","FA_ADJUSTED=GAAP","Sort=A","Dates=H","DateFormat=P","Fill=—","Direction=H","UseDPDF=Y")</f>
        <v>—</v>
      </c>
      <c r="AA20" s="14" t="str">
        <f>_xll.BDH("BLUE US Equity","5_YEAR_AVERAGE_ADJUSTED_ROE","FQ4 2024","FQ4 2024","Currency=USD","Period=FQ","BEST_FPERIOD_OVERRIDE=FQ","FILING_STATUS=MR","FA_ADJUSTED=GAAP","Sort=A","Dates=H","DateFormat=P","Fill=—","Direction=H","UseDPDF=Y")</f>
        <v>—</v>
      </c>
    </row>
    <row r="21" spans="1:27" x14ac:dyDescent="0.25">
      <c r="A21" s="10" t="s">
        <v>1472</v>
      </c>
      <c r="B21" s="10" t="s">
        <v>1261</v>
      </c>
      <c r="C21" s="14" t="str">
        <f>_xll.BDH("BLUE US Equity","DVD_PAYOUT_RATIO","FQ4 2018","FQ4 2018","Currency=USD","Period=FQ","BEST_FPERIOD_OVERRIDE=FQ","FILING_STATUS=MR","FA_ADJUSTED=GAAP","Sort=A","Dates=H","DateFormat=P","Fill=—","Direction=H","UseDPDF=Y")</f>
        <v>—</v>
      </c>
      <c r="D21" s="14" t="str">
        <f>_xll.BDH("BLUE US Equity","DVD_PAYOUT_RATIO","FQ1 2019","FQ1 2019","Currency=USD","Period=FQ","BEST_FPERIOD_OVERRIDE=FQ","FILING_STATUS=MR","FA_ADJUSTED=GAAP","Sort=A","Dates=H","DateFormat=P","Fill=—","Direction=H","UseDPDF=Y")</f>
        <v>—</v>
      </c>
      <c r="E21" s="14" t="str">
        <f>_xll.BDH("BLUE US Equity","DVD_PAYOUT_RATIO","FQ2 2019","FQ2 2019","Currency=USD","Period=FQ","BEST_FPERIOD_OVERRIDE=FQ","FILING_STATUS=MR","FA_ADJUSTED=GAAP","Sort=A","Dates=H","DateFormat=P","Fill=—","Direction=H","UseDPDF=Y")</f>
        <v>—</v>
      </c>
      <c r="F21" s="14" t="str">
        <f>_xll.BDH("BLUE US Equity","DVD_PAYOUT_RATIO","FQ3 2019","FQ3 2019","Currency=USD","Period=FQ","BEST_FPERIOD_OVERRIDE=FQ","FILING_STATUS=MR","FA_ADJUSTED=GAAP","Sort=A","Dates=H","DateFormat=P","Fill=—","Direction=H","UseDPDF=Y")</f>
        <v>—</v>
      </c>
      <c r="G21" s="14" t="str">
        <f>_xll.BDH("BLUE US Equity","DVD_PAYOUT_RATIO","FQ4 2019","FQ4 2019","Currency=USD","Period=FQ","BEST_FPERIOD_OVERRIDE=FQ","FILING_STATUS=MR","FA_ADJUSTED=GAAP","Sort=A","Dates=H","DateFormat=P","Fill=—","Direction=H","UseDPDF=Y")</f>
        <v>—</v>
      </c>
      <c r="H21" s="14" t="str">
        <f>_xll.BDH("BLUE US Equity","DVD_PAYOUT_RATIO","FQ1 2020","FQ1 2020","Currency=USD","Period=FQ","BEST_FPERIOD_OVERRIDE=FQ","FILING_STATUS=MR","FA_ADJUSTED=GAAP","Sort=A","Dates=H","DateFormat=P","Fill=—","Direction=H","UseDPDF=Y")</f>
        <v>—</v>
      </c>
      <c r="I21" s="14" t="str">
        <f>_xll.BDH("BLUE US Equity","DVD_PAYOUT_RATIO","FQ2 2020","FQ2 2020","Currency=USD","Period=FQ","BEST_FPERIOD_OVERRIDE=FQ","FILING_STATUS=MR","FA_ADJUSTED=GAAP","Sort=A","Dates=H","DateFormat=P","Fill=—","Direction=H","UseDPDF=Y")</f>
        <v>—</v>
      </c>
      <c r="J21" s="14" t="str">
        <f>_xll.BDH("BLUE US Equity","DVD_PAYOUT_RATIO","FQ3 2020","FQ3 2020","Currency=USD","Period=FQ","BEST_FPERIOD_OVERRIDE=FQ","FILING_STATUS=MR","FA_ADJUSTED=GAAP","Sort=A","Dates=H","DateFormat=P","Fill=—","Direction=H","UseDPDF=Y")</f>
        <v>—</v>
      </c>
      <c r="K21" s="14" t="str">
        <f>_xll.BDH("BLUE US Equity","DVD_PAYOUT_RATIO","FQ4 2020","FQ4 2020","Currency=USD","Period=FQ","BEST_FPERIOD_OVERRIDE=FQ","FILING_STATUS=MR","FA_ADJUSTED=GAAP","Sort=A","Dates=H","DateFormat=P","Fill=—","Direction=H","UseDPDF=Y")</f>
        <v>—</v>
      </c>
      <c r="L21" s="14" t="str">
        <f>_xll.BDH("BLUE US Equity","DVD_PAYOUT_RATIO","FQ1 2021","FQ1 2021","Currency=USD","Period=FQ","BEST_FPERIOD_OVERRIDE=FQ","FILING_STATUS=MR","FA_ADJUSTED=GAAP","Sort=A","Dates=H","DateFormat=P","Fill=—","Direction=H","UseDPDF=Y")</f>
        <v>—</v>
      </c>
      <c r="M21" s="14" t="str">
        <f>_xll.BDH("BLUE US Equity","DVD_PAYOUT_RATIO","FQ2 2021","FQ2 2021","Currency=USD","Period=FQ","BEST_FPERIOD_OVERRIDE=FQ","FILING_STATUS=MR","FA_ADJUSTED=GAAP","Sort=A","Dates=H","DateFormat=P","Fill=—","Direction=H","UseDPDF=Y")</f>
        <v>—</v>
      </c>
      <c r="N21" s="14" t="str">
        <f>_xll.BDH("BLUE US Equity","DVD_PAYOUT_RATIO","FQ3 2021","FQ3 2021","Currency=USD","Period=FQ","BEST_FPERIOD_OVERRIDE=FQ","FILING_STATUS=MR","FA_ADJUSTED=GAAP","Sort=A","Dates=H","DateFormat=P","Fill=—","Direction=H","UseDPDF=Y")</f>
        <v>—</v>
      </c>
      <c r="O21" s="14" t="str">
        <f>_xll.BDH("BLUE US Equity","DVD_PAYOUT_RATIO","FQ4 2021","FQ4 2021","Currency=USD","Period=FQ","BEST_FPERIOD_OVERRIDE=FQ","FILING_STATUS=MR","FA_ADJUSTED=GAAP","Sort=A","Dates=H","DateFormat=P","Fill=—","Direction=H","UseDPDF=Y")</f>
        <v>—</v>
      </c>
      <c r="P21" s="14" t="str">
        <f>_xll.BDH("BLUE US Equity","DVD_PAYOUT_RATIO","FQ1 2022","FQ1 2022","Currency=USD","Period=FQ","BEST_FPERIOD_OVERRIDE=FQ","FILING_STATUS=MR","FA_ADJUSTED=GAAP","Sort=A","Dates=H","DateFormat=P","Fill=—","Direction=H","UseDPDF=Y")</f>
        <v>—</v>
      </c>
      <c r="Q21" s="14" t="str">
        <f>_xll.BDH("BLUE US Equity","DVD_PAYOUT_RATIO","FQ2 2022","FQ2 2022","Currency=USD","Period=FQ","BEST_FPERIOD_OVERRIDE=FQ","FILING_STATUS=MR","FA_ADJUSTED=GAAP","Sort=A","Dates=H","DateFormat=P","Fill=—","Direction=H","UseDPDF=Y")</f>
        <v>—</v>
      </c>
      <c r="R21" s="14" t="str">
        <f>_xll.BDH("BLUE US Equity","DVD_PAYOUT_RATIO","FQ3 2022","FQ3 2022","Currency=USD","Period=FQ","BEST_FPERIOD_OVERRIDE=FQ","FILING_STATUS=MR","FA_ADJUSTED=GAAP","Sort=A","Dates=H","DateFormat=P","Fill=—","Direction=H","UseDPDF=Y")</f>
        <v>—</v>
      </c>
      <c r="S21" s="14">
        <f>_xll.BDH("BLUE US Equity","DVD_PAYOUT_RATIO","FQ4 2022","FQ4 2022","Currency=USD","Period=FQ","BEST_FPERIOD_OVERRIDE=FQ","FILING_STATUS=MR","FA_ADJUSTED=GAAP","Sort=A","Dates=H","DateFormat=P","Fill=—","Direction=H","UseDPDF=Y")</f>
        <v>0</v>
      </c>
      <c r="T21" s="14">
        <f>_xll.BDH("BLUE US Equity","DVD_PAYOUT_RATIO","FQ1 2023","FQ1 2023","Currency=USD","Period=FQ","BEST_FPERIOD_OVERRIDE=FQ","FILING_STATUS=MR","FA_ADJUSTED=GAAP","Sort=A","Dates=H","DateFormat=P","Fill=—","Direction=H","UseDPDF=Y")</f>
        <v>0</v>
      </c>
      <c r="U21" s="14" t="str">
        <f>_xll.BDH("BLUE US Equity","DVD_PAYOUT_RATIO","FQ2 2023","FQ2 2023","Currency=USD","Period=FQ","BEST_FPERIOD_OVERRIDE=FQ","FILING_STATUS=MR","FA_ADJUSTED=GAAP","Sort=A","Dates=H","DateFormat=P","Fill=—","Direction=H","UseDPDF=Y")</f>
        <v>—</v>
      </c>
      <c r="V21" s="14" t="str">
        <f>_xll.BDH("BLUE US Equity","DVD_PAYOUT_RATIO","FQ3 2023","FQ3 2023","Currency=USD","Period=FQ","BEST_FPERIOD_OVERRIDE=FQ","FILING_STATUS=MR","FA_ADJUSTED=GAAP","Sort=A","Dates=H","DateFormat=P","Fill=—","Direction=H","UseDPDF=Y")</f>
        <v>—</v>
      </c>
      <c r="W21" s="14" t="str">
        <f>_xll.BDH("BLUE US Equity","DVD_PAYOUT_RATIO","FQ4 2023","FQ4 2023","Currency=USD","Period=FQ","BEST_FPERIOD_OVERRIDE=FQ","FILING_STATUS=MR","FA_ADJUSTED=GAAP","Sort=A","Dates=H","DateFormat=P","Fill=—","Direction=H","UseDPDF=Y")</f>
        <v>—</v>
      </c>
      <c r="X21" s="14" t="str">
        <f>_xll.BDH("BLUE US Equity","DVD_PAYOUT_RATIO","FQ1 2024","FQ1 2024","Currency=USD","Period=FQ","BEST_FPERIOD_OVERRIDE=FQ","FILING_STATUS=MR","FA_ADJUSTED=GAAP","Sort=A","Dates=H","DateFormat=P","Fill=—","Direction=H","UseDPDF=Y")</f>
        <v>—</v>
      </c>
      <c r="Y21" s="14" t="str">
        <f>_xll.BDH("BLUE US Equity","DVD_PAYOUT_RATIO","FQ2 2024","FQ2 2024","Currency=USD","Period=FQ","BEST_FPERIOD_OVERRIDE=FQ","FILING_STATUS=MR","FA_ADJUSTED=GAAP","Sort=A","Dates=H","DateFormat=P","Fill=—","Direction=H","UseDPDF=Y")</f>
        <v>—</v>
      </c>
      <c r="Z21" s="14" t="str">
        <f>_xll.BDH("BLUE US Equity","DVD_PAYOUT_RATIO","FQ3 2024","FQ3 2024","Currency=USD","Period=FQ","BEST_FPERIOD_OVERRIDE=FQ","FILING_STATUS=MR","FA_ADJUSTED=GAAP","Sort=A","Dates=H","DateFormat=P","Fill=—","Direction=H","UseDPDF=Y")</f>
        <v>—</v>
      </c>
      <c r="AA21" s="14" t="str">
        <f>_xll.BDH("BLUE US Equity","DVD_PAYOUT_RATIO","FQ4 2024","FQ4 2024","Currency=USD","Period=FQ","BEST_FPERIOD_OVERRIDE=FQ","FILING_STATUS=MR","FA_ADJUSTED=GAAP","Sort=A","Dates=H","DateFormat=P","Fill=—","Direction=H","UseDPDF=Y")</f>
        <v>—</v>
      </c>
    </row>
    <row r="22" spans="1:27" x14ac:dyDescent="0.25">
      <c r="A22" s="10" t="s">
        <v>1262</v>
      </c>
      <c r="B22" s="10" t="s">
        <v>1263</v>
      </c>
      <c r="C22" s="14" t="str">
        <f>_xll.BDH("BLUE US Equity","SUSTAIN_GROWTH_RT","FQ4 2018","FQ4 2018","Currency=USD","Period=FQ","BEST_FPERIOD_OVERRIDE=FQ","FILING_STATUS=MR","FA_ADJUSTED=GAAP","Sort=A","Dates=H","DateFormat=P","Fill=—","Direction=H","UseDPDF=Y")</f>
        <v>—</v>
      </c>
      <c r="D22" s="14" t="str">
        <f>_xll.BDH("BLUE US Equity","SUSTAIN_GROWTH_RT","FQ1 2019","FQ1 2019","Currency=USD","Period=FQ","BEST_FPERIOD_OVERRIDE=FQ","FILING_STATUS=MR","FA_ADJUSTED=GAAP","Sort=A","Dates=H","DateFormat=P","Fill=—","Direction=H","UseDPDF=Y")</f>
        <v>—</v>
      </c>
      <c r="E22" s="14" t="str">
        <f>_xll.BDH("BLUE US Equity","SUSTAIN_GROWTH_RT","FQ2 2019","FQ2 2019","Currency=USD","Period=FQ","BEST_FPERIOD_OVERRIDE=FQ","FILING_STATUS=MR","FA_ADJUSTED=GAAP","Sort=A","Dates=H","DateFormat=P","Fill=—","Direction=H","UseDPDF=Y")</f>
        <v>—</v>
      </c>
      <c r="F22" s="14" t="str">
        <f>_xll.BDH("BLUE US Equity","SUSTAIN_GROWTH_RT","FQ3 2019","FQ3 2019","Currency=USD","Period=FQ","BEST_FPERIOD_OVERRIDE=FQ","FILING_STATUS=MR","FA_ADJUSTED=GAAP","Sort=A","Dates=H","DateFormat=P","Fill=—","Direction=H","UseDPDF=Y")</f>
        <v>—</v>
      </c>
      <c r="G22" s="14" t="str">
        <f>_xll.BDH("BLUE US Equity","SUSTAIN_GROWTH_RT","FQ4 2019","FQ4 2019","Currency=USD","Period=FQ","BEST_FPERIOD_OVERRIDE=FQ","FILING_STATUS=MR","FA_ADJUSTED=GAAP","Sort=A","Dates=H","DateFormat=P","Fill=—","Direction=H","UseDPDF=Y")</f>
        <v>—</v>
      </c>
      <c r="H22" s="14" t="str">
        <f>_xll.BDH("BLUE US Equity","SUSTAIN_GROWTH_RT","FQ1 2020","FQ1 2020","Currency=USD","Period=FQ","BEST_FPERIOD_OVERRIDE=FQ","FILING_STATUS=MR","FA_ADJUSTED=GAAP","Sort=A","Dates=H","DateFormat=P","Fill=—","Direction=H","UseDPDF=Y")</f>
        <v>—</v>
      </c>
      <c r="I22" s="14" t="str">
        <f>_xll.BDH("BLUE US Equity","SUSTAIN_GROWTH_RT","FQ2 2020","FQ2 2020","Currency=USD","Period=FQ","BEST_FPERIOD_OVERRIDE=FQ","FILING_STATUS=MR","FA_ADJUSTED=GAAP","Sort=A","Dates=H","DateFormat=P","Fill=—","Direction=H","UseDPDF=Y")</f>
        <v>—</v>
      </c>
      <c r="J22" s="14" t="str">
        <f>_xll.BDH("BLUE US Equity","SUSTAIN_GROWTH_RT","FQ3 2020","FQ3 2020","Currency=USD","Period=FQ","BEST_FPERIOD_OVERRIDE=FQ","FILING_STATUS=MR","FA_ADJUSTED=GAAP","Sort=A","Dates=H","DateFormat=P","Fill=—","Direction=H","UseDPDF=Y")</f>
        <v>—</v>
      </c>
      <c r="K22" s="14" t="str">
        <f>_xll.BDH("BLUE US Equity","SUSTAIN_GROWTH_RT","FQ4 2020","FQ4 2020","Currency=USD","Period=FQ","BEST_FPERIOD_OVERRIDE=FQ","FILING_STATUS=MR","FA_ADJUSTED=GAAP","Sort=A","Dates=H","DateFormat=P","Fill=—","Direction=H","UseDPDF=Y")</f>
        <v>—</v>
      </c>
      <c r="L22" s="14" t="str">
        <f>_xll.BDH("BLUE US Equity","SUSTAIN_GROWTH_RT","FQ1 2021","FQ1 2021","Currency=USD","Period=FQ","BEST_FPERIOD_OVERRIDE=FQ","FILING_STATUS=MR","FA_ADJUSTED=GAAP","Sort=A","Dates=H","DateFormat=P","Fill=—","Direction=H","UseDPDF=Y")</f>
        <v>—</v>
      </c>
      <c r="M22" s="14" t="str">
        <f>_xll.BDH("BLUE US Equity","SUSTAIN_GROWTH_RT","FQ2 2021","FQ2 2021","Currency=USD","Period=FQ","BEST_FPERIOD_OVERRIDE=FQ","FILING_STATUS=MR","FA_ADJUSTED=GAAP","Sort=A","Dates=H","DateFormat=P","Fill=—","Direction=H","UseDPDF=Y")</f>
        <v>—</v>
      </c>
      <c r="N22" s="14" t="str">
        <f>_xll.BDH("BLUE US Equity","SUSTAIN_GROWTH_RT","FQ3 2021","FQ3 2021","Currency=USD","Period=FQ","BEST_FPERIOD_OVERRIDE=FQ","FILING_STATUS=MR","FA_ADJUSTED=GAAP","Sort=A","Dates=H","DateFormat=P","Fill=—","Direction=H","UseDPDF=Y")</f>
        <v>—</v>
      </c>
      <c r="O22" s="14" t="str">
        <f>_xll.BDH("BLUE US Equity","SUSTAIN_GROWTH_RT","FQ4 2021","FQ4 2021","Currency=USD","Period=FQ","BEST_FPERIOD_OVERRIDE=FQ","FILING_STATUS=MR","FA_ADJUSTED=GAAP","Sort=A","Dates=H","DateFormat=P","Fill=—","Direction=H","UseDPDF=Y")</f>
        <v>—</v>
      </c>
      <c r="P22" s="14" t="str">
        <f>_xll.BDH("BLUE US Equity","SUSTAIN_GROWTH_RT","FQ1 2022","FQ1 2022","Currency=USD","Period=FQ","BEST_FPERIOD_OVERRIDE=FQ","FILING_STATUS=MR","FA_ADJUSTED=GAAP","Sort=A","Dates=H","DateFormat=P","Fill=—","Direction=H","UseDPDF=Y")</f>
        <v>—</v>
      </c>
      <c r="Q22" s="14" t="str">
        <f>_xll.BDH("BLUE US Equity","SUSTAIN_GROWTH_RT","FQ2 2022","FQ2 2022","Currency=USD","Period=FQ","BEST_FPERIOD_OVERRIDE=FQ","FILING_STATUS=MR","FA_ADJUSTED=GAAP","Sort=A","Dates=H","DateFormat=P","Fill=—","Direction=H","UseDPDF=Y")</f>
        <v>—</v>
      </c>
      <c r="R22" s="14" t="str">
        <f>_xll.BDH("BLUE US Equity","SUSTAIN_GROWTH_RT","FQ3 2022","FQ3 2022","Currency=USD","Period=FQ","BEST_FPERIOD_OVERRIDE=FQ","FILING_STATUS=MR","FA_ADJUSTED=GAAP","Sort=A","Dates=H","DateFormat=P","Fill=—","Direction=H","UseDPDF=Y")</f>
        <v>—</v>
      </c>
      <c r="S22" s="14">
        <f>_xll.BDH("BLUE US Equity","SUSTAIN_GROWTH_RT","FQ4 2022","FQ4 2022","Currency=USD","Period=FQ","BEST_FPERIOD_OVERRIDE=FQ","FILING_STATUS=MR","FA_ADJUSTED=GAAP","Sort=A","Dates=H","DateFormat=P","Fill=—","Direction=H","UseDPDF=Y")</f>
        <v>-90.577100000000002</v>
      </c>
      <c r="T22" s="14">
        <f>_xll.BDH("BLUE US Equity","SUSTAIN_GROWTH_RT","FQ1 2023","FQ1 2023","Currency=USD","Period=FQ","BEST_FPERIOD_OVERRIDE=FQ","FILING_STATUS=MR","FA_ADJUSTED=GAAP","Sort=A","Dates=H","DateFormat=P","Fill=—","Direction=H","UseDPDF=Y")</f>
        <v>-28.886800000000001</v>
      </c>
      <c r="U22" s="14" t="str">
        <f>_xll.BDH("BLUE US Equity","SUSTAIN_GROWTH_RT","FQ2 2023","FQ2 2023","Currency=USD","Period=FQ","BEST_FPERIOD_OVERRIDE=FQ","FILING_STATUS=MR","FA_ADJUSTED=GAAP","Sort=A","Dates=H","DateFormat=P","Fill=—","Direction=H","UseDPDF=Y")</f>
        <v>—</v>
      </c>
      <c r="V22" s="14" t="str">
        <f>_xll.BDH("BLUE US Equity","SUSTAIN_GROWTH_RT","FQ3 2023","FQ3 2023","Currency=USD","Period=FQ","BEST_FPERIOD_OVERRIDE=FQ","FILING_STATUS=MR","FA_ADJUSTED=GAAP","Sort=A","Dates=H","DateFormat=P","Fill=—","Direction=H","UseDPDF=Y")</f>
        <v>—</v>
      </c>
      <c r="W22" s="14" t="str">
        <f>_xll.BDH("BLUE US Equity","SUSTAIN_GROWTH_RT","FQ4 2023","FQ4 2023","Currency=USD","Period=FQ","BEST_FPERIOD_OVERRIDE=FQ","FILING_STATUS=MR","FA_ADJUSTED=GAAP","Sort=A","Dates=H","DateFormat=P","Fill=—","Direction=H","UseDPDF=Y")</f>
        <v>—</v>
      </c>
      <c r="X22" s="14" t="str">
        <f>_xll.BDH("BLUE US Equity","SUSTAIN_GROWTH_RT","FQ1 2024","FQ1 2024","Currency=USD","Period=FQ","BEST_FPERIOD_OVERRIDE=FQ","FILING_STATUS=MR","FA_ADJUSTED=GAAP","Sort=A","Dates=H","DateFormat=P","Fill=—","Direction=H","UseDPDF=Y")</f>
        <v>—</v>
      </c>
      <c r="Y22" s="14" t="str">
        <f>_xll.BDH("BLUE US Equity","SUSTAIN_GROWTH_RT","FQ2 2024","FQ2 2024","Currency=USD","Period=FQ","BEST_FPERIOD_OVERRIDE=FQ","FILING_STATUS=MR","FA_ADJUSTED=GAAP","Sort=A","Dates=H","DateFormat=P","Fill=—","Direction=H","UseDPDF=Y")</f>
        <v>—</v>
      </c>
      <c r="Z22" s="14" t="str">
        <f>_xll.BDH("BLUE US Equity","SUSTAIN_GROWTH_RT","FQ3 2024","FQ3 2024","Currency=USD","Period=FQ","BEST_FPERIOD_OVERRIDE=FQ","FILING_STATUS=MR","FA_ADJUSTED=GAAP","Sort=A","Dates=H","DateFormat=P","Fill=—","Direction=H","UseDPDF=Y")</f>
        <v>—</v>
      </c>
      <c r="AA22" s="14" t="str">
        <f>_xll.BDH("BLUE US Equity","SUSTAIN_GROWTH_RT","FQ4 2024","FQ4 2024","Currency=USD","Period=FQ","BEST_FPERIOD_OVERRIDE=FQ","FILING_STATUS=MR","FA_ADJUSTED=GAAP","Sort=A","Dates=H","DateFormat=P","Fill=—","Direction=H","UseDPDF=Y")</f>
        <v>—</v>
      </c>
    </row>
    <row r="23" spans="1:27" x14ac:dyDescent="0.25">
      <c r="A23" s="7" t="s">
        <v>90</v>
      </c>
      <c r="B23" s="7"/>
      <c r="C23" s="7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130</v>
      </c>
      <c r="B7" s="10" t="s">
        <v>131</v>
      </c>
      <c r="C7" s="13">
        <f>_xll.BDH("BLUE US Equity","BEST_SALES","FQ2 2019","FQ2 2019","Currency=USD","Period=FQ","BEST_FPERIOD_OVERRIDE=FQ","FILING_STATUS=MR","Sort=A","Dates=H","DateFormat=P","Fill=—","Direction=H","UseDPDF=Y")</f>
        <v>11.478</v>
      </c>
      <c r="D7" s="13">
        <f>_xll.BDH("BLUE US Equity","BEST_SALES","FQ3 2019","FQ3 2019","Currency=USD","Period=FQ","BEST_FPERIOD_OVERRIDE=FQ","FILING_STATUS=MR","Sort=A","Dates=H","DateFormat=P","Fill=—","Direction=H","UseDPDF=Y")</f>
        <v>11.378</v>
      </c>
      <c r="E7" s="13">
        <f>_xll.BDH("BLUE US Equity","BEST_SALES","FQ4 2019","FQ4 2019","Currency=USD","Period=FQ","BEST_FPERIOD_OVERRIDE=FQ","FILING_STATUS=MR","Sort=A","Dates=H","DateFormat=P","Fill=—","Direction=H","UseDPDF=Y")</f>
        <v>9.0850000000000009</v>
      </c>
      <c r="F7" s="13">
        <f>_xll.BDH("BLUE US Equity","BEST_SALES","FQ1 2020","FQ1 2020","Currency=USD","Period=FQ","BEST_FPERIOD_OVERRIDE=FQ","FILING_STATUS=MR","Sort=A","Dates=H","DateFormat=P","Fill=—","Direction=H","UseDPDF=Y")</f>
        <v>8.6150000000000002</v>
      </c>
      <c r="G7" s="13">
        <f>_xll.BDH("BLUE US Equity","BEST_SALES","FQ2 2020","FQ2 2020","Currency=USD","Period=FQ","BEST_FPERIOD_OVERRIDE=FQ","FILING_STATUS=MR","Sort=A","Dates=H","DateFormat=P","Fill=—","Direction=H","UseDPDF=Y")</f>
        <v>69.492999999999995</v>
      </c>
      <c r="H7" s="13">
        <f>_xll.BDH("BLUE US Equity","BEST_SALES","FQ3 2020","FQ3 2020","Currency=USD","Period=FQ","BEST_FPERIOD_OVERRIDE=FQ","FILING_STATUS=MR","Sort=A","Dates=H","DateFormat=P","Fill=—","Direction=H","UseDPDF=Y")</f>
        <v>12.734</v>
      </c>
      <c r="I7" s="13">
        <f>_xll.BDH("BLUE US Equity","BEST_SALES","FQ4 2020","FQ4 2020","Currency=USD","Period=FQ","BEST_FPERIOD_OVERRIDE=FQ","FILING_STATUS=MR","Sort=A","Dates=H","DateFormat=P","Fill=—","Direction=H","UseDPDF=Y")</f>
        <v>15.753</v>
      </c>
      <c r="J7" s="13">
        <f>_xll.BDH("BLUE US Equity","BEST_SALES","FQ1 2021","FQ1 2021","Currency=USD","Period=FQ","BEST_FPERIOD_OVERRIDE=FQ","FILING_STATUS=MR","Sort=A","Dates=H","DateFormat=P","Fill=—","Direction=H","UseDPDF=Y")</f>
        <v>11.567</v>
      </c>
      <c r="K7" s="13">
        <f>_xll.BDH("BLUE US Equity","BEST_SALES","FQ2 2021","FQ2 2021","Currency=USD","Period=FQ","BEST_FPERIOD_OVERRIDE=FQ","FILING_STATUS=MR","Sort=A","Dates=H","DateFormat=P","Fill=—","Direction=H","UseDPDF=Y")</f>
        <v>15.250999999999999</v>
      </c>
      <c r="L7" s="13">
        <f>_xll.BDH("BLUE US Equity","BEST_SALES","FQ3 2021","FQ3 2021","Currency=USD","Period=FQ","BEST_FPERIOD_OVERRIDE=FQ","FILING_STATUS=MR","Sort=A","Dates=H","DateFormat=P","Fill=—","Direction=H","UseDPDF=Y")</f>
        <v>15.065</v>
      </c>
      <c r="M7" s="13">
        <f>_xll.BDH("BLUE US Equity","BEST_SALES","FQ4 2021","FQ4 2021","Currency=USD","Period=FQ","BEST_FPERIOD_OVERRIDE=FQ","FILING_STATUS=MR","Sort=A","Dates=H","DateFormat=P","Fill=—","Direction=H","UseDPDF=Y")</f>
        <v>6.2320000000000002</v>
      </c>
      <c r="N7" s="13">
        <f>_xll.BDH("BLUE US Equity","BEST_SALES","FQ1 2022","FQ1 2022","Currency=USD","Period=FQ","BEST_FPERIOD_OVERRIDE=FQ","FILING_STATUS=MR","Sort=A","Dates=H","DateFormat=P","Fill=—","Direction=H","UseDPDF=Y")</f>
        <v>2.21</v>
      </c>
      <c r="O7" s="13">
        <f>_xll.BDH("BLUE US Equity","BEST_SALES","FQ2 2022","FQ2 2022","Currency=USD","Period=FQ","BEST_FPERIOD_OVERRIDE=FQ","FILING_STATUS=MR","Sort=A","Dates=H","DateFormat=P","Fill=—","Direction=H","UseDPDF=Y")</f>
        <v>1.7250000000000001</v>
      </c>
      <c r="P7" s="13">
        <f>_xll.BDH("BLUE US Equity","BEST_SALES","FQ3 2022","FQ3 2022","Currency=USD","Period=FQ","BEST_FPERIOD_OVERRIDE=FQ","FILING_STATUS=MR","Sort=A","Dates=H","DateFormat=P","Fill=—","Direction=H","UseDPDF=Y")</f>
        <v>0.94599999999999995</v>
      </c>
      <c r="Q7" s="13">
        <f>_xll.BDH("BLUE US Equity","BEST_SALES","FQ4 2022","FQ4 2022","Currency=USD","Period=FQ","BEST_FPERIOD_OVERRIDE=FQ","FILING_STATUS=MR","Sort=A","Dates=H","DateFormat=P","Fill=—","Direction=H","UseDPDF=Y")</f>
        <v>1.0620000000000001</v>
      </c>
      <c r="R7" s="13">
        <f>_xll.BDH("BLUE US Equity","BEST_SALES","FQ1 2023","FQ1 2023","Currency=USD","Period=FQ","BEST_FPERIOD_OVERRIDE=FQ","FILING_STATUS=MR","Sort=A","Dates=H","DateFormat=P","Fill=—","Direction=H","UseDPDF=Y")</f>
        <v>6.3310000000000004</v>
      </c>
      <c r="S7" s="13">
        <f>_xll.BDH("BLUE US Equity","BEST_SALES","FQ2 2023","FQ2 2023","Currency=USD","Period=FQ","BEST_FPERIOD_OVERRIDE=FQ","FILING_STATUS=MR","Sort=A","Dates=H","DateFormat=P","Fill=—","Direction=H","UseDPDF=Y")</f>
        <v>9.7989999999999995</v>
      </c>
      <c r="T7" s="13">
        <f>_xll.BDH("BLUE US Equity","BEST_SALES","FQ3 2023","FQ3 2023","Currency=USD","Period=FQ","BEST_FPERIOD_OVERRIDE=FQ","FILING_STATUS=MR","Sort=A","Dates=H","DateFormat=P","Fill=—","Direction=H","UseDPDF=Y")</f>
        <v>14.029</v>
      </c>
      <c r="U7" s="13">
        <f>_xll.BDH("BLUE US Equity","BEST_SALES","FQ4 2023","FQ4 2023","Currency=USD","Period=FQ","BEST_FPERIOD_OVERRIDE=FQ","FILING_STATUS=MR","Sort=A","Dates=H","DateFormat=P","Fill=—","Direction=H","UseDPDF=Y")</f>
        <v>7.8620000000000001</v>
      </c>
      <c r="V7" s="13">
        <f>_xll.BDH("BLUE US Equity","BEST_SALES","FQ1 2024","FQ1 2024","Currency=USD","Period=FQ","BEST_FPERIOD_OVERRIDE=FQ","FILING_STATUS=MR","Sort=A","Dates=H","DateFormat=P","Fill=—","Direction=H","UseDPDF=Y")</f>
        <v>18.044</v>
      </c>
      <c r="W7" s="13">
        <f>_xll.BDH("BLUE US Equity","BEST_SALES","FQ2 2024","FQ2 2024","Currency=USD","Period=FQ","BEST_FPERIOD_OVERRIDE=FQ","FILING_STATUS=MR","Sort=A","Dates=H","DateFormat=P","Fill=—","Direction=H","UseDPDF=Y")</f>
        <v>16.100000000000001</v>
      </c>
      <c r="X7" s="13">
        <f>_xll.BDH("BLUE US Equity","BEST_SALES","FQ3 2024","FQ3 2024","Currency=USD","Period=FQ","BEST_FPERIOD_OVERRIDE=FQ","FILING_STATUS=MR","Sort=A","Dates=H","DateFormat=P","Fill=—","Direction=H","UseDPDF=Y")</f>
        <v>18.3</v>
      </c>
      <c r="Y7" s="13">
        <f>_xll.BDH("BLUE US Equity","BEST_SALES","FQ4 2024","FQ4 2024","Currency=USD","Period=FQ","BEST_FPERIOD_OVERRIDE=FQ","FILING_STATUS=MR","Sort=A","Dates=H","DateFormat=P","Fill=—","Direction=H","UseDPDF=Y")</f>
        <v>26.725000000000001</v>
      </c>
      <c r="Z7" s="13">
        <v>36.517000000000003</v>
      </c>
      <c r="AA7" s="13">
        <v>57.783000000000001</v>
      </c>
    </row>
    <row r="8" spans="1:27" x14ac:dyDescent="0.25">
      <c r="A8" s="10" t="s">
        <v>132</v>
      </c>
      <c r="B8" s="10" t="s">
        <v>133</v>
      </c>
      <c r="C8" s="13">
        <f>_xll.BDH("BLUE US Equity","IS_COMP_SALES","FQ2 2019","FQ2 2019","Currency=USD","Period=FQ","BEST_FPERIOD_OVERRIDE=FQ","FILING_STATUS=MR","SCALING_FORMAT=MLN","Sort=A","Dates=H","DateFormat=P","Fill=—","Direction=H","UseDPDF=Y")</f>
        <v>13.295999999999999</v>
      </c>
      <c r="D8" s="13">
        <f>_xll.BDH("BLUE US Equity","IS_COMP_SALES","FQ3 2019","FQ3 2019","Currency=USD","Period=FQ","BEST_FPERIOD_OVERRIDE=FQ","FILING_STATUS=MR","SCALING_FORMAT=MLN","Sort=A","Dates=H","DateFormat=P","Fill=—","Direction=H","UseDPDF=Y")</f>
        <v>8.91</v>
      </c>
      <c r="E8" s="13">
        <f>_xll.BDH("BLUE US Equity","IS_COMP_SALES","FQ4 2019","FQ4 2019","Currency=USD","Period=FQ","BEST_FPERIOD_OVERRIDE=FQ","FILING_STATUS=MR","SCALING_FORMAT=MLN","Sort=A","Dates=H","DateFormat=P","Fill=—","Direction=H","UseDPDF=Y")</f>
        <v>9.9969999999999999</v>
      </c>
      <c r="F8" s="13">
        <f>_xll.BDH("BLUE US Equity","IS_COMP_SALES","FQ1 2020","FQ1 2020","Currency=USD","Period=FQ","BEST_FPERIOD_OVERRIDE=FQ","FILING_STATUS=MR","SCALING_FORMAT=MLN","Sort=A","Dates=H","DateFormat=P","Fill=—","Direction=H","UseDPDF=Y")</f>
        <v>21.863</v>
      </c>
      <c r="G8" s="13">
        <f>_xll.BDH("BLUE US Equity","IS_COMP_SALES","FQ2 2020","FQ2 2020","Currency=USD","Period=FQ","BEST_FPERIOD_OVERRIDE=FQ","FILING_STATUS=MR","SCALING_FORMAT=MLN","Sort=A","Dates=H","DateFormat=P","Fill=—","Direction=H","UseDPDF=Y")</f>
        <v>198.89</v>
      </c>
      <c r="H8" s="13">
        <f>_xll.BDH("BLUE US Equity","IS_COMP_SALES","FQ3 2020","FQ3 2020","Currency=USD","Period=FQ","BEST_FPERIOD_OVERRIDE=FQ","FILING_STATUS=MR","SCALING_FORMAT=MLN","Sort=A","Dates=H","DateFormat=P","Fill=—","Direction=H","UseDPDF=Y")</f>
        <v>19.273</v>
      </c>
      <c r="I8" s="13">
        <f>_xll.BDH("BLUE US Equity","IS_COMP_SALES","FQ4 2020","FQ4 2020","Currency=USD","Period=FQ","BEST_FPERIOD_OVERRIDE=FQ","FILING_STATUS=MR","SCALING_FORMAT=MLN","Sort=A","Dates=H","DateFormat=P","Fill=—","Direction=H","UseDPDF=Y")</f>
        <v>10.708</v>
      </c>
      <c r="J8" s="13">
        <f>_xll.BDH("BLUE US Equity","IS_COMP_SALES","FQ1 2021","FQ1 2021","Currency=USD","Period=FQ","BEST_FPERIOD_OVERRIDE=FQ","FILING_STATUS=MR","SCALING_FORMAT=MLN","Sort=A","Dates=H","DateFormat=P","Fill=—","Direction=H","UseDPDF=Y")</f>
        <v>12.794</v>
      </c>
      <c r="K8" s="13">
        <f>_xll.BDH("BLUE US Equity","IS_COMP_SALES","FQ2 2021","FQ2 2021","Currency=USD","Period=FQ","BEST_FPERIOD_OVERRIDE=FQ","FILING_STATUS=MR","SCALING_FORMAT=MLN","Sort=A","Dates=H","DateFormat=P","Fill=—","Direction=H","UseDPDF=Y")</f>
        <v>7.4720000000000004</v>
      </c>
      <c r="L8" s="13">
        <f>_xll.BDH("BLUE US Equity","IS_COMP_SALES","FQ3 2021","FQ3 2021","Currency=USD","Period=FQ","BEST_FPERIOD_OVERRIDE=FQ","FILING_STATUS=MR","SCALING_FORMAT=MLN","Sort=A","Dates=H","DateFormat=P","Fill=—","Direction=H","UseDPDF=Y")</f>
        <v>22.677</v>
      </c>
      <c r="M8" s="13">
        <f>_xll.BDH("BLUE US Equity","IS_COMP_SALES","FQ4 2021","FQ4 2021","Currency=USD","Period=FQ","BEST_FPERIOD_OVERRIDE=FQ","FILING_STATUS=MR","SCALING_FORMAT=MLN","Sort=A","Dates=H","DateFormat=P","Fill=—","Direction=H","UseDPDF=Y")</f>
        <v>1.6060000000000001</v>
      </c>
      <c r="N8" s="13">
        <f>_xll.BDH("BLUE US Equity","IS_COMP_SALES","FQ1 2022","FQ1 2022","Currency=USD","Period=FQ","BEST_FPERIOD_OVERRIDE=FQ","FILING_STATUS=MR","SCALING_FORMAT=MLN","Sort=A","Dates=H","DateFormat=P","Fill=—","Direction=H","UseDPDF=Y")</f>
        <v>1.9450000000000001</v>
      </c>
      <c r="O8" s="13">
        <f>_xll.BDH("BLUE US Equity","IS_COMP_SALES","FQ2 2022","FQ2 2022","Currency=USD","Period=FQ","BEST_FPERIOD_OVERRIDE=FQ","FILING_STATUS=MR","SCALING_FORMAT=MLN","Sort=A","Dates=H","DateFormat=P","Fill=—","Direction=H","UseDPDF=Y")</f>
        <v>1.5189999999999999</v>
      </c>
      <c r="P8" s="13">
        <f>_xll.BDH("BLUE US Equity","IS_COMP_SALES","FQ3 2022","FQ3 2022","Currency=USD","Period=FQ","BEST_FPERIOD_OVERRIDE=FQ","FILING_STATUS=MR","SCALING_FORMAT=MLN","Sort=A","Dates=H","DateFormat=P","Fill=—","Direction=H","UseDPDF=Y")</f>
        <v>7.0999999999999994E-2</v>
      </c>
      <c r="Q8" s="13">
        <f>_xll.BDH("BLUE US Equity","IS_COMP_SALES","FQ4 2022","FQ4 2022","Currency=USD","Period=FQ","BEST_FPERIOD_OVERRIDE=FQ","FILING_STATUS=MR","SCALING_FORMAT=MLN","Sort=A","Dates=H","DateFormat=P","Fill=—","Direction=H","UseDPDF=Y")</f>
        <v>6.2E-2</v>
      </c>
      <c r="R8" s="13">
        <f>_xll.BDH("BLUE US Equity","IS_COMP_SALES","FQ1 2023","FQ1 2023","Currency=USD","Period=FQ","BEST_FPERIOD_OVERRIDE=FQ","FILING_STATUS=MR","SCALING_FORMAT=MLN","Sort=A","Dates=H","DateFormat=P","Fill=—","Direction=H","UseDPDF=Y")</f>
        <v>2.3809999999999998</v>
      </c>
      <c r="S8" s="13">
        <f>_xll.BDH("BLUE US Equity","IS_COMP_SALES","FQ2 2023","FQ2 2023","Currency=USD","Period=FQ","BEST_FPERIOD_OVERRIDE=FQ","FILING_STATUS=MR","SCALING_FORMAT=MLN","Sort=A","Dates=H","DateFormat=P","Fill=—","Direction=H","UseDPDF=Y")</f>
        <v>6.89</v>
      </c>
      <c r="T8" s="13">
        <f>_xll.BDH("BLUE US Equity","IS_COMP_SALES","FQ3 2023","FQ3 2023","Currency=USD","Period=FQ","BEST_FPERIOD_OVERRIDE=FQ","FILING_STATUS=MR","SCALING_FORMAT=MLN","Sort=A","Dates=H","DateFormat=P","Fill=—","Direction=H","UseDPDF=Y")</f>
        <v>12.391999999999999</v>
      </c>
      <c r="U8" s="13">
        <f>_xll.BDH("BLUE US Equity","IS_COMP_SALES","FQ4 2023","FQ4 2023","Currency=USD","Period=FQ","BEST_FPERIOD_OVERRIDE=FQ","FILING_STATUS=MR","SCALING_FORMAT=MLN","Sort=A","Dates=H","DateFormat=P","Fill=—","Direction=H","UseDPDF=Y")</f>
        <v>7.8339999999999996</v>
      </c>
      <c r="V8" s="13">
        <f>_xll.BDH("BLUE US Equity","IS_COMP_SALES","FQ1 2024","FQ1 2024","Currency=USD","Period=FQ","BEST_FPERIOD_OVERRIDE=FQ","FILING_STATUS=MR","SCALING_FORMAT=MLN","Sort=A","Dates=H","DateFormat=P","Fill=—","Direction=H","UseDPDF=Y")</f>
        <v>18.600000000000001</v>
      </c>
      <c r="W8" s="13">
        <f>_xll.BDH("BLUE US Equity","IS_COMP_SALES","FQ2 2024","FQ2 2024","Currency=USD","Period=FQ","BEST_FPERIOD_OVERRIDE=FQ","FILING_STATUS=MR","SCALING_FORMAT=MLN","Sort=A","Dates=H","DateFormat=P","Fill=—","Direction=H","UseDPDF=Y")</f>
        <v>16.100999999999999</v>
      </c>
      <c r="X8" s="13">
        <f>_xll.BDH("BLUE US Equity","IS_COMP_SALES","FQ3 2024","FQ3 2024","Currency=USD","Period=FQ","BEST_FPERIOD_OVERRIDE=FQ","FILING_STATUS=MR","SCALING_FORMAT=MLN","Sort=A","Dates=H","DateFormat=P","Fill=—","Direction=H","UseDPDF=Y")</f>
        <v>10.612</v>
      </c>
      <c r="Y8" s="13">
        <f>_xll.BDH("BLUE US Equity","IS_COMP_SALES","FQ4 2024","FQ4 2024","Currency=USD","Period=FQ","BEST_FPERIOD_OVERRIDE=FQ","FILING_STATUS=MR","SCALING_FORMAT=MLN","Sort=A","Dates=H","DateFormat=P","Fill=—","Direction=H","UseDPDF=Y")</f>
        <v>38.481999999999999</v>
      </c>
      <c r="Z8" s="13"/>
      <c r="AA8" s="13"/>
    </row>
    <row r="9" spans="1:27" x14ac:dyDescent="0.25">
      <c r="A9" s="11" t="s">
        <v>134</v>
      </c>
      <c r="B9" s="11"/>
      <c r="C9" s="25">
        <v>15.838996340825901</v>
      </c>
      <c r="D9" s="25">
        <v>-21.690982597996101</v>
      </c>
      <c r="E9" s="25">
        <v>10.038525041276801</v>
      </c>
      <c r="F9" s="25">
        <v>153.778293673825</v>
      </c>
      <c r="G9" s="25">
        <v>186.20148791964701</v>
      </c>
      <c r="H9" s="25">
        <v>51.350714622271099</v>
      </c>
      <c r="I9" s="25">
        <v>-32.025645908715802</v>
      </c>
      <c r="J9" s="25">
        <v>10.6077634650298</v>
      </c>
      <c r="K9" s="25">
        <v>-51.006491377614601</v>
      </c>
      <c r="L9" s="25">
        <v>50.527713242615299</v>
      </c>
      <c r="M9" s="25">
        <v>-74.229781771501905</v>
      </c>
      <c r="N9" s="25">
        <v>-11.9909502262443</v>
      </c>
      <c r="O9" s="25">
        <v>-11.942028985507299</v>
      </c>
      <c r="P9" s="25">
        <v>-92.494714587737803</v>
      </c>
      <c r="Q9" s="25">
        <v>-94.1619585687382</v>
      </c>
      <c r="R9" s="25">
        <v>-62.3914073606065</v>
      </c>
      <c r="S9" s="25">
        <v>-29.686702724767802</v>
      </c>
      <c r="T9" s="25">
        <v>-11.668686292679499</v>
      </c>
      <c r="U9" s="25">
        <v>-0.35614347494276899</v>
      </c>
      <c r="V9" s="25">
        <v>3.0813566836621602</v>
      </c>
      <c r="W9" s="25">
        <v>6.2111801242091301E-3</v>
      </c>
      <c r="X9" s="25">
        <v>-42.010928961748597</v>
      </c>
      <c r="Y9" s="25">
        <v>43.992516370439702</v>
      </c>
      <c r="Z9" s="25"/>
      <c r="AA9" s="25"/>
    </row>
    <row r="10" spans="1:27" x14ac:dyDescent="0.25">
      <c r="A10" s="10" t="s">
        <v>135</v>
      </c>
      <c r="B10" s="10" t="s">
        <v>70</v>
      </c>
      <c r="C10" s="13">
        <f>_xll.BDH("BLUE US Equity","SALES_REV_TURN","FQ2 2019","FQ2 2019","Currency=USD","Period=FQ","BEST_FPERIOD_OVERRIDE=FQ","FILING_STATUS=MR","SCALING_FORMAT=MLN","FA_ADJUSTED=GAAP","Sort=A","Dates=H","DateFormat=P","Fill=—","Direction=H","UseDPDF=Y")</f>
        <v>13.295999999999999</v>
      </c>
      <c r="D10" s="13">
        <f>_xll.BDH("BLUE US Equity","SALES_REV_TURN","FQ3 2019","FQ3 2019","Currency=USD","Period=FQ","BEST_FPERIOD_OVERRIDE=FQ","FILING_STATUS=MR","SCALING_FORMAT=MLN","FA_ADJUSTED=GAAP","Sort=A","Dates=H","DateFormat=P","Fill=—","Direction=H","UseDPDF=Y")</f>
        <v>8.91</v>
      </c>
      <c r="E10" s="13">
        <f>_xll.BDH("BLUE US Equity","SALES_REV_TURN","FQ4 2019","FQ4 2019","Currency=USD","Period=FQ","BEST_FPERIOD_OVERRIDE=FQ","FILING_STATUS=MR","SCALING_FORMAT=MLN","FA_ADJUSTED=GAAP","Sort=A","Dates=H","DateFormat=P","Fill=—","Direction=H","UseDPDF=Y")</f>
        <v>9.9969999999999999</v>
      </c>
      <c r="F10" s="13">
        <f>_xll.BDH("BLUE US Equity","SALES_REV_TURN","FQ1 2020","FQ1 2020","Currency=USD","Period=FQ","BEST_FPERIOD_OVERRIDE=FQ","FILING_STATUS=MR","SCALING_FORMAT=MLN","FA_ADJUSTED=GAAP","Sort=A","Dates=H","DateFormat=P","Fill=—","Direction=H","UseDPDF=Y")</f>
        <v>21.863</v>
      </c>
      <c r="G10" s="13">
        <f>_xll.BDH("BLUE US Equity","SALES_REV_TURN","FQ2 2020","FQ2 2020","Currency=USD","Period=FQ","BEST_FPERIOD_OVERRIDE=FQ","FILING_STATUS=MR","SCALING_FORMAT=MLN","FA_ADJUSTED=GAAP","Sort=A","Dates=H","DateFormat=P","Fill=—","Direction=H","UseDPDF=Y")</f>
        <v>198.89</v>
      </c>
      <c r="H10" s="13">
        <f>_xll.BDH("BLUE US Equity","SALES_REV_TURN","FQ3 2020","FQ3 2020","Currency=USD","Period=FQ","BEST_FPERIOD_OVERRIDE=FQ","FILING_STATUS=MR","SCALING_FORMAT=MLN","FA_ADJUSTED=GAAP","Sort=A","Dates=H","DateFormat=P","Fill=—","Direction=H","UseDPDF=Y")</f>
        <v>19.273</v>
      </c>
      <c r="I10" s="13">
        <f>_xll.BDH("BLUE US Equity","SALES_REV_TURN","FQ4 2020","FQ4 2020","Currency=USD","Period=FQ","BEST_FPERIOD_OVERRIDE=FQ","FILING_STATUS=MR","SCALING_FORMAT=MLN","FA_ADJUSTED=GAAP","Sort=A","Dates=H","DateFormat=P","Fill=—","Direction=H","UseDPDF=Y")</f>
        <v>0</v>
      </c>
      <c r="J10" s="13">
        <f>_xll.BDH("BLUE US Equity","SALES_REV_TURN","FQ1 2021","FQ1 2021","Currency=USD","Period=FQ","BEST_FPERIOD_OVERRIDE=FQ","FILING_STATUS=MR","SCALING_FORMAT=MLN","FA_ADJUSTED=GAAP","Sort=A","Dates=H","DateFormat=P","Fill=—","Direction=H","UseDPDF=Y")</f>
        <v>0.89400000000000002</v>
      </c>
      <c r="K10" s="13">
        <f>_xll.BDH("BLUE US Equity","SALES_REV_TURN","FQ2 2021","FQ2 2021","Currency=USD","Period=FQ","BEST_FPERIOD_OVERRIDE=FQ","FILING_STATUS=MR","SCALING_FORMAT=MLN","FA_ADJUSTED=GAAP","Sort=A","Dates=H","DateFormat=P","Fill=—","Direction=H","UseDPDF=Y")</f>
        <v>7.4720000000000004</v>
      </c>
      <c r="L10" s="13">
        <f>_xll.BDH("BLUE US Equity","SALES_REV_TURN","FQ3 2021","FQ3 2021","Currency=USD","Period=FQ","BEST_FPERIOD_OVERRIDE=FQ","FILING_STATUS=MR","SCALING_FORMAT=MLN","FA_ADJUSTED=GAAP","Sort=A","Dates=H","DateFormat=P","Fill=—","Direction=H","UseDPDF=Y")</f>
        <v>1.0189999999999999</v>
      </c>
      <c r="M10" s="13">
        <f>_xll.BDH("BLUE US Equity","SALES_REV_TURN","FQ4 2021","FQ4 2021","Currency=USD","Period=FQ","BEST_FPERIOD_OVERRIDE=FQ","FILING_STATUS=MR","SCALING_FORMAT=MLN","FA_ADJUSTED=GAAP","Sort=A","Dates=H","DateFormat=P","Fill=—","Direction=H","UseDPDF=Y")</f>
        <v>1.6060000000000001</v>
      </c>
      <c r="N10" s="13">
        <f>_xll.BDH("BLUE US Equity","SALES_REV_TURN","FQ1 2022","FQ1 2022","Currency=USD","Period=FQ","BEST_FPERIOD_OVERRIDE=FQ","FILING_STATUS=MR","SCALING_FORMAT=MLN","FA_ADJUSTED=GAAP","Sort=A","Dates=H","DateFormat=P","Fill=—","Direction=H","UseDPDF=Y")</f>
        <v>1.9450000000000001</v>
      </c>
      <c r="O10" s="13">
        <f>_xll.BDH("BLUE US Equity","SALES_REV_TURN","FQ2 2022","FQ2 2022","Currency=USD","Period=FQ","BEST_FPERIOD_OVERRIDE=FQ","FILING_STATUS=MR","SCALING_FORMAT=MLN","FA_ADJUSTED=GAAP","Sort=A","Dates=H","DateFormat=P","Fill=—","Direction=H","UseDPDF=Y")</f>
        <v>1.5189999999999999</v>
      </c>
      <c r="P10" s="13">
        <f>_xll.BDH("BLUE US Equity","SALES_REV_TURN","FQ3 2022","FQ3 2022","Currency=USD","Period=FQ","BEST_FPERIOD_OVERRIDE=FQ","FILING_STATUS=MR","SCALING_FORMAT=MLN","FA_ADJUSTED=GAAP","Sort=A","Dates=H","DateFormat=P","Fill=—","Direction=H","UseDPDF=Y")</f>
        <v>7.0999999999999994E-2</v>
      </c>
      <c r="Q10" s="13">
        <f>_xll.BDH("BLUE US Equity","SALES_REV_TURN","FQ4 2022","FQ4 2022","Currency=USD","Period=FQ","BEST_FPERIOD_OVERRIDE=FQ","FILING_STATUS=MR","SCALING_FORMAT=MLN","FA_ADJUSTED=GAAP","Sort=A","Dates=H","DateFormat=P","Fill=—","Direction=H","UseDPDF=Y")</f>
        <v>6.2E-2</v>
      </c>
      <c r="R10" s="13">
        <f>_xll.BDH("BLUE US Equity","SALES_REV_TURN","FQ1 2023","FQ1 2023","Currency=USD","Period=FQ","BEST_FPERIOD_OVERRIDE=FQ","FILING_STATUS=MR","SCALING_FORMAT=MLN","FA_ADJUSTED=GAAP","Sort=A","Dates=H","DateFormat=P","Fill=—","Direction=H","UseDPDF=Y")</f>
        <v>2.3809999999999998</v>
      </c>
      <c r="S10" s="13">
        <f>_xll.BDH("BLUE US Equity","SALES_REV_TURN","FQ2 2023","FQ2 2023","Currency=USD","Period=FQ","BEST_FPERIOD_OVERRIDE=FQ","FILING_STATUS=MR","SCALING_FORMAT=MLN","FA_ADJUSTED=GAAP","Sort=A","Dates=H","DateFormat=P","Fill=—","Direction=H","UseDPDF=Y")</f>
        <v>6.89</v>
      </c>
      <c r="T10" s="13">
        <f>_xll.BDH("BLUE US Equity","SALES_REV_TURN","FQ3 2023","FQ3 2023","Currency=USD","Period=FQ","BEST_FPERIOD_OVERRIDE=FQ","FILING_STATUS=MR","SCALING_FORMAT=MLN","FA_ADJUSTED=GAAP","Sort=A","Dates=H","DateFormat=P","Fill=—","Direction=H","UseDPDF=Y")</f>
        <v>12.391999999999999</v>
      </c>
      <c r="U10" s="13">
        <f>_xll.BDH("BLUE US Equity","SALES_REV_TURN","FQ4 2023","FQ4 2023","Currency=USD","Period=FQ","BEST_FPERIOD_OVERRIDE=FQ","FILING_STATUS=MR","SCALING_FORMAT=MLN","FA_ADJUSTED=GAAP","Sort=A","Dates=H","DateFormat=P","Fill=—","Direction=H","UseDPDF=Y")</f>
        <v>7.8339999999999996</v>
      </c>
      <c r="V10" s="13">
        <f>_xll.BDH("BLUE US Equity","SALES_REV_TURN","FQ1 2024","FQ1 2024","Currency=USD","Period=FQ","BEST_FPERIOD_OVERRIDE=FQ","FILING_STATUS=MR","SCALING_FORMAT=MLN","FA_ADJUSTED=GAAP","Sort=A","Dates=H","DateFormat=P","Fill=—","Direction=H","UseDPDF=Y")</f>
        <v>18.573</v>
      </c>
      <c r="W10" s="13">
        <f>_xll.BDH("BLUE US Equity","SALES_REV_TURN","FQ2 2024","FQ2 2024","Currency=USD","Period=FQ","BEST_FPERIOD_OVERRIDE=FQ","FILING_STATUS=MR","SCALING_FORMAT=MLN","FA_ADJUSTED=GAAP","Sort=A","Dates=H","DateFormat=P","Fill=—","Direction=H","UseDPDF=Y")</f>
        <v>16.100999999999999</v>
      </c>
      <c r="X10" s="13">
        <f>_xll.BDH("BLUE US Equity","SALES_REV_TURN","FQ3 2024","FQ3 2024","Currency=USD","Period=FQ","BEST_FPERIOD_OVERRIDE=FQ","FILING_STATUS=MR","SCALING_FORMAT=MLN","FA_ADJUSTED=GAAP","Sort=A","Dates=H","DateFormat=P","Fill=—","Direction=H","UseDPDF=Y")</f>
        <v>10.612</v>
      </c>
      <c r="Y10" s="13">
        <f>_xll.BDH("BLUE US Equity","SALES_REV_TURN","FQ4 2024","FQ4 2024","Currency=USD","Period=FQ","BEST_FPERIOD_OVERRIDE=FQ","FILING_STATUS=MR","SCALING_FORMAT=MLN","FA_ADJUSTED=GAAP","Sort=A","Dates=H","DateFormat=P","Fill=—","Direction=H","UseDPDF=Y")</f>
        <v>38.521000000000001</v>
      </c>
      <c r="Z10" s="13"/>
      <c r="AA10" s="13"/>
    </row>
    <row r="11" spans="1:27" x14ac:dyDescent="0.25">
      <c r="A11" s="10" t="s">
        <v>136</v>
      </c>
      <c r="B11" s="10" t="s">
        <v>70</v>
      </c>
      <c r="C11" s="13">
        <f>_xll.BDH("BLUE US Equity","SALES_REV_TURN","FQ2 2019","FQ2 2019","Currency=USD","Period=FQ","BEST_FPERIOD_OVERRIDE=FQ","FILING_STATUS=MR","SCALING_FORMAT=MLN","FA_ADJUSTED=Adjusted","Sort=A","Dates=H","DateFormat=P","Fill=—","Direction=H","UseDPDF=Y")</f>
        <v>13.295999999999999</v>
      </c>
      <c r="D11" s="13">
        <f>_xll.BDH("BLUE US Equity","SALES_REV_TURN","FQ3 2019","FQ3 2019","Currency=USD","Period=FQ","BEST_FPERIOD_OVERRIDE=FQ","FILING_STATUS=MR","SCALING_FORMAT=MLN","FA_ADJUSTED=Adjusted","Sort=A","Dates=H","DateFormat=P","Fill=—","Direction=H","UseDPDF=Y")</f>
        <v>8.91</v>
      </c>
      <c r="E11" s="13">
        <f>_xll.BDH("BLUE US Equity","SALES_REV_TURN","FQ4 2019","FQ4 2019","Currency=USD","Period=FQ","BEST_FPERIOD_OVERRIDE=FQ","FILING_STATUS=MR","SCALING_FORMAT=MLN","FA_ADJUSTED=Adjusted","Sort=A","Dates=H","DateFormat=P","Fill=—","Direction=H","UseDPDF=Y")</f>
        <v>9.9969999999999999</v>
      </c>
      <c r="F11" s="13">
        <f>_xll.BDH("BLUE US Equity","SALES_REV_TURN","FQ1 2020","FQ1 2020","Currency=USD","Period=FQ","BEST_FPERIOD_OVERRIDE=FQ","FILING_STATUS=MR","SCALING_FORMAT=MLN","FA_ADJUSTED=Adjusted","Sort=A","Dates=H","DateFormat=P","Fill=—","Direction=H","UseDPDF=Y")</f>
        <v>21.863</v>
      </c>
      <c r="G11" s="13">
        <f>_xll.BDH("BLUE US Equity","SALES_REV_TURN","FQ2 2020","FQ2 2020","Currency=USD","Period=FQ","BEST_FPERIOD_OVERRIDE=FQ","FILING_STATUS=MR","SCALING_FORMAT=MLN","FA_ADJUSTED=Adjusted","Sort=A","Dates=H","DateFormat=P","Fill=—","Direction=H","UseDPDF=Y")</f>
        <v>198.89</v>
      </c>
      <c r="H11" s="13">
        <f>_xll.BDH("BLUE US Equity","SALES_REV_TURN","FQ3 2020","FQ3 2020","Currency=USD","Period=FQ","BEST_FPERIOD_OVERRIDE=FQ","FILING_STATUS=MR","SCALING_FORMAT=MLN","FA_ADJUSTED=Adjusted","Sort=A","Dates=H","DateFormat=P","Fill=—","Direction=H","UseDPDF=Y")</f>
        <v>19.273</v>
      </c>
      <c r="I11" s="13">
        <f>_xll.BDH("BLUE US Equity","SALES_REV_TURN","FQ4 2020","FQ4 2020","Currency=USD","Period=FQ","BEST_FPERIOD_OVERRIDE=FQ","FILING_STATUS=MR","SCALING_FORMAT=MLN","FA_ADJUSTED=Adjusted","Sort=A","Dates=H","DateFormat=P","Fill=—","Direction=H","UseDPDF=Y")</f>
        <v>0</v>
      </c>
      <c r="J11" s="13">
        <f>_xll.BDH("BLUE US Equity","SALES_REV_TURN","FQ1 2021","FQ1 2021","Currency=USD","Period=FQ","BEST_FPERIOD_OVERRIDE=FQ","FILING_STATUS=MR","SCALING_FORMAT=MLN","FA_ADJUSTED=Adjusted","Sort=A","Dates=H","DateFormat=P","Fill=—","Direction=H","UseDPDF=Y")</f>
        <v>0.89400000000000002</v>
      </c>
      <c r="K11" s="13">
        <f>_xll.BDH("BLUE US Equity","SALES_REV_TURN","FQ2 2021","FQ2 2021","Currency=USD","Period=FQ","BEST_FPERIOD_OVERRIDE=FQ","FILING_STATUS=MR","SCALING_FORMAT=MLN","FA_ADJUSTED=Adjusted","Sort=A","Dates=H","DateFormat=P","Fill=—","Direction=H","UseDPDF=Y")</f>
        <v>7.4720000000000004</v>
      </c>
      <c r="L11" s="13">
        <f>_xll.BDH("BLUE US Equity","SALES_REV_TURN","FQ3 2021","FQ3 2021","Currency=USD","Period=FQ","BEST_FPERIOD_OVERRIDE=FQ","FILING_STATUS=MR","SCALING_FORMAT=MLN","FA_ADJUSTED=Adjusted","Sort=A","Dates=H","DateFormat=P","Fill=—","Direction=H","UseDPDF=Y")</f>
        <v>1.0189999999999999</v>
      </c>
      <c r="M11" s="13">
        <f>_xll.BDH("BLUE US Equity","SALES_REV_TURN","FQ4 2021","FQ4 2021","Currency=USD","Period=FQ","BEST_FPERIOD_OVERRIDE=FQ","FILING_STATUS=MR","SCALING_FORMAT=MLN","FA_ADJUSTED=Adjusted","Sort=A","Dates=H","DateFormat=P","Fill=—","Direction=H","UseDPDF=Y")</f>
        <v>1.6060000000000001</v>
      </c>
      <c r="N11" s="13">
        <f>_xll.BDH("BLUE US Equity","SALES_REV_TURN","FQ1 2022","FQ1 2022","Currency=USD","Period=FQ","BEST_FPERIOD_OVERRIDE=FQ","FILING_STATUS=MR","SCALING_FORMAT=MLN","FA_ADJUSTED=Adjusted","Sort=A","Dates=H","DateFormat=P","Fill=—","Direction=H","UseDPDF=Y")</f>
        <v>1.9450000000000001</v>
      </c>
      <c r="O11" s="13">
        <f>_xll.BDH("BLUE US Equity","SALES_REV_TURN","FQ2 2022","FQ2 2022","Currency=USD","Period=FQ","BEST_FPERIOD_OVERRIDE=FQ","FILING_STATUS=MR","SCALING_FORMAT=MLN","FA_ADJUSTED=Adjusted","Sort=A","Dates=H","DateFormat=P","Fill=—","Direction=H","UseDPDF=Y")</f>
        <v>1.5189999999999999</v>
      </c>
      <c r="P11" s="13">
        <f>_xll.BDH("BLUE US Equity","SALES_REV_TURN","FQ3 2022","FQ3 2022","Currency=USD","Period=FQ","BEST_FPERIOD_OVERRIDE=FQ","FILING_STATUS=MR","SCALING_FORMAT=MLN","FA_ADJUSTED=Adjusted","Sort=A","Dates=H","DateFormat=P","Fill=—","Direction=H","UseDPDF=Y")</f>
        <v>7.0999999999999994E-2</v>
      </c>
      <c r="Q11" s="13">
        <f>_xll.BDH("BLUE US Equity","SALES_REV_TURN","FQ4 2022","FQ4 2022","Currency=USD","Period=FQ","BEST_FPERIOD_OVERRIDE=FQ","FILING_STATUS=MR","SCALING_FORMAT=MLN","FA_ADJUSTED=Adjusted","Sort=A","Dates=H","DateFormat=P","Fill=—","Direction=H","UseDPDF=Y")</f>
        <v>6.2E-2</v>
      </c>
      <c r="R11" s="13">
        <f>_xll.BDH("BLUE US Equity","SALES_REV_TURN","FQ1 2023","FQ1 2023","Currency=USD","Period=FQ","BEST_FPERIOD_OVERRIDE=FQ","FILING_STATUS=MR","SCALING_FORMAT=MLN","FA_ADJUSTED=Adjusted","Sort=A","Dates=H","DateFormat=P","Fill=—","Direction=H","UseDPDF=Y")</f>
        <v>2.3809999999999998</v>
      </c>
      <c r="S11" s="13">
        <f>_xll.BDH("BLUE US Equity","SALES_REV_TURN","FQ2 2023","FQ2 2023","Currency=USD","Period=FQ","BEST_FPERIOD_OVERRIDE=FQ","FILING_STATUS=MR","SCALING_FORMAT=MLN","FA_ADJUSTED=Adjusted","Sort=A","Dates=H","DateFormat=P","Fill=—","Direction=H","UseDPDF=Y")</f>
        <v>6.89</v>
      </c>
      <c r="T11" s="13">
        <f>_xll.BDH("BLUE US Equity","SALES_REV_TURN","FQ3 2023","FQ3 2023","Currency=USD","Period=FQ","BEST_FPERIOD_OVERRIDE=FQ","FILING_STATUS=MR","SCALING_FORMAT=MLN","FA_ADJUSTED=Adjusted","Sort=A","Dates=H","DateFormat=P","Fill=—","Direction=H","UseDPDF=Y")</f>
        <v>12.391999999999999</v>
      </c>
      <c r="U11" s="13">
        <f>_xll.BDH("BLUE US Equity","SALES_REV_TURN","FQ4 2023","FQ4 2023","Currency=USD","Period=FQ","BEST_FPERIOD_OVERRIDE=FQ","FILING_STATUS=MR","SCALING_FORMAT=MLN","FA_ADJUSTED=Adjusted","Sort=A","Dates=H","DateFormat=P","Fill=—","Direction=H","UseDPDF=Y")</f>
        <v>7.8339999999999996</v>
      </c>
      <c r="V11" s="13">
        <f>_xll.BDH("BLUE US Equity","SALES_REV_TURN","FQ1 2024","FQ1 2024","Currency=USD","Period=FQ","BEST_FPERIOD_OVERRIDE=FQ","FILING_STATUS=MR","SCALING_FORMAT=MLN","FA_ADJUSTED=Adjusted","Sort=A","Dates=H","DateFormat=P","Fill=—","Direction=H","UseDPDF=Y")</f>
        <v>18.573</v>
      </c>
      <c r="W11" s="13">
        <f>_xll.BDH("BLUE US Equity","SALES_REV_TURN","FQ2 2024","FQ2 2024","Currency=USD","Period=FQ","BEST_FPERIOD_OVERRIDE=FQ","FILING_STATUS=MR","SCALING_FORMAT=MLN","FA_ADJUSTED=Adjusted","Sort=A","Dates=H","DateFormat=P","Fill=—","Direction=H","UseDPDF=Y")</f>
        <v>16.100999999999999</v>
      </c>
      <c r="X11" s="13">
        <f>_xll.BDH("BLUE US Equity","SALES_REV_TURN","FQ3 2024","FQ3 2024","Currency=USD","Period=FQ","BEST_FPERIOD_OVERRIDE=FQ","FILING_STATUS=MR","SCALING_FORMAT=MLN","FA_ADJUSTED=Adjusted","Sort=A","Dates=H","DateFormat=P","Fill=—","Direction=H","UseDPDF=Y")</f>
        <v>10.612</v>
      </c>
      <c r="Y11" s="13">
        <f>_xll.BDH("BLUE US Equity","SALES_REV_TURN","FQ4 2024","FQ4 2024","Currency=USD","Period=FQ","BEST_FPERIOD_OVERRIDE=FQ","FILING_STATUS=MR","SCALING_FORMAT=MLN","FA_ADJUSTED=Adjusted","Sort=A","Dates=H","DateFormat=P","Fill=—","Direction=H","UseDPDF=Y")</f>
        <v>38.521000000000001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x14ac:dyDescent="0.25">
      <c r="A14" s="10" t="s">
        <v>130</v>
      </c>
      <c r="B14" s="10" t="s">
        <v>138</v>
      </c>
      <c r="C14" s="14">
        <f>_xll.BDH("BLUE US Equity","BEST_EPS","FQ2 2019","FQ2 2019","Currency=USD","Period=FQ","BEST_FPERIOD_OVERRIDE=FQ","FILING_STATUS=MR","Sort=A","Dates=H","DateFormat=P","Fill=—","Direction=H","UseDPDF=Y")</f>
        <v>-60.762</v>
      </c>
      <c r="D14" s="14">
        <f>_xll.BDH("BLUE US Equity","BEST_EPS","FQ3 2019","FQ3 2019","Currency=USD","Period=FQ","BEST_FPERIOD_OVERRIDE=FQ","FILING_STATUS=MR","Sort=A","Dates=H","DateFormat=P","Fill=—","Direction=H","UseDPDF=Y")</f>
        <v>-69.787000000000006</v>
      </c>
      <c r="E14" s="14">
        <f>_xll.BDH("BLUE US Equity","BEST_EPS","FQ4 2019","FQ4 2019","Currency=USD","Period=FQ","BEST_FPERIOD_OVERRIDE=FQ","FILING_STATUS=MR","Sort=A","Dates=H","DateFormat=P","Fill=—","Direction=H","UseDPDF=Y")</f>
        <v>-74.599999999999994</v>
      </c>
      <c r="F14" s="14">
        <f>_xll.BDH("BLUE US Equity","BEST_EPS","FQ1 2020","FQ1 2020","Currency=USD","Period=FQ","BEST_FPERIOD_OVERRIDE=FQ","FILING_STATUS=MR","Sort=A","Dates=H","DateFormat=P","Fill=—","Direction=H","UseDPDF=Y")</f>
        <v>-81.216999999999999</v>
      </c>
      <c r="G14" s="14">
        <f>_xll.BDH("BLUE US Equity","BEST_EPS","FQ2 2020","FQ2 2020","Currency=USD","Period=FQ","BEST_FPERIOD_OVERRIDE=FQ","FILING_STATUS=MR","Sort=A","Dates=H","DateFormat=P","Fill=—","Direction=H","UseDPDF=Y")</f>
        <v>-54.643000000000001</v>
      </c>
      <c r="H14" s="14">
        <f>_xll.BDH("BLUE US Equity","BEST_EPS","FQ3 2020","FQ3 2020","Currency=USD","Period=FQ","BEST_FPERIOD_OVERRIDE=FQ","FILING_STATUS=MR","Sort=A","Dates=H","DateFormat=P","Fill=—","Direction=H","UseDPDF=Y")</f>
        <v>-59.220999999999997</v>
      </c>
      <c r="I14" s="14">
        <f>_xll.BDH("BLUE US Equity","BEST_EPS","FQ4 2020","FQ4 2020","Currency=USD","Period=FQ","BEST_FPERIOD_OVERRIDE=FQ","FILING_STATUS=MR","Sort=A","Dates=H","DateFormat=P","Fill=—","Direction=H","UseDPDF=Y")</f>
        <v>-60.061999999999998</v>
      </c>
      <c r="J14" s="14">
        <f>_xll.BDH("BLUE US Equity","BEST_EPS","FQ1 2021","FQ1 2021","Currency=USD","Period=FQ","BEST_FPERIOD_OVERRIDE=FQ","FILING_STATUS=MR","Sort=A","Dates=H","DateFormat=P","Fill=—","Direction=H","UseDPDF=Y")</f>
        <v>-60.488999999999997</v>
      </c>
      <c r="K14" s="14">
        <f>_xll.BDH("BLUE US Equity","BEST_EPS","FQ2 2021","FQ2 2021","Currency=USD","Period=FQ","BEST_FPERIOD_OVERRIDE=FQ","FILING_STATUS=MR","Sort=A","Dates=H","DateFormat=P","Fill=—","Direction=H","UseDPDF=Y")</f>
        <v>-65.039000000000001</v>
      </c>
      <c r="L14" s="14">
        <f>_xll.BDH("BLUE US Equity","BEST_EPS","FQ3 2021","FQ3 2021","Currency=USD","Period=FQ","BEST_FPERIOD_OVERRIDE=FQ","FILING_STATUS=MR","Sort=A","Dates=H","DateFormat=P","Fill=—","Direction=H","UseDPDF=Y")</f>
        <v>-54.454999999999998</v>
      </c>
      <c r="M14" s="14">
        <f>_xll.BDH("BLUE US Equity","BEST_EPS","FQ4 2021","FQ4 2021","Currency=USD","Period=FQ","BEST_FPERIOD_OVERRIDE=FQ","FILING_STATUS=MR","Sort=A","Dates=H","DateFormat=P","Fill=—","Direction=H","UseDPDF=Y")</f>
        <v>-39.447000000000003</v>
      </c>
      <c r="N14" s="14">
        <f>_xll.BDH("BLUE US Equity","BEST_EPS","FQ1 2022","FQ1 2022","Currency=USD","Period=FQ","BEST_FPERIOD_OVERRIDE=FQ","FILING_STATUS=MR","Sort=A","Dates=H","DateFormat=P","Fill=—","Direction=H","UseDPDF=Y")</f>
        <v>-27.974</v>
      </c>
      <c r="O14" s="14">
        <f>_xll.BDH("BLUE US Equity","BEST_EPS","FQ2 2022","FQ2 2022","Currency=USD","Period=FQ","BEST_FPERIOD_OVERRIDE=FQ","FILING_STATUS=MR","Sort=A","Dates=H","DateFormat=P","Fill=—","Direction=H","UseDPDF=Y")</f>
        <v>-25.905000000000001</v>
      </c>
      <c r="P14" s="14">
        <f>_xll.BDH("BLUE US Equity","BEST_EPS","FQ3 2022","FQ3 2022","Currency=USD","Period=FQ","BEST_FPERIOD_OVERRIDE=FQ","FILING_STATUS=MR","Sort=A","Dates=H","DateFormat=P","Fill=—","Direction=H","UseDPDF=Y")</f>
        <v>-22.576000000000001</v>
      </c>
      <c r="Q14" s="14">
        <f>_xll.BDH("BLUE US Equity","BEST_EPS","FQ4 2022","FQ4 2022","Currency=USD","Period=FQ","BEST_FPERIOD_OVERRIDE=FQ","FILING_STATUS=MR","Sort=A","Dates=H","DateFormat=P","Fill=—","Direction=H","UseDPDF=Y")</f>
        <v>-10.199999999999999</v>
      </c>
      <c r="R14" s="14">
        <f>_xll.BDH("BLUE US Equity","BEST_EPS","FQ1 2023","FQ1 2023","Currency=USD","Period=FQ","BEST_FPERIOD_OVERRIDE=FQ","FILING_STATUS=MR","Sort=A","Dates=H","DateFormat=P","Fill=—","Direction=H","UseDPDF=Y")</f>
        <v>-6.8659999999999997</v>
      </c>
      <c r="S14" s="14">
        <f>_xll.BDH("BLUE US Equity","BEST_EPS","FQ2 2023","FQ2 2023","Currency=USD","Period=FQ","BEST_FPERIOD_OVERRIDE=FQ","FILING_STATUS=MR","Sort=A","Dates=H","DateFormat=P","Fill=—","Direction=H","UseDPDF=Y")</f>
        <v>-14.073</v>
      </c>
      <c r="T14" s="14">
        <f>_xll.BDH("BLUE US Equity","BEST_EPS","FQ3 2023","FQ3 2023","Currency=USD","Period=FQ","BEST_FPERIOD_OVERRIDE=FQ","FILING_STATUS=MR","Sort=A","Dates=H","DateFormat=P","Fill=—","Direction=H","UseDPDF=Y")</f>
        <v>-13.393000000000001</v>
      </c>
      <c r="U14" s="14">
        <f>_xll.BDH("BLUE US Equity","BEST_EPS","FQ4 2023","FQ4 2023","Currency=USD","Period=FQ","BEST_FPERIOD_OVERRIDE=FQ","FILING_STATUS=MR","Sort=A","Dates=H","DateFormat=P","Fill=—","Direction=H","UseDPDF=Y")</f>
        <v>-12.382</v>
      </c>
      <c r="V14" s="14">
        <f>_xll.BDH("BLUE US Equity","BEST_EPS","FQ1 2024","FQ1 2024","Currency=USD","Period=FQ","BEST_FPERIOD_OVERRIDE=FQ","FILING_STATUS=MR","Sort=A","Dates=H","DateFormat=P","Fill=—","Direction=H","UseDPDF=Y")</f>
        <v>-7.8940000000000001</v>
      </c>
      <c r="W14" s="14">
        <f>_xll.BDH("BLUE US Equity","BEST_EPS","FQ2 2024","FQ2 2024","Currency=USD","Period=FQ","BEST_FPERIOD_OVERRIDE=FQ","FILING_STATUS=MR","Sort=A","Dates=H","DateFormat=P","Fill=—","Direction=H","UseDPDF=Y")</f>
        <v>-7.6509999999999998</v>
      </c>
      <c r="X14" s="14">
        <f>_xll.BDH("BLUE US Equity","BEST_EPS","FQ3 2024","FQ3 2024","Currency=USD","Period=FQ","BEST_FPERIOD_OVERRIDE=FQ","FILING_STATUS=MR","Sort=A","Dates=H","DateFormat=P","Fill=—","Direction=H","UseDPDF=Y")</f>
        <v>-7.23</v>
      </c>
      <c r="Y14" s="14">
        <f>_xll.BDH("BLUE US Equity","BEST_EPS","FQ4 2024","FQ4 2024","Currency=USD","Period=FQ","BEST_FPERIOD_OVERRIDE=FQ","FILING_STATUS=MR","Sort=A","Dates=H","DateFormat=P","Fill=—","Direction=H","UseDPDF=Y")</f>
        <v>-4.9969999999999999</v>
      </c>
      <c r="Z14" s="14">
        <v>-2.931</v>
      </c>
      <c r="AA14" s="14">
        <v>-1.5149999999999999</v>
      </c>
    </row>
    <row r="15" spans="1:27" x14ac:dyDescent="0.25">
      <c r="A15" s="10" t="s">
        <v>132</v>
      </c>
      <c r="B15" s="10" t="s">
        <v>139</v>
      </c>
      <c r="C15" s="14">
        <f>_xll.BDH("BLUE US Equity","IS_COMP_EPS_ADJUSTED","FQ2 2019","FQ2 2019","Currency=USD","Period=FQ","BEST_FPERIOD_OVERRIDE=FQ","FILING_STATUS=MR","Sort=A","Dates=H","DateFormat=P","Fill=—","Direction=H","UseDPDF=Y")</f>
        <v>-70.919200000000004</v>
      </c>
      <c r="D15" s="14">
        <f>_xll.BDH("BLUE US Equity","IS_COMP_EPS_ADJUSTED","FQ3 2019","FQ3 2019","Currency=USD","Period=FQ","BEST_FPERIOD_OVERRIDE=FQ","FILING_STATUS=MR","Sort=A","Dates=H","DateFormat=P","Fill=—","Direction=H","UseDPDF=Y")</f>
        <v>-74.599999999999994</v>
      </c>
      <c r="E15" s="14">
        <f>_xll.BDH("BLUE US Equity","IS_COMP_EPS_ADJUSTED","FQ4 2019","FQ4 2019","Currency=USD","Period=FQ","BEST_FPERIOD_OVERRIDE=FQ","FILING_STATUS=MR","Sort=A","Dates=H","DateFormat=P","Fill=—","Direction=H","UseDPDF=Y")</f>
        <v>-80.302599999999998</v>
      </c>
      <c r="F15" s="14">
        <f>_xll.BDH("BLUE US Equity","IS_COMP_EPS_ADJUSTED","FQ1 2020","FQ1 2020","Currency=USD","Period=FQ","BEST_FPERIOD_OVERRIDE=FQ","FILING_STATUS=MR","Sort=A","Dates=H","DateFormat=P","Fill=—","Direction=H","UseDPDF=Y")</f>
        <v>-72.8</v>
      </c>
      <c r="G15" s="14">
        <f>_xll.BDH("BLUE US Equity","IS_COMP_EPS_ADJUSTED","FQ2 2020","FQ2 2020","Currency=USD","Period=FQ","BEST_FPERIOD_OVERRIDE=FQ","FILING_STATUS=MR","Sort=A","Dates=H","DateFormat=P","Fill=—","Direction=H","UseDPDF=Y")</f>
        <v>-7.2</v>
      </c>
      <c r="H15" s="14">
        <f>_xll.BDH("BLUE US Equity","IS_COMP_EPS_ADJUSTED","FQ3 2020","FQ3 2020","Currency=USD","Period=FQ","BEST_FPERIOD_OVERRIDE=FQ","FILING_STATUS=MR","Sort=A","Dates=H","DateFormat=P","Fill=—","Direction=H","UseDPDF=Y")</f>
        <v>-58.8</v>
      </c>
      <c r="I15" s="14">
        <f>_xll.BDH("BLUE US Equity","IS_COMP_EPS_ADJUSTED","FQ4 2020","FQ4 2020","Currency=USD","Period=FQ","BEST_FPERIOD_OVERRIDE=FQ","FILING_STATUS=MR","Sort=A","Dates=H","DateFormat=P","Fill=—","Direction=H","UseDPDF=Y")</f>
        <v>-60.2</v>
      </c>
      <c r="J15" s="14">
        <f>_xll.BDH("BLUE US Equity","IS_COMP_EPS_ADJUSTED","FQ1 2021","FQ1 2021","Currency=USD","Period=FQ","BEST_FPERIOD_OVERRIDE=FQ","FILING_STATUS=MR","Sort=A","Dates=H","DateFormat=P","Fill=—","Direction=H","UseDPDF=Y")</f>
        <v>-61.370199999999997</v>
      </c>
      <c r="K15" s="14">
        <f>_xll.BDH("BLUE US Equity","IS_COMP_EPS_ADJUSTED","FQ2 2021","FQ2 2021","Currency=USD","Period=FQ","BEST_FPERIOD_OVERRIDE=FQ","FILING_STATUS=MR","Sort=A","Dates=H","DateFormat=P","Fill=—","Direction=H","UseDPDF=Y")</f>
        <v>-71.599999999999994</v>
      </c>
      <c r="L15" s="14">
        <f>_xll.BDH("BLUE US Equity","IS_COMP_EPS_ADJUSTED","FQ3 2021","FQ3 2021","Currency=USD","Period=FQ","BEST_FPERIOD_OVERRIDE=FQ","FILING_STATUS=MR","Sort=A","Dates=H","DateFormat=P","Fill=—","Direction=H","UseDPDF=Y")</f>
        <v>-63.2</v>
      </c>
      <c r="M15" s="14">
        <f>_xll.BDH("BLUE US Equity","IS_COMP_EPS_ADJUSTED","FQ4 2021","FQ4 2021","Currency=USD","Period=FQ","BEST_FPERIOD_OVERRIDE=FQ","FILING_STATUS=MR","Sort=A","Dates=H","DateFormat=P","Fill=—","Direction=H","UseDPDF=Y")</f>
        <v>-36.6</v>
      </c>
      <c r="N15" s="14">
        <f>_xll.BDH("BLUE US Equity","IS_COMP_EPS_ADJUSTED","FQ1 2022","FQ1 2022","Currency=USD","Period=FQ","BEST_FPERIOD_OVERRIDE=FQ","FILING_STATUS=MR","Sort=A","Dates=H","DateFormat=P","Fill=—","Direction=H","UseDPDF=Y")</f>
        <v>-33.200000000000003</v>
      </c>
      <c r="O15" s="14">
        <f>_xll.BDH("BLUE US Equity","IS_COMP_EPS_ADJUSTED","FQ2 2022","FQ2 2022","Currency=USD","Period=FQ","BEST_FPERIOD_OVERRIDE=FQ","FILING_STATUS=MR","Sort=A","Dates=H","DateFormat=P","Fill=—","Direction=H","UseDPDF=Y")</f>
        <v>-27.2</v>
      </c>
      <c r="P15" s="14">
        <f>_xll.BDH("BLUE US Equity","IS_COMP_EPS_ADJUSTED","FQ3 2022","FQ3 2022","Currency=USD","Period=FQ","BEST_FPERIOD_OVERRIDE=FQ","FILING_STATUS=MR","Sort=A","Dates=H","DateFormat=P","Fill=—","Direction=H","UseDPDF=Y")</f>
        <v>-18.8</v>
      </c>
      <c r="Q15" s="14">
        <f>_xll.BDH("BLUE US Equity","IS_COMP_EPS_ADJUSTED","FQ4 2022","FQ4 2022","Currency=USD","Period=FQ","BEST_FPERIOD_OVERRIDE=FQ","FILING_STATUS=MR","Sort=A","Dates=H","DateFormat=P","Fill=—","Direction=H","UseDPDF=Y")</f>
        <v>7.6</v>
      </c>
      <c r="R15" s="14">
        <f>_xll.BDH("BLUE US Equity","IS_COMP_EPS_ADJUSTED","FQ1 2023","FQ1 2023","Currency=USD","Period=FQ","BEST_FPERIOD_OVERRIDE=FQ","FILING_STATUS=MR","Sort=A","Dates=H","DateFormat=P","Fill=—","Direction=H","UseDPDF=Y")</f>
        <v>4.2</v>
      </c>
      <c r="S15" s="14">
        <f>_xll.BDH("BLUE US Equity","IS_COMP_EPS_ADJUSTED","FQ2 2023","FQ2 2023","Currency=USD","Period=FQ","BEST_FPERIOD_OVERRIDE=FQ","FILING_STATUS=MR","Sort=A","Dates=H","DateFormat=P","Fill=—","Direction=H","UseDPDF=Y")</f>
        <v>-13.4</v>
      </c>
      <c r="T15" s="14">
        <f>_xll.BDH("BLUE US Equity","IS_COMP_EPS_ADJUSTED","FQ3 2023","FQ3 2023","Currency=USD","Period=FQ","BEST_FPERIOD_OVERRIDE=FQ","FILING_STATUS=MR","Sort=A","Dates=H","DateFormat=P","Fill=—","Direction=H","UseDPDF=Y")</f>
        <v>-13.2</v>
      </c>
      <c r="U15" s="14">
        <f>_xll.BDH("BLUE US Equity","IS_COMP_EPS_ADJUSTED","FQ4 2023","FQ4 2023","Currency=USD","Period=FQ","BEST_FPERIOD_OVERRIDE=FQ","FILING_STATUS=MR","Sort=A","Dates=H","DateFormat=P","Fill=—","Direction=H","UseDPDF=Y")</f>
        <v>-14.926500000000001</v>
      </c>
      <c r="V15" s="14">
        <f>_xll.BDH("BLUE US Equity","IS_COMP_EPS_ADJUSTED","FQ1 2024","FQ1 2024","Currency=USD","Period=FQ","BEST_FPERIOD_OVERRIDE=FQ","FILING_STATUS=MR","Sort=A","Dates=H","DateFormat=P","Fill=—","Direction=H","UseDPDF=Y")</f>
        <v>-7.2</v>
      </c>
      <c r="W15" s="14">
        <f>_xll.BDH("BLUE US Equity","IS_COMP_EPS_ADJUSTED","FQ2 2024","FQ2 2024","Currency=USD","Period=FQ","BEST_FPERIOD_OVERRIDE=FQ","FILING_STATUS=MR","Sort=A","Dates=H","DateFormat=P","Fill=—","Direction=H","UseDPDF=Y")</f>
        <v>-8.4</v>
      </c>
      <c r="X15" s="14">
        <f>_xll.BDH("BLUE US Equity","IS_COMP_EPS_ADJUSTED","FQ3 2024","FQ3 2024","Currency=USD","Period=FQ","BEST_FPERIOD_OVERRIDE=FQ","FILING_STATUS=MR","Sort=A","Dates=H","DateFormat=P","Fill=—","Direction=H","UseDPDF=Y")</f>
        <v>-6.2</v>
      </c>
      <c r="Y15" s="14" t="str">
        <f>_xll.BDH("BLUE US Equity","IS_COMP_EPS_ADJUSTED","FQ4 2024","FQ4 2024","Currency=USD","Period=FQ","BEST_FPERIOD_OVERRIDE=FQ","FILING_STATUS=MR","Sort=A","Dates=H","DateFormat=P","Fill=—","Direction=H","UseDPDF=Y")</f>
        <v>—</v>
      </c>
      <c r="Z15" s="14"/>
      <c r="AA15" s="14"/>
    </row>
    <row r="16" spans="1:27" x14ac:dyDescent="0.25">
      <c r="A16" s="11" t="s">
        <v>140</v>
      </c>
      <c r="B16" s="11"/>
      <c r="C16" s="25">
        <v>-16.716401698429902</v>
      </c>
      <c r="D16" s="25">
        <v>-6.8966999584449704</v>
      </c>
      <c r="E16" s="25">
        <v>-7.6442359249329801</v>
      </c>
      <c r="F16" s="25">
        <v>10.3635938288782</v>
      </c>
      <c r="G16" s="25">
        <v>86.823563859963798</v>
      </c>
      <c r="H16" s="25">
        <v>0.71089647253507904</v>
      </c>
      <c r="I16" s="25">
        <v>-0.22976257866871799</v>
      </c>
      <c r="J16" s="25">
        <v>-1.45676073335648</v>
      </c>
      <c r="K16" s="25">
        <v>-10.087793477759501</v>
      </c>
      <c r="L16" s="25">
        <v>-16.0591313928932</v>
      </c>
      <c r="M16" s="25">
        <v>7.2172788805232404</v>
      </c>
      <c r="N16" s="25">
        <v>-18.6816329448774</v>
      </c>
      <c r="O16" s="25">
        <v>-4.99903493534066</v>
      </c>
      <c r="P16" s="25">
        <v>16.725726435152399</v>
      </c>
      <c r="Q16" s="25" t="s">
        <v>76</v>
      </c>
      <c r="R16" s="25" t="s">
        <v>76</v>
      </c>
      <c r="S16" s="25">
        <v>4.7822070631706097</v>
      </c>
      <c r="T16" s="25">
        <v>1.44105129545286</v>
      </c>
      <c r="U16" s="25">
        <v>-20.5497980940074</v>
      </c>
      <c r="V16" s="25">
        <v>8.7914872054725102</v>
      </c>
      <c r="W16" s="25">
        <v>-9.7895699908508806</v>
      </c>
      <c r="X16" s="25">
        <v>14.2461964038728</v>
      </c>
      <c r="Y16" s="25" t="s">
        <v>76</v>
      </c>
      <c r="Z16" s="25"/>
      <c r="AA16" s="25"/>
    </row>
    <row r="17" spans="1:27" x14ac:dyDescent="0.25">
      <c r="A17" s="10" t="s">
        <v>135</v>
      </c>
      <c r="B17" s="10" t="s">
        <v>104</v>
      </c>
      <c r="C17" s="14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D17" s="14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E17" s="14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F17" s="14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G17" s="14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H17" s="14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I17" s="14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J17" s="14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K17" s="14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L17" s="14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M17" s="14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N17" s="14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O17" s="14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P17" s="14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Q17" s="14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R17" s="14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S17" s="14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T17" s="14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U17" s="14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V17" s="14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W17" s="14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X17" s="14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Y17" s="14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  <c r="Z17" s="14"/>
      <c r="AA17" s="14"/>
    </row>
    <row r="18" spans="1:27" x14ac:dyDescent="0.25">
      <c r="A18" s="10" t="s">
        <v>136</v>
      </c>
      <c r="B18" s="10" t="s">
        <v>82</v>
      </c>
      <c r="C18" s="14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D18" s="14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E18" s="14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F18" s="14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G18" s="14">
        <f>_xll.BDH("BLUE US Equity","IS_DIL_EPS_CONT_OPS","FQ2 2020","FQ2 2020","Currency=USD","Period=FQ","BEST_FPERIOD_OVERRIDE=FQ","FILING_STATUS=MR","Sort=A","Dates=H","DateFormat=P","Fill=—","Direction=H","UseDPDF=Y")</f>
        <v>-7.633</v>
      </c>
      <c r="H18" s="14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I18" s="14">
        <f>_xll.BDH("BLUE US Equity","IS_DIL_EPS_CONT_OPS","FQ4 2020","FQ4 2020","Currency=USD","Period=FQ","BEST_FPERIOD_OVERRIDE=FQ","FILING_STATUS=MR","Sort=A","Dates=H","DateFormat=P","Fill=—","Direction=H","UseDPDF=Y")</f>
        <v>-41</v>
      </c>
      <c r="J18" s="14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K18" s="14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L18" s="14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M18" s="14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N18" s="14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O18" s="14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P18" s="14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Q18" s="14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R18" s="14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S18" s="14">
        <f>_xll.BDH("BLUE US Equity","IS_DIL_EPS_CONT_OPS","FQ2 2023","FQ2 2023","Currency=USD","Period=FQ","BEST_FPERIOD_OVERRIDE=FQ","FILING_STATUS=MR","Sort=A","Dates=H","DateFormat=P","Fill=—","Direction=H","UseDPDF=Y")</f>
        <v>-11.6</v>
      </c>
      <c r="T18" s="14">
        <f>_xll.BDH("BLUE US Equity","IS_DIL_EPS_CONT_OPS","FQ3 2023","FQ3 2023","Currency=USD","Period=FQ","BEST_FPERIOD_OVERRIDE=FQ","FILING_STATUS=MR","Sort=A","Dates=H","DateFormat=P","Fill=—","Direction=H","UseDPDF=Y")</f>
        <v>-16</v>
      </c>
      <c r="U18" s="14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V18" s="14">
        <f>_xll.BDH("BLUE US Equity","IS_DIL_EPS_CONT_OPS","FQ1 2024","FQ1 2024","Currency=USD","Period=FQ","BEST_FPERIOD_OVERRIDE=FQ","FILING_STATUS=MR","Sort=A","Dates=H","DateFormat=P","Fill=—","Direction=H","UseDPDF=Y")</f>
        <v>-7.2</v>
      </c>
      <c r="W18" s="14">
        <f>_xll.BDH("BLUE US Equity","IS_DIL_EPS_CONT_OPS","FQ2 2024","FQ2 2024","Currency=USD","Period=FQ","BEST_FPERIOD_OVERRIDE=FQ","FILING_STATUS=MR","Sort=A","Dates=H","DateFormat=P","Fill=—","Direction=H","UseDPDF=Y")</f>
        <v>-8.4</v>
      </c>
      <c r="X18" s="14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Y18" s="14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  <c r="Z18" s="14"/>
      <c r="AA18" s="14"/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 t="s">
        <v>141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0" t="s">
        <v>130</v>
      </c>
      <c r="B21" s="10" t="s">
        <v>142</v>
      </c>
      <c r="C21" s="13">
        <f>_xll.BDH("BLUE US Equity","BEST_OPP","FQ2 2019","FQ2 2019","Currency=USD","Period=FQ","BEST_FPERIOD_OVERRIDE=FQ","FILING_STATUS=MR","Sort=A","Dates=H","DateFormat=P","Fill=—","Direction=H","UseDPDF=Y")</f>
        <v>-173.273</v>
      </c>
      <c r="D21" s="13">
        <f>_xll.BDH("BLUE US Equity","BEST_OPP","FQ3 2019","FQ3 2019","Currency=USD","Period=FQ","BEST_FPERIOD_OVERRIDE=FQ","FILING_STATUS=MR","Sort=A","Dates=H","DateFormat=P","Fill=—","Direction=H","UseDPDF=Y")</f>
        <v>-199.786</v>
      </c>
      <c r="E21" s="13">
        <f>_xll.BDH("BLUE US Equity","BEST_OPP","FQ4 2019","FQ4 2019","Currency=USD","Period=FQ","BEST_FPERIOD_OVERRIDE=FQ","FILING_STATUS=MR","Sort=A","Dates=H","DateFormat=P","Fill=—","Direction=H","UseDPDF=Y")</f>
        <v>-219.714</v>
      </c>
      <c r="F21" s="13">
        <f>_xll.BDH("BLUE US Equity","BEST_OPP","FQ1 2020","FQ1 2020","Currency=USD","Period=FQ","BEST_FPERIOD_OVERRIDE=FQ","FILING_STATUS=MR","Sort=A","Dates=H","DateFormat=P","Fill=—","Direction=H","UseDPDF=Y")</f>
        <v>-233.54499999999999</v>
      </c>
      <c r="G21" s="13">
        <f>_xll.BDH("BLUE US Equity","BEST_OPP","FQ2 2020","FQ2 2020","Currency=USD","Period=FQ","BEST_FPERIOD_OVERRIDE=FQ","FILING_STATUS=MR","Sort=A","Dates=H","DateFormat=P","Fill=—","Direction=H","UseDPDF=Y")</f>
        <v>-158.79300000000001</v>
      </c>
      <c r="H21" s="13">
        <f>_xll.BDH("BLUE US Equity","BEST_OPP","FQ3 2020","FQ3 2020","Currency=USD","Period=FQ","BEST_FPERIOD_OVERRIDE=FQ","FILING_STATUS=MR","Sort=A","Dates=H","DateFormat=P","Fill=—","Direction=H","UseDPDF=Y")</f>
        <v>-192.125</v>
      </c>
      <c r="I21" s="13">
        <f>_xll.BDH("BLUE US Equity","BEST_OPP","FQ4 2020","FQ4 2020","Currency=USD","Period=FQ","BEST_FPERIOD_OVERRIDE=FQ","FILING_STATUS=MR","Sort=A","Dates=H","DateFormat=P","Fill=—","Direction=H","UseDPDF=Y")</f>
        <v>-199.071</v>
      </c>
      <c r="J21" s="13">
        <f>_xll.BDH("BLUE US Equity","BEST_OPP","FQ1 2021","FQ1 2021","Currency=USD","Period=FQ","BEST_FPERIOD_OVERRIDE=FQ","FILING_STATUS=MR","Sort=A","Dates=H","DateFormat=P","Fill=—","Direction=H","UseDPDF=Y")</f>
        <v>-201.923</v>
      </c>
      <c r="K21" s="13">
        <f>_xll.BDH("BLUE US Equity","BEST_OPP","FQ2 2021","FQ2 2021","Currency=USD","Period=FQ","BEST_FPERIOD_OVERRIDE=FQ","FILING_STATUS=MR","Sort=A","Dates=H","DateFormat=P","Fill=—","Direction=H","UseDPDF=Y")</f>
        <v>-224.13300000000001</v>
      </c>
      <c r="L21" s="13">
        <f>_xll.BDH("BLUE US Equity","BEST_OPP","FQ3 2021","FQ3 2021","Currency=USD","Period=FQ","BEST_FPERIOD_OVERRIDE=FQ","FILING_STATUS=MR","Sort=A","Dates=H","DateFormat=P","Fill=—","Direction=H","UseDPDF=Y")</f>
        <v>-182.78100000000001</v>
      </c>
      <c r="M21" s="13">
        <f>_xll.BDH("BLUE US Equity","BEST_OPP","FQ4 2021","FQ4 2021","Currency=USD","Period=FQ","BEST_FPERIOD_OVERRIDE=FQ","FILING_STATUS=MR","Sort=A","Dates=H","DateFormat=P","Fill=—","Direction=H","UseDPDF=Y")</f>
        <v>-134.80799999999999</v>
      </c>
      <c r="N21" s="13">
        <f>_xll.BDH("BLUE US Equity","BEST_OPP","FQ1 2022","FQ1 2022","Currency=USD","Period=FQ","BEST_FPERIOD_OVERRIDE=FQ","FILING_STATUS=MR","Sort=A","Dates=H","DateFormat=P","Fill=—","Direction=H","UseDPDF=Y")</f>
        <v>-110.467</v>
      </c>
      <c r="O21" s="13">
        <f>_xll.BDH("BLUE US Equity","BEST_OPP","FQ2 2022","FQ2 2022","Currency=USD","Period=FQ","BEST_FPERIOD_OVERRIDE=FQ","FILING_STATUS=MR","Sort=A","Dates=H","DateFormat=P","Fill=—","Direction=H","UseDPDF=Y")</f>
        <v>-95.35</v>
      </c>
      <c r="P21" s="13">
        <f>_xll.BDH("BLUE US Equity","BEST_OPP","FQ3 2022","FQ3 2022","Currency=USD","Period=FQ","BEST_FPERIOD_OVERRIDE=FQ","FILING_STATUS=MR","Sort=A","Dates=H","DateFormat=P","Fill=—","Direction=H","UseDPDF=Y")</f>
        <v>-84.790999999999997</v>
      </c>
      <c r="Q21" s="13">
        <f>_xll.BDH("BLUE US Equity","BEST_OPP","FQ4 2022","FQ4 2022","Currency=USD","Period=FQ","BEST_FPERIOD_OVERRIDE=FQ","FILING_STATUS=MR","Sort=A","Dates=H","DateFormat=P","Fill=—","Direction=H","UseDPDF=Y")</f>
        <v>-46.832999999999998</v>
      </c>
      <c r="R21" s="13">
        <f>_xll.BDH("BLUE US Equity","BEST_OPP","FQ1 2023","FQ1 2023","Currency=USD","Period=FQ","BEST_FPERIOD_OVERRIDE=FQ","FILING_STATUS=MR","Sort=A","Dates=H","DateFormat=P","Fill=—","Direction=H","UseDPDF=Y")</f>
        <v>-39.286999999999999</v>
      </c>
      <c r="S21" s="13">
        <f>_xll.BDH("BLUE US Equity","BEST_OPP","FQ2 2023","FQ2 2023","Currency=USD","Period=FQ","BEST_FPERIOD_OVERRIDE=FQ","FILING_STATUS=MR","Sort=A","Dates=H","DateFormat=P","Fill=—","Direction=H","UseDPDF=Y")</f>
        <v>-77.084999999999994</v>
      </c>
      <c r="T21" s="13">
        <f>_xll.BDH("BLUE US Equity","BEST_OPP","FQ3 2023","FQ3 2023","Currency=USD","Period=FQ","BEST_FPERIOD_OVERRIDE=FQ","FILING_STATUS=MR","Sort=A","Dates=H","DateFormat=P","Fill=—","Direction=H","UseDPDF=Y")</f>
        <v>-77.507999999999996</v>
      </c>
      <c r="U21" s="13">
        <f>_xll.BDH("BLUE US Equity","BEST_OPP","FQ4 2023","FQ4 2023","Currency=USD","Period=FQ","BEST_FPERIOD_OVERRIDE=FQ","FILING_STATUS=MR","Sort=A","Dates=H","DateFormat=P","Fill=—","Direction=H","UseDPDF=Y")</f>
        <v>-86.844999999999999</v>
      </c>
      <c r="V21" s="13">
        <f>_xll.BDH("BLUE US Equity","BEST_OPP","FQ1 2024","FQ1 2024","Currency=USD","Period=FQ","BEST_FPERIOD_OVERRIDE=FQ","FILING_STATUS=MR","Sort=A","Dates=H","DateFormat=P","Fill=—","Direction=H","UseDPDF=Y")</f>
        <v>-74.343999999999994</v>
      </c>
      <c r="W21" s="13">
        <f>_xll.BDH("BLUE US Equity","BEST_OPP","FQ2 2024","FQ2 2024","Currency=USD","Period=FQ","BEST_FPERIOD_OVERRIDE=FQ","FILING_STATUS=MR","Sort=A","Dates=H","DateFormat=P","Fill=—","Direction=H","UseDPDF=Y")</f>
        <v>-74.335999999999999</v>
      </c>
      <c r="X21" s="13">
        <f>_xll.BDH("BLUE US Equity","BEST_OPP","FQ3 2024","FQ3 2024","Currency=USD","Period=FQ","BEST_FPERIOD_OVERRIDE=FQ","FILING_STATUS=MR","Sort=A","Dates=H","DateFormat=P","Fill=—","Direction=H","UseDPDF=Y")</f>
        <v>-70.224999999999994</v>
      </c>
      <c r="Y21" s="13">
        <f>_xll.BDH("BLUE US Equity","BEST_OPP","FQ4 2024","FQ4 2024","Currency=USD","Period=FQ","BEST_FPERIOD_OVERRIDE=FQ","FILING_STATUS=MR","Sort=A","Dates=H","DateFormat=P","Fill=—","Direction=H","UseDPDF=Y")</f>
        <v>-59.15</v>
      </c>
      <c r="Z21" s="13">
        <v>-44.716999999999999</v>
      </c>
      <c r="AA21" s="13">
        <v>-24.567</v>
      </c>
    </row>
    <row r="22" spans="1:27" x14ac:dyDescent="0.25">
      <c r="A22" s="10" t="s">
        <v>132</v>
      </c>
      <c r="B22" s="10" t="s">
        <v>143</v>
      </c>
      <c r="C22" s="13">
        <f>_xll.BDH("BLUE US Equity","IS_COMPARABLE_EBIT","FQ2 2019","FQ2 2019","Currency=USD","Period=FQ","BEST_FPERIOD_OVERRIDE=FQ","FILING_STATUS=MR","SCALING_FORMAT=MLN","Sort=A","Dates=H","DateFormat=P","Fill=—","Direction=H","UseDPDF=Y")</f>
        <v>-202.702</v>
      </c>
      <c r="D22" s="13">
        <f>_xll.BDH("BLUE US Equity","IS_COMPARABLE_EBIT","FQ3 2019","FQ3 2019","Currency=USD","Period=FQ","BEST_FPERIOD_OVERRIDE=FQ","FILING_STATUS=MR","SCALING_FORMAT=MLN","Sort=A","Dates=H","DateFormat=P","Fill=—","Direction=H","UseDPDF=Y")</f>
        <v>-210.416</v>
      </c>
      <c r="E22" s="13">
        <f>_xll.BDH("BLUE US Equity","IS_COMPARABLE_EBIT","FQ4 2019","FQ4 2019","Currency=USD","Period=FQ","BEST_FPERIOD_OVERRIDE=FQ","FILING_STATUS=MR","SCALING_FORMAT=MLN","Sort=A","Dates=H","DateFormat=P","Fill=—","Direction=H","UseDPDF=Y")</f>
        <v>-230.53399999999999</v>
      </c>
      <c r="F22" s="13">
        <f>_xll.BDH("BLUE US Equity","IS_COMPARABLE_EBIT","FQ1 2020","FQ1 2020","Currency=USD","Period=FQ","BEST_FPERIOD_OVERRIDE=FQ","FILING_STATUS=MR","SCALING_FORMAT=MLN","Sort=A","Dates=H","DateFormat=P","Fill=—","Direction=H","UseDPDF=Y")</f>
        <v>-203.42500000000001</v>
      </c>
      <c r="G22" s="13">
        <f>_xll.BDH("BLUE US Equity","IS_COMPARABLE_EBIT","FQ2 2020","FQ2 2020","Currency=USD","Period=FQ","BEST_FPERIOD_OVERRIDE=FQ","FILING_STATUS=MR","SCALING_FORMAT=MLN","Sort=A","Dates=H","DateFormat=P","Fill=—","Direction=H","UseDPDF=Y")</f>
        <v>-25.945</v>
      </c>
      <c r="H22" s="13">
        <f>_xll.BDH("BLUE US Equity","IS_COMPARABLE_EBIT","FQ3 2020","FQ3 2020","Currency=USD","Period=FQ","BEST_FPERIOD_OVERRIDE=FQ","FILING_STATUS=MR","SCALING_FORMAT=MLN","Sort=A","Dates=H","DateFormat=P","Fill=—","Direction=H","UseDPDF=Y")</f>
        <v>-189.69399999999999</v>
      </c>
      <c r="I22" s="13">
        <f>_xll.BDH("BLUE US Equity","IS_COMPARABLE_EBIT","FQ4 2020","FQ4 2020","Currency=USD","Period=FQ","BEST_FPERIOD_OVERRIDE=FQ","FILING_STATUS=MR","SCALING_FORMAT=MLN","Sort=A","Dates=H","DateFormat=P","Fill=—","Direction=H","UseDPDF=Y")</f>
        <v>-203.982</v>
      </c>
      <c r="J22" s="13">
        <f>_xll.BDH("BLUE US Equity","IS_COMPARABLE_EBIT","FQ1 2021","FQ1 2021","Currency=USD","Period=FQ","BEST_FPERIOD_OVERRIDE=FQ","FILING_STATUS=MR","SCALING_FORMAT=MLN","Sort=A","Dates=H","DateFormat=P","Fill=—","Direction=H","UseDPDF=Y")</f>
        <v>-231.208</v>
      </c>
      <c r="K22" s="13">
        <f>_xll.BDH("BLUE US Equity","IS_COMPARABLE_EBIT","FQ2 2021","FQ2 2021","Currency=USD","Period=FQ","BEST_FPERIOD_OVERRIDE=FQ","FILING_STATUS=MR","SCALING_FORMAT=MLN","Sort=A","Dates=H","DateFormat=P","Fill=—","Direction=H","UseDPDF=Y")</f>
        <v>-240.83799999999999</v>
      </c>
      <c r="L22" s="13">
        <f>_xll.BDH("BLUE US Equity","IS_COMPARABLE_EBIT","FQ3 2021","FQ3 2021","Currency=USD","Period=FQ","BEST_FPERIOD_OVERRIDE=FQ","FILING_STATUS=MR","SCALING_FORMAT=MLN","Sort=A","Dates=H","DateFormat=P","Fill=—","Direction=H","UseDPDF=Y")</f>
        <v>-216.95400000000001</v>
      </c>
      <c r="M22" s="13">
        <f>_xll.BDH("BLUE US Equity","IS_COMPARABLE_EBIT","FQ4 2021","FQ4 2021","Currency=USD","Period=FQ","BEST_FPERIOD_OVERRIDE=FQ","FILING_STATUS=MR","SCALING_FORMAT=MLN","Sort=A","Dates=H","DateFormat=P","Fill=—","Direction=H","UseDPDF=Y")</f>
        <v>-135.667</v>
      </c>
      <c r="N22" s="13">
        <f>_xll.BDH("BLUE US Equity","IS_COMPARABLE_EBIT","FQ1 2022","FQ1 2022","Currency=USD","Period=FQ","BEST_FPERIOD_OVERRIDE=FQ","FILING_STATUS=MR","SCALING_FORMAT=MLN","Sort=A","Dates=H","DateFormat=P","Fill=—","Direction=H","UseDPDF=Y")</f>
        <v>-120.346</v>
      </c>
      <c r="O22" s="13">
        <f>_xll.BDH("BLUE US Equity","IS_COMPARABLE_EBIT","FQ2 2022","FQ2 2022","Currency=USD","Period=FQ","BEST_FPERIOD_OVERRIDE=FQ","FILING_STATUS=MR","SCALING_FORMAT=MLN","Sort=A","Dates=H","DateFormat=P","Fill=—","Direction=H","UseDPDF=Y")</f>
        <v>-107.4</v>
      </c>
      <c r="P22" s="13">
        <f>_xll.BDH("BLUE US Equity","IS_COMPARABLE_EBIT","FQ3 2022","FQ3 2022","Currency=USD","Period=FQ","BEST_FPERIOD_OVERRIDE=FQ","FILING_STATUS=MR","SCALING_FORMAT=MLN","Sort=A","Dates=H","DateFormat=P","Fill=—","Direction=H","UseDPDF=Y")</f>
        <v>-84.781000000000006</v>
      </c>
      <c r="Q22" s="13">
        <f>_xll.BDH("BLUE US Equity","IS_COMPARABLE_EBIT","FQ4 2022","FQ4 2022","Currency=USD","Period=FQ","BEST_FPERIOD_OVERRIDE=FQ","FILING_STATUS=MR","SCALING_FORMAT=MLN","Sort=A","Dates=H","DateFormat=P","Fill=—","Direction=H","UseDPDF=Y")</f>
        <v>25.434999999999999</v>
      </c>
      <c r="R22" s="13">
        <f>_xll.BDH("BLUE US Equity","IS_COMPARABLE_EBIT","FQ1 2023","FQ1 2023","Currency=USD","Period=FQ","BEST_FPERIOD_OVERRIDE=FQ","FILING_STATUS=MR","SCALING_FORMAT=MLN","Sort=A","Dates=H","DateFormat=P","Fill=—","Direction=H","UseDPDF=Y")</f>
        <v>8.4369999999999994</v>
      </c>
      <c r="S22" s="13">
        <f>_xll.BDH("BLUE US Equity","IS_COMPARABLE_EBIT","FQ2 2023","FQ2 2023","Currency=USD","Period=FQ","BEST_FPERIOD_OVERRIDE=FQ","FILING_STATUS=MR","SCALING_FORMAT=MLN","Sort=A","Dates=H","DateFormat=P","Fill=—","Direction=H","UseDPDF=Y")</f>
        <v>-85.296999999999997</v>
      </c>
      <c r="T22" s="13">
        <f>_xll.BDH("BLUE US Equity","IS_COMPARABLE_EBIT","FQ3 2023","FQ3 2023","Currency=USD","Period=FQ","BEST_FPERIOD_OVERRIDE=FQ","FILING_STATUS=MR","SCALING_FORMAT=MLN","Sort=A","Dates=H","DateFormat=P","Fill=—","Direction=H","UseDPDF=Y")</f>
        <v>-84.728999999999999</v>
      </c>
      <c r="U22" s="13">
        <f>_xll.BDH("BLUE US Equity","IS_COMPARABLE_EBIT","FQ4 2023","FQ4 2023","Currency=USD","Period=FQ","BEST_FPERIOD_OVERRIDE=FQ","FILING_STATUS=MR","SCALING_FORMAT=MLN","Sort=A","Dates=H","DateFormat=P","Fill=—","Direction=H","UseDPDF=Y")</f>
        <v>-82.673000000000002</v>
      </c>
      <c r="V22" s="13">
        <f>_xll.BDH("BLUE US Equity","IS_COMPARABLE_EBIT","FQ1 2024","FQ1 2024","Currency=USD","Period=FQ","BEST_FPERIOD_OVERRIDE=FQ","FILING_STATUS=MR","SCALING_FORMAT=MLN","Sort=A","Dates=H","DateFormat=P","Fill=—","Direction=H","UseDPDF=Y")</f>
        <v>-78.691999999999993</v>
      </c>
      <c r="W22" s="13">
        <f>_xll.BDH("BLUE US Equity","IS_COMPARABLE_EBIT","FQ2 2024","FQ2 2024","Currency=USD","Period=FQ","BEST_FPERIOD_OVERRIDE=FQ","FILING_STATUS=MR","SCALING_FORMAT=MLN","Sort=A","Dates=H","DateFormat=P","Fill=—","Direction=H","UseDPDF=Y")</f>
        <v>-88.391999999999996</v>
      </c>
      <c r="X22" s="13">
        <f>_xll.BDH("BLUE US Equity","IS_COMPARABLE_EBIT","FQ3 2024","FQ3 2024","Currency=USD","Period=FQ","BEST_FPERIOD_OVERRIDE=FQ","FILING_STATUS=MR","SCALING_FORMAT=MLN","Sort=A","Dates=H","DateFormat=P","Fill=—","Direction=H","UseDPDF=Y")</f>
        <v>-66.918999999999997</v>
      </c>
      <c r="Y22" s="13" t="str">
        <f>_xll.BDH("BLUE US Equity","IS_COMPARABLE_EBIT","FQ4 2024","FQ4 2024","Currency=USD","Period=FQ","BEST_FPERIOD_OVERRIDE=FQ","FILING_STATUS=MR","SCALING_FORMAT=MLN","Sort=A","Dates=H","DateFormat=P","Fill=—","Direction=H","UseDPDF=Y")</f>
        <v>—</v>
      </c>
      <c r="Z22" s="13"/>
      <c r="AA22" s="13"/>
    </row>
    <row r="23" spans="1:27" x14ac:dyDescent="0.25">
      <c r="A23" s="11" t="s">
        <v>144</v>
      </c>
      <c r="B23" s="11"/>
      <c r="C23" s="25">
        <v>-16.9841810322439</v>
      </c>
      <c r="D23" s="25">
        <v>-5.3206931416615797</v>
      </c>
      <c r="E23" s="25">
        <v>-4.9245837770920398</v>
      </c>
      <c r="F23" s="25">
        <v>12.8968721231454</v>
      </c>
      <c r="G23" s="25">
        <v>83.661118563160898</v>
      </c>
      <c r="H23" s="25">
        <v>1.2653220559531599</v>
      </c>
      <c r="I23" s="25">
        <v>-2.4669590246695901</v>
      </c>
      <c r="J23" s="25">
        <v>-14.5030531440202</v>
      </c>
      <c r="K23" s="25">
        <v>-7.4531639696073197</v>
      </c>
      <c r="L23" s="25">
        <v>-18.6961445664484</v>
      </c>
      <c r="M23" s="25">
        <v>-0.63720253990861697</v>
      </c>
      <c r="N23" s="25">
        <v>-8.9429422361429296</v>
      </c>
      <c r="O23" s="25">
        <v>-12.6376507603566</v>
      </c>
      <c r="P23" s="25">
        <v>1.17937045205162E-2</v>
      </c>
      <c r="Q23" s="25" t="s">
        <v>76</v>
      </c>
      <c r="R23" s="25" t="s">
        <v>76</v>
      </c>
      <c r="S23" s="25">
        <v>-10.653175066485099</v>
      </c>
      <c r="T23" s="25">
        <v>-9.3164576559838999</v>
      </c>
      <c r="U23" s="25">
        <v>4.8039610800852097</v>
      </c>
      <c r="V23" s="25">
        <v>-5.8484881093296002</v>
      </c>
      <c r="W23" s="25">
        <v>-18.908738699956899</v>
      </c>
      <c r="X23" s="25">
        <v>4.7077251690993203</v>
      </c>
      <c r="Y23" s="25" t="s">
        <v>76</v>
      </c>
      <c r="Z23" s="25"/>
      <c r="AA23" s="25"/>
    </row>
    <row r="24" spans="1:27" x14ac:dyDescent="0.25">
      <c r="A24" s="10" t="s">
        <v>135</v>
      </c>
      <c r="B24" s="10" t="s">
        <v>141</v>
      </c>
      <c r="C24" s="13">
        <f>_xll.BDH("BLUE US Equity","EBIT","FQ2 2019","FQ2 2019","Currency=USD","Period=FQ","BEST_FPERIOD_OVERRIDE=FQ","FILING_STATUS=MR","SCALING_FORMAT=MLN","FA_ADJUSTED=GAAP","Sort=A","Dates=H","DateFormat=P","Fill=—","Direction=H","UseDPDF=Y")</f>
        <v>-202.702</v>
      </c>
      <c r="D24" s="13">
        <f>_xll.BDH("BLUE US Equity","EBIT","FQ3 2019","FQ3 2019","Currency=USD","Period=FQ","BEST_FPERIOD_OVERRIDE=FQ","FILING_STATUS=MR","SCALING_FORMAT=MLN","FA_ADJUSTED=GAAP","Sort=A","Dates=H","DateFormat=P","Fill=—","Direction=H","UseDPDF=Y")</f>
        <v>-210.416</v>
      </c>
      <c r="E24" s="13">
        <f>_xll.BDH("BLUE US Equity","EBIT","FQ4 2019","FQ4 2019","Currency=USD","Period=FQ","BEST_FPERIOD_OVERRIDE=FQ","FILING_STATUS=MR","SCALING_FORMAT=MLN","FA_ADJUSTED=GAAP","Sort=A","Dates=H","DateFormat=P","Fill=—","Direction=H","UseDPDF=Y")</f>
        <v>-230.53399999999999</v>
      </c>
      <c r="F24" s="13">
        <f>_xll.BDH("BLUE US Equity","EBIT","FQ1 2020","FQ1 2020","Currency=USD","Period=FQ","BEST_FPERIOD_OVERRIDE=FQ","FILING_STATUS=MR","SCALING_FORMAT=MLN","FA_ADJUSTED=GAAP","Sort=A","Dates=H","DateFormat=P","Fill=—","Direction=H","UseDPDF=Y")</f>
        <v>-203.42500000000001</v>
      </c>
      <c r="G24" s="13">
        <f>_xll.BDH("BLUE US Equity","EBIT","FQ2 2020","FQ2 2020","Currency=USD","Period=FQ","BEST_FPERIOD_OVERRIDE=FQ","FILING_STATUS=MR","SCALING_FORMAT=MLN","FA_ADJUSTED=GAAP","Sort=A","Dates=H","DateFormat=P","Fill=—","Direction=H","UseDPDF=Y")</f>
        <v>-25.945</v>
      </c>
      <c r="H24" s="13">
        <f>_xll.BDH("BLUE US Equity","EBIT","FQ3 2020","FQ3 2020","Currency=USD","Period=FQ","BEST_FPERIOD_OVERRIDE=FQ","FILING_STATUS=MR","SCALING_FORMAT=MLN","FA_ADJUSTED=GAAP","Sort=A","Dates=H","DateFormat=P","Fill=—","Direction=H","UseDPDF=Y")</f>
        <v>-189.69399999999999</v>
      </c>
      <c r="I24" s="13">
        <f>_xll.BDH("BLUE US Equity","EBIT","FQ4 2020","FQ4 2020","Currency=USD","Period=FQ","BEST_FPERIOD_OVERRIDE=FQ","FILING_STATUS=MR","SCALING_FORMAT=MLN","FA_ADJUSTED=GAAP","Sort=A","Dates=H","DateFormat=P","Fill=—","Direction=H","UseDPDF=Y")</f>
        <v>-139.387</v>
      </c>
      <c r="J24" s="13">
        <f>_xll.BDH("BLUE US Equity","EBIT","FQ1 2021","FQ1 2021","Currency=USD","Period=FQ","BEST_FPERIOD_OVERRIDE=FQ","FILING_STATUS=MR","SCALING_FORMAT=MLN","FA_ADJUSTED=GAAP","Sort=A","Dates=H","DateFormat=P","Fill=—","Direction=H","UseDPDF=Y")</f>
        <v>-146.09399999999999</v>
      </c>
      <c r="K24" s="13">
        <f>_xll.BDH("BLUE US Equity","EBIT","FQ2 2021","FQ2 2021","Currency=USD","Period=FQ","BEST_FPERIOD_OVERRIDE=FQ","FILING_STATUS=MR","SCALING_FORMAT=MLN","FA_ADJUSTED=GAAP","Sort=A","Dates=H","DateFormat=P","Fill=—","Direction=H","UseDPDF=Y")</f>
        <v>-240.83799999999999</v>
      </c>
      <c r="L24" s="13">
        <f>_xll.BDH("BLUE US Equity","EBIT","FQ3 2021","FQ3 2021","Currency=USD","Period=FQ","BEST_FPERIOD_OVERRIDE=FQ","FILING_STATUS=MR","SCALING_FORMAT=MLN","FA_ADJUSTED=GAAP","Sort=A","Dates=H","DateFormat=P","Fill=—","Direction=H","UseDPDF=Y")</f>
        <v>-154.44900000000001</v>
      </c>
      <c r="M24" s="13">
        <f>_xll.BDH("BLUE US Equity","EBIT","FQ4 2021","FQ4 2021","Currency=USD","Period=FQ","BEST_FPERIOD_OVERRIDE=FQ","FILING_STATUS=MR","SCALING_FORMAT=MLN","FA_ADJUSTED=GAAP","Sort=A","Dates=H","DateFormat=P","Fill=—","Direction=H","UseDPDF=Y")</f>
        <v>-135.667</v>
      </c>
      <c r="N24" s="13">
        <f>_xll.BDH("BLUE US Equity","EBIT","FQ1 2022","FQ1 2022","Currency=USD","Period=FQ","BEST_FPERIOD_OVERRIDE=FQ","FILING_STATUS=MR","SCALING_FORMAT=MLN","FA_ADJUSTED=GAAP","Sort=A","Dates=H","DateFormat=P","Fill=—","Direction=H","UseDPDF=Y")</f>
        <v>-120.346</v>
      </c>
      <c r="O24" s="13">
        <f>_xll.BDH("BLUE US Equity","EBIT","FQ2 2022","FQ2 2022","Currency=USD","Period=FQ","BEST_FPERIOD_OVERRIDE=FQ","FILING_STATUS=MR","SCALING_FORMAT=MLN","FA_ADJUSTED=GAAP","Sort=A","Dates=H","DateFormat=P","Fill=—","Direction=H","UseDPDF=Y")</f>
        <v>-107.4</v>
      </c>
      <c r="P24" s="13">
        <f>_xll.BDH("BLUE US Equity","EBIT","FQ3 2022","FQ3 2022","Currency=USD","Period=FQ","BEST_FPERIOD_OVERRIDE=FQ","FILING_STATUS=MR","SCALING_FORMAT=MLN","FA_ADJUSTED=GAAP","Sort=A","Dates=H","DateFormat=P","Fill=—","Direction=H","UseDPDF=Y")</f>
        <v>-84.781000000000006</v>
      </c>
      <c r="Q24" s="13">
        <f>_xll.BDH("BLUE US Equity","EBIT","FQ4 2022","FQ4 2022","Currency=USD","Period=FQ","BEST_FPERIOD_OVERRIDE=FQ","FILING_STATUS=MR","SCALING_FORMAT=MLN","FA_ADJUSTED=GAAP","Sort=A","Dates=H","DateFormat=P","Fill=—","Direction=H","UseDPDF=Y")</f>
        <v>62.341999999999999</v>
      </c>
      <c r="R24" s="13">
        <f>_xll.BDH("BLUE US Equity","EBIT","FQ1 2023","FQ1 2023","Currency=USD","Period=FQ","BEST_FPERIOD_OVERRIDE=FQ","FILING_STATUS=MR","SCALING_FORMAT=MLN","FA_ADJUSTED=GAAP","Sort=A","Dates=H","DateFormat=P","Fill=—","Direction=H","UseDPDF=Y")</f>
        <v>10.744999999999999</v>
      </c>
      <c r="S24" s="13">
        <f>_xll.BDH("BLUE US Equity","EBIT","FQ2 2023","FQ2 2023","Currency=USD","Period=FQ","BEST_FPERIOD_OVERRIDE=FQ","FILING_STATUS=MR","SCALING_FORMAT=MLN","FA_ADJUSTED=GAAP","Sort=A","Dates=H","DateFormat=P","Fill=—","Direction=H","UseDPDF=Y")</f>
        <v>-71.716999999999999</v>
      </c>
      <c r="T24" s="13">
        <f>_xll.BDH("BLUE US Equity","EBIT","FQ3 2023","FQ3 2023","Currency=USD","Period=FQ","BEST_FPERIOD_OVERRIDE=FQ","FILING_STATUS=MR","SCALING_FORMAT=MLN","FA_ADJUSTED=GAAP","Sort=A","Dates=H","DateFormat=P","Fill=—","Direction=H","UseDPDF=Y")</f>
        <v>-96.006</v>
      </c>
      <c r="U24" s="13">
        <f>_xll.BDH("BLUE US Equity","EBIT","FQ4 2023","FQ4 2023","Currency=USD","Period=FQ","BEST_FPERIOD_OVERRIDE=FQ","FILING_STATUS=MR","SCALING_FORMAT=MLN","FA_ADJUSTED=GAAP","Sort=A","Dates=H","DateFormat=P","Fill=—","Direction=H","UseDPDF=Y")</f>
        <v>-82.673000000000002</v>
      </c>
      <c r="V24" s="13">
        <f>_xll.BDH("BLUE US Equity","EBIT","FQ1 2024","FQ1 2024","Currency=USD","Period=FQ","BEST_FPERIOD_OVERRIDE=FQ","FILING_STATUS=MR","SCALING_FORMAT=MLN","FA_ADJUSTED=GAAP","Sort=A","Dates=H","DateFormat=P","Fill=—","Direction=H","UseDPDF=Y")</f>
        <v>-78.691999999999993</v>
      </c>
      <c r="W24" s="13">
        <f>_xll.BDH("BLUE US Equity","EBIT","FQ2 2024","FQ2 2024","Currency=USD","Period=FQ","BEST_FPERIOD_OVERRIDE=FQ","FILING_STATUS=MR","SCALING_FORMAT=MLN","FA_ADJUSTED=GAAP","Sort=A","Dates=H","DateFormat=P","Fill=—","Direction=H","UseDPDF=Y")</f>
        <v>-88.391999999999996</v>
      </c>
      <c r="X24" s="13">
        <f>_xll.BDH("BLUE US Equity","EBIT","FQ3 2024","FQ3 2024","Currency=USD","Period=FQ","BEST_FPERIOD_OVERRIDE=FQ","FILING_STATUS=MR","SCALING_FORMAT=MLN","FA_ADJUSTED=GAAP","Sort=A","Dates=H","DateFormat=P","Fill=—","Direction=H","UseDPDF=Y")</f>
        <v>-66.918999999999997</v>
      </c>
      <c r="Y24" s="13">
        <f>_xll.BDH("BLUE US Equity","EBIT","FQ4 2024","FQ4 2024","Currency=USD","Period=FQ","BEST_FPERIOD_OVERRIDE=FQ","FILING_STATUS=MR","SCALING_FORMAT=MLN","FA_ADJUSTED=GAAP","Sort=A","Dates=H","DateFormat=P","Fill=—","Direction=H","UseDPDF=Y")</f>
        <v>-36.457999999999998</v>
      </c>
      <c r="Z24" s="13"/>
      <c r="AA24" s="13"/>
    </row>
    <row r="25" spans="1:27" x14ac:dyDescent="0.25">
      <c r="A25" s="10" t="s">
        <v>136</v>
      </c>
      <c r="B25" s="10" t="s">
        <v>141</v>
      </c>
      <c r="C25" s="13">
        <f>_xll.BDH("BLUE US Equity","EBIT","FQ2 2019","FQ2 2019","Currency=USD","Period=FQ","BEST_FPERIOD_OVERRIDE=FQ","FILING_STATUS=MR","SCALING_FORMAT=MLN","FA_ADJUSTED=Adjusted","Sort=A","Dates=H","DateFormat=P","Fill=—","Direction=H","UseDPDF=Y")</f>
        <v>-202.488</v>
      </c>
      <c r="D25" s="13">
        <f>_xll.BDH("BLUE US Equity","EBIT","FQ3 2019","FQ3 2019","Currency=USD","Period=FQ","BEST_FPERIOD_OVERRIDE=FQ","FILING_STATUS=MR","SCALING_FORMAT=MLN","FA_ADJUSTED=Adjusted","Sort=A","Dates=H","DateFormat=P","Fill=—","Direction=H","UseDPDF=Y")</f>
        <v>-209.614</v>
      </c>
      <c r="E25" s="13">
        <f>_xll.BDH("BLUE US Equity","EBIT","FQ4 2019","FQ4 2019","Currency=USD","Period=FQ","BEST_FPERIOD_OVERRIDE=FQ","FILING_STATUS=MR","SCALING_FORMAT=MLN","FA_ADJUSTED=Adjusted","Sort=A","Dates=H","DateFormat=P","Fill=—","Direction=H","UseDPDF=Y")</f>
        <v>-229.09899999999999</v>
      </c>
      <c r="F25" s="13">
        <f>_xll.BDH("BLUE US Equity","EBIT","FQ1 2020","FQ1 2020","Currency=USD","Period=FQ","BEST_FPERIOD_OVERRIDE=FQ","FILING_STATUS=MR","SCALING_FORMAT=MLN","FA_ADJUSTED=Adjusted","Sort=A","Dates=H","DateFormat=P","Fill=—","Direction=H","UseDPDF=Y")</f>
        <v>-206.53299999999999</v>
      </c>
      <c r="G25" s="13">
        <f>_xll.BDH("BLUE US Equity","EBIT","FQ2 2020","FQ2 2020","Currency=USD","Period=FQ","BEST_FPERIOD_OVERRIDE=FQ","FILING_STATUS=MR","SCALING_FORMAT=MLN","FA_ADJUSTED=Adjusted","Sort=A","Dates=H","DateFormat=P","Fill=—","Direction=H","UseDPDF=Y")</f>
        <v>-27.6</v>
      </c>
      <c r="H25" s="13">
        <f>_xll.BDH("BLUE US Equity","EBIT","FQ3 2020","FQ3 2020","Currency=USD","Period=FQ","BEST_FPERIOD_OVERRIDE=FQ","FILING_STATUS=MR","SCALING_FORMAT=MLN","FA_ADJUSTED=Adjusted","Sort=A","Dates=H","DateFormat=P","Fill=—","Direction=H","UseDPDF=Y")</f>
        <v>-190.52199999999999</v>
      </c>
      <c r="I25" s="13">
        <f>_xll.BDH("BLUE US Equity","EBIT","FQ4 2020","FQ4 2020","Currency=USD","Period=FQ","BEST_FPERIOD_OVERRIDE=FQ","FILING_STATUS=MR","SCALING_FORMAT=MLN","FA_ADJUSTED=Adjusted","Sort=A","Dates=H","DateFormat=P","Fill=—","Direction=H","UseDPDF=Y")</f>
        <v>-139.387</v>
      </c>
      <c r="J25" s="13">
        <f>_xll.BDH("BLUE US Equity","EBIT","FQ1 2021","FQ1 2021","Currency=USD","Period=FQ","BEST_FPERIOD_OVERRIDE=FQ","FILING_STATUS=MR","SCALING_FORMAT=MLN","FA_ADJUSTED=Adjusted","Sort=A","Dates=H","DateFormat=P","Fill=—","Direction=H","UseDPDF=Y")</f>
        <v>-174.09700000000001</v>
      </c>
      <c r="K25" s="13">
        <f>_xll.BDH("BLUE US Equity","EBIT","FQ2 2021","FQ2 2021","Currency=USD","Period=FQ","BEST_FPERIOD_OVERRIDE=FQ","FILING_STATUS=MR","SCALING_FORMAT=MLN","FA_ADJUSTED=Adjusted","Sort=A","Dates=H","DateFormat=P","Fill=—","Direction=H","UseDPDF=Y")</f>
        <v>-240.791</v>
      </c>
      <c r="L25" s="13">
        <f>_xll.BDH("BLUE US Equity","EBIT","FQ3 2021","FQ3 2021","Currency=USD","Period=FQ","BEST_FPERIOD_OVERRIDE=FQ","FILING_STATUS=MR","SCALING_FORMAT=MLN","FA_ADJUSTED=Adjusted","Sort=A","Dates=H","DateFormat=P","Fill=—","Direction=H","UseDPDF=Y")</f>
        <v>-134.274</v>
      </c>
      <c r="M25" s="13">
        <f>_xll.BDH("BLUE US Equity","EBIT","FQ4 2021","FQ4 2021","Currency=USD","Period=FQ","BEST_FPERIOD_OVERRIDE=FQ","FILING_STATUS=MR","SCALING_FORMAT=MLN","FA_ADJUSTED=Adjusted","Sort=A","Dates=H","DateFormat=P","Fill=—","Direction=H","UseDPDF=Y")</f>
        <v>-134.74299999999999</v>
      </c>
      <c r="N25" s="13">
        <f>_xll.BDH("BLUE US Equity","EBIT","FQ1 2022","FQ1 2022","Currency=USD","Period=FQ","BEST_FPERIOD_OVERRIDE=FQ","FILING_STATUS=MR","SCALING_FORMAT=MLN","FA_ADJUSTED=Adjusted","Sort=A","Dates=H","DateFormat=P","Fill=—","Direction=H","UseDPDF=Y")</f>
        <v>-117.83799999999999</v>
      </c>
      <c r="O25" s="13">
        <f>_xll.BDH("BLUE US Equity","EBIT","FQ2 2022","FQ2 2022","Currency=USD","Period=FQ","BEST_FPERIOD_OVERRIDE=FQ","FILING_STATUS=MR","SCALING_FORMAT=MLN","FA_ADJUSTED=Adjusted","Sort=A","Dates=H","DateFormat=P","Fill=—","Direction=H","UseDPDF=Y")</f>
        <v>-100.134</v>
      </c>
      <c r="P25" s="13">
        <f>_xll.BDH("BLUE US Equity","EBIT","FQ3 2022","FQ3 2022","Currency=USD","Period=FQ","BEST_FPERIOD_OVERRIDE=FQ","FILING_STATUS=MR","SCALING_FORMAT=MLN","FA_ADJUSTED=Adjusted","Sort=A","Dates=H","DateFormat=P","Fill=—","Direction=H","UseDPDF=Y")</f>
        <v>-86.48</v>
      </c>
      <c r="Q25" s="13">
        <f>_xll.BDH("BLUE US Equity","EBIT","FQ4 2022","FQ4 2022","Currency=USD","Period=FQ","BEST_FPERIOD_OVERRIDE=FQ","FILING_STATUS=MR","SCALING_FORMAT=MLN","FA_ADJUSTED=Adjusted","Sort=A","Dates=H","DateFormat=P","Fill=—","Direction=H","UseDPDF=Y")</f>
        <v>-42.792999999999999</v>
      </c>
      <c r="R25" s="13">
        <f>_xll.BDH("BLUE US Equity","EBIT","FQ1 2023","FQ1 2023","Currency=USD","Period=FQ","BEST_FPERIOD_OVERRIDE=FQ","FILING_STATUS=MR","SCALING_FORMAT=MLN","FA_ADJUSTED=Adjusted","Sort=A","Dates=H","DateFormat=P","Fill=—","Direction=H","UseDPDF=Y")</f>
        <v>-82.185000000000002</v>
      </c>
      <c r="S25" s="13">
        <f>_xll.BDH("BLUE US Equity","EBIT","FQ2 2023","FQ2 2023","Currency=USD","Period=FQ","BEST_FPERIOD_OVERRIDE=FQ","FILING_STATUS=MR","SCALING_FORMAT=MLN","FA_ADJUSTED=Adjusted","Sort=A","Dates=H","DateFormat=P","Fill=—","Direction=H","UseDPDF=Y")</f>
        <v>-71.716999999999999</v>
      </c>
      <c r="T25" s="13">
        <f>_xll.BDH("BLUE US Equity","EBIT","FQ3 2023","FQ3 2023","Currency=USD","Period=FQ","BEST_FPERIOD_OVERRIDE=FQ","FILING_STATUS=MR","SCALING_FORMAT=MLN","FA_ADJUSTED=Adjusted","Sort=A","Dates=H","DateFormat=P","Fill=—","Direction=H","UseDPDF=Y")</f>
        <v>-96.006</v>
      </c>
      <c r="U25" s="13">
        <f>_xll.BDH("BLUE US Equity","EBIT","FQ4 2023","FQ4 2023","Currency=USD","Period=FQ","BEST_FPERIOD_OVERRIDE=FQ","FILING_STATUS=MR","SCALING_FORMAT=MLN","FA_ADJUSTED=Adjusted","Sort=A","Dates=H","DateFormat=P","Fill=—","Direction=H","UseDPDF=Y")</f>
        <v>-82.673000000000002</v>
      </c>
      <c r="V25" s="13">
        <f>_xll.BDH("BLUE US Equity","EBIT","FQ1 2024","FQ1 2024","Currency=USD","Period=FQ","BEST_FPERIOD_OVERRIDE=FQ","FILING_STATUS=MR","SCALING_FORMAT=MLN","FA_ADJUSTED=Adjusted","Sort=A","Dates=H","DateFormat=P","Fill=—","Direction=H","UseDPDF=Y")</f>
        <v>-78.691999999999993</v>
      </c>
      <c r="W25" s="13">
        <f>_xll.BDH("BLUE US Equity","EBIT","FQ2 2024","FQ2 2024","Currency=USD","Period=FQ","BEST_FPERIOD_OVERRIDE=FQ","FILING_STATUS=MR","SCALING_FORMAT=MLN","FA_ADJUSTED=Adjusted","Sort=A","Dates=H","DateFormat=P","Fill=—","Direction=H","UseDPDF=Y")</f>
        <v>-88.391999999999996</v>
      </c>
      <c r="X25" s="13">
        <f>_xll.BDH("BLUE US Equity","EBIT","FQ3 2024","FQ3 2024","Currency=USD","Period=FQ","BEST_FPERIOD_OVERRIDE=FQ","FILING_STATUS=MR","SCALING_FORMAT=MLN","FA_ADJUSTED=Adjusted","Sort=A","Dates=H","DateFormat=P","Fill=—","Direction=H","UseDPDF=Y")</f>
        <v>-64.108000000000004</v>
      </c>
      <c r="Y25" s="13">
        <f>_xll.BDH("BLUE US Equity","EBIT","FQ4 2024","FQ4 2024","Currency=USD","Period=FQ","BEST_FPERIOD_OVERRIDE=FQ","FILING_STATUS=MR","SCALING_FORMAT=MLN","FA_ADJUSTED=Adjusted","Sort=A","Dates=H","DateFormat=P","Fill=—","Direction=H","UseDPDF=Y")</f>
        <v>-36.506999999999998</v>
      </c>
      <c r="Z25" s="13"/>
      <c r="AA25" s="13"/>
    </row>
    <row r="26" spans="1:27" x14ac:dyDescent="0.25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 t="s">
        <v>78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130</v>
      </c>
      <c r="B28" s="10" t="s">
        <v>145</v>
      </c>
      <c r="C28" s="13">
        <f>_xll.BDH("BLUE US Equity","BEST_EBITDA","FQ2 2019","FQ2 2019","Currency=USD","Period=FQ","BEST_FPERIOD_OVERRIDE=FQ","FILING_STATUS=MR","Sort=A","Dates=H","DateFormat=P","Fill=—","Direction=H","UseDPDF=Y")</f>
        <v>-164.333</v>
      </c>
      <c r="D28" s="13">
        <f>_xll.BDH("BLUE US Equity","BEST_EBITDA","FQ3 2019","FQ3 2019","Currency=USD","Period=FQ","BEST_FPERIOD_OVERRIDE=FQ","FILING_STATUS=MR","Sort=A","Dates=H","DateFormat=P","Fill=—","Direction=H","UseDPDF=Y")</f>
        <v>-203.333</v>
      </c>
      <c r="E28" s="13">
        <f>_xll.BDH("BLUE US Equity","BEST_EBITDA","FQ4 2019","FQ4 2019","Currency=USD","Period=FQ","BEST_FPERIOD_OVERRIDE=FQ","FILING_STATUS=MR","Sort=A","Dates=H","DateFormat=P","Fill=—","Direction=H","UseDPDF=Y")</f>
        <v>-206</v>
      </c>
      <c r="F28" s="13">
        <f>_xll.BDH("BLUE US Equity","BEST_EBITDA","FQ1 2020","FQ1 2020","Currency=USD","Period=FQ","BEST_FPERIOD_OVERRIDE=FQ","FILING_STATUS=MR","Sort=A","Dates=H","DateFormat=P","Fill=—","Direction=H","UseDPDF=Y")</f>
        <v>-191.667</v>
      </c>
      <c r="G28" s="13">
        <f>_xll.BDH("BLUE US Equity","BEST_EBITDA","FQ2 2020","FQ2 2020","Currency=USD","Period=FQ","BEST_FPERIOD_OVERRIDE=FQ","FILING_STATUS=MR","Sort=A","Dates=H","DateFormat=P","Fill=—","Direction=H","UseDPDF=Y")</f>
        <v>28.4</v>
      </c>
      <c r="H28" s="13">
        <f>_xll.BDH("BLUE US Equity","BEST_EBITDA","FQ3 2020","FQ3 2020","Currency=USD","Period=FQ","BEST_FPERIOD_OVERRIDE=FQ","FILING_STATUS=MR","Sort=A","Dates=H","DateFormat=P","Fill=—","Direction=H","UseDPDF=Y")</f>
        <v>-173.36699999999999</v>
      </c>
      <c r="I28" s="13">
        <f>_xll.BDH("BLUE US Equity","BEST_EBITDA","FQ4 2020","FQ4 2020","Currency=USD","Period=FQ","BEST_FPERIOD_OVERRIDE=FQ","FILING_STATUS=MR","Sort=A","Dates=H","DateFormat=P","Fill=—","Direction=H","UseDPDF=Y")</f>
        <v>-201.333</v>
      </c>
      <c r="J28" s="13">
        <f>_xll.BDH("BLUE US Equity","BEST_EBITDA","FQ1 2021","FQ1 2021","Currency=USD","Period=FQ","BEST_FPERIOD_OVERRIDE=FQ","FILING_STATUS=MR","Sort=A","Dates=H","DateFormat=P","Fill=—","Direction=H","UseDPDF=Y")</f>
        <v>-206.333</v>
      </c>
      <c r="K28" s="13">
        <f>_xll.BDH("BLUE US Equity","BEST_EBITDA","FQ2 2021","FQ2 2021","Currency=USD","Period=FQ","BEST_FPERIOD_OVERRIDE=FQ","FILING_STATUS=MR","Sort=A","Dates=H","DateFormat=P","Fill=—","Direction=H","UseDPDF=Y")</f>
        <v>-219.75</v>
      </c>
      <c r="L28" s="13">
        <f>_xll.BDH("BLUE US Equity","BEST_EBITDA","FQ3 2021","FQ3 2021","Currency=USD","Period=FQ","BEST_FPERIOD_OVERRIDE=FQ","FILING_STATUS=MR","Sort=A","Dates=H","DateFormat=P","Fill=—","Direction=H","UseDPDF=Y")</f>
        <v>-214.5</v>
      </c>
      <c r="M28" s="13">
        <f>_xll.BDH("BLUE US Equity","BEST_EBITDA","FQ4 2021","FQ4 2021","Currency=USD","Period=FQ","BEST_FPERIOD_OVERRIDE=FQ","FILING_STATUS=MR","Sort=A","Dates=H","DateFormat=P","Fill=—","Direction=H","UseDPDF=Y")</f>
        <v>-114.25</v>
      </c>
      <c r="N28" s="13">
        <f>_xll.BDH("BLUE US Equity","BEST_EBITDA","FQ1 2022","FQ1 2022","Currency=USD","Period=FQ","BEST_FPERIOD_OVERRIDE=FQ","FILING_STATUS=MR","Sort=A","Dates=H","DateFormat=P","Fill=—","Direction=H","UseDPDF=Y")</f>
        <v>-82.375</v>
      </c>
      <c r="O28" s="13">
        <f>_xll.BDH("BLUE US Equity","BEST_EBITDA","FQ2 2022","FQ2 2022","Currency=USD","Period=FQ","BEST_FPERIOD_OVERRIDE=FQ","FILING_STATUS=MR","Sort=A","Dates=H","DateFormat=P","Fill=—","Direction=H","UseDPDF=Y")</f>
        <v>-96.332999999999998</v>
      </c>
      <c r="P28" s="13">
        <f>_xll.BDH("BLUE US Equity","BEST_EBITDA","FQ3 2022","FQ3 2022","Currency=USD","Period=FQ","BEST_FPERIOD_OVERRIDE=FQ","FILING_STATUS=MR","Sort=A","Dates=H","DateFormat=P","Fill=—","Direction=H","UseDPDF=Y")</f>
        <v>-84.167000000000002</v>
      </c>
      <c r="Q28" s="13">
        <f>_xll.BDH("BLUE US Equity","BEST_EBITDA","FQ4 2022","FQ4 2022","Currency=USD","Period=FQ","BEST_FPERIOD_OVERRIDE=FQ","FILING_STATUS=MR","Sort=A","Dates=H","DateFormat=P","Fill=—","Direction=H","UseDPDF=Y")</f>
        <v>-83</v>
      </c>
      <c r="R28" s="13">
        <f>_xll.BDH("BLUE US Equity","BEST_EBITDA","FQ1 2023","FQ1 2023","Currency=USD","Period=FQ","BEST_FPERIOD_OVERRIDE=FQ","FILING_STATUS=MR","Sort=A","Dates=H","DateFormat=P","Fill=—","Direction=H","UseDPDF=Y")</f>
        <v>-37.75</v>
      </c>
      <c r="S28" s="13">
        <f>_xll.BDH("BLUE US Equity","BEST_EBITDA","FQ2 2023","FQ2 2023","Currency=USD","Period=FQ","BEST_FPERIOD_OVERRIDE=FQ","FILING_STATUS=MR","Sort=A","Dates=H","DateFormat=P","Fill=—","Direction=H","UseDPDF=Y")</f>
        <v>-80.25</v>
      </c>
      <c r="T28" s="13">
        <f>_xll.BDH("BLUE US Equity","BEST_EBITDA","FQ3 2023","FQ3 2023","Currency=USD","Period=FQ","BEST_FPERIOD_OVERRIDE=FQ","FILING_STATUS=MR","Sort=A","Dates=H","DateFormat=P","Fill=—","Direction=H","UseDPDF=Y")</f>
        <v>-81.632999999999996</v>
      </c>
      <c r="U28" s="13">
        <f>_xll.BDH("BLUE US Equity","BEST_EBITDA","FQ4 2023","FQ4 2023","Currency=USD","Period=FQ","BEST_FPERIOD_OVERRIDE=FQ","FILING_STATUS=MR","Sort=A","Dates=H","DateFormat=P","Fill=—","Direction=H","UseDPDF=Y")</f>
        <v>-90.367000000000004</v>
      </c>
      <c r="V28" s="13">
        <f>_xll.BDH("BLUE US Equity","BEST_EBITDA","FQ1 2024","FQ1 2024","Currency=USD","Period=FQ","BEST_FPERIOD_OVERRIDE=FQ","FILING_STATUS=MR","Sort=A","Dates=H","DateFormat=P","Fill=—","Direction=H","UseDPDF=Y")</f>
        <v>-47.1</v>
      </c>
      <c r="W28" s="13">
        <f>_xll.BDH("BLUE US Equity","BEST_EBITDA","FQ2 2024","FQ2 2024","Currency=USD","Period=FQ","BEST_FPERIOD_OVERRIDE=FQ","FILING_STATUS=MR","Sort=A","Dates=H","DateFormat=P","Fill=—","Direction=H","UseDPDF=Y")</f>
        <v>-70.099999999999994</v>
      </c>
      <c r="X28" s="13">
        <f>_xll.BDH("BLUE US Equity","BEST_EBITDA","FQ3 2024","FQ3 2024","Currency=USD","Period=FQ","BEST_FPERIOD_OVERRIDE=FQ","FILING_STATUS=MR","Sort=A","Dates=H","DateFormat=P","Fill=—","Direction=H","UseDPDF=Y")</f>
        <v>-69.099999999999994</v>
      </c>
      <c r="Y28" s="13">
        <f>_xll.BDH("BLUE US Equity","BEST_EBITDA","FQ4 2024","FQ4 2024","Currency=USD","Period=FQ","BEST_FPERIOD_OVERRIDE=FQ","FILING_STATUS=MR","Sort=A","Dates=H","DateFormat=P","Fill=—","Direction=H","UseDPDF=Y")</f>
        <v>-58.2</v>
      </c>
      <c r="Z28" s="13">
        <v>-44</v>
      </c>
      <c r="AA28" s="13">
        <v>-39.4</v>
      </c>
    </row>
    <row r="29" spans="1:27" x14ac:dyDescent="0.25">
      <c r="A29" s="10" t="s">
        <v>132</v>
      </c>
      <c r="B29" s="10" t="s">
        <v>146</v>
      </c>
      <c r="C29" s="13">
        <f>_xll.BDH("BLUE US Equity","IS_COMPARABLE_EBITDA","FQ2 2019","FQ2 2019","Currency=USD","Period=FQ","BEST_FPERIOD_OVERRIDE=FQ","FILING_STATUS=MR","SCALING_FORMAT=MLN","Sort=A","Dates=H","DateFormat=P","Fill=—","Direction=H","UseDPDF=Y")</f>
        <v>-198.654</v>
      </c>
      <c r="D29" s="13">
        <f>_xll.BDH("BLUE US Equity","IS_COMPARABLE_EBITDA","FQ3 2019","FQ3 2019","Currency=USD","Period=FQ","BEST_FPERIOD_OVERRIDE=FQ","FILING_STATUS=MR","SCALING_FORMAT=MLN","Sort=A","Dates=H","DateFormat=P","Fill=—","Direction=H","UseDPDF=Y")</f>
        <v>-205.869</v>
      </c>
      <c r="E29" s="13">
        <f>_xll.BDH("BLUE US Equity","IS_COMPARABLE_EBITDA","FQ4 2019","FQ4 2019","Currency=USD","Period=FQ","BEST_FPERIOD_OVERRIDE=FQ","FILING_STATUS=MR","SCALING_FORMAT=MLN","Sort=A","Dates=H","DateFormat=P","Fill=—","Direction=H","UseDPDF=Y")</f>
        <v>-225.47800000000001</v>
      </c>
      <c r="F29" s="13">
        <f>_xll.BDH("BLUE US Equity","IS_COMPARABLE_EBITDA","FQ1 2020","FQ1 2020","Currency=USD","Period=FQ","BEST_FPERIOD_OVERRIDE=FQ","FILING_STATUS=MR","SCALING_FORMAT=MLN","Sort=A","Dates=H","DateFormat=P","Fill=—","Direction=H","UseDPDF=Y")</f>
        <v>-198.54499999999999</v>
      </c>
      <c r="G29" s="13">
        <f>_xll.BDH("BLUE US Equity","IS_COMPARABLE_EBITDA","FQ2 2020","FQ2 2020","Currency=USD","Period=FQ","BEST_FPERIOD_OVERRIDE=FQ","FILING_STATUS=MR","SCALING_FORMAT=MLN","Sort=A","Dates=H","DateFormat=P","Fill=—","Direction=H","UseDPDF=Y")</f>
        <v>-21.395</v>
      </c>
      <c r="H29" s="13">
        <f>_xll.BDH("BLUE US Equity","IS_COMPARABLE_EBITDA","FQ3 2020","FQ3 2020","Currency=USD","Period=FQ","BEST_FPERIOD_OVERRIDE=FQ","FILING_STATUS=MR","SCALING_FORMAT=MLN","Sort=A","Dates=H","DateFormat=P","Fill=—","Direction=H","UseDPDF=Y")</f>
        <v>-184.74600000000001</v>
      </c>
      <c r="I29" s="13">
        <f>_xll.BDH("BLUE US Equity","IS_COMPARABLE_EBITDA","FQ4 2020","FQ4 2020","Currency=USD","Period=FQ","BEST_FPERIOD_OVERRIDE=FQ","FILING_STATUS=MR","SCALING_FORMAT=MLN","Sort=A","Dates=H","DateFormat=P","Fill=—","Direction=H","UseDPDF=Y")</f>
        <v>-199.00399999999999</v>
      </c>
      <c r="J29" s="13">
        <f>_xll.BDH("BLUE US Equity","IS_COMPARABLE_EBITDA","FQ1 2021","FQ1 2021","Currency=USD","Period=FQ","BEST_FPERIOD_OVERRIDE=FQ","FILING_STATUS=MR","SCALING_FORMAT=MLN","Sort=A","Dates=H","DateFormat=P","Fill=—","Direction=H","UseDPDF=Y")</f>
        <v>-225.84800000000001</v>
      </c>
      <c r="K29" s="13">
        <f>_xll.BDH("BLUE US Equity","IS_COMPARABLE_EBITDA","FQ2 2021","FQ2 2021","Currency=USD","Period=FQ","BEST_FPERIOD_OVERRIDE=FQ","FILING_STATUS=MR","SCALING_FORMAT=MLN","Sort=A","Dates=H","DateFormat=P","Fill=—","Direction=H","UseDPDF=Y")</f>
        <v>-234.845</v>
      </c>
      <c r="L29" s="13">
        <f>_xll.BDH("BLUE US Equity","IS_COMPARABLE_EBITDA","FQ3 2021","FQ3 2021","Currency=USD","Period=FQ","BEST_FPERIOD_OVERRIDE=FQ","FILING_STATUS=MR","SCALING_FORMAT=MLN","Sort=A","Dates=H","DateFormat=P","Fill=—","Direction=H","UseDPDF=Y")</f>
        <v>-210.97200000000001</v>
      </c>
      <c r="M29" s="13">
        <f>_xll.BDH("BLUE US Equity","IS_COMPARABLE_EBITDA","FQ4 2021","FQ4 2021","Currency=USD","Period=FQ","BEST_FPERIOD_OVERRIDE=FQ","FILING_STATUS=MR","SCALING_FORMAT=MLN","Sort=A","Dates=H","DateFormat=P","Fill=—","Direction=H","UseDPDF=Y")</f>
        <v>-133.35300000000001</v>
      </c>
      <c r="N29" s="13">
        <f>_xll.BDH("BLUE US Equity","IS_COMPARABLE_EBITDA","FQ1 2022","FQ1 2022","Currency=USD","Period=FQ","BEST_FPERIOD_OVERRIDE=FQ","FILING_STATUS=MR","SCALING_FORMAT=MLN","Sort=A","Dates=H","DateFormat=P","Fill=—","Direction=H","UseDPDF=Y")</f>
        <v>-119.33199999999999</v>
      </c>
      <c r="O29" s="13">
        <f>_xll.BDH("BLUE US Equity","IS_COMPARABLE_EBITDA","FQ2 2022","FQ2 2022","Currency=USD","Period=FQ","BEST_FPERIOD_OVERRIDE=FQ","FILING_STATUS=MR","SCALING_FORMAT=MLN","Sort=A","Dates=H","DateFormat=P","Fill=—","Direction=H","UseDPDF=Y")</f>
        <v>-106.056</v>
      </c>
      <c r="P29" s="13">
        <f>_xll.BDH("BLUE US Equity","IS_COMPARABLE_EBITDA","FQ3 2022","FQ3 2022","Currency=USD","Period=FQ","BEST_FPERIOD_OVERRIDE=FQ","FILING_STATUS=MR","SCALING_FORMAT=MLN","Sort=A","Dates=H","DateFormat=P","Fill=—","Direction=H","UseDPDF=Y")</f>
        <v>-83.394000000000005</v>
      </c>
      <c r="Q29" s="13">
        <f>_xll.BDH("BLUE US Equity","IS_COMPARABLE_EBITDA","FQ4 2022","FQ4 2022","Currency=USD","Period=FQ","BEST_FPERIOD_OVERRIDE=FQ","FILING_STATUS=MR","SCALING_FORMAT=MLN","Sort=A","Dates=H","DateFormat=P","Fill=—","Direction=H","UseDPDF=Y")</f>
        <v>26.690999999999999</v>
      </c>
      <c r="R29" s="13">
        <f>_xll.BDH("BLUE US Equity","IS_COMPARABLE_EBITDA","FQ1 2023","FQ1 2023","Currency=USD","Period=FQ","BEST_FPERIOD_OVERRIDE=FQ","FILING_STATUS=MR","SCALING_FORMAT=MLN","Sort=A","Dates=H","DateFormat=P","Fill=—","Direction=H","UseDPDF=Y")</f>
        <v>9.5190000000000001</v>
      </c>
      <c r="S29" s="13">
        <f>_xll.BDH("BLUE US Equity","IS_COMPARABLE_EBITDA","FQ2 2023","FQ2 2023","Currency=USD","Period=FQ","BEST_FPERIOD_OVERRIDE=FQ","FILING_STATUS=MR","SCALING_FORMAT=MLN","Sort=A","Dates=H","DateFormat=P","Fill=—","Direction=H","UseDPDF=Y")</f>
        <v>-83.245000000000005</v>
      </c>
      <c r="T29" s="13">
        <f>_xll.BDH("BLUE US Equity","IS_COMPARABLE_EBITDA","FQ3 2023","FQ3 2023","Currency=USD","Period=FQ","BEST_FPERIOD_OVERRIDE=FQ","FILING_STATUS=MR","SCALING_FORMAT=MLN","Sort=A","Dates=H","DateFormat=P","Fill=—","Direction=H","UseDPDF=Y")</f>
        <v>-84.739000000000004</v>
      </c>
      <c r="U29" s="13">
        <f>_xll.BDH("BLUE US Equity","IS_COMPARABLE_EBITDA","FQ4 2023","FQ4 2023","Currency=USD","Period=FQ","BEST_FPERIOD_OVERRIDE=FQ","FILING_STATUS=MR","SCALING_FORMAT=MLN","Sort=A","Dates=H","DateFormat=P","Fill=—","Direction=H","UseDPDF=Y")</f>
        <v>-57.271999999999998</v>
      </c>
      <c r="V29" s="13">
        <f>_xll.BDH("BLUE US Equity","IS_COMPARABLE_EBITDA","FQ1 2024","FQ1 2024","Currency=USD","Period=FQ","BEST_FPERIOD_OVERRIDE=FQ","FILING_STATUS=MR","SCALING_FORMAT=MLN","Sort=A","Dates=H","DateFormat=P","Fill=—","Direction=H","UseDPDF=Y")</f>
        <v>-54.335000000000001</v>
      </c>
      <c r="W29" s="13">
        <f>_xll.BDH("BLUE US Equity","IS_COMPARABLE_EBITDA","FQ2 2024","FQ2 2024","Currency=USD","Period=FQ","BEST_FPERIOD_OVERRIDE=FQ","FILING_STATUS=MR","SCALING_FORMAT=MLN","Sort=A","Dates=H","DateFormat=P","Fill=—","Direction=H","UseDPDF=Y")</f>
        <v>-60.792000000000002</v>
      </c>
      <c r="X29" s="13">
        <f>_xll.BDH("BLUE US Equity","IS_COMPARABLE_EBITDA","FQ3 2024","FQ3 2024","Currency=USD","Period=FQ","BEST_FPERIOD_OVERRIDE=FQ","FILING_STATUS=MR","SCALING_FORMAT=MLN","Sort=A","Dates=H","DateFormat=P","Fill=—","Direction=H","UseDPDF=Y")</f>
        <v>-71.537000000000006</v>
      </c>
      <c r="Y29" s="13" t="str">
        <f>_xll.BDH("BLUE US Equity","IS_COMPARABLE_EBITDA","FQ4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11" t="s">
        <v>147</v>
      </c>
      <c r="B30" s="11"/>
      <c r="C30" s="25">
        <v>-20.885032221160699</v>
      </c>
      <c r="D30" s="25">
        <v>-1.2472151593691101</v>
      </c>
      <c r="E30" s="25">
        <v>-9.4553398058252505</v>
      </c>
      <c r="F30" s="25">
        <v>-3.5885154982339098</v>
      </c>
      <c r="G30" s="25" t="s">
        <v>76</v>
      </c>
      <c r="H30" s="25">
        <v>-6.5635328522729397</v>
      </c>
      <c r="I30" s="25">
        <v>1.1567899946854301</v>
      </c>
      <c r="J30" s="25">
        <v>-9.4580120484847399</v>
      </c>
      <c r="K30" s="25">
        <v>-6.8691695108077404</v>
      </c>
      <c r="L30" s="25">
        <v>1.64475524475524</v>
      </c>
      <c r="M30" s="25">
        <v>-16.7203501094092</v>
      </c>
      <c r="N30" s="25">
        <v>-44.8643399089529</v>
      </c>
      <c r="O30" s="25">
        <v>-10.0931145090467</v>
      </c>
      <c r="P30" s="25">
        <v>0.918412204308097</v>
      </c>
      <c r="Q30" s="25" t="s">
        <v>76</v>
      </c>
      <c r="R30" s="25" t="s">
        <v>76</v>
      </c>
      <c r="S30" s="25">
        <v>-3.7320872274143402</v>
      </c>
      <c r="T30" s="25">
        <v>-3.80483382945624</v>
      </c>
      <c r="U30" s="25">
        <v>36.622882246837897</v>
      </c>
      <c r="V30" s="25">
        <v>-15.360934182590199</v>
      </c>
      <c r="W30" s="25">
        <v>13.278174037089901</v>
      </c>
      <c r="X30" s="25">
        <v>-3.52677279305356</v>
      </c>
      <c r="Y30" s="25" t="s">
        <v>76</v>
      </c>
      <c r="Z30" s="25"/>
      <c r="AA30" s="25"/>
    </row>
    <row r="31" spans="1:27" x14ac:dyDescent="0.25">
      <c r="A31" s="10" t="s">
        <v>135</v>
      </c>
      <c r="B31" s="10" t="s">
        <v>78</v>
      </c>
      <c r="C31" s="13">
        <f>_xll.BDH("BLUE US Equity","EBITDA","FQ2 2019","FQ2 2019","Currency=USD","Period=FQ","BEST_FPERIOD_OVERRIDE=FQ","FILING_STATUS=MR","SCALING_FORMAT=MLN","FA_ADJUSTED=GAAP","Sort=A","Dates=H","DateFormat=P","Fill=—","Direction=H","UseDPDF=Y")</f>
        <v>-189.73699999999999</v>
      </c>
      <c r="D31" s="13">
        <f>_xll.BDH("BLUE US Equity","EBITDA","FQ3 2019","FQ3 2019","Currency=USD","Period=FQ","BEST_FPERIOD_OVERRIDE=FQ","FILING_STATUS=MR","SCALING_FORMAT=MLN","FA_ADJUSTED=GAAP","Sort=A","Dates=H","DateFormat=P","Fill=—","Direction=H","UseDPDF=Y")</f>
        <v>-197.02600000000001</v>
      </c>
      <c r="E31" s="13">
        <f>_xll.BDH("BLUE US Equity","EBITDA","FQ4 2019","FQ4 2019","Currency=USD","Period=FQ","BEST_FPERIOD_OVERRIDE=FQ","FILING_STATUS=MR","SCALING_FORMAT=MLN","FA_ADJUSTED=GAAP","Sort=A","Dates=H","DateFormat=P","Fill=—","Direction=H","UseDPDF=Y")</f>
        <v>-216.376</v>
      </c>
      <c r="F31" s="13">
        <f>_xll.BDH("BLUE US Equity","EBITDA","FQ1 2020","FQ1 2020","Currency=USD","Period=FQ","BEST_FPERIOD_OVERRIDE=FQ","FILING_STATUS=MR","SCALING_FORMAT=MLN","FA_ADJUSTED=GAAP","Sort=A","Dates=H","DateFormat=P","Fill=—","Direction=H","UseDPDF=Y")</f>
        <v>-198.54499999999999</v>
      </c>
      <c r="G31" s="13">
        <f>_xll.BDH("BLUE US Equity","EBITDA","FQ2 2020","FQ2 2020","Currency=USD","Period=FQ","BEST_FPERIOD_OVERRIDE=FQ","FILING_STATUS=MR","SCALING_FORMAT=MLN","FA_ADJUSTED=GAAP","Sort=A","Dates=H","DateFormat=P","Fill=—","Direction=H","UseDPDF=Y")</f>
        <v>-21.395</v>
      </c>
      <c r="H31" s="13">
        <f>_xll.BDH("BLUE US Equity","EBITDA","FQ3 2020","FQ3 2020","Currency=USD","Period=FQ","BEST_FPERIOD_OVERRIDE=FQ","FILING_STATUS=MR","SCALING_FORMAT=MLN","FA_ADJUSTED=GAAP","Sort=A","Dates=H","DateFormat=P","Fill=—","Direction=H","UseDPDF=Y")</f>
        <v>-184.74600000000001</v>
      </c>
      <c r="I31" s="13">
        <f>_xll.BDH("BLUE US Equity","EBITDA","FQ4 2020","FQ4 2020","Currency=USD","Period=FQ","BEST_FPERIOD_OVERRIDE=FQ","FILING_STATUS=MR","SCALING_FORMAT=MLN","FA_ADJUSTED=GAAP","Sort=A","Dates=H","DateFormat=P","Fill=—","Direction=H","UseDPDF=Y")</f>
        <v>-134.40899999999999</v>
      </c>
      <c r="J31" s="13">
        <f>_xll.BDH("BLUE US Equity","EBITDA","FQ1 2021","FQ1 2021","Currency=USD","Period=FQ","BEST_FPERIOD_OVERRIDE=FQ","FILING_STATUS=MR","SCALING_FORMAT=MLN","FA_ADJUSTED=GAAP","Sort=A","Dates=H","DateFormat=P","Fill=—","Direction=H","UseDPDF=Y")</f>
        <v>-140.73400000000001</v>
      </c>
      <c r="K31" s="13">
        <f>_xll.BDH("BLUE US Equity","EBITDA","FQ2 2021","FQ2 2021","Currency=USD","Period=FQ","BEST_FPERIOD_OVERRIDE=FQ","FILING_STATUS=MR","SCALING_FORMAT=MLN","FA_ADJUSTED=GAAP","Sort=A","Dates=H","DateFormat=P","Fill=—","Direction=H","UseDPDF=Y")</f>
        <v>-234.845</v>
      </c>
      <c r="L31" s="13">
        <f>_xll.BDH("BLUE US Equity","EBITDA","FQ3 2021","FQ3 2021","Currency=USD","Period=FQ","BEST_FPERIOD_OVERRIDE=FQ","FILING_STATUS=MR","SCALING_FORMAT=MLN","FA_ADJUSTED=GAAP","Sort=A","Dates=H","DateFormat=P","Fill=—","Direction=H","UseDPDF=Y")</f>
        <v>-148.46700000000001</v>
      </c>
      <c r="M31" s="13">
        <f>_xll.BDH("BLUE US Equity","EBITDA","FQ4 2021","FQ4 2021","Currency=USD","Period=FQ","BEST_FPERIOD_OVERRIDE=FQ","FILING_STATUS=MR","SCALING_FORMAT=MLN","FA_ADJUSTED=GAAP","Sort=A","Dates=H","DateFormat=P","Fill=—","Direction=H","UseDPDF=Y")</f>
        <v>-133.35300000000001</v>
      </c>
      <c r="N31" s="13">
        <f>_xll.BDH("BLUE US Equity","EBITDA","FQ1 2022","FQ1 2022","Currency=USD","Period=FQ","BEST_FPERIOD_OVERRIDE=FQ","FILING_STATUS=MR","SCALING_FORMAT=MLN","FA_ADJUSTED=GAAP","Sort=A","Dates=H","DateFormat=P","Fill=—","Direction=H","UseDPDF=Y")</f>
        <v>-119.33199999999999</v>
      </c>
      <c r="O31" s="13">
        <f>_xll.BDH("BLUE US Equity","EBITDA","FQ2 2022","FQ2 2022","Currency=USD","Period=FQ","BEST_FPERIOD_OVERRIDE=FQ","FILING_STATUS=MR","SCALING_FORMAT=MLN","FA_ADJUSTED=GAAP","Sort=A","Dates=H","DateFormat=P","Fill=—","Direction=H","UseDPDF=Y")</f>
        <v>-106.056</v>
      </c>
      <c r="P31" s="13">
        <f>_xll.BDH("BLUE US Equity","EBITDA","FQ3 2022","FQ3 2022","Currency=USD","Period=FQ","BEST_FPERIOD_OVERRIDE=FQ","FILING_STATUS=MR","SCALING_FORMAT=MLN","FA_ADJUSTED=GAAP","Sort=A","Dates=H","DateFormat=P","Fill=—","Direction=H","UseDPDF=Y")</f>
        <v>-83.394000000000005</v>
      </c>
      <c r="Q31" s="13">
        <f>_xll.BDH("BLUE US Equity","EBITDA","FQ4 2022","FQ4 2022","Currency=USD","Period=FQ","BEST_FPERIOD_OVERRIDE=FQ","FILING_STATUS=MR","SCALING_FORMAT=MLN","FA_ADJUSTED=GAAP","Sort=A","Dates=H","DateFormat=P","Fill=—","Direction=H","UseDPDF=Y")</f>
        <v>66.941000000000003</v>
      </c>
      <c r="R31" s="13">
        <f>_xll.BDH("BLUE US Equity","EBITDA","FQ1 2023","FQ1 2023","Currency=USD","Period=FQ","BEST_FPERIOD_OVERRIDE=FQ","FILING_STATUS=MR","SCALING_FORMAT=MLN","FA_ADJUSTED=GAAP","Sort=A","Dates=H","DateFormat=P","Fill=—","Direction=H","UseDPDF=Y")</f>
        <v>18.279</v>
      </c>
      <c r="S31" s="13">
        <f>_xll.BDH("BLUE US Equity","EBITDA","FQ2 2023","FQ2 2023","Currency=USD","Period=FQ","BEST_FPERIOD_OVERRIDE=FQ","FILING_STATUS=MR","SCALING_FORMAT=MLN","FA_ADJUSTED=GAAP","Sort=A","Dates=H","DateFormat=P","Fill=—","Direction=H","UseDPDF=Y")</f>
        <v>-64.542000000000002</v>
      </c>
      <c r="T31" s="13">
        <f>_xll.BDH("BLUE US Equity","EBITDA","FQ3 2023","FQ3 2023","Currency=USD","Period=FQ","BEST_FPERIOD_OVERRIDE=FQ","FILING_STATUS=MR","SCALING_FORMAT=MLN","FA_ADJUSTED=GAAP","Sort=A","Dates=H","DateFormat=P","Fill=—","Direction=H","UseDPDF=Y")</f>
        <v>-86.867999999999995</v>
      </c>
      <c r="U31" s="13">
        <f>_xll.BDH("BLUE US Equity","EBITDA","FQ4 2023","FQ4 2023","Currency=USD","Period=FQ","BEST_FPERIOD_OVERRIDE=FQ","FILING_STATUS=MR","SCALING_FORMAT=MLN","FA_ADJUSTED=GAAP","Sort=A","Dates=H","DateFormat=P","Fill=—","Direction=H","UseDPDF=Y")</f>
        <v>-57.271999999999998</v>
      </c>
      <c r="V31" s="13">
        <f>_xll.BDH("BLUE US Equity","EBITDA","FQ1 2024","FQ1 2024","Currency=USD","Period=FQ","BEST_FPERIOD_OVERRIDE=FQ","FILING_STATUS=MR","SCALING_FORMAT=MLN","FA_ADJUSTED=GAAP","Sort=A","Dates=H","DateFormat=P","Fill=—","Direction=H","UseDPDF=Y")</f>
        <v>-64.082999999999998</v>
      </c>
      <c r="W31" s="13">
        <f>_xll.BDH("BLUE US Equity","EBITDA","FQ2 2024","FQ2 2024","Currency=USD","Period=FQ","BEST_FPERIOD_OVERRIDE=FQ","FILING_STATUS=MR","SCALING_FORMAT=MLN","FA_ADJUSTED=GAAP","Sort=A","Dates=H","DateFormat=P","Fill=—","Direction=H","UseDPDF=Y")</f>
        <v>-72.64</v>
      </c>
      <c r="X31" s="13">
        <f>_xll.BDH("BLUE US Equity","EBITDA","FQ3 2024","FQ3 2024","Currency=USD","Period=FQ","BEST_FPERIOD_OVERRIDE=FQ","FILING_STATUS=MR","SCALING_FORMAT=MLN","FA_ADJUSTED=GAAP","Sort=A","Dates=H","DateFormat=P","Fill=—","Direction=H","UseDPDF=Y")</f>
        <v>-51.575000000000003</v>
      </c>
      <c r="Y31" s="13">
        <f>_xll.BDH("BLUE US Equity","EBITDA","FQ4 2024","FQ4 2024","Currency=USD","Period=FQ","BEST_FPERIOD_OVERRIDE=FQ","FILING_STATUS=MR","SCALING_FORMAT=MLN","FA_ADJUSTED=GAAP","Sort=A","Dates=H","DateFormat=P","Fill=—","Direction=H","UseDPDF=Y")</f>
        <v>-29.396999999999998</v>
      </c>
      <c r="Z31" s="13"/>
      <c r="AA31" s="13"/>
    </row>
    <row r="32" spans="1:27" x14ac:dyDescent="0.25">
      <c r="A32" s="10" t="s">
        <v>136</v>
      </c>
      <c r="B32" s="10" t="s">
        <v>78</v>
      </c>
      <c r="C32" s="13">
        <f>_xll.BDH("BLUE US Equity","EBITDA","FQ2 2019","FQ2 2019","Currency=USD","Period=FQ","BEST_FPERIOD_OVERRIDE=FQ","FILING_STATUS=MR","SCALING_FORMAT=MLN","FA_ADJUSTED=Adjusted","Sort=A","Dates=H","DateFormat=P","Fill=—","Direction=H","UseDPDF=Y")</f>
        <v>-189.523</v>
      </c>
      <c r="D32" s="13">
        <f>_xll.BDH("BLUE US Equity","EBITDA","FQ3 2019","FQ3 2019","Currency=USD","Period=FQ","BEST_FPERIOD_OVERRIDE=FQ","FILING_STATUS=MR","SCALING_FORMAT=MLN","FA_ADJUSTED=Adjusted","Sort=A","Dates=H","DateFormat=P","Fill=—","Direction=H","UseDPDF=Y")</f>
        <v>-196.22399999999999</v>
      </c>
      <c r="E32" s="13">
        <f>_xll.BDH("BLUE US Equity","EBITDA","FQ4 2019","FQ4 2019","Currency=USD","Period=FQ","BEST_FPERIOD_OVERRIDE=FQ","FILING_STATUS=MR","SCALING_FORMAT=MLN","FA_ADJUSTED=Adjusted","Sort=A","Dates=H","DateFormat=P","Fill=—","Direction=H","UseDPDF=Y")</f>
        <v>-214.941</v>
      </c>
      <c r="F32" s="13">
        <f>_xll.BDH("BLUE US Equity","EBITDA","FQ1 2020","FQ1 2020","Currency=USD","Period=FQ","BEST_FPERIOD_OVERRIDE=FQ","FILING_STATUS=MR","SCALING_FORMAT=MLN","FA_ADJUSTED=Adjusted","Sort=A","Dates=H","DateFormat=P","Fill=—","Direction=H","UseDPDF=Y")</f>
        <v>-201.65299999999999</v>
      </c>
      <c r="G32" s="13">
        <f>_xll.BDH("BLUE US Equity","EBITDA","FQ2 2020","FQ2 2020","Currency=USD","Period=FQ","BEST_FPERIOD_OVERRIDE=FQ","FILING_STATUS=MR","SCALING_FORMAT=MLN","FA_ADJUSTED=Adjusted","Sort=A","Dates=H","DateFormat=P","Fill=—","Direction=H","UseDPDF=Y")</f>
        <v>-23.05</v>
      </c>
      <c r="H32" s="13">
        <f>_xll.BDH("BLUE US Equity","EBITDA","FQ3 2020","FQ3 2020","Currency=USD","Period=FQ","BEST_FPERIOD_OVERRIDE=FQ","FILING_STATUS=MR","SCALING_FORMAT=MLN","FA_ADJUSTED=Adjusted","Sort=A","Dates=H","DateFormat=P","Fill=—","Direction=H","UseDPDF=Y")</f>
        <v>-185.57400000000001</v>
      </c>
      <c r="I32" s="13">
        <f>_xll.BDH("BLUE US Equity","EBITDA","FQ4 2020","FQ4 2020","Currency=USD","Period=FQ","BEST_FPERIOD_OVERRIDE=FQ","FILING_STATUS=MR","SCALING_FORMAT=MLN","FA_ADJUSTED=Adjusted","Sort=A","Dates=H","DateFormat=P","Fill=—","Direction=H","UseDPDF=Y")</f>
        <v>-134.40899999999999</v>
      </c>
      <c r="J32" s="13">
        <f>_xll.BDH("BLUE US Equity","EBITDA","FQ1 2021","FQ1 2021","Currency=USD","Period=FQ","BEST_FPERIOD_OVERRIDE=FQ","FILING_STATUS=MR","SCALING_FORMAT=MLN","FA_ADJUSTED=Adjusted","Sort=A","Dates=H","DateFormat=P","Fill=—","Direction=H","UseDPDF=Y")</f>
        <v>-168.73699999999999</v>
      </c>
      <c r="K32" s="13">
        <f>_xll.BDH("BLUE US Equity","EBITDA","FQ2 2021","FQ2 2021","Currency=USD","Period=FQ","BEST_FPERIOD_OVERRIDE=FQ","FILING_STATUS=MR","SCALING_FORMAT=MLN","FA_ADJUSTED=Adjusted","Sort=A","Dates=H","DateFormat=P","Fill=—","Direction=H","UseDPDF=Y")</f>
        <v>-234.798</v>
      </c>
      <c r="L32" s="13">
        <f>_xll.BDH("BLUE US Equity","EBITDA","FQ3 2021","FQ3 2021","Currency=USD","Period=FQ","BEST_FPERIOD_OVERRIDE=FQ","FILING_STATUS=MR","SCALING_FORMAT=MLN","FA_ADJUSTED=Adjusted","Sort=A","Dates=H","DateFormat=P","Fill=—","Direction=H","UseDPDF=Y")</f>
        <v>-128.292</v>
      </c>
      <c r="M32" s="13">
        <f>_xll.BDH("BLUE US Equity","EBITDA","FQ4 2021","FQ4 2021","Currency=USD","Period=FQ","BEST_FPERIOD_OVERRIDE=FQ","FILING_STATUS=MR","SCALING_FORMAT=MLN","FA_ADJUSTED=Adjusted","Sort=A","Dates=H","DateFormat=P","Fill=—","Direction=H","UseDPDF=Y")</f>
        <v>-132.429</v>
      </c>
      <c r="N32" s="13">
        <f>_xll.BDH("BLUE US Equity","EBITDA","FQ1 2022","FQ1 2022","Currency=USD","Period=FQ","BEST_FPERIOD_OVERRIDE=FQ","FILING_STATUS=MR","SCALING_FORMAT=MLN","FA_ADJUSTED=Adjusted","Sort=A","Dates=H","DateFormat=P","Fill=—","Direction=H","UseDPDF=Y")</f>
        <v>-116.824</v>
      </c>
      <c r="O32" s="13">
        <f>_xll.BDH("BLUE US Equity","EBITDA","FQ2 2022","FQ2 2022","Currency=USD","Period=FQ","BEST_FPERIOD_OVERRIDE=FQ","FILING_STATUS=MR","SCALING_FORMAT=MLN","FA_ADJUSTED=Adjusted","Sort=A","Dates=H","DateFormat=P","Fill=—","Direction=H","UseDPDF=Y")</f>
        <v>-98.79</v>
      </c>
      <c r="P32" s="13">
        <f>_xll.BDH("BLUE US Equity","EBITDA","FQ3 2022","FQ3 2022","Currency=USD","Period=FQ","BEST_FPERIOD_OVERRIDE=FQ","FILING_STATUS=MR","SCALING_FORMAT=MLN","FA_ADJUSTED=Adjusted","Sort=A","Dates=H","DateFormat=P","Fill=—","Direction=H","UseDPDF=Y")</f>
        <v>-85.093000000000004</v>
      </c>
      <c r="Q32" s="13">
        <f>_xll.BDH("BLUE US Equity","EBITDA","FQ4 2022","FQ4 2022","Currency=USD","Period=FQ","BEST_FPERIOD_OVERRIDE=FQ","FILING_STATUS=MR","SCALING_FORMAT=MLN","FA_ADJUSTED=Adjusted","Sort=A","Dates=H","DateFormat=P","Fill=—","Direction=H","UseDPDF=Y")</f>
        <v>-38.194000000000003</v>
      </c>
      <c r="R32" s="13">
        <f>_xll.BDH("BLUE US Equity","EBITDA","FQ1 2023","FQ1 2023","Currency=USD","Period=FQ","BEST_FPERIOD_OVERRIDE=FQ","FILING_STATUS=MR","SCALING_FORMAT=MLN","FA_ADJUSTED=Adjusted","Sort=A","Dates=H","DateFormat=P","Fill=—","Direction=H","UseDPDF=Y")</f>
        <v>-74.650999999999996</v>
      </c>
      <c r="S32" s="13">
        <f>_xll.BDH("BLUE US Equity","EBITDA","FQ2 2023","FQ2 2023","Currency=USD","Period=FQ","BEST_FPERIOD_OVERRIDE=FQ","FILING_STATUS=MR","SCALING_FORMAT=MLN","FA_ADJUSTED=Adjusted","Sort=A","Dates=H","DateFormat=P","Fill=—","Direction=H","UseDPDF=Y")</f>
        <v>-64.542000000000002</v>
      </c>
      <c r="T32" s="13">
        <f>_xll.BDH("BLUE US Equity","EBITDA","FQ3 2023","FQ3 2023","Currency=USD","Period=FQ","BEST_FPERIOD_OVERRIDE=FQ","FILING_STATUS=MR","SCALING_FORMAT=MLN","FA_ADJUSTED=Adjusted","Sort=A","Dates=H","DateFormat=P","Fill=—","Direction=H","UseDPDF=Y")</f>
        <v>-86.867999999999995</v>
      </c>
      <c r="U32" s="13">
        <f>_xll.BDH("BLUE US Equity","EBITDA","FQ4 2023","FQ4 2023","Currency=USD","Period=FQ","BEST_FPERIOD_OVERRIDE=FQ","FILING_STATUS=MR","SCALING_FORMAT=MLN","FA_ADJUSTED=Adjusted","Sort=A","Dates=H","DateFormat=P","Fill=—","Direction=H","UseDPDF=Y")</f>
        <v>-57.271999999999998</v>
      </c>
      <c r="V32" s="13">
        <f>_xll.BDH("BLUE US Equity","EBITDA","FQ1 2024","FQ1 2024","Currency=USD","Period=FQ","BEST_FPERIOD_OVERRIDE=FQ","FILING_STATUS=MR","SCALING_FORMAT=MLN","FA_ADJUSTED=Adjusted","Sort=A","Dates=H","DateFormat=P","Fill=—","Direction=H","UseDPDF=Y")</f>
        <v>-64.082999999999998</v>
      </c>
      <c r="W32" s="13">
        <f>_xll.BDH("BLUE US Equity","EBITDA","FQ2 2024","FQ2 2024","Currency=USD","Period=FQ","BEST_FPERIOD_OVERRIDE=FQ","FILING_STATUS=MR","SCALING_FORMAT=MLN","FA_ADJUSTED=Adjusted","Sort=A","Dates=H","DateFormat=P","Fill=—","Direction=H","UseDPDF=Y")</f>
        <v>-72.64</v>
      </c>
      <c r="X32" s="13">
        <f>_xll.BDH("BLUE US Equity","EBITDA","FQ3 2024","FQ3 2024","Currency=USD","Period=FQ","BEST_FPERIOD_OVERRIDE=FQ","FILING_STATUS=MR","SCALING_FORMAT=MLN","FA_ADJUSTED=Adjusted","Sort=A","Dates=H","DateFormat=P","Fill=—","Direction=H","UseDPDF=Y")</f>
        <v>-48.764000000000003</v>
      </c>
      <c r="Y32" s="13">
        <f>_xll.BDH("BLUE US Equity","EBITDA","FQ4 2024","FQ4 2024","Currency=USD","Period=FQ","BEST_FPERIOD_OVERRIDE=FQ","FILING_STATUS=MR","SCALING_FORMAT=MLN","FA_ADJUSTED=Adjusted","Sort=A","Dates=H","DateFormat=P","Fill=—","Direction=H","UseDPDF=Y")</f>
        <v>-29.446000000000002</v>
      </c>
      <c r="Z32" s="13"/>
      <c r="AA32" s="13"/>
    </row>
    <row r="33" spans="1:27" x14ac:dyDescent="0.2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 t="s">
        <v>148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0" t="s">
        <v>130</v>
      </c>
      <c r="B35" s="10" t="s">
        <v>149</v>
      </c>
      <c r="C35" s="14" t="str">
        <f>_xll.BDH("BLUE US Equity","BEST_GROSS_MARGIN","FQ2 2019","FQ2 2019","Currency=USD","Period=FQ","BEST_FPERIOD_OVERRIDE=FQ","FILING_STATUS=MR","Sort=A","Dates=H","DateFormat=P","Fill=—","Direction=H","UseDPDF=Y")</f>
        <v>—</v>
      </c>
      <c r="D35" s="14">
        <f>_xll.BDH("BLUE US Equity","BEST_GROSS_MARGIN","FQ3 2019","FQ3 2019","Currency=USD","Period=FQ","BEST_FPERIOD_OVERRIDE=FQ","FILING_STATUS=MR","Sort=A","Dates=H","DateFormat=P","Fill=—","Direction=H","UseDPDF=Y")</f>
        <v>90</v>
      </c>
      <c r="E35" s="14" t="str">
        <f>_xll.BDH("BLUE US Equity","BEST_GROSS_MARGIN","FQ4 2019","FQ4 2019","Currency=USD","Period=FQ","BEST_FPERIOD_OVERRIDE=FQ","FILING_STATUS=MR","Sort=A","Dates=H","DateFormat=P","Fill=—","Direction=H","UseDPDF=Y")</f>
        <v>—</v>
      </c>
      <c r="F35" s="14">
        <f>_xll.BDH("BLUE US Equity","BEST_GROSS_MARGIN","FQ1 2020","FQ1 2020","Currency=USD","Period=FQ","BEST_FPERIOD_OVERRIDE=FQ","FILING_STATUS=MR","Sort=A","Dates=H","DateFormat=P","Fill=—","Direction=H","UseDPDF=Y")</f>
        <v>80</v>
      </c>
      <c r="G35" s="14">
        <f>_xll.BDH("BLUE US Equity","BEST_GROSS_MARGIN","FQ2 2020","FQ2 2020","Currency=USD","Period=FQ","BEST_FPERIOD_OVERRIDE=FQ","FILING_STATUS=MR","Sort=A","Dates=H","DateFormat=P","Fill=—","Direction=H","UseDPDF=Y")</f>
        <v>90</v>
      </c>
      <c r="H35" s="14">
        <f>_xll.BDH("BLUE US Equity","BEST_GROSS_MARGIN","FQ3 2020","FQ3 2020","Currency=USD","Period=FQ","BEST_FPERIOD_OVERRIDE=FQ","FILING_STATUS=MR","Sort=A","Dates=H","DateFormat=P","Fill=—","Direction=H","UseDPDF=Y")</f>
        <v>80</v>
      </c>
      <c r="I35" s="14">
        <f>_xll.BDH("BLUE US Equity","BEST_GROSS_MARGIN","FQ4 2020","FQ4 2020","Currency=USD","Period=FQ","BEST_FPERIOD_OVERRIDE=FQ","FILING_STATUS=MR","Sort=A","Dates=H","DateFormat=P","Fill=—","Direction=H","UseDPDF=Y")</f>
        <v>80</v>
      </c>
      <c r="J35" s="14">
        <f>_xll.BDH("BLUE US Equity","BEST_GROSS_MARGIN","FQ1 2021","FQ1 2021","Currency=USD","Period=FQ","BEST_FPERIOD_OVERRIDE=FQ","FILING_STATUS=MR","Sort=A","Dates=H","DateFormat=P","Fill=—","Direction=H","UseDPDF=Y")</f>
        <v>86.441999999999993</v>
      </c>
      <c r="K35" s="14">
        <f>_xll.BDH("BLUE US Equity","BEST_GROSS_MARGIN","FQ2 2021","FQ2 2021","Currency=USD","Period=FQ","BEST_FPERIOD_OVERRIDE=FQ","FILING_STATUS=MR","Sort=A","Dates=H","DateFormat=P","Fill=—","Direction=H","UseDPDF=Y")</f>
        <v>86.304000000000002</v>
      </c>
      <c r="L35" s="14">
        <f>_xll.BDH("BLUE US Equity","BEST_GROSS_MARGIN","FQ3 2021","FQ3 2021","Currency=USD","Period=FQ","BEST_FPERIOD_OVERRIDE=FQ","FILING_STATUS=MR","Sort=A","Dates=H","DateFormat=P","Fill=—","Direction=H","UseDPDF=Y")</f>
        <v>86.212999999999994</v>
      </c>
      <c r="M35" s="14">
        <f>_xll.BDH("BLUE US Equity","BEST_GROSS_MARGIN","FQ4 2021","FQ4 2021","Currency=USD","Period=FQ","BEST_FPERIOD_OVERRIDE=FQ","FILING_STATUS=MR","Sort=A","Dates=H","DateFormat=P","Fill=—","Direction=H","UseDPDF=Y")</f>
        <v>98.451999999999998</v>
      </c>
      <c r="N35" s="14">
        <f>_xll.BDH("BLUE US Equity","BEST_GROSS_MARGIN","FQ1 2022","FQ1 2022","Currency=USD","Period=FQ","BEST_FPERIOD_OVERRIDE=FQ","FILING_STATUS=MR","Sort=A","Dates=H","DateFormat=P","Fill=—","Direction=H","UseDPDF=Y")</f>
        <v>98.153000000000006</v>
      </c>
      <c r="O35" s="14">
        <f>_xll.BDH("BLUE US Equity","BEST_GROSS_MARGIN","FQ2 2022","FQ2 2022","Currency=USD","Period=FQ","BEST_FPERIOD_OVERRIDE=FQ","FILING_STATUS=MR","Sort=A","Dates=H","DateFormat=P","Fill=—","Direction=H","UseDPDF=Y")</f>
        <v>90</v>
      </c>
      <c r="P35" s="14" t="str">
        <f>_xll.BDH("BLUE US Equity","BEST_GROSS_MARGIN","FQ3 2022","FQ3 2022","Currency=USD","Period=FQ","BEST_FPERIOD_OVERRIDE=FQ","FILING_STATUS=MR","Sort=A","Dates=H","DateFormat=P","Fill=—","Direction=H","UseDPDF=Y")</f>
        <v>—</v>
      </c>
      <c r="Q35" s="14">
        <f>_xll.BDH("BLUE US Equity","BEST_GROSS_MARGIN","FQ4 2022","FQ4 2022","Currency=USD","Period=FQ","BEST_FPERIOD_OVERRIDE=FQ","FILING_STATUS=MR","Sort=A","Dates=H","DateFormat=P","Fill=—","Direction=H","UseDPDF=Y")</f>
        <v>99</v>
      </c>
      <c r="R35" s="14">
        <f>_xll.BDH("BLUE US Equity","BEST_GROSS_MARGIN","FQ1 2023","FQ1 2023","Currency=USD","Period=FQ","BEST_FPERIOD_OVERRIDE=FQ","FILING_STATUS=MR","Sort=A","Dates=H","DateFormat=P","Fill=—","Direction=H","UseDPDF=Y")</f>
        <v>78</v>
      </c>
      <c r="S35" s="14">
        <f>_xll.BDH("BLUE US Equity","BEST_GROSS_MARGIN","FQ2 2023","FQ2 2023","Currency=USD","Period=FQ","BEST_FPERIOD_OVERRIDE=FQ","FILING_STATUS=MR","Sort=A","Dates=H","DateFormat=P","Fill=—","Direction=H","UseDPDF=Y")</f>
        <v>45</v>
      </c>
      <c r="T35" s="14">
        <f>_xll.BDH("BLUE US Equity","BEST_GROSS_MARGIN","FQ3 2023","FQ3 2023","Currency=USD","Period=FQ","BEST_FPERIOD_OVERRIDE=FQ","FILING_STATUS=MR","Sort=A","Dates=H","DateFormat=P","Fill=—","Direction=H","UseDPDF=Y")</f>
        <v>35</v>
      </c>
      <c r="U35" s="14">
        <f>_xll.BDH("BLUE US Equity","BEST_GROSS_MARGIN","FQ4 2023","FQ4 2023","Currency=USD","Period=FQ","BEST_FPERIOD_OVERRIDE=FQ","FILING_STATUS=MR","Sort=A","Dates=H","DateFormat=P","Fill=—","Direction=H","UseDPDF=Y")</f>
        <v>23.776</v>
      </c>
      <c r="V35" s="14">
        <f>_xll.BDH("BLUE US Equity","BEST_GROSS_MARGIN","FQ1 2024","FQ1 2024","Currency=USD","Period=FQ","BEST_FPERIOD_OVERRIDE=FQ","FILING_STATUS=MR","Sort=A","Dates=H","DateFormat=P","Fill=—","Direction=H","UseDPDF=Y")</f>
        <v>45.459000000000003</v>
      </c>
      <c r="W35" s="14">
        <f>_xll.BDH("BLUE US Equity","BEST_GROSS_MARGIN","FQ2 2024","FQ2 2024","Currency=USD","Period=FQ","BEST_FPERIOD_OVERRIDE=FQ","FILING_STATUS=MR","Sort=A","Dates=H","DateFormat=P","Fill=—","Direction=H","UseDPDF=Y")</f>
        <v>42.262999999999998</v>
      </c>
      <c r="X35" s="14">
        <f>_xll.BDH("BLUE US Equity","BEST_GROSS_MARGIN","FQ3 2024","FQ3 2024","Currency=USD","Period=FQ","BEST_FPERIOD_OVERRIDE=FQ","FILING_STATUS=MR","Sort=A","Dates=H","DateFormat=P","Fill=—","Direction=H","UseDPDF=Y")</f>
        <v>12</v>
      </c>
      <c r="Y35" s="14" t="str">
        <f>_xll.BDH("BLUE US Equity","BEST_GROSS_MARGIN","FQ4 2024","FQ4 2024","Currency=USD","Period=FQ","BEST_FPERIOD_OVERRIDE=FQ","FILING_STATUS=MR","Sort=A","Dates=H","DateFormat=P","Fill=—","Direction=H","UseDPDF=Y")</f>
        <v>—</v>
      </c>
      <c r="Z35" s="14"/>
      <c r="AA35" s="14"/>
    </row>
    <row r="36" spans="1:27" x14ac:dyDescent="0.25">
      <c r="A36" s="10" t="s">
        <v>132</v>
      </c>
      <c r="B36" s="10" t="s">
        <v>150</v>
      </c>
      <c r="C36" s="13">
        <f>_xll.BDH("BLUE US Equity","IS_COMP_GROSS_MARGIN_PERCENTAGE","FQ2 2019","FQ2 2019","Currency=USD","Period=FQ","BEST_FPERIOD_OVERRIDE=FQ","FILING_STATUS=MR","Sort=A","Dates=H","DateFormat=P","Fill=—","Direction=H","UseDPDF=Y")</f>
        <v>100</v>
      </c>
      <c r="D36" s="13">
        <f>_xll.BDH("BLUE US Equity","IS_COMP_GROSS_MARGIN_PERCENTAGE","FQ3 2019","FQ3 2019","Currency=USD","Period=FQ","BEST_FPERIOD_OVERRIDE=FQ","FILING_STATUS=MR","Sort=A","Dates=H","DateFormat=P","Fill=—","Direction=H","UseDPDF=Y")</f>
        <v>100</v>
      </c>
      <c r="E36" s="13">
        <f>_xll.BDH("BLUE US Equity","IS_COMP_GROSS_MARGIN_PERCENTAGE","FQ4 2019","FQ4 2019","Currency=USD","Period=FQ","BEST_FPERIOD_OVERRIDE=FQ","FILING_STATUS=MR","Sort=A","Dates=H","DateFormat=P","Fill=—","Direction=H","UseDPDF=Y")</f>
        <v>100</v>
      </c>
      <c r="F36" s="13">
        <f>_xll.BDH("BLUE US Equity","IS_COMP_GROSS_MARGIN_PERCENTAGE","FQ1 2020","FQ1 2020","Currency=USD","Period=FQ","BEST_FPERIOD_OVERRIDE=FQ","FILING_STATUS=MR","Sort=A","Dates=H","DateFormat=P","Fill=—","Direction=H","UseDPDF=Y")</f>
        <v>100</v>
      </c>
      <c r="G36" s="13">
        <f>_xll.BDH("BLUE US Equity","IS_COMP_GROSS_MARGIN_PERCENTAGE","FQ2 2020","FQ2 2020","Currency=USD","Period=FQ","BEST_FPERIOD_OVERRIDE=FQ","FILING_STATUS=MR","Sort=A","Dates=H","DateFormat=P","Fill=—","Direction=H","UseDPDF=Y")</f>
        <v>100</v>
      </c>
      <c r="H36" s="13">
        <f>_xll.BDH("BLUE US Equity","IS_COMP_GROSS_MARGIN_PERCENTAGE","FQ3 2020","FQ3 2020","Currency=USD","Period=FQ","BEST_FPERIOD_OVERRIDE=FQ","FILING_STATUS=MR","Sort=A","Dates=H","DateFormat=P","Fill=—","Direction=H","UseDPDF=Y")</f>
        <v>100</v>
      </c>
      <c r="I36" s="13">
        <f>_xll.BDH("BLUE US Equity","IS_COMP_GROSS_MARGIN_PERCENTAGE","FQ4 2020","FQ4 2020","Currency=USD","Period=FQ","BEST_FPERIOD_OVERRIDE=FQ","FILING_STATUS=MR","Sort=A","Dates=H","DateFormat=P","Fill=—","Direction=H","UseDPDF=Y")</f>
        <v>100</v>
      </c>
      <c r="J36" s="13">
        <f>_xll.BDH("BLUE US Equity","IS_COMP_GROSS_MARGIN_PERCENTAGE","FQ1 2021","FQ1 2021","Currency=USD","Period=FQ","BEST_FPERIOD_OVERRIDE=FQ","FILING_STATUS=MR","Sort=A","Dates=H","DateFormat=P","Fill=—","Direction=H","UseDPDF=Y")</f>
        <v>100</v>
      </c>
      <c r="K36" s="13">
        <f>_xll.BDH("BLUE US Equity","IS_COMP_GROSS_MARGIN_PERCENTAGE","FQ2 2021","FQ2 2021","Currency=USD","Period=FQ","BEST_FPERIOD_OVERRIDE=FQ","FILING_STATUS=MR","Sort=A","Dates=H","DateFormat=P","Fill=—","Direction=H","UseDPDF=Y")</f>
        <v>100</v>
      </c>
      <c r="L36" s="13">
        <f>_xll.BDH("BLUE US Equity","IS_COMP_GROSS_MARGIN_PERCENTAGE","FQ3 2021","FQ3 2021","Currency=USD","Period=FQ","BEST_FPERIOD_OVERRIDE=FQ","FILING_STATUS=MR","Sort=A","Dates=H","DateFormat=P","Fill=—","Direction=H","UseDPDF=Y")</f>
        <v>100</v>
      </c>
      <c r="M36" s="13">
        <f>_xll.BDH("BLUE US Equity","IS_COMP_GROSS_MARGIN_PERCENTAGE","FQ4 2021","FQ4 2021","Currency=USD","Period=FQ","BEST_FPERIOD_OVERRIDE=FQ","FILING_STATUS=MR","Sort=A","Dates=H","DateFormat=P","Fill=—","Direction=H","UseDPDF=Y")</f>
        <v>98.45</v>
      </c>
      <c r="N36" s="13">
        <f>_xll.BDH("BLUE US Equity","IS_COMP_GROSS_MARGIN_PERCENTAGE","FQ1 2022","FQ1 2022","Currency=USD","Period=FQ","BEST_FPERIOD_OVERRIDE=FQ","FILING_STATUS=MR","Sort=A","Dates=H","DateFormat=P","Fill=—","Direction=H","UseDPDF=Y")</f>
        <v>-327.2</v>
      </c>
      <c r="O36" s="13">
        <f>_xll.BDH("BLUE US Equity","IS_COMP_GROSS_MARGIN_PERCENTAGE","FQ2 2022","FQ2 2022","Currency=USD","Period=FQ","BEST_FPERIOD_OVERRIDE=FQ","FILING_STATUS=MR","Sort=A","Dates=H","DateFormat=P","Fill=—","Direction=H","UseDPDF=Y")</f>
        <v>100</v>
      </c>
      <c r="P36" s="13">
        <f>_xll.BDH("BLUE US Equity","IS_COMP_GROSS_MARGIN_PERCENTAGE","FQ3 2022","FQ3 2022","Currency=USD","Period=FQ","BEST_FPERIOD_OVERRIDE=FQ","FILING_STATUS=MR","Sort=A","Dates=H","DateFormat=P","Fill=—","Direction=H","UseDPDF=Y")</f>
        <v>100</v>
      </c>
      <c r="Q36" s="13">
        <f>_xll.BDH("BLUE US Equity","IS_COMP_GROSS_MARGIN_PERCENTAGE","FQ4 2022","FQ4 2022","Currency=USD","Period=FQ","BEST_FPERIOD_OVERRIDE=FQ","FILING_STATUS=MR","Sort=A","Dates=H","DateFormat=P","Fill=—","Direction=H","UseDPDF=Y")</f>
        <v>64.510000000000005</v>
      </c>
      <c r="R36" s="13">
        <f>_xll.BDH("BLUE US Equity","IS_COMP_GROSS_MARGIN_PERCENTAGE","FQ1 2023","FQ1 2023","Currency=USD","Period=FQ","BEST_FPERIOD_OVERRIDE=FQ","FILING_STATUS=MR","Sort=A","Dates=H","DateFormat=P","Fill=—","Direction=H","UseDPDF=Y")</f>
        <v>-41.789200000000001</v>
      </c>
      <c r="S36" s="13">
        <f>_xll.BDH("BLUE US Equity","IS_COMP_GROSS_MARGIN_PERCENTAGE","FQ2 2023","FQ2 2023","Currency=USD","Period=FQ","BEST_FPERIOD_OVERRIDE=FQ","FILING_STATUS=MR","Sort=A","Dates=H","DateFormat=P","Fill=—","Direction=H","UseDPDF=Y")</f>
        <v>-38.809899999999999</v>
      </c>
      <c r="T36" s="13">
        <f>_xll.BDH("BLUE US Equity","IS_COMP_GROSS_MARGIN_PERCENTAGE","FQ3 2023","FQ3 2023","Currency=USD","Period=FQ","BEST_FPERIOD_OVERRIDE=FQ","FILING_STATUS=MR","Sort=A","Dates=H","DateFormat=P","Fill=—","Direction=H","UseDPDF=Y")</f>
        <v>11.5962</v>
      </c>
      <c r="U36" s="13">
        <f>_xll.BDH("BLUE US Equity","IS_COMP_GROSS_MARGIN_PERCENTAGE","FQ4 2023","FQ4 2023","Currency=USD","Period=FQ","BEST_FPERIOD_OVERRIDE=FQ","FILING_STATUS=MR","Sort=A","Dates=H","DateFormat=P","Fill=—","Direction=H","UseDPDF=Y")</f>
        <v>-22.9512</v>
      </c>
      <c r="V36" s="13">
        <f>_xll.BDH("BLUE US Equity","IS_COMP_GROSS_MARGIN_PERCENTAGE","FQ1 2024","FQ1 2024","Currency=USD","Period=FQ","BEST_FPERIOD_OVERRIDE=FQ","FILING_STATUS=MR","Sort=A","Dates=H","DateFormat=P","Fill=—","Direction=H","UseDPDF=Y")</f>
        <v>-39.198900000000002</v>
      </c>
      <c r="W36" s="13">
        <f>_xll.BDH("BLUE US Equity","IS_COMP_GROSS_MARGIN_PERCENTAGE","FQ2 2024","FQ2 2024","Currency=USD","Period=FQ","BEST_FPERIOD_OVERRIDE=FQ","FILING_STATUS=MR","Sort=A","Dates=H","DateFormat=P","Fill=—","Direction=H","UseDPDF=Y")</f>
        <v>-79.777699999999996</v>
      </c>
      <c r="X36" s="13">
        <f>_xll.BDH("BLUE US Equity","IS_COMP_GROSS_MARGIN_PERCENTAGE","FQ3 2024","FQ3 2024","Currency=USD","Period=FQ","BEST_FPERIOD_OVERRIDE=FQ","FILING_STATUS=MR","Sort=A","Dates=H","DateFormat=P","Fill=—","Direction=H","UseDPDF=Y")</f>
        <v>-11.0158</v>
      </c>
      <c r="Y36" s="13" t="str">
        <f>_xll.BDH("BLUE US Equity","IS_COMP_GROSS_MARGIN_PERCENTAGE","FQ4 2024","FQ4 2024","Currency=USD","Period=FQ","BEST_FPERIOD_OVERRIDE=FQ","FILING_STATUS=MR","Sort=A","Dates=H","DateFormat=P","Fill=—","Direction=H","UseDPDF=Y")</f>
        <v>—</v>
      </c>
      <c r="Z36" s="13"/>
      <c r="AA36" s="13"/>
    </row>
    <row r="37" spans="1:27" x14ac:dyDescent="0.25">
      <c r="A37" s="11" t="s">
        <v>151</v>
      </c>
      <c r="B37" s="11"/>
      <c r="C37" s="25" t="s">
        <v>76</v>
      </c>
      <c r="D37" s="25">
        <v>11.1111111111111</v>
      </c>
      <c r="E37" s="25" t="s">
        <v>76</v>
      </c>
      <c r="F37" s="25">
        <v>25</v>
      </c>
      <c r="G37" s="25">
        <v>11.1111111111111</v>
      </c>
      <c r="H37" s="25">
        <v>25</v>
      </c>
      <c r="I37" s="25">
        <v>25</v>
      </c>
      <c r="J37" s="25">
        <v>15.6845052173712</v>
      </c>
      <c r="K37" s="25">
        <v>15.8694846125324</v>
      </c>
      <c r="L37" s="25">
        <v>15.991787781425099</v>
      </c>
      <c r="M37" s="25">
        <v>-2.0314467964036701E-3</v>
      </c>
      <c r="N37" s="25" t="s">
        <v>76</v>
      </c>
      <c r="O37" s="25">
        <v>11.1111111111111</v>
      </c>
      <c r="P37" s="25" t="s">
        <v>76</v>
      </c>
      <c r="Q37" s="25">
        <v>-34.838383838383798</v>
      </c>
      <c r="R37" s="25" t="s">
        <v>76</v>
      </c>
      <c r="S37" s="25" t="s">
        <v>76</v>
      </c>
      <c r="T37" s="25">
        <v>-66.868025714285693</v>
      </c>
      <c r="U37" s="25" t="s">
        <v>76</v>
      </c>
      <c r="V37" s="25" t="s">
        <v>76</v>
      </c>
      <c r="W37" s="25" t="s">
        <v>76</v>
      </c>
      <c r="X37" s="25" t="s">
        <v>76</v>
      </c>
      <c r="Y37" s="25" t="s">
        <v>76</v>
      </c>
      <c r="Z37" s="25"/>
      <c r="AA37" s="25"/>
    </row>
    <row r="38" spans="1:27" x14ac:dyDescent="0.25">
      <c r="A38" s="10" t="s">
        <v>135</v>
      </c>
      <c r="B38" s="10" t="s">
        <v>152</v>
      </c>
      <c r="C38" s="13" t="str">
        <f>_xll.BDH("BLUE US Equity","GROSS_MARGIN","FQ2 2019","FQ2 2019","Currency=USD","Period=FQ","BEST_FPERIOD_OVERRIDE=FQ","FILING_STATUS=MR","FA_ADJUSTED=GAAP","Sort=A","Dates=H","DateFormat=P","Fill=—","Direction=H","UseDPDF=Y")</f>
        <v>—</v>
      </c>
      <c r="D38" s="13" t="str">
        <f>_xll.BDH("BLUE US Equity","GROSS_MARGIN","FQ3 2019","FQ3 2019","Currency=USD","Period=FQ","BEST_FPERIOD_OVERRIDE=FQ","FILING_STATUS=MR","FA_ADJUSTED=GAAP","Sort=A","Dates=H","DateFormat=P","Fill=—","Direction=H","UseDPDF=Y")</f>
        <v>—</v>
      </c>
      <c r="E38" s="13" t="str">
        <f>_xll.BDH("BLUE US Equity","GROSS_MARGIN","FQ4 2019","FQ4 2019","Currency=USD","Period=FQ","BEST_FPERIOD_OVERRIDE=FQ","FILING_STATUS=MR","FA_ADJUSTED=GAAP","Sort=A","Dates=H","DateFormat=P","Fill=—","Direction=H","UseDPDF=Y")</f>
        <v>—</v>
      </c>
      <c r="F38" s="13" t="str">
        <f>_xll.BDH("BLUE US Equity","GROSS_MARGIN","FQ1 2020","FQ1 2020","Currency=USD","Period=FQ","BEST_FPERIOD_OVERRIDE=FQ","FILING_STATUS=MR","FA_ADJUSTED=GAAP","Sort=A","Dates=H","DateFormat=P","Fill=—","Direction=H","UseDPDF=Y")</f>
        <v>—</v>
      </c>
      <c r="G38" s="13" t="str">
        <f>_xll.BDH("BLUE US Equity","GROSS_MARGIN","FQ2 2020","FQ2 2020","Currency=USD","Period=FQ","BEST_FPERIOD_OVERRIDE=FQ","FILING_STATUS=MR","FA_ADJUSTED=GAAP","Sort=A","Dates=H","DateFormat=P","Fill=—","Direction=H","UseDPDF=Y")</f>
        <v>—</v>
      </c>
      <c r="H38" s="13" t="str">
        <f>_xll.BDH("BLUE US Equity","GROSS_MARGIN","FQ3 2020","FQ3 2020","Currency=USD","Period=FQ","BEST_FPERIOD_OVERRIDE=FQ","FILING_STATUS=MR","FA_ADJUSTED=GAAP","Sort=A","Dates=H","DateFormat=P","Fill=—","Direction=H","UseDPDF=Y")</f>
        <v>—</v>
      </c>
      <c r="I38" s="13" t="str">
        <f>_xll.BDH("BLUE US Equity","GROSS_MARGIN","FQ4 2020","FQ4 2020","Currency=USD","Period=FQ","BEST_FPERIOD_OVERRIDE=FQ","FILING_STATUS=MR","FA_ADJUSTED=GAAP","Sort=A","Dates=H","DateFormat=P","Fill=—","Direction=H","UseDPDF=Y")</f>
        <v>—</v>
      </c>
      <c r="J38" s="13">
        <f>_xll.BDH("BLUE US Equity","GROSS_MARGIN","FQ1 2021","FQ1 2021","Currency=USD","Period=FQ","BEST_FPERIOD_OVERRIDE=FQ","FILING_STATUS=MR","FA_ADJUSTED=GAAP","Sort=A","Dates=H","DateFormat=P","Fill=—","Direction=H","UseDPDF=Y")</f>
        <v>35.570500000000003</v>
      </c>
      <c r="K38" s="13" t="str">
        <f>_xll.BDH("BLUE US Equity","GROSS_MARGIN","FQ2 2021","FQ2 2021","Currency=USD","Period=FQ","BEST_FPERIOD_OVERRIDE=FQ","FILING_STATUS=MR","FA_ADJUSTED=GAAP","Sort=A","Dates=H","DateFormat=P","Fill=—","Direction=H","UseDPDF=Y")</f>
        <v>—</v>
      </c>
      <c r="L38" s="13">
        <f>_xll.BDH("BLUE US Equity","GROSS_MARGIN","FQ3 2021","FQ3 2021","Currency=USD","Period=FQ","BEST_FPERIOD_OVERRIDE=FQ","FILING_STATUS=MR","FA_ADJUSTED=GAAP","Sort=A","Dates=H","DateFormat=P","Fill=—","Direction=H","UseDPDF=Y")</f>
        <v>-1802.3552999999999</v>
      </c>
      <c r="M38" s="13">
        <f>_xll.BDH("BLUE US Equity","GROSS_MARGIN","FQ4 2021","FQ4 2021","Currency=USD","Period=FQ","BEST_FPERIOD_OVERRIDE=FQ","FILING_STATUS=MR","FA_ADJUSTED=GAAP","Sort=A","Dates=H","DateFormat=P","Fill=—","Direction=H","UseDPDF=Y")</f>
        <v>-129.2653</v>
      </c>
      <c r="N38" s="13">
        <f>_xll.BDH("BLUE US Equity","GROSS_MARGIN","FQ1 2022","FQ1 2022","Currency=USD","Period=FQ","BEST_FPERIOD_OVERRIDE=FQ","FILING_STATUS=MR","FA_ADJUSTED=GAAP","Sort=A","Dates=H","DateFormat=P","Fill=—","Direction=H","UseDPDF=Y")</f>
        <v>-327.24939999999998</v>
      </c>
      <c r="O38" s="13">
        <f>_xll.BDH("BLUE US Equity","GROSS_MARGIN","FQ2 2022","FQ2 2022","Currency=USD","Period=FQ","BEST_FPERIOD_OVERRIDE=FQ","FILING_STATUS=MR","FA_ADJUSTED=GAAP","Sort=A","Dates=H","DateFormat=P","Fill=—","Direction=H","UseDPDF=Y")</f>
        <v>-14.8782</v>
      </c>
      <c r="P38" s="13" t="str">
        <f>_xll.BDH("BLUE US Equity","GROSS_MARGIN","FQ3 2022","FQ3 2022","Currency=USD","Period=FQ","BEST_FPERIOD_OVERRIDE=FQ","FILING_STATUS=MR","FA_ADJUSTED=GAAP","Sort=A","Dates=H","DateFormat=P","Fill=—","Direction=H","UseDPDF=Y")</f>
        <v>—</v>
      </c>
      <c r="Q38" s="13">
        <f>_xll.BDH("BLUE US Equity","GROSS_MARGIN","FQ4 2022","FQ4 2022","Currency=USD","Period=FQ","BEST_FPERIOD_OVERRIDE=FQ","FILING_STATUS=MR","FA_ADJUSTED=GAAP","Sort=A","Dates=H","DateFormat=P","Fill=—","Direction=H","UseDPDF=Y")</f>
        <v>64.516099999999994</v>
      </c>
      <c r="R38" s="13">
        <f>_xll.BDH("BLUE US Equity","GROSS_MARGIN","FQ1 2023","FQ1 2023","Currency=USD","Period=FQ","BEST_FPERIOD_OVERRIDE=FQ","FILING_STATUS=MR","FA_ADJUSTED=GAAP","Sort=A","Dates=H","DateFormat=P","Fill=—","Direction=H","UseDPDF=Y")</f>
        <v>-131.49940000000001</v>
      </c>
      <c r="S38" s="13">
        <f>_xll.BDH("BLUE US Equity","GROSS_MARGIN","FQ2 2023","FQ2 2023","Currency=USD","Period=FQ","BEST_FPERIOD_OVERRIDE=FQ","FILING_STATUS=MR","FA_ADJUSTED=GAAP","Sort=A","Dates=H","DateFormat=P","Fill=—","Direction=H","UseDPDF=Y")</f>
        <v>2.8012000000000001</v>
      </c>
      <c r="T38" s="13">
        <f>_xll.BDH("BLUE US Equity","GROSS_MARGIN","FQ3 2023","FQ3 2023","Currency=USD","Period=FQ","BEST_FPERIOD_OVERRIDE=FQ","FILING_STATUS=MR","FA_ADJUSTED=GAAP","Sort=A","Dates=H","DateFormat=P","Fill=—","Direction=H","UseDPDF=Y")</f>
        <v>26.355699999999999</v>
      </c>
      <c r="U38" s="13">
        <f>_xll.BDH("BLUE US Equity","GROSS_MARGIN","FQ4 2023","FQ4 2023","Currency=USD","Period=FQ","BEST_FPERIOD_OVERRIDE=FQ","FILING_STATUS=MR","FA_ADJUSTED=GAAP","Sort=A","Dates=H","DateFormat=P","Fill=—","Direction=H","UseDPDF=Y")</f>
        <v>-22.9512</v>
      </c>
      <c r="V38" s="13">
        <f>_xll.BDH("BLUE US Equity","GROSS_MARGIN","FQ1 2024","FQ1 2024","Currency=USD","Period=FQ","BEST_FPERIOD_OVERRIDE=FQ","FILING_STATUS=MR","FA_ADJUSTED=GAAP","Sort=A","Dates=H","DateFormat=P","Fill=—","Direction=H","UseDPDF=Y")</f>
        <v>-39.255899999999997</v>
      </c>
      <c r="W38" s="13">
        <f>_xll.BDH("BLUE US Equity","GROSS_MARGIN","FQ2 2024","FQ2 2024","Currency=USD","Period=FQ","BEST_FPERIOD_OVERRIDE=FQ","FILING_STATUS=MR","FA_ADJUSTED=GAAP","Sort=A","Dates=H","DateFormat=P","Fill=—","Direction=H","UseDPDF=Y")</f>
        <v>-79.777699999999996</v>
      </c>
      <c r="X38" s="13">
        <f>_xll.BDH("BLUE US Equity","GROSS_MARGIN","FQ3 2024","FQ3 2024","Currency=USD","Period=FQ","BEST_FPERIOD_OVERRIDE=FQ","FILING_STATUS=MR","FA_ADJUSTED=GAAP","Sort=A","Dates=H","DateFormat=P","Fill=—","Direction=H","UseDPDF=Y")</f>
        <v>-11.0158</v>
      </c>
      <c r="Y38" s="13">
        <f>_xll.BDH("BLUE US Equity","GROSS_MARGIN","FQ4 2024","FQ4 2024","Currency=USD","Period=FQ","BEST_FPERIOD_OVERRIDE=FQ","FILING_STATUS=MR","FA_ADJUSTED=GAAP","Sort=A","Dates=H","DateFormat=P","Fill=—","Direction=H","UseDPDF=Y")</f>
        <v>40.8401</v>
      </c>
      <c r="Z38" s="13"/>
      <c r="AA38" s="13"/>
    </row>
    <row r="39" spans="1:27" x14ac:dyDescent="0.25">
      <c r="A39" s="10" t="s">
        <v>136</v>
      </c>
      <c r="B39" s="10" t="s">
        <v>152</v>
      </c>
      <c r="C39" s="13" t="str">
        <f>_xll.BDH("BLUE US Equity","GROSS_MARGIN","FQ2 2019","FQ2 2019","Currency=USD","Period=FQ","BEST_FPERIOD_OVERRIDE=FQ","FILING_STATUS=MR","FA_ADJUSTED=Adjusted","Sort=A","Dates=H","DateFormat=P","Fill=—","Direction=H","UseDPDF=Y")</f>
        <v>—</v>
      </c>
      <c r="D39" s="13" t="str">
        <f>_xll.BDH("BLUE US Equity","GROSS_MARGIN","FQ3 2019","FQ3 2019","Currency=USD","Period=FQ","BEST_FPERIOD_OVERRIDE=FQ","FILING_STATUS=MR","FA_ADJUSTED=Adjusted","Sort=A","Dates=H","DateFormat=P","Fill=—","Direction=H","UseDPDF=Y")</f>
        <v>—</v>
      </c>
      <c r="E39" s="13" t="str">
        <f>_xll.BDH("BLUE US Equity","GROSS_MARGIN","FQ4 2019","FQ4 2019","Currency=USD","Period=FQ","BEST_FPERIOD_OVERRIDE=FQ","FILING_STATUS=MR","FA_ADJUSTED=Adjusted","Sort=A","Dates=H","DateFormat=P","Fill=—","Direction=H","UseDPDF=Y")</f>
        <v>—</v>
      </c>
      <c r="F39" s="13" t="str">
        <f>_xll.BDH("BLUE US Equity","GROSS_MARGIN","FQ1 2020","FQ1 2020","Currency=USD","Period=FQ","BEST_FPERIOD_OVERRIDE=FQ","FILING_STATUS=MR","FA_ADJUSTED=Adjusted","Sort=A","Dates=H","DateFormat=P","Fill=—","Direction=H","UseDPDF=Y")</f>
        <v>—</v>
      </c>
      <c r="G39" s="13" t="str">
        <f>_xll.BDH("BLUE US Equity","GROSS_MARGIN","FQ2 2020","FQ2 2020","Currency=USD","Period=FQ","BEST_FPERIOD_OVERRIDE=FQ","FILING_STATUS=MR","FA_ADJUSTED=Adjusted","Sort=A","Dates=H","DateFormat=P","Fill=—","Direction=H","UseDPDF=Y")</f>
        <v>—</v>
      </c>
      <c r="H39" s="13" t="str">
        <f>_xll.BDH("BLUE US Equity","GROSS_MARGIN","FQ3 2020","FQ3 2020","Currency=USD","Period=FQ","BEST_FPERIOD_OVERRIDE=FQ","FILING_STATUS=MR","FA_ADJUSTED=Adjusted","Sort=A","Dates=H","DateFormat=P","Fill=—","Direction=H","UseDPDF=Y")</f>
        <v>—</v>
      </c>
      <c r="I39" s="13" t="str">
        <f>_xll.BDH("BLUE US Equity","GROSS_MARGIN","FQ4 2020","FQ4 2020","Currency=USD","Period=FQ","BEST_FPERIOD_OVERRIDE=FQ","FILING_STATUS=MR","FA_ADJUSTED=Adjusted","Sort=A","Dates=H","DateFormat=P","Fill=—","Direction=H","UseDPDF=Y")</f>
        <v>—</v>
      </c>
      <c r="J39" s="13">
        <f>_xll.BDH("BLUE US Equity","GROSS_MARGIN","FQ1 2021","FQ1 2021","Currency=USD","Period=FQ","BEST_FPERIOD_OVERRIDE=FQ","FILING_STATUS=MR","FA_ADJUSTED=Adjusted","Sort=A","Dates=H","DateFormat=P","Fill=—","Direction=H","UseDPDF=Y")</f>
        <v>35.570500000000003</v>
      </c>
      <c r="K39" s="13" t="str">
        <f>_xll.BDH("BLUE US Equity","GROSS_MARGIN","FQ2 2021","FQ2 2021","Currency=USD","Period=FQ","BEST_FPERIOD_OVERRIDE=FQ","FILING_STATUS=MR","FA_ADJUSTED=Adjusted","Sort=A","Dates=H","DateFormat=P","Fill=—","Direction=H","UseDPDF=Y")</f>
        <v>—</v>
      </c>
      <c r="L39" s="13">
        <f>_xll.BDH("BLUE US Equity","GROSS_MARGIN","FQ3 2021","FQ3 2021","Currency=USD","Period=FQ","BEST_FPERIOD_OVERRIDE=FQ","FILING_STATUS=MR","FA_ADJUSTED=Adjusted","Sort=A","Dates=H","DateFormat=P","Fill=—","Direction=H","UseDPDF=Y")</f>
        <v>-1802.3552999999999</v>
      </c>
      <c r="M39" s="13">
        <f>_xll.BDH("BLUE US Equity","GROSS_MARGIN","FQ4 2021","FQ4 2021","Currency=USD","Period=FQ","BEST_FPERIOD_OVERRIDE=FQ","FILING_STATUS=MR","FA_ADJUSTED=Adjusted","Sort=A","Dates=H","DateFormat=P","Fill=—","Direction=H","UseDPDF=Y")</f>
        <v>-129.2653</v>
      </c>
      <c r="N39" s="13">
        <f>_xll.BDH("BLUE US Equity","GROSS_MARGIN","FQ1 2022","FQ1 2022","Currency=USD","Period=FQ","BEST_FPERIOD_OVERRIDE=FQ","FILING_STATUS=MR","FA_ADJUSTED=Adjusted","Sort=A","Dates=H","DateFormat=P","Fill=—","Direction=H","UseDPDF=Y")</f>
        <v>-327.24939999999998</v>
      </c>
      <c r="O39" s="13">
        <f>_xll.BDH("BLUE US Equity","GROSS_MARGIN","FQ2 2022","FQ2 2022","Currency=USD","Period=FQ","BEST_FPERIOD_OVERRIDE=FQ","FILING_STATUS=MR","FA_ADJUSTED=Adjusted","Sort=A","Dates=H","DateFormat=P","Fill=—","Direction=H","UseDPDF=Y")</f>
        <v>-14.8782</v>
      </c>
      <c r="P39" s="13" t="str">
        <f>_xll.BDH("BLUE US Equity","GROSS_MARGIN","FQ3 2022","FQ3 2022","Currency=USD","Period=FQ","BEST_FPERIOD_OVERRIDE=FQ","FILING_STATUS=MR","FA_ADJUSTED=Adjusted","Sort=A","Dates=H","DateFormat=P","Fill=—","Direction=H","UseDPDF=Y")</f>
        <v>—</v>
      </c>
      <c r="Q39" s="13">
        <f>_xll.BDH("BLUE US Equity","GROSS_MARGIN","FQ4 2022","FQ4 2022","Currency=USD","Period=FQ","BEST_FPERIOD_OVERRIDE=FQ","FILING_STATUS=MR","FA_ADJUSTED=Adjusted","Sort=A","Dates=H","DateFormat=P","Fill=—","Direction=H","UseDPDF=Y")</f>
        <v>64.516099999999994</v>
      </c>
      <c r="R39" s="13">
        <f>_xll.BDH("BLUE US Equity","GROSS_MARGIN","FQ1 2023","FQ1 2023","Currency=USD","Period=FQ","BEST_FPERIOD_OVERRIDE=FQ","FILING_STATUS=MR","FA_ADJUSTED=Adjusted","Sort=A","Dates=H","DateFormat=P","Fill=—","Direction=H","UseDPDF=Y")</f>
        <v>-131.49940000000001</v>
      </c>
      <c r="S39" s="13">
        <f>_xll.BDH("BLUE US Equity","GROSS_MARGIN","FQ2 2023","FQ2 2023","Currency=USD","Period=FQ","BEST_FPERIOD_OVERRIDE=FQ","FILING_STATUS=MR","FA_ADJUSTED=Adjusted","Sort=A","Dates=H","DateFormat=P","Fill=—","Direction=H","UseDPDF=Y")</f>
        <v>2.8012000000000001</v>
      </c>
      <c r="T39" s="13">
        <f>_xll.BDH("BLUE US Equity","GROSS_MARGIN","FQ3 2023","FQ3 2023","Currency=USD","Period=FQ","BEST_FPERIOD_OVERRIDE=FQ","FILING_STATUS=MR","FA_ADJUSTED=Adjusted","Sort=A","Dates=H","DateFormat=P","Fill=—","Direction=H","UseDPDF=Y")</f>
        <v>26.355699999999999</v>
      </c>
      <c r="U39" s="13">
        <f>_xll.BDH("BLUE US Equity","GROSS_MARGIN","FQ4 2023","FQ4 2023","Currency=USD","Period=FQ","BEST_FPERIOD_OVERRIDE=FQ","FILING_STATUS=MR","FA_ADJUSTED=Adjusted","Sort=A","Dates=H","DateFormat=P","Fill=—","Direction=H","UseDPDF=Y")</f>
        <v>-22.9512</v>
      </c>
      <c r="V39" s="13">
        <f>_xll.BDH("BLUE US Equity","GROSS_MARGIN","FQ1 2024","FQ1 2024","Currency=USD","Period=FQ","BEST_FPERIOD_OVERRIDE=FQ","FILING_STATUS=MR","FA_ADJUSTED=Adjusted","Sort=A","Dates=H","DateFormat=P","Fill=—","Direction=H","UseDPDF=Y")</f>
        <v>-39.255899999999997</v>
      </c>
      <c r="W39" s="13">
        <f>_xll.BDH("BLUE US Equity","GROSS_MARGIN","FQ2 2024","FQ2 2024","Currency=USD","Period=FQ","BEST_FPERIOD_OVERRIDE=FQ","FILING_STATUS=MR","FA_ADJUSTED=Adjusted","Sort=A","Dates=H","DateFormat=P","Fill=—","Direction=H","UseDPDF=Y")</f>
        <v>-79.777699999999996</v>
      </c>
      <c r="X39" s="13">
        <f>_xll.BDH("BLUE US Equity","GROSS_MARGIN","FQ3 2024","FQ3 2024","Currency=USD","Period=FQ","BEST_FPERIOD_OVERRIDE=FQ","FILING_STATUS=MR","FA_ADJUSTED=Adjusted","Sort=A","Dates=H","DateFormat=P","Fill=—","Direction=H","UseDPDF=Y")</f>
        <v>-11.0158</v>
      </c>
      <c r="Y39" s="13">
        <f>_xll.BDH("BLUE US Equity","GROSS_MARGIN","FQ4 2024","FQ4 2024","Currency=USD","Period=FQ","BEST_FPERIOD_OVERRIDE=FQ","FILING_STATUS=MR","FA_ADJUSTED=Adjusted","Sort=A","Dates=H","DateFormat=P","Fill=—","Direction=H","UseDPDF=Y")</f>
        <v>40.8401</v>
      </c>
      <c r="Z39" s="13"/>
      <c r="AA39" s="13"/>
    </row>
    <row r="40" spans="1:27" x14ac:dyDescent="0.2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 t="s">
        <v>153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0" t="s">
        <v>130</v>
      </c>
      <c r="B42" s="10" t="s">
        <v>154</v>
      </c>
      <c r="C42" s="13">
        <f>_xll.BDH("BLUE US Equity","BEST_PTP","FQ2 2019","FQ2 2019","Currency=USD","Period=FQ","BEST_FPERIOD_OVERRIDE=FQ","FILING_STATUS=MR","Sort=A","Dates=H","DateFormat=P","Fill=—","Direction=H","UseDPDF=Y")</f>
        <v>-168.30799999999999</v>
      </c>
      <c r="D42" s="13">
        <f>_xll.BDH("BLUE US Equity","BEST_PTP","FQ3 2019","FQ3 2019","Currency=USD","Period=FQ","BEST_FPERIOD_OVERRIDE=FQ","FILING_STATUS=MR","Sort=A","Dates=H","DateFormat=P","Fill=—","Direction=H","UseDPDF=Y")</f>
        <v>-198.267</v>
      </c>
      <c r="E42" s="13">
        <f>_xll.BDH("BLUE US Equity","BEST_PTP","FQ4 2019","FQ4 2019","Currency=USD","Period=FQ","BEST_FPERIOD_OVERRIDE=FQ","FILING_STATUS=MR","Sort=A","Dates=H","DateFormat=P","Fill=—","Direction=H","UseDPDF=Y")</f>
        <v>-214.667</v>
      </c>
      <c r="F42" s="13">
        <f>_xll.BDH("BLUE US Equity","BEST_PTP","FQ1 2020","FQ1 2020","Currency=USD","Period=FQ","BEST_FPERIOD_OVERRIDE=FQ","FILING_STATUS=MR","Sort=A","Dates=H","DateFormat=P","Fill=—","Direction=H","UseDPDF=Y")</f>
        <v>-228.75</v>
      </c>
      <c r="G42" s="13">
        <f>_xll.BDH("BLUE US Equity","BEST_PTP","FQ2 2020","FQ2 2020","Currency=USD","Period=FQ","BEST_FPERIOD_OVERRIDE=FQ","FILING_STATUS=MR","Sort=A","Dates=H","DateFormat=P","Fill=—","Direction=H","UseDPDF=Y")</f>
        <v>-149.29300000000001</v>
      </c>
      <c r="H42" s="13">
        <f>_xll.BDH("BLUE US Equity","BEST_PTP","FQ3 2020","FQ3 2020","Currency=USD","Period=FQ","BEST_FPERIOD_OVERRIDE=FQ","FILING_STATUS=MR","Sort=A","Dates=H","DateFormat=P","Fill=—","Direction=H","UseDPDF=Y")</f>
        <v>-189.65299999999999</v>
      </c>
      <c r="I42" s="13">
        <f>_xll.BDH("BLUE US Equity","BEST_PTP","FQ4 2020","FQ4 2020","Currency=USD","Period=FQ","BEST_FPERIOD_OVERRIDE=FQ","FILING_STATUS=MR","Sort=A","Dates=H","DateFormat=P","Fill=—","Direction=H","UseDPDF=Y")</f>
        <v>-197.8</v>
      </c>
      <c r="J42" s="13">
        <f>_xll.BDH("BLUE US Equity","BEST_PTP","FQ1 2021","FQ1 2021","Currency=USD","Period=FQ","BEST_FPERIOD_OVERRIDE=FQ","FILING_STATUS=MR","Sort=A","Dates=H","DateFormat=P","Fill=—","Direction=H","UseDPDF=Y")</f>
        <v>-201.417</v>
      </c>
      <c r="K42" s="13">
        <f>_xll.BDH("BLUE US Equity","BEST_PTP","FQ2 2021","FQ2 2021","Currency=USD","Period=FQ","BEST_FPERIOD_OVERRIDE=FQ","FILING_STATUS=MR","Sort=A","Dates=H","DateFormat=P","Fill=—","Direction=H","UseDPDF=Y")</f>
        <v>-218.2</v>
      </c>
      <c r="L42" s="13">
        <f>_xll.BDH("BLUE US Equity","BEST_PTP","FQ3 2021","FQ3 2021","Currency=USD","Period=FQ","BEST_FPERIOD_OVERRIDE=FQ","FILING_STATUS=MR","Sort=A","Dates=H","DateFormat=P","Fill=—","Direction=H","UseDPDF=Y")</f>
        <v>-185.108</v>
      </c>
      <c r="M42" s="13">
        <f>_xll.BDH("BLUE US Equity","BEST_PTP","FQ4 2021","FQ4 2021","Currency=USD","Period=FQ","BEST_FPERIOD_OVERRIDE=FQ","FILING_STATUS=MR","Sort=A","Dates=H","DateFormat=P","Fill=—","Direction=H","UseDPDF=Y")</f>
        <v>-139.02000000000001</v>
      </c>
      <c r="N42" s="13">
        <f>_xll.BDH("BLUE US Equity","BEST_PTP","FQ1 2022","FQ1 2022","Currency=USD","Period=FQ","BEST_FPERIOD_OVERRIDE=FQ","FILING_STATUS=MR","Sort=A","Dates=H","DateFormat=P","Fill=—","Direction=H","UseDPDF=Y")</f>
        <v>-114.7</v>
      </c>
      <c r="O42" s="13">
        <f>_xll.BDH("BLUE US Equity","BEST_PTP","FQ2 2022","FQ2 2022","Currency=USD","Period=FQ","BEST_FPERIOD_OVERRIDE=FQ","FILING_STATUS=MR","Sort=A","Dates=H","DateFormat=P","Fill=—","Direction=H","UseDPDF=Y")</f>
        <v>-98.137</v>
      </c>
      <c r="P42" s="13">
        <f>_xll.BDH("BLUE US Equity","BEST_PTP","FQ3 2022","FQ3 2022","Currency=USD","Period=FQ","BEST_FPERIOD_OVERRIDE=FQ","FILING_STATUS=MR","Sort=A","Dates=H","DateFormat=P","Fill=—","Direction=H","UseDPDF=Y")</f>
        <v>-85.332999999999998</v>
      </c>
      <c r="Q42" s="13">
        <f>_xll.BDH("BLUE US Equity","BEST_PTP","FQ4 2022","FQ4 2022","Currency=USD","Period=FQ","BEST_FPERIOD_OVERRIDE=FQ","FILING_STATUS=MR","Sort=A","Dates=H","DateFormat=P","Fill=—","Direction=H","UseDPDF=Y")</f>
        <v>-32.5</v>
      </c>
      <c r="R42" s="13">
        <f>_xll.BDH("BLUE US Equity","BEST_PTP","FQ1 2023","FQ1 2023","Currency=USD","Period=FQ","BEST_FPERIOD_OVERRIDE=FQ","FILING_STATUS=MR","Sort=A","Dates=H","DateFormat=P","Fill=—","Direction=H","UseDPDF=Y")</f>
        <v>-22.474</v>
      </c>
      <c r="S42" s="13">
        <f>_xll.BDH("BLUE US Equity","BEST_PTP","FQ2 2023","FQ2 2023","Currency=USD","Period=FQ","BEST_FPERIOD_OVERRIDE=FQ","FILING_STATUS=MR","Sort=A","Dates=H","DateFormat=P","Fill=—","Direction=H","UseDPDF=Y")</f>
        <v>-73.536000000000001</v>
      </c>
      <c r="T42" s="13">
        <f>_xll.BDH("BLUE US Equity","BEST_PTP","FQ3 2023","FQ3 2023","Currency=USD","Period=FQ","BEST_FPERIOD_OVERRIDE=FQ","FILING_STATUS=MR","Sort=A","Dates=H","DateFormat=P","Fill=—","Direction=H","UseDPDF=Y")</f>
        <v>-72.754999999999995</v>
      </c>
      <c r="U42" s="13">
        <f>_xll.BDH("BLUE US Equity","BEST_PTP","FQ4 2023","FQ4 2023","Currency=USD","Period=FQ","BEST_FPERIOD_OVERRIDE=FQ","FILING_STATUS=MR","Sort=A","Dates=H","DateFormat=P","Fill=—","Direction=H","UseDPDF=Y")</f>
        <v>-80.210999999999999</v>
      </c>
      <c r="V42" s="13">
        <f>_xll.BDH("BLUE US Equity","BEST_PTP","FQ1 2024","FQ1 2024","Currency=USD","Period=FQ","BEST_FPERIOD_OVERRIDE=FQ","FILING_STATUS=MR","Sort=A","Dates=H","DateFormat=P","Fill=—","Direction=H","UseDPDF=Y")</f>
        <v>-69.787000000000006</v>
      </c>
      <c r="W42" s="13">
        <f>_xll.BDH("BLUE US Equity","BEST_PTP","FQ2 2024","FQ2 2024","Currency=USD","Period=FQ","BEST_FPERIOD_OVERRIDE=FQ","FILING_STATUS=MR","Sort=A","Dates=H","DateFormat=P","Fill=—","Direction=H","UseDPDF=Y")</f>
        <v>-70.878</v>
      </c>
      <c r="X42" s="13">
        <f>_xll.BDH("BLUE US Equity","BEST_PTP","FQ3 2024","FQ3 2024","Currency=USD","Period=FQ","BEST_FPERIOD_OVERRIDE=FQ","FILING_STATUS=MR","Sort=A","Dates=H","DateFormat=P","Fill=—","Direction=H","UseDPDF=Y")</f>
        <v>-71.266999999999996</v>
      </c>
      <c r="Y42" s="13">
        <f>_xll.BDH("BLUE US Equity","BEST_PTP","FQ4 2024","FQ4 2024","Currency=USD","Period=FQ","BEST_FPERIOD_OVERRIDE=FQ","FILING_STATUS=MR","Sort=A","Dates=H","DateFormat=P","Fill=—","Direction=H","UseDPDF=Y")</f>
        <v>-54.042999999999999</v>
      </c>
      <c r="Z42" s="13">
        <v>-42.18</v>
      </c>
      <c r="AA42" s="13">
        <v>-18.186</v>
      </c>
    </row>
    <row r="43" spans="1:27" x14ac:dyDescent="0.25">
      <c r="A43" s="10" t="s">
        <v>132</v>
      </c>
      <c r="B43" s="10" t="s">
        <v>155</v>
      </c>
      <c r="C43" s="13">
        <f>_xll.BDH("BLUE US Equity","IS_COMP_PTP_EX_STK_BASED_COMP","FQ2 2019","FQ2 2019","Currency=USD","Period=FQ","BEST_FPERIOD_OVERRIDE=FQ","FILING_STATUS=MR","SCALING_FORMAT=MLN","Sort=A","Dates=H","DateFormat=P","Fill=—","Direction=H","UseDPDF=Y")</f>
        <v>-196.251</v>
      </c>
      <c r="D43" s="13">
        <f>_xll.BDH("BLUE US Equity","IS_COMP_PTP_EX_STK_BASED_COMP","FQ3 2019","FQ3 2019","Currency=USD","Period=FQ","BEST_FPERIOD_OVERRIDE=FQ","FILING_STATUS=MR","SCALING_FORMAT=MLN","Sort=A","Dates=H","DateFormat=P","Fill=—","Direction=H","UseDPDF=Y")</f>
        <v>-206.297</v>
      </c>
      <c r="E43" s="13">
        <f>_xll.BDH("BLUE US Equity","IS_COMP_PTP_EX_STK_BASED_COMP","FQ4 2019","FQ4 2019","Currency=USD","Period=FQ","BEST_FPERIOD_OVERRIDE=FQ","FILING_STATUS=MR","SCALING_FORMAT=MLN","Sort=A","Dates=H","DateFormat=P","Fill=—","Direction=H","UseDPDF=Y")</f>
        <v>-221.709</v>
      </c>
      <c r="F43" s="13">
        <f>_xll.BDH("BLUE US Equity","IS_COMP_PTP_EX_STK_BASED_COMP","FQ1 2020","FQ1 2020","Currency=USD","Period=FQ","BEST_FPERIOD_OVERRIDE=FQ","FILING_STATUS=MR","SCALING_FORMAT=MLN","Sort=A","Dates=H","DateFormat=P","Fill=—","Direction=H","UseDPDF=Y")</f>
        <v>-202.517</v>
      </c>
      <c r="G43" s="13">
        <f>_xll.BDH("BLUE US Equity","IS_COMP_PTP_EX_STK_BASED_COMP","FQ2 2020","FQ2 2020","Currency=USD","Period=FQ","BEST_FPERIOD_OVERRIDE=FQ","FILING_STATUS=MR","SCALING_FORMAT=MLN","Sort=A","Dates=H","DateFormat=P","Fill=—","Direction=H","UseDPDF=Y")</f>
        <v>-21.454999999999998</v>
      </c>
      <c r="H43" s="13">
        <f>_xll.BDH("BLUE US Equity","IS_COMP_PTP_EX_STK_BASED_COMP","FQ3 2020","FQ3 2020","Currency=USD","Period=FQ","BEST_FPERIOD_OVERRIDE=FQ","FILING_STATUS=MR","SCALING_FORMAT=MLN","Sort=A","Dates=H","DateFormat=P","Fill=—","Direction=H","UseDPDF=Y")</f>
        <v>-194.416</v>
      </c>
      <c r="I43" s="13">
        <f>_xll.BDH("BLUE US Equity","IS_COMP_PTP_EX_STK_BASED_COMP","FQ4 2020","FQ4 2020","Currency=USD","Period=FQ","BEST_FPERIOD_OVERRIDE=FQ","FILING_STATUS=MR","SCALING_FORMAT=MLN","Sort=A","Dates=H","DateFormat=P","Fill=—","Direction=H","UseDPDF=Y")</f>
        <v>-199.62100000000001</v>
      </c>
      <c r="J43" s="13">
        <f>_xll.BDH("BLUE US Equity","IS_COMP_PTP_EX_STK_BASED_COMP","FQ1 2021","FQ1 2021","Currency=USD","Period=FQ","BEST_FPERIOD_OVERRIDE=FQ","FILING_STATUS=MR","SCALING_FORMAT=MLN","Sort=A","Dates=H","DateFormat=P","Fill=—","Direction=H","UseDPDF=Y")</f>
        <v>-205.37299999999999</v>
      </c>
      <c r="K43" s="13">
        <f>_xll.BDH("BLUE US Equity","IS_COMP_PTP_EX_STK_BASED_COMP","FQ2 2021","FQ2 2021","Currency=USD","Period=FQ","BEST_FPERIOD_OVERRIDE=FQ","FILING_STATUS=MR","SCALING_FORMAT=MLN","Sort=A","Dates=H","DateFormat=P","Fill=—","Direction=H","UseDPDF=Y")</f>
        <v>-241.48599999999999</v>
      </c>
      <c r="L43" s="13">
        <f>_xll.BDH("BLUE US Equity","IS_COMP_PTP_EX_STK_BASED_COMP","FQ3 2021","FQ3 2021","Currency=USD","Period=FQ","BEST_FPERIOD_OVERRIDE=FQ","FILING_STATUS=MR","SCALING_FORMAT=MLN","Sort=A","Dates=H","DateFormat=P","Fill=—","Direction=H","UseDPDF=Y")</f>
        <v>-216.929</v>
      </c>
      <c r="M43" s="13">
        <f>_xll.BDH("BLUE US Equity","IS_COMP_PTP_EX_STK_BASED_COMP","FQ4 2021","FQ4 2021","Currency=USD","Period=FQ","BEST_FPERIOD_OVERRIDE=FQ","FILING_STATUS=MR","SCALING_FORMAT=MLN","Sort=A","Dates=H","DateFormat=P","Fill=—","Direction=H","UseDPDF=Y")</f>
        <v>-132.238</v>
      </c>
      <c r="N43" s="13">
        <f>_xll.BDH("BLUE US Equity","IS_COMP_PTP_EX_STK_BASED_COMP","FQ1 2022","FQ1 2022","Currency=USD","Period=FQ","BEST_FPERIOD_OVERRIDE=FQ","FILING_STATUS=MR","SCALING_FORMAT=MLN","Sort=A","Dates=H","DateFormat=P","Fill=—","Direction=H","UseDPDF=Y")</f>
        <v>-122.152</v>
      </c>
      <c r="O43" s="13">
        <f>_xll.BDH("BLUE US Equity","IS_COMP_PTP_EX_STK_BASED_COMP","FQ2 2022","FQ2 2022","Currency=USD","Period=FQ","BEST_FPERIOD_OVERRIDE=FQ","FILING_STATUS=MR","SCALING_FORMAT=MLN","Sort=A","Dates=H","DateFormat=P","Fill=—","Direction=H","UseDPDF=Y")</f>
        <v>-100.13800000000001</v>
      </c>
      <c r="P43" s="13">
        <f>_xll.BDH("BLUE US Equity","IS_COMP_PTP_EX_STK_BASED_COMP","FQ3 2022","FQ3 2022","Currency=USD","Period=FQ","BEST_FPERIOD_OVERRIDE=FQ","FILING_STATUS=MR","SCALING_FORMAT=MLN","Sort=A","Dates=H","DateFormat=P","Fill=—","Direction=H","UseDPDF=Y")</f>
        <v>-76.513000000000005</v>
      </c>
      <c r="Q43" s="13">
        <f>_xll.BDH("BLUE US Equity","IS_COMP_PTP_EX_STK_BASED_COMP","FQ4 2022","FQ4 2022","Currency=USD","Period=FQ","BEST_FPERIOD_OVERRIDE=FQ","FILING_STATUS=MR","SCALING_FORMAT=MLN","Sort=A","Dates=H","DateFormat=P","Fill=—","Direction=H","UseDPDF=Y")</f>
        <v>32.341999999999999</v>
      </c>
      <c r="R43" s="13">
        <f>_xll.BDH("BLUE US Equity","IS_COMP_PTP_EX_STK_BASED_COMP","FQ1 2023","FQ1 2023","Currency=USD","Period=FQ","BEST_FPERIOD_OVERRIDE=FQ","FILING_STATUS=MR","SCALING_FORMAT=MLN","Sort=A","Dates=H","DateFormat=P","Fill=—","Direction=H","UseDPDF=Y")</f>
        <v>21.24</v>
      </c>
      <c r="S43" s="13">
        <f>_xll.BDH("BLUE US Equity","IS_COMP_PTP_EX_STK_BASED_COMP","FQ2 2023","FQ2 2023","Currency=USD","Period=FQ","BEST_FPERIOD_OVERRIDE=FQ","FILING_STATUS=MR","SCALING_FORMAT=MLN","Sort=A","Dates=H","DateFormat=P","Fill=—","Direction=H","UseDPDF=Y")</f>
        <v>-72.988</v>
      </c>
      <c r="T43" s="13">
        <f>_xll.BDH("BLUE US Equity","IS_COMP_PTP_EX_STK_BASED_COMP","FQ3 2023","FQ3 2023","Currency=USD","Period=FQ","BEST_FPERIOD_OVERRIDE=FQ","FILING_STATUS=MR","SCALING_FORMAT=MLN","Sort=A","Dates=H","DateFormat=P","Fill=—","Direction=H","UseDPDF=Y")</f>
        <v>-71.730999999999995</v>
      </c>
      <c r="U43" s="13">
        <f>_xll.BDH("BLUE US Equity","IS_COMP_PTP_EX_STK_BASED_COMP","FQ4 2023","FQ4 2023","Currency=USD","Period=FQ","BEST_FPERIOD_OVERRIDE=FQ","FILING_STATUS=MR","SCALING_FORMAT=MLN","Sort=A","Dates=H","DateFormat=P","Fill=—","Direction=H","UseDPDF=Y")</f>
        <v>-88.56</v>
      </c>
      <c r="V43" s="13">
        <f>_xll.BDH("BLUE US Equity","IS_COMP_PTP_EX_STK_BASED_COMP","FQ1 2024","FQ1 2024","Currency=USD","Period=FQ","BEST_FPERIOD_OVERRIDE=FQ","FILING_STATUS=MR","SCALING_FORMAT=MLN","Sort=A","Dates=H","DateFormat=P","Fill=—","Direction=H","UseDPDF=Y")</f>
        <v>-69.804000000000002</v>
      </c>
      <c r="W43" s="13">
        <f>_xll.BDH("BLUE US Equity","IS_COMP_PTP_EX_STK_BASED_COMP","FQ2 2024","FQ2 2024","Currency=USD","Period=FQ","BEST_FPERIOD_OVERRIDE=FQ","FILING_STATUS=MR","SCALING_FORMAT=MLN","Sort=A","Dates=H","DateFormat=P","Fill=—","Direction=H","UseDPDF=Y")</f>
        <v>-81.372</v>
      </c>
      <c r="X43" s="13">
        <f>_xll.BDH("BLUE US Equity","IS_COMP_PTP_EX_STK_BASED_COMP","FQ3 2024","FQ3 2024","Currency=USD","Period=FQ","BEST_FPERIOD_OVERRIDE=FQ","FILING_STATUS=MR","SCALING_FORMAT=MLN","Sort=A","Dates=H","DateFormat=P","Fill=—","Direction=H","UseDPDF=Y")</f>
        <v>-66.918999999999997</v>
      </c>
      <c r="Y43" s="13" t="str">
        <f>_xll.BDH("BLUE US Equity","IS_COMP_PTP_EX_STK_BASED_COMP","FQ4 2024","FQ4 2024","Currency=USD","Period=FQ","BEST_FPERIOD_OVERRIDE=FQ","FILING_STATUS=MR","SCALING_FORMAT=MLN","Sort=A","Dates=H","DateFormat=P","Fill=—","Direction=H","UseDPDF=Y")</f>
        <v>—</v>
      </c>
      <c r="Z43" s="13"/>
      <c r="AA43" s="13"/>
    </row>
    <row r="44" spans="1:27" x14ac:dyDescent="0.25">
      <c r="A44" s="11" t="s">
        <v>156</v>
      </c>
      <c r="B44" s="11"/>
      <c r="C44" s="25">
        <v>-16.6023005442403</v>
      </c>
      <c r="D44" s="25">
        <v>-4.0500940650738704</v>
      </c>
      <c r="E44" s="25">
        <v>-3.2804296887737801</v>
      </c>
      <c r="F44" s="25">
        <v>11.4679781420765</v>
      </c>
      <c r="G44" s="25">
        <v>85.628931028246498</v>
      </c>
      <c r="H44" s="25">
        <v>-2.5114287672749702</v>
      </c>
      <c r="I44" s="25">
        <v>-0.92062689585439705</v>
      </c>
      <c r="J44" s="25">
        <v>-1.96408446158963</v>
      </c>
      <c r="K44" s="25">
        <v>-10.671860678276801</v>
      </c>
      <c r="L44" s="25">
        <v>-17.190505002485001</v>
      </c>
      <c r="M44" s="25">
        <v>4.87843475758884</v>
      </c>
      <c r="N44" s="25">
        <v>-6.4969485614646896</v>
      </c>
      <c r="O44" s="25">
        <v>-2.0389863150493701</v>
      </c>
      <c r="P44" s="25">
        <v>10.335977874913601</v>
      </c>
      <c r="Q44" s="25" t="s">
        <v>76</v>
      </c>
      <c r="R44" s="25" t="s">
        <v>76</v>
      </c>
      <c r="S44" s="25">
        <v>0.74521322889469399</v>
      </c>
      <c r="T44" s="25">
        <v>1.40746340457701</v>
      </c>
      <c r="U44" s="25">
        <v>-10.408796798444101</v>
      </c>
      <c r="V44" s="25">
        <v>-2.4359837792133101E-2</v>
      </c>
      <c r="W44" s="25">
        <v>-14.8057225091001</v>
      </c>
      <c r="X44" s="25">
        <v>6.1010004630474102</v>
      </c>
      <c r="Y44" s="25" t="s">
        <v>76</v>
      </c>
      <c r="Z44" s="25"/>
      <c r="AA44" s="25"/>
    </row>
    <row r="45" spans="1:27" x14ac:dyDescent="0.25">
      <c r="A45" s="10" t="s">
        <v>135</v>
      </c>
      <c r="B45" s="10" t="s">
        <v>157</v>
      </c>
      <c r="C45" s="13">
        <f>_xll.BDH("BLUE US Equity","PRETAX_INC","FQ2 2019","FQ2 2019","Currency=USD","Period=FQ","BEST_FPERIOD_OVERRIDE=FQ","FILING_STATUS=MR","SCALING_FORMAT=MLN","FA_ADJUSTED=GAAP","Sort=A","Dates=H","DateFormat=P","Fill=—","Direction=H","UseDPDF=Y")</f>
        <v>-196.251</v>
      </c>
      <c r="D45" s="13">
        <f>_xll.BDH("BLUE US Equity","PRETAX_INC","FQ3 2019","FQ3 2019","Currency=USD","Period=FQ","BEST_FPERIOD_OVERRIDE=FQ","FILING_STATUS=MR","SCALING_FORMAT=MLN","FA_ADJUSTED=GAAP","Sort=A","Dates=H","DateFormat=P","Fill=—","Direction=H","UseDPDF=Y")</f>
        <v>-206.297</v>
      </c>
      <c r="E45" s="13">
        <f>_xll.BDH("BLUE US Equity","PRETAX_INC","FQ4 2019","FQ4 2019","Currency=USD","Period=FQ","BEST_FPERIOD_OVERRIDE=FQ","FILING_STATUS=MR","SCALING_FORMAT=MLN","FA_ADJUSTED=GAAP","Sort=A","Dates=H","DateFormat=P","Fill=—","Direction=H","UseDPDF=Y")</f>
        <v>-223.14400000000001</v>
      </c>
      <c r="F45" s="13">
        <f>_xll.BDH("BLUE US Equity","PRETAX_INC","FQ1 2020","FQ1 2020","Currency=USD","Period=FQ","BEST_FPERIOD_OVERRIDE=FQ","FILING_STATUS=MR","SCALING_FORMAT=MLN","FA_ADJUSTED=GAAP","Sort=A","Dates=H","DateFormat=P","Fill=—","Direction=H","UseDPDF=Y")</f>
        <v>-202.517</v>
      </c>
      <c r="G45" s="13">
        <f>_xll.BDH("BLUE US Equity","PRETAX_INC","FQ2 2020","FQ2 2020","Currency=USD","Period=FQ","BEST_FPERIOD_OVERRIDE=FQ","FILING_STATUS=MR","SCALING_FORMAT=MLN","FA_ADJUSTED=GAAP","Sort=A","Dates=H","DateFormat=P","Fill=—","Direction=H","UseDPDF=Y")</f>
        <v>-21.454999999999998</v>
      </c>
      <c r="H45" s="13">
        <f>_xll.BDH("BLUE US Equity","PRETAX_INC","FQ3 2020","FQ3 2020","Currency=USD","Period=FQ","BEST_FPERIOD_OVERRIDE=FQ","FILING_STATUS=MR","SCALING_FORMAT=MLN","FA_ADJUSTED=GAAP","Sort=A","Dates=H","DateFormat=P","Fill=—","Direction=H","UseDPDF=Y")</f>
        <v>-194.416</v>
      </c>
      <c r="I45" s="13">
        <f>_xll.BDH("BLUE US Equity","PRETAX_INC","FQ4 2020","FQ4 2020","Currency=USD","Period=FQ","BEST_FPERIOD_OVERRIDE=FQ","FILING_STATUS=MR","SCALING_FORMAT=MLN","FA_ADJUSTED=GAAP","Sort=A","Dates=H","DateFormat=P","Fill=—","Direction=H","UseDPDF=Y")</f>
        <v>-136.06800000000001</v>
      </c>
      <c r="J45" s="13">
        <f>_xll.BDH("BLUE US Equity","PRETAX_INC","FQ1 2021","FQ1 2021","Currency=USD","Period=FQ","BEST_FPERIOD_OVERRIDE=FQ","FILING_STATUS=MR","SCALING_FORMAT=MLN","FA_ADJUSTED=GAAP","Sort=A","Dates=H","DateFormat=P","Fill=—","Direction=H","UseDPDF=Y")</f>
        <v>-121.438</v>
      </c>
      <c r="K45" s="13">
        <f>_xll.BDH("BLUE US Equity","PRETAX_INC","FQ2 2021","FQ2 2021","Currency=USD","Period=FQ","BEST_FPERIOD_OVERRIDE=FQ","FILING_STATUS=MR","SCALING_FORMAT=MLN","FA_ADJUSTED=GAAP","Sort=A","Dates=H","DateFormat=P","Fill=—","Direction=H","UseDPDF=Y")</f>
        <v>-241.48599999999999</v>
      </c>
      <c r="L45" s="13">
        <f>_xll.BDH("BLUE US Equity","PRETAX_INC","FQ3 2021","FQ3 2021","Currency=USD","Period=FQ","BEST_FPERIOD_OVERRIDE=FQ","FILING_STATUS=MR","SCALING_FORMAT=MLN","FA_ADJUSTED=GAAP","Sort=A","Dates=H","DateFormat=P","Fill=—","Direction=H","UseDPDF=Y")</f>
        <v>-152.947</v>
      </c>
      <c r="M45" s="13">
        <f>_xll.BDH("BLUE US Equity","PRETAX_INC","FQ4 2021","FQ4 2021","Currency=USD","Period=FQ","BEST_FPERIOD_OVERRIDE=FQ","FILING_STATUS=MR","SCALING_FORMAT=MLN","FA_ADJUSTED=GAAP","Sort=A","Dates=H","DateFormat=P","Fill=—","Direction=H","UseDPDF=Y")</f>
        <v>-132.238</v>
      </c>
      <c r="N45" s="13">
        <f>_xll.BDH("BLUE US Equity","PRETAX_INC","FQ1 2022","FQ1 2022","Currency=USD","Period=FQ","BEST_FPERIOD_OVERRIDE=FQ","FILING_STATUS=MR","SCALING_FORMAT=MLN","FA_ADJUSTED=GAAP","Sort=A","Dates=H","DateFormat=P","Fill=—","Direction=H","UseDPDF=Y")</f>
        <v>-122.152</v>
      </c>
      <c r="O45" s="13">
        <f>_xll.BDH("BLUE US Equity","PRETAX_INC","FQ2 2022","FQ2 2022","Currency=USD","Period=FQ","BEST_FPERIOD_OVERRIDE=FQ","FILING_STATUS=MR","SCALING_FORMAT=MLN","FA_ADJUSTED=GAAP","Sort=A","Dates=H","DateFormat=P","Fill=—","Direction=H","UseDPDF=Y")</f>
        <v>-100.13800000000001</v>
      </c>
      <c r="P45" s="13">
        <f>_xll.BDH("BLUE US Equity","PRETAX_INC","FQ3 2022","FQ3 2022","Currency=USD","Period=FQ","BEST_FPERIOD_OVERRIDE=FQ","FILING_STATUS=MR","SCALING_FORMAT=MLN","FA_ADJUSTED=GAAP","Sort=A","Dates=H","DateFormat=P","Fill=—","Direction=H","UseDPDF=Y")</f>
        <v>-76.513000000000005</v>
      </c>
      <c r="Q45" s="13">
        <f>_xll.BDH("BLUE US Equity","PRETAX_INC","FQ4 2022","FQ4 2022","Currency=USD","Period=FQ","BEST_FPERIOD_OVERRIDE=FQ","FILING_STATUS=MR","SCALING_FORMAT=MLN","FA_ADJUSTED=GAAP","Sort=A","Dates=H","DateFormat=P","Fill=—","Direction=H","UseDPDF=Y")</f>
        <v>68.578000000000003</v>
      </c>
      <c r="R45" s="13">
        <f>_xll.BDH("BLUE US Equity","PRETAX_INC","FQ1 2023","FQ1 2023","Currency=USD","Period=FQ","BEST_FPERIOD_OVERRIDE=FQ","FILING_STATUS=MR","SCALING_FORMAT=MLN","FA_ADJUSTED=GAAP","Sort=A","Dates=H","DateFormat=P","Fill=—","Direction=H","UseDPDF=Y")</f>
        <v>18.93</v>
      </c>
      <c r="S45" s="13">
        <f>_xll.BDH("BLUE US Equity","PRETAX_INC","FQ2 2023","FQ2 2023","Currency=USD","Period=FQ","BEST_FPERIOD_OVERRIDE=FQ","FILING_STATUS=MR","SCALING_FORMAT=MLN","FA_ADJUSTED=GAAP","Sort=A","Dates=H","DateFormat=P","Fill=—","Direction=H","UseDPDF=Y")</f>
        <v>-62.869</v>
      </c>
      <c r="T45" s="13">
        <f>_xll.BDH("BLUE US Equity","PRETAX_INC","FQ3 2023","FQ3 2023","Currency=USD","Period=FQ","BEST_FPERIOD_OVERRIDE=FQ","FILING_STATUS=MR","SCALING_FORMAT=MLN","FA_ADJUSTED=GAAP","Sort=A","Dates=H","DateFormat=P","Fill=—","Direction=H","UseDPDF=Y")</f>
        <v>-87.231999999999999</v>
      </c>
      <c r="U45" s="13">
        <f>_xll.BDH("BLUE US Equity","PRETAX_INC","FQ4 2023","FQ4 2023","Currency=USD","Period=FQ","BEST_FPERIOD_OVERRIDE=FQ","FILING_STATUS=MR","SCALING_FORMAT=MLN","FA_ADJUSTED=GAAP","Sort=A","Dates=H","DateFormat=P","Fill=—","Direction=H","UseDPDF=Y")</f>
        <v>-88.56</v>
      </c>
      <c r="V45" s="13">
        <f>_xll.BDH("BLUE US Equity","PRETAX_INC","FQ1 2024","FQ1 2024","Currency=USD","Period=FQ","BEST_FPERIOD_OVERRIDE=FQ","FILING_STATUS=MR","SCALING_FORMAT=MLN","FA_ADJUSTED=GAAP","Sort=A","Dates=H","DateFormat=P","Fill=—","Direction=H","UseDPDF=Y")</f>
        <v>-69.804000000000002</v>
      </c>
      <c r="W45" s="13">
        <f>_xll.BDH("BLUE US Equity","PRETAX_INC","FQ2 2024","FQ2 2024","Currency=USD","Period=FQ","BEST_FPERIOD_OVERRIDE=FQ","FILING_STATUS=MR","SCALING_FORMAT=MLN","FA_ADJUSTED=GAAP","Sort=A","Dates=H","DateFormat=P","Fill=—","Direction=H","UseDPDF=Y")</f>
        <v>-81.372</v>
      </c>
      <c r="X45" s="13">
        <f>_xll.BDH("BLUE US Equity","PRETAX_INC","FQ3 2024","FQ3 2024","Currency=USD","Period=FQ","BEST_FPERIOD_OVERRIDE=FQ","FILING_STATUS=MR","SCALING_FORMAT=MLN","FA_ADJUSTED=GAAP","Sort=A","Dates=H","DateFormat=P","Fill=—","Direction=H","UseDPDF=Y")</f>
        <v>-60.866</v>
      </c>
      <c r="Y45" s="13">
        <f>_xll.BDH("BLUE US Equity","PRETAX_INC","FQ4 2024","FQ4 2024","Currency=USD","Period=FQ","BEST_FPERIOD_OVERRIDE=FQ","FILING_STATUS=MR","SCALING_FORMAT=MLN","FA_ADJUSTED=GAAP","Sort=A","Dates=H","DateFormat=P","Fill=—","Direction=H","UseDPDF=Y")</f>
        <v>-28.603000000000002</v>
      </c>
      <c r="Z45" s="13"/>
      <c r="AA45" s="13"/>
    </row>
    <row r="46" spans="1:27" x14ac:dyDescent="0.25">
      <c r="A46" s="10" t="s">
        <v>136</v>
      </c>
      <c r="B46" s="10" t="s">
        <v>157</v>
      </c>
      <c r="C46" s="13">
        <f>_xll.BDH("BLUE US Equity","PRETAX_INC","FQ2 2019","FQ2 2019","Currency=USD","Period=FQ","BEST_FPERIOD_OVERRIDE=FQ","FILING_STATUS=MR","SCALING_FORMAT=MLN","FA_ADJUSTED=Adjusted","Sort=A","Dates=H","DateFormat=P","Fill=—","Direction=H","UseDPDF=Y")</f>
        <v>-196.03700000000001</v>
      </c>
      <c r="D46" s="13">
        <f>_xll.BDH("BLUE US Equity","PRETAX_INC","FQ3 2019","FQ3 2019","Currency=USD","Period=FQ","BEST_FPERIOD_OVERRIDE=FQ","FILING_STATUS=MR","SCALING_FORMAT=MLN","FA_ADJUSTED=Adjusted","Sort=A","Dates=H","DateFormat=P","Fill=—","Direction=H","UseDPDF=Y")</f>
        <v>-205.495</v>
      </c>
      <c r="E46" s="13">
        <f>_xll.BDH("BLUE US Equity","PRETAX_INC","FQ4 2019","FQ4 2019","Currency=USD","Period=FQ","BEST_FPERIOD_OVERRIDE=FQ","FILING_STATUS=MR","SCALING_FORMAT=MLN","FA_ADJUSTED=Adjusted","Sort=A","Dates=H","DateFormat=P","Fill=—","Direction=H","UseDPDF=Y")</f>
        <v>-221.709</v>
      </c>
      <c r="F46" s="13">
        <f>_xll.BDH("BLUE US Equity","PRETAX_INC","FQ1 2020","FQ1 2020","Currency=USD","Period=FQ","BEST_FPERIOD_OVERRIDE=FQ","FILING_STATUS=MR","SCALING_FORMAT=MLN","FA_ADJUSTED=Adjusted","Sort=A","Dates=H","DateFormat=P","Fill=—","Direction=H","UseDPDF=Y")</f>
        <v>-205.625</v>
      </c>
      <c r="G46" s="13">
        <f>_xll.BDH("BLUE US Equity","PRETAX_INC","FQ2 2020","FQ2 2020","Currency=USD","Period=FQ","BEST_FPERIOD_OVERRIDE=FQ","FILING_STATUS=MR","SCALING_FORMAT=MLN","FA_ADJUSTED=Adjusted","Sort=A","Dates=H","DateFormat=P","Fill=—","Direction=H","UseDPDF=Y")</f>
        <v>-23.11</v>
      </c>
      <c r="H46" s="13">
        <f>_xll.BDH("BLUE US Equity","PRETAX_INC","FQ3 2020","FQ3 2020","Currency=USD","Period=FQ","BEST_FPERIOD_OVERRIDE=FQ","FILING_STATUS=MR","SCALING_FORMAT=MLN","FA_ADJUSTED=Adjusted","Sort=A","Dates=H","DateFormat=P","Fill=—","Direction=H","UseDPDF=Y")</f>
        <v>-195.244</v>
      </c>
      <c r="I46" s="13">
        <f>_xll.BDH("BLUE US Equity","PRETAX_INC","FQ4 2020","FQ4 2020","Currency=USD","Period=FQ","BEST_FPERIOD_OVERRIDE=FQ","FILING_STATUS=MR","SCALING_FORMAT=MLN","FA_ADJUSTED=Adjusted","Sort=A","Dates=H","DateFormat=P","Fill=—","Direction=H","UseDPDF=Y")</f>
        <v>-136.06800000000001</v>
      </c>
      <c r="J46" s="13">
        <f>_xll.BDH("BLUE US Equity","PRETAX_INC","FQ1 2021","FQ1 2021","Currency=USD","Period=FQ","BEST_FPERIOD_OVERRIDE=FQ","FILING_STATUS=MR","SCALING_FORMAT=MLN","FA_ADJUSTED=Adjusted","Sort=A","Dates=H","DateFormat=P","Fill=—","Direction=H","UseDPDF=Y")</f>
        <v>-149.441</v>
      </c>
      <c r="K46" s="13">
        <f>_xll.BDH("BLUE US Equity","PRETAX_INC","FQ2 2021","FQ2 2021","Currency=USD","Period=FQ","BEST_FPERIOD_OVERRIDE=FQ","FILING_STATUS=MR","SCALING_FORMAT=MLN","FA_ADJUSTED=Adjusted","Sort=A","Dates=H","DateFormat=P","Fill=—","Direction=H","UseDPDF=Y")</f>
        <v>-241.43899999999999</v>
      </c>
      <c r="L46" s="13">
        <f>_xll.BDH("BLUE US Equity","PRETAX_INC","FQ3 2021","FQ3 2021","Currency=USD","Period=FQ","BEST_FPERIOD_OVERRIDE=FQ","FILING_STATUS=MR","SCALING_FORMAT=MLN","FA_ADJUSTED=Adjusted","Sort=A","Dates=H","DateFormat=P","Fill=—","Direction=H","UseDPDF=Y")</f>
        <v>-161.53700000000001</v>
      </c>
      <c r="M46" s="13">
        <f>_xll.BDH("BLUE US Equity","PRETAX_INC","FQ4 2021","FQ4 2021","Currency=USD","Period=FQ","BEST_FPERIOD_OVERRIDE=FQ","FILING_STATUS=MR","SCALING_FORMAT=MLN","FA_ADJUSTED=Adjusted","Sort=A","Dates=H","DateFormat=P","Fill=—","Direction=H","UseDPDF=Y")</f>
        <v>-131.31399999999999</v>
      </c>
      <c r="N46" s="13">
        <f>_xll.BDH("BLUE US Equity","PRETAX_INC","FQ1 2022","FQ1 2022","Currency=USD","Period=FQ","BEST_FPERIOD_OVERRIDE=FQ","FILING_STATUS=MR","SCALING_FORMAT=MLN","FA_ADJUSTED=Adjusted","Sort=A","Dates=H","DateFormat=P","Fill=—","Direction=H","UseDPDF=Y")</f>
        <v>-119.64400000000001</v>
      </c>
      <c r="O46" s="13">
        <f>_xll.BDH("BLUE US Equity","PRETAX_INC","FQ2 2022","FQ2 2022","Currency=USD","Period=FQ","BEST_FPERIOD_OVERRIDE=FQ","FILING_STATUS=MR","SCALING_FORMAT=MLN","FA_ADJUSTED=Adjusted","Sort=A","Dates=H","DateFormat=P","Fill=—","Direction=H","UseDPDF=Y")</f>
        <v>-92.872</v>
      </c>
      <c r="P46" s="13">
        <f>_xll.BDH("BLUE US Equity","PRETAX_INC","FQ3 2022","FQ3 2022","Currency=USD","Period=FQ","BEST_FPERIOD_OVERRIDE=FQ","FILING_STATUS=MR","SCALING_FORMAT=MLN","FA_ADJUSTED=Adjusted","Sort=A","Dates=H","DateFormat=P","Fill=—","Direction=H","UseDPDF=Y")</f>
        <v>-75.076999999999998</v>
      </c>
      <c r="Q46" s="13">
        <f>_xll.BDH("BLUE US Equity","PRETAX_INC","FQ4 2022","FQ4 2022","Currency=USD","Period=FQ","BEST_FPERIOD_OVERRIDE=FQ","FILING_STATUS=MR","SCALING_FORMAT=MLN","FA_ADJUSTED=Adjusted","Sort=A","Dates=H","DateFormat=P","Fill=—","Direction=H","UseDPDF=Y")</f>
        <v>-39.692</v>
      </c>
      <c r="R46" s="13">
        <f>_xll.BDH("BLUE US Equity","PRETAX_INC","FQ1 2023","FQ1 2023","Currency=USD","Period=FQ","BEST_FPERIOD_OVERRIDE=FQ","FILING_STATUS=MR","SCALING_FORMAT=MLN","FA_ADJUSTED=Adjusted","Sort=A","Dates=H","DateFormat=P","Fill=—","Direction=H","UseDPDF=Y")</f>
        <v>-74</v>
      </c>
      <c r="S46" s="13">
        <f>_xll.BDH("BLUE US Equity","PRETAX_INC","FQ2 2023","FQ2 2023","Currency=USD","Period=FQ","BEST_FPERIOD_OVERRIDE=FQ","FILING_STATUS=MR","SCALING_FORMAT=MLN","FA_ADJUSTED=Adjusted","Sort=A","Dates=H","DateFormat=P","Fill=—","Direction=H","UseDPDF=Y")</f>
        <v>-62.869</v>
      </c>
      <c r="T46" s="13">
        <f>_xll.BDH("BLUE US Equity","PRETAX_INC","FQ3 2023","FQ3 2023","Currency=USD","Period=FQ","BEST_FPERIOD_OVERRIDE=FQ","FILING_STATUS=MR","SCALING_FORMAT=MLN","FA_ADJUSTED=Adjusted","Sort=A","Dates=H","DateFormat=P","Fill=—","Direction=H","UseDPDF=Y")</f>
        <v>-87.231999999999999</v>
      </c>
      <c r="U46" s="13">
        <f>_xll.BDH("BLUE US Equity","PRETAX_INC","FQ4 2023","FQ4 2023","Currency=USD","Period=FQ","BEST_FPERIOD_OVERRIDE=FQ","FILING_STATUS=MR","SCALING_FORMAT=MLN","FA_ADJUSTED=Adjusted","Sort=A","Dates=H","DateFormat=P","Fill=—","Direction=H","UseDPDF=Y")</f>
        <v>-88.56</v>
      </c>
      <c r="V46" s="13">
        <f>_xll.BDH("BLUE US Equity","PRETAX_INC","FQ1 2024","FQ1 2024","Currency=USD","Period=FQ","BEST_FPERIOD_OVERRIDE=FQ","FILING_STATUS=MR","SCALING_FORMAT=MLN","FA_ADJUSTED=Adjusted","Sort=A","Dates=H","DateFormat=P","Fill=—","Direction=H","UseDPDF=Y")</f>
        <v>-69.804000000000002</v>
      </c>
      <c r="W46" s="13">
        <f>_xll.BDH("BLUE US Equity","PRETAX_INC","FQ2 2024","FQ2 2024","Currency=USD","Period=FQ","BEST_FPERIOD_OVERRIDE=FQ","FILING_STATUS=MR","SCALING_FORMAT=MLN","FA_ADJUSTED=Adjusted","Sort=A","Dates=H","DateFormat=P","Fill=—","Direction=H","UseDPDF=Y")</f>
        <v>-81.372</v>
      </c>
      <c r="X46" s="13">
        <f>_xll.BDH("BLUE US Equity","PRETAX_INC","FQ3 2024","FQ3 2024","Currency=USD","Period=FQ","BEST_FPERIOD_OVERRIDE=FQ","FILING_STATUS=MR","SCALING_FORMAT=MLN","FA_ADJUSTED=Adjusted","Sort=A","Dates=H","DateFormat=P","Fill=—","Direction=H","UseDPDF=Y")</f>
        <v>-58.055</v>
      </c>
      <c r="Y46" s="13">
        <f>_xll.BDH("BLUE US Equity","PRETAX_INC","FQ4 2024","FQ4 2024","Currency=USD","Period=FQ","BEST_FPERIOD_OVERRIDE=FQ","FILING_STATUS=MR","SCALING_FORMAT=MLN","FA_ADJUSTED=Adjusted","Sort=A","Dates=H","DateFormat=P","Fill=—","Direction=H","UseDPDF=Y")</f>
        <v>-28.652000000000001</v>
      </c>
      <c r="Z46" s="13"/>
      <c r="AA46" s="13"/>
    </row>
    <row r="47" spans="1:27" x14ac:dyDescent="0.2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158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130</v>
      </c>
      <c r="B49" s="10" t="s">
        <v>159</v>
      </c>
      <c r="C49" s="13">
        <f>_xll.BDH("BLUE US Equity","BEST_NET_INCOME","FQ2 2019","FQ2 2019","Currency=USD","Period=FQ","BEST_FPERIOD_OVERRIDE=FQ","FILING_STATUS=MR","Sort=A","Dates=H","DateFormat=P","Fill=—","Direction=H","UseDPDF=Y")</f>
        <v>-166.09100000000001</v>
      </c>
      <c r="D49" s="13">
        <f>_xll.BDH("BLUE US Equity","BEST_NET_INCOME","FQ3 2019","FQ3 2019","Currency=USD","Period=FQ","BEST_FPERIOD_OVERRIDE=FQ","FILING_STATUS=MR","Sort=A","Dates=H","DateFormat=P","Fill=—","Direction=H","UseDPDF=Y")</f>
        <v>-190.923</v>
      </c>
      <c r="E49" s="13">
        <f>_xll.BDH("BLUE US Equity","BEST_NET_INCOME","FQ4 2019","FQ4 2019","Currency=USD","Period=FQ","BEST_FPERIOD_OVERRIDE=FQ","FILING_STATUS=MR","Sort=A","Dates=H","DateFormat=P","Fill=—","Direction=H","UseDPDF=Y")</f>
        <v>-214</v>
      </c>
      <c r="F49" s="13">
        <f>_xll.BDH("BLUE US Equity","BEST_NET_INCOME","FQ1 2020","FQ1 2020","Currency=USD","Period=FQ","BEST_FPERIOD_OVERRIDE=FQ","FILING_STATUS=MR","Sort=A","Dates=H","DateFormat=P","Fill=—","Direction=H","UseDPDF=Y")</f>
        <v>-227</v>
      </c>
      <c r="G49" s="13">
        <f>_xll.BDH("BLUE US Equity","BEST_NET_INCOME","FQ2 2020","FQ2 2020","Currency=USD","Period=FQ","BEST_FPERIOD_OVERRIDE=FQ","FILING_STATUS=MR","Sort=A","Dates=H","DateFormat=P","Fill=—","Direction=H","UseDPDF=Y")</f>
        <v>-144.07900000000001</v>
      </c>
      <c r="H49" s="13">
        <f>_xll.BDH("BLUE US Equity","BEST_NET_INCOME","FQ3 2020","FQ3 2020","Currency=USD","Period=FQ","BEST_FPERIOD_OVERRIDE=FQ","FILING_STATUS=MR","Sort=A","Dates=H","DateFormat=P","Fill=—","Direction=H","UseDPDF=Y")</f>
        <v>-195.83500000000001</v>
      </c>
      <c r="I49" s="13">
        <f>_xll.BDH("BLUE US Equity","BEST_NET_INCOME","FQ4 2020","FQ4 2020","Currency=USD","Period=FQ","BEST_FPERIOD_OVERRIDE=FQ","FILING_STATUS=MR","Sort=A","Dates=H","DateFormat=P","Fill=—","Direction=H","UseDPDF=Y")</f>
        <v>-197.93700000000001</v>
      </c>
      <c r="J49" s="13">
        <f>_xll.BDH("BLUE US Equity","BEST_NET_INCOME","FQ1 2021","FQ1 2021","Currency=USD","Period=FQ","BEST_FPERIOD_OVERRIDE=FQ","FILING_STATUS=MR","Sort=A","Dates=H","DateFormat=P","Fill=—","Direction=H","UseDPDF=Y")</f>
        <v>-201.571</v>
      </c>
      <c r="K49" s="13">
        <f>_xll.BDH("BLUE US Equity","BEST_NET_INCOME","FQ2 2021","FQ2 2021","Currency=USD","Period=FQ","BEST_FPERIOD_OVERRIDE=FQ","FILING_STATUS=MR","Sort=A","Dates=H","DateFormat=P","Fill=—","Direction=H","UseDPDF=Y")</f>
        <v>-216.13300000000001</v>
      </c>
      <c r="L49" s="13">
        <f>_xll.BDH("BLUE US Equity","BEST_NET_INCOME","FQ3 2021","FQ3 2021","Currency=USD","Period=FQ","BEST_FPERIOD_OVERRIDE=FQ","FILING_STATUS=MR","Sort=A","Dates=H","DateFormat=P","Fill=—","Direction=H","UseDPDF=Y")</f>
        <v>-181.80699999999999</v>
      </c>
      <c r="M49" s="13">
        <f>_xll.BDH("BLUE US Equity","BEST_NET_INCOME","FQ4 2021","FQ4 2021","Currency=USD","Period=FQ","BEST_FPERIOD_OVERRIDE=FQ","FILING_STATUS=MR","Sort=A","Dates=H","DateFormat=P","Fill=—","Direction=H","UseDPDF=Y")</f>
        <v>-132.291</v>
      </c>
      <c r="N49" s="13">
        <f>_xll.BDH("BLUE US Equity","BEST_NET_INCOME","FQ1 2022","FQ1 2022","Currency=USD","Period=FQ","BEST_FPERIOD_OVERRIDE=FQ","FILING_STATUS=MR","Sort=A","Dates=H","DateFormat=P","Fill=—","Direction=H","UseDPDF=Y")</f>
        <v>-107.42700000000001</v>
      </c>
      <c r="O49" s="13">
        <f>_xll.BDH("BLUE US Equity","BEST_NET_INCOME","FQ2 2022","FQ2 2022","Currency=USD","Period=FQ","BEST_FPERIOD_OVERRIDE=FQ","FILING_STATUS=MR","Sort=A","Dates=H","DateFormat=P","Fill=—","Direction=H","UseDPDF=Y")</f>
        <v>-94.832999999999998</v>
      </c>
      <c r="P49" s="13">
        <f>_xll.BDH("BLUE US Equity","BEST_NET_INCOME","FQ3 2022","FQ3 2022","Currency=USD","Period=FQ","BEST_FPERIOD_OVERRIDE=FQ","FILING_STATUS=MR","Sort=A","Dates=H","DateFormat=P","Fill=—","Direction=H","UseDPDF=Y")</f>
        <v>-85</v>
      </c>
      <c r="Q49" s="13">
        <f>_xll.BDH("BLUE US Equity","BEST_NET_INCOME","FQ4 2022","FQ4 2022","Currency=USD","Period=FQ","BEST_FPERIOD_OVERRIDE=FQ","FILING_STATUS=MR","Sort=A","Dates=H","DateFormat=P","Fill=—","Direction=H","UseDPDF=Y")</f>
        <v>-43.32</v>
      </c>
      <c r="R49" s="13">
        <f>_xll.BDH("BLUE US Equity","BEST_NET_INCOME","FQ1 2023","FQ1 2023","Currency=USD","Period=FQ","BEST_FPERIOD_OVERRIDE=FQ","FILING_STATUS=MR","Sort=A","Dates=H","DateFormat=P","Fill=—","Direction=H","UseDPDF=Y")</f>
        <v>-28.085000000000001</v>
      </c>
      <c r="S49" s="13">
        <f>_xll.BDH("BLUE US Equity","BEST_NET_INCOME","FQ2 2023","FQ2 2023","Currency=USD","Period=FQ","BEST_FPERIOD_OVERRIDE=FQ","FILING_STATUS=MR","Sort=A","Dates=H","DateFormat=P","Fill=—","Direction=H","UseDPDF=Y")</f>
        <v>-72.966999999999999</v>
      </c>
      <c r="T49" s="13">
        <f>_xll.BDH("BLUE US Equity","BEST_NET_INCOME","FQ3 2023","FQ3 2023","Currency=USD","Period=FQ","BEST_FPERIOD_OVERRIDE=FQ","FILING_STATUS=MR","Sort=A","Dates=H","DateFormat=P","Fill=—","Direction=H","UseDPDF=Y")</f>
        <v>-73.667000000000002</v>
      </c>
      <c r="U49" s="13">
        <f>_xll.BDH("BLUE US Equity","BEST_NET_INCOME","FQ4 2023","FQ4 2023","Currency=USD","Period=FQ","BEST_FPERIOD_OVERRIDE=FQ","FILING_STATUS=MR","Sort=A","Dates=H","DateFormat=P","Fill=—","Direction=H","UseDPDF=Y")</f>
        <v>-95.26</v>
      </c>
      <c r="V49" s="13">
        <f>_xll.BDH("BLUE US Equity","BEST_NET_INCOME","FQ1 2024","FQ1 2024","Currency=USD","Period=FQ","BEST_FPERIOD_OVERRIDE=FQ","FILING_STATUS=MR","Sort=A","Dates=H","DateFormat=P","Fill=—","Direction=H","UseDPDF=Y")</f>
        <v>-69.787000000000006</v>
      </c>
      <c r="W49" s="13">
        <f>_xll.BDH("BLUE US Equity","BEST_NET_INCOME","FQ2 2024","FQ2 2024","Currency=USD","Period=FQ","BEST_FPERIOD_OVERRIDE=FQ","FILING_STATUS=MR","Sort=A","Dates=H","DateFormat=P","Fill=—","Direction=H","UseDPDF=Y")</f>
        <v>-75.680000000000007</v>
      </c>
      <c r="X49" s="13">
        <f>_xll.BDH("BLUE US Equity","BEST_NET_INCOME","FQ3 2024","FQ3 2024","Currency=USD","Period=FQ","BEST_FPERIOD_OVERRIDE=FQ","FILING_STATUS=MR","Sort=A","Dates=H","DateFormat=P","Fill=—","Direction=H","UseDPDF=Y")</f>
        <v>-66.25</v>
      </c>
      <c r="Y49" s="13">
        <f>_xll.BDH("BLUE US Equity","BEST_NET_INCOME","FQ4 2024","FQ4 2024","Currency=USD","Period=FQ","BEST_FPERIOD_OVERRIDE=FQ","FILING_STATUS=MR","Sort=A","Dates=H","DateFormat=P","Fill=—","Direction=H","UseDPDF=Y")</f>
        <v>-57.311999999999998</v>
      </c>
      <c r="Z49" s="13">
        <v>-42.482999999999997</v>
      </c>
      <c r="AA49" s="13">
        <v>-28.617000000000001</v>
      </c>
    </row>
    <row r="50" spans="1:27" x14ac:dyDescent="0.25">
      <c r="A50" s="10" t="s">
        <v>132</v>
      </c>
      <c r="B50" s="10" t="s">
        <v>160</v>
      </c>
      <c r="C50" s="13">
        <f>_xll.BDH("BLUE US Equity","IS_COMP_NET_INCOME_ADJUST","FQ2 2019","FQ2 2019","Currency=USD","Period=FQ","BEST_FPERIOD_OVERRIDE=FQ","FILING_STATUS=MR","SCALING_FORMAT=MLN","Sort=A","Dates=H","DateFormat=P","Fill=—","Direction=H","UseDPDF=Y")</f>
        <v>-195.6129</v>
      </c>
      <c r="D50" s="13">
        <f>_xll.BDH("BLUE US Equity","IS_COMP_NET_INCOME_ADJUST","FQ3 2019","FQ3 2019","Currency=USD","Period=FQ","BEST_FPERIOD_OVERRIDE=FQ","FILING_STATUS=MR","SCALING_FORMAT=MLN","Sort=A","Dates=H","DateFormat=P","Fill=—","Direction=H","UseDPDF=Y")</f>
        <v>-206.03299999999999</v>
      </c>
      <c r="E50" s="13">
        <f>_xll.BDH("BLUE US Equity","IS_COMP_NET_INCOME_ADJUST","FQ4 2019","FQ4 2019","Currency=USD","Period=FQ","BEST_FPERIOD_OVERRIDE=FQ","FILING_STATUS=MR","SCALING_FORMAT=MLN","Sort=A","Dates=H","DateFormat=P","Fill=—","Direction=H","UseDPDF=Y")</f>
        <v>-222.21340000000001</v>
      </c>
      <c r="F50" s="13">
        <f>_xll.BDH("BLUE US Equity","IS_COMP_NET_INCOME_ADJUST","FQ1 2020","FQ1 2020","Currency=USD","Period=FQ","BEST_FPERIOD_OVERRIDE=FQ","FILING_STATUS=MR","SCALING_FORMAT=MLN","Sort=A","Dates=H","DateFormat=P","Fill=—","Direction=H","UseDPDF=Y")</f>
        <v>-202.61099999999999</v>
      </c>
      <c r="G50" s="13">
        <f>_xll.BDH("BLUE US Equity","IS_COMP_NET_INCOME_ADJUST","FQ2 2020","FQ2 2020","Currency=USD","Period=FQ","BEST_FPERIOD_OVERRIDE=FQ","FILING_STATUS=MR","SCALING_FORMAT=MLN","Sort=A","Dates=H","DateFormat=P","Fill=—","Direction=H","UseDPDF=Y")</f>
        <v>-21.465</v>
      </c>
      <c r="H50" s="13">
        <f>_xll.BDH("BLUE US Equity","IS_COMP_NET_INCOME_ADJUST","FQ3 2020","FQ3 2020","Currency=USD","Period=FQ","BEST_FPERIOD_OVERRIDE=FQ","FILING_STATUS=MR","SCALING_FORMAT=MLN","Sort=A","Dates=H","DateFormat=P","Fill=—","Direction=H","UseDPDF=Y")</f>
        <v>-194.745</v>
      </c>
      <c r="I50" s="13">
        <f>_xll.BDH("BLUE US Equity","IS_COMP_NET_INCOME_ADJUST","FQ4 2020","FQ4 2020","Currency=USD","Period=FQ","BEST_FPERIOD_OVERRIDE=FQ","FILING_STATUS=MR","SCALING_FORMAT=MLN","Sort=A","Dates=H","DateFormat=P","Fill=—","Direction=H","UseDPDF=Y")</f>
        <v>-199.874</v>
      </c>
      <c r="J50" s="13">
        <f>_xll.BDH("BLUE US Equity","IS_COMP_NET_INCOME_ADJUST","FQ1 2021","FQ1 2021","Currency=USD","Period=FQ","BEST_FPERIOD_OVERRIDE=FQ","FILING_STATUS=MR","SCALING_FORMAT=MLN","Sort=A","Dates=H","DateFormat=P","Fill=—","Direction=H","UseDPDF=Y")</f>
        <v>-205.51650000000001</v>
      </c>
      <c r="K50" s="13">
        <f>_xll.BDH("BLUE US Equity","IS_COMP_NET_INCOME_ADJUST","FQ2 2021","FQ2 2021","Currency=USD","Period=FQ","BEST_FPERIOD_OVERRIDE=FQ","FILING_STATUS=MR","SCALING_FORMAT=MLN","Sort=A","Dates=H","DateFormat=P","Fill=—","Direction=H","UseDPDF=Y")</f>
        <v>-241.702</v>
      </c>
      <c r="L50" s="13">
        <f>_xll.BDH("BLUE US Equity","IS_COMP_NET_INCOME_ADJUST","FQ3 2021","FQ3 2021","Currency=USD","Period=FQ","BEST_FPERIOD_OVERRIDE=FQ","FILING_STATUS=MR","SCALING_FORMAT=MLN","Sort=A","Dates=H","DateFormat=P","Fill=—","Direction=H","UseDPDF=Y")</f>
        <v>-216.816</v>
      </c>
      <c r="M50" s="13">
        <f>_xll.BDH("BLUE US Equity","IS_COMP_NET_INCOME_ADJUST","FQ4 2021","FQ4 2021","Currency=USD","Period=FQ","BEST_FPERIOD_OVERRIDE=FQ","FILING_STATUS=MR","SCALING_FORMAT=MLN","Sort=A","Dates=H","DateFormat=P","Fill=—","Direction=H","UseDPDF=Y")</f>
        <v>-131.358</v>
      </c>
      <c r="N50" s="13">
        <f>_xll.BDH("BLUE US Equity","IS_COMP_NET_INCOME_ADJUST","FQ1 2022","FQ1 2022","Currency=USD","Period=FQ","BEST_FPERIOD_OVERRIDE=FQ","FILING_STATUS=MR","SCALING_FORMAT=MLN","Sort=A","Dates=H","DateFormat=P","Fill=—","Direction=H","UseDPDF=Y")</f>
        <v>-122.152</v>
      </c>
      <c r="O50" s="13">
        <f>_xll.BDH("BLUE US Equity","IS_COMP_NET_INCOME_ADJUST","FQ2 2022","FQ2 2022","Currency=USD","Period=FQ","BEST_FPERIOD_OVERRIDE=FQ","FILING_STATUS=MR","SCALING_FORMAT=MLN","Sort=A","Dates=H","DateFormat=P","Fill=—","Direction=H","UseDPDF=Y")</f>
        <v>-100.13800000000001</v>
      </c>
      <c r="P50" s="13">
        <f>_xll.BDH("BLUE US Equity","IS_COMP_NET_INCOME_ADJUST","FQ3 2022","FQ3 2022","Currency=USD","Period=FQ","BEST_FPERIOD_OVERRIDE=FQ","FILING_STATUS=MR","SCALING_FORMAT=MLN","Sort=A","Dates=H","DateFormat=P","Fill=—","Direction=H","UseDPDF=Y")</f>
        <v>-76.52</v>
      </c>
      <c r="Q50" s="13">
        <f>_xll.BDH("BLUE US Equity","IS_COMP_NET_INCOME_ADJUST","FQ4 2022","FQ4 2022","Currency=USD","Period=FQ","BEST_FPERIOD_OVERRIDE=FQ","FILING_STATUS=MR","SCALING_FORMAT=MLN","Sort=A","Dates=H","DateFormat=P","Fill=—","Direction=H","UseDPDF=Y")</f>
        <v>32.231999999999999</v>
      </c>
      <c r="R50" s="13">
        <f>_xll.BDH("BLUE US Equity","IS_COMP_NET_INCOME_ADJUST","FQ1 2023","FQ1 2023","Currency=USD","Period=FQ","BEST_FPERIOD_OVERRIDE=FQ","FILING_STATUS=MR","SCALING_FORMAT=MLN","Sort=A","Dates=H","DateFormat=P","Fill=—","Direction=H","UseDPDF=Y")</f>
        <v>21.24</v>
      </c>
      <c r="S50" s="13">
        <f>_xll.BDH("BLUE US Equity","IS_COMP_NET_INCOME_ADJUST","FQ2 2023","FQ2 2023","Currency=USD","Period=FQ","BEST_FPERIOD_OVERRIDE=FQ","FILING_STATUS=MR","SCALING_FORMAT=MLN","Sort=A","Dates=H","DateFormat=P","Fill=—","Direction=H","UseDPDF=Y")</f>
        <v>-72.908000000000001</v>
      </c>
      <c r="T50" s="13">
        <f>_xll.BDH("BLUE US Equity","IS_COMP_NET_INCOME_ADJUST","FQ3 2023","FQ3 2023","Currency=USD","Period=FQ","BEST_FPERIOD_OVERRIDE=FQ","FILING_STATUS=MR","SCALING_FORMAT=MLN","Sort=A","Dates=H","DateFormat=P","Fill=—","Direction=H","UseDPDF=Y")</f>
        <v>-71.730999999999995</v>
      </c>
      <c r="U50" s="13">
        <f>_xll.BDH("BLUE US Equity","IS_COMP_NET_INCOME_ADJUST","FQ4 2023","FQ4 2023","Currency=USD","Period=FQ","BEST_FPERIOD_OVERRIDE=FQ","FILING_STATUS=MR","SCALING_FORMAT=MLN","Sort=A","Dates=H","DateFormat=P","Fill=—","Direction=H","UseDPDF=Y")</f>
        <v>-88.513999999999996</v>
      </c>
      <c r="V50" s="13">
        <f>_xll.BDH("BLUE US Equity","IS_COMP_NET_INCOME_ADJUST","FQ1 2024","FQ1 2024","Currency=USD","Period=FQ","BEST_FPERIOD_OVERRIDE=FQ","FILING_STATUS=MR","SCALING_FORMAT=MLN","Sort=A","Dates=H","DateFormat=P","Fill=—","Direction=H","UseDPDF=Y")</f>
        <v>-69.804000000000002</v>
      </c>
      <c r="W50" s="13">
        <f>_xll.BDH("BLUE US Equity","IS_COMP_NET_INCOME_ADJUST","FQ2 2024","FQ2 2024","Currency=USD","Period=FQ","BEST_FPERIOD_OVERRIDE=FQ","FILING_STATUS=MR","SCALING_FORMAT=MLN","Sort=A","Dates=H","DateFormat=P","Fill=—","Direction=H","UseDPDF=Y")</f>
        <v>-81.393000000000001</v>
      </c>
      <c r="X50" s="13">
        <f>_xll.BDH("BLUE US Equity","IS_COMP_NET_INCOME_ADJUST","FQ3 2024","FQ3 2024","Currency=USD","Period=FQ","BEST_FPERIOD_OVERRIDE=FQ","FILING_STATUS=MR","SCALING_FORMAT=MLN","Sort=A","Dates=H","DateFormat=P","Fill=—","Direction=H","UseDPDF=Y")</f>
        <v>-60.808</v>
      </c>
      <c r="Y50" s="13" t="str">
        <f>_xll.BDH("BLUE US Equity","IS_COMP_NET_INCOME_ADJUST","FQ4 2024","FQ4 2024","Currency=USD","Period=FQ","BEST_FPERIOD_OVERRIDE=FQ","FILING_STATUS=MR","SCALING_FORMAT=MLN","Sort=A","Dates=H","DateFormat=P","Fill=—","Direction=H","UseDPDF=Y")</f>
        <v>—</v>
      </c>
      <c r="Z50" s="13"/>
      <c r="AA50" s="13"/>
    </row>
    <row r="51" spans="1:27" x14ac:dyDescent="0.25">
      <c r="A51" s="11" t="s">
        <v>161</v>
      </c>
      <c r="B51" s="11"/>
      <c r="C51" s="25">
        <v>-17.774557320986698</v>
      </c>
      <c r="D51" s="25">
        <v>-7.9141852998329103</v>
      </c>
      <c r="E51" s="25">
        <v>-3.8380140186915801</v>
      </c>
      <c r="F51" s="25">
        <v>10.744052863436099</v>
      </c>
      <c r="G51" s="25">
        <v>85.101923250439</v>
      </c>
      <c r="H51" s="25">
        <v>0.55659100773610604</v>
      </c>
      <c r="I51" s="25">
        <v>-0.97859419916437196</v>
      </c>
      <c r="J51" s="25">
        <v>-1.95736985975165</v>
      </c>
      <c r="K51" s="25">
        <v>-11.8302156542499</v>
      </c>
      <c r="L51" s="25">
        <v>-19.256134252256501</v>
      </c>
      <c r="M51" s="25">
        <v>0.70526339660293802</v>
      </c>
      <c r="N51" s="25">
        <v>-13.7069824159662</v>
      </c>
      <c r="O51" s="25">
        <v>-5.5940442672909301</v>
      </c>
      <c r="P51" s="25">
        <v>9.9764705882352995</v>
      </c>
      <c r="Q51" s="25" t="s">
        <v>76</v>
      </c>
      <c r="R51" s="25" t="s">
        <v>76</v>
      </c>
      <c r="S51" s="25">
        <v>8.0858470267377705E-2</v>
      </c>
      <c r="T51" s="25">
        <v>2.62804240704794</v>
      </c>
      <c r="U51" s="25">
        <v>7.0816712156204202</v>
      </c>
      <c r="V51" s="25">
        <v>-2.4359837792133101E-2</v>
      </c>
      <c r="W51" s="25">
        <v>-7.5488900634249401</v>
      </c>
      <c r="X51" s="25">
        <v>8.2143396226415106</v>
      </c>
      <c r="Y51" s="25" t="s">
        <v>76</v>
      </c>
      <c r="Z51" s="25"/>
      <c r="AA51" s="25"/>
    </row>
    <row r="52" spans="1:27" x14ac:dyDescent="0.25">
      <c r="A52" s="10" t="s">
        <v>135</v>
      </c>
      <c r="B52" s="10" t="s">
        <v>80</v>
      </c>
      <c r="C52" s="13">
        <f>_xll.BDH("BLUE US Equity","EARN_FOR_COMMON","FQ2 2019","FQ2 2019","Currency=USD","Period=FQ","BEST_FPERIOD_OVERRIDE=FQ","FILING_STATUS=MR","SCALING_FORMAT=MLN","FA_ADJUSTED=GAAP","Sort=A","Dates=H","DateFormat=P","Fill=—","Direction=H","UseDPDF=Y")</f>
        <v>-195.78200000000001</v>
      </c>
      <c r="D52" s="13">
        <f>_xll.BDH("BLUE US Equity","EARN_FOR_COMMON","FQ3 2019","FQ3 2019","Currency=USD","Period=FQ","BEST_FPERIOD_OVERRIDE=FQ","FILING_STATUS=MR","SCALING_FORMAT=MLN","FA_ADJUSTED=GAAP","Sort=A","Dates=H","DateFormat=P","Fill=—","Direction=H","UseDPDF=Y")</f>
        <v>-206.03299999999999</v>
      </c>
      <c r="E52" s="13">
        <f>_xll.BDH("BLUE US Equity","EARN_FOR_COMMON","FQ4 2019","FQ4 2019","Currency=USD","Period=FQ","BEST_FPERIOD_OVERRIDE=FQ","FILING_STATUS=MR","SCALING_FORMAT=MLN","FA_ADJUSTED=GAAP","Sort=A","Dates=H","DateFormat=P","Fill=—","Direction=H","UseDPDF=Y")</f>
        <v>-223.34700000000001</v>
      </c>
      <c r="F52" s="13">
        <f>_xll.BDH("BLUE US Equity","EARN_FOR_COMMON","FQ1 2020","FQ1 2020","Currency=USD","Period=FQ","BEST_FPERIOD_OVERRIDE=FQ","FILING_STATUS=MR","SCALING_FORMAT=MLN","FA_ADJUSTED=GAAP","Sort=A","Dates=H","DateFormat=P","Fill=—","Direction=H","UseDPDF=Y")</f>
        <v>-202.61099999999999</v>
      </c>
      <c r="G52" s="13">
        <f>_xll.BDH("BLUE US Equity","EARN_FOR_COMMON","FQ2 2020","FQ2 2020","Currency=USD","Period=FQ","BEST_FPERIOD_OVERRIDE=FQ","FILING_STATUS=MR","SCALING_FORMAT=MLN","FA_ADJUSTED=GAAP","Sort=A","Dates=H","DateFormat=P","Fill=—","Direction=H","UseDPDF=Y")</f>
        <v>-21.465</v>
      </c>
      <c r="H52" s="13">
        <f>_xll.BDH("BLUE US Equity","EARN_FOR_COMMON","FQ3 2020","FQ3 2020","Currency=USD","Period=FQ","BEST_FPERIOD_OVERRIDE=FQ","FILING_STATUS=MR","SCALING_FORMAT=MLN","FA_ADJUSTED=GAAP","Sort=A","Dates=H","DateFormat=P","Fill=—","Direction=H","UseDPDF=Y")</f>
        <v>-194.745</v>
      </c>
      <c r="I52" s="13">
        <f>_xll.BDH("BLUE US Equity","EARN_FOR_COMMON","FQ4 2020","FQ4 2020","Currency=USD","Period=FQ","BEST_FPERIOD_OVERRIDE=FQ","FILING_STATUS=MR","SCALING_FORMAT=MLN","FA_ADJUSTED=GAAP","Sort=A","Dates=H","DateFormat=P","Fill=—","Direction=H","UseDPDF=Y")</f>
        <v>-199.874</v>
      </c>
      <c r="J52" s="13">
        <f>_xll.BDH("BLUE US Equity","EARN_FOR_COMMON","FQ1 2021","FQ1 2021","Currency=USD","Period=FQ","BEST_FPERIOD_OVERRIDE=FQ","FILING_STATUS=MR","SCALING_FORMAT=MLN","FA_ADJUSTED=GAAP","Sort=A","Dates=H","DateFormat=P","Fill=—","Direction=H","UseDPDF=Y")</f>
        <v>-205.80799999999999</v>
      </c>
      <c r="K52" s="13">
        <f>_xll.BDH("BLUE US Equity","EARN_FOR_COMMON","FQ2 2021","FQ2 2021","Currency=USD","Period=FQ","BEST_FPERIOD_OVERRIDE=FQ","FILING_STATUS=MR","SCALING_FORMAT=MLN","FA_ADJUSTED=GAAP","Sort=A","Dates=H","DateFormat=P","Fill=—","Direction=H","UseDPDF=Y")</f>
        <v>-241.702</v>
      </c>
      <c r="L52" s="13">
        <f>_xll.BDH("BLUE US Equity","EARN_FOR_COMMON","FQ3 2021","FQ3 2021","Currency=USD","Period=FQ","BEST_FPERIOD_OVERRIDE=FQ","FILING_STATUS=MR","SCALING_FORMAT=MLN","FA_ADJUSTED=GAAP","Sort=A","Dates=H","DateFormat=P","Fill=—","Direction=H","UseDPDF=Y")</f>
        <v>-216.816</v>
      </c>
      <c r="M52" s="13">
        <f>_xll.BDH("BLUE US Equity","EARN_FOR_COMMON","FQ4 2021","FQ4 2021","Currency=USD","Period=FQ","BEST_FPERIOD_OVERRIDE=FQ","FILING_STATUS=MR","SCALING_FORMAT=MLN","FA_ADJUSTED=GAAP","Sort=A","Dates=H","DateFormat=P","Fill=—","Direction=H","UseDPDF=Y")</f>
        <v>-155.05199999999999</v>
      </c>
      <c r="N52" s="13">
        <f>_xll.BDH("BLUE US Equity","EARN_FOR_COMMON","FQ1 2022","FQ1 2022","Currency=USD","Period=FQ","BEST_FPERIOD_OVERRIDE=FQ","FILING_STATUS=MR","SCALING_FORMAT=MLN","FA_ADJUSTED=GAAP","Sort=A","Dates=H","DateFormat=P","Fill=—","Direction=H","UseDPDF=Y")</f>
        <v>-122.152</v>
      </c>
      <c r="O52" s="13">
        <f>_xll.BDH("BLUE US Equity","EARN_FOR_COMMON","FQ2 2022","FQ2 2022","Currency=USD","Period=FQ","BEST_FPERIOD_OVERRIDE=FQ","FILING_STATUS=MR","SCALING_FORMAT=MLN","FA_ADJUSTED=GAAP","Sort=A","Dates=H","DateFormat=P","Fill=—","Direction=H","UseDPDF=Y")</f>
        <v>-100.13800000000001</v>
      </c>
      <c r="P52" s="13">
        <f>_xll.BDH("BLUE US Equity","EARN_FOR_COMMON","FQ3 2022","FQ3 2022","Currency=USD","Period=FQ","BEST_FPERIOD_OVERRIDE=FQ","FILING_STATUS=MR","SCALING_FORMAT=MLN","FA_ADJUSTED=GAAP","Sort=A","Dates=H","DateFormat=P","Fill=—","Direction=H","UseDPDF=Y")</f>
        <v>-76.52</v>
      </c>
      <c r="Q52" s="13">
        <f>_xll.BDH("BLUE US Equity","EARN_FOR_COMMON","FQ4 2022","FQ4 2022","Currency=USD","Period=FQ","BEST_FPERIOD_OVERRIDE=FQ","FILING_STATUS=MR","SCALING_FORMAT=MLN","FA_ADJUSTED=GAAP","Sort=A","Dates=H","DateFormat=P","Fill=—","Direction=H","UseDPDF=Y")</f>
        <v>68.468000000000004</v>
      </c>
      <c r="R52" s="13">
        <f>_xll.BDH("BLUE US Equity","EARN_FOR_COMMON","FQ1 2023","FQ1 2023","Currency=USD","Period=FQ","BEST_FPERIOD_OVERRIDE=FQ","FILING_STATUS=MR","SCALING_FORMAT=MLN","FA_ADJUSTED=GAAP","Sort=A","Dates=H","DateFormat=P","Fill=—","Direction=H","UseDPDF=Y")</f>
        <v>18.93</v>
      </c>
      <c r="S52" s="13">
        <f>_xll.BDH("BLUE US Equity","EARN_FOR_COMMON","FQ2 2023","FQ2 2023","Currency=USD","Period=FQ","BEST_FPERIOD_OVERRIDE=FQ","FILING_STATUS=MR","SCALING_FORMAT=MLN","FA_ADJUSTED=GAAP","Sort=A","Dates=H","DateFormat=P","Fill=—","Direction=H","UseDPDF=Y")</f>
        <v>-62.789000000000001</v>
      </c>
      <c r="T52" s="13">
        <f>_xll.BDH("BLUE US Equity","EARN_FOR_COMMON","FQ3 2023","FQ3 2023","Currency=USD","Period=FQ","BEST_FPERIOD_OVERRIDE=FQ","FILING_STATUS=MR","SCALING_FORMAT=MLN","FA_ADJUSTED=GAAP","Sort=A","Dates=H","DateFormat=P","Fill=—","Direction=H","UseDPDF=Y")</f>
        <v>-87.231999999999999</v>
      </c>
      <c r="U52" s="13">
        <f>_xll.BDH("BLUE US Equity","EARN_FOR_COMMON","FQ4 2023","FQ4 2023","Currency=USD","Period=FQ","BEST_FPERIOD_OVERRIDE=FQ","FILING_STATUS=MR","SCALING_FORMAT=MLN","FA_ADJUSTED=GAAP","Sort=A","Dates=H","DateFormat=P","Fill=—","Direction=H","UseDPDF=Y")</f>
        <v>-88.513999999999996</v>
      </c>
      <c r="V52" s="13">
        <f>_xll.BDH("BLUE US Equity","EARN_FOR_COMMON","FQ1 2024","FQ1 2024","Currency=USD","Period=FQ","BEST_FPERIOD_OVERRIDE=FQ","FILING_STATUS=MR","SCALING_FORMAT=MLN","FA_ADJUSTED=GAAP","Sort=A","Dates=H","DateFormat=P","Fill=—","Direction=H","UseDPDF=Y")</f>
        <v>-69.804000000000002</v>
      </c>
      <c r="W52" s="13">
        <f>_xll.BDH("BLUE US Equity","EARN_FOR_COMMON","FQ2 2024","FQ2 2024","Currency=USD","Period=FQ","BEST_FPERIOD_OVERRIDE=FQ","FILING_STATUS=MR","SCALING_FORMAT=MLN","FA_ADJUSTED=GAAP","Sort=A","Dates=H","DateFormat=P","Fill=—","Direction=H","UseDPDF=Y")</f>
        <v>-81.393000000000001</v>
      </c>
      <c r="X52" s="13">
        <f>_xll.BDH("BLUE US Equity","EARN_FOR_COMMON","FQ3 2024","FQ3 2024","Currency=USD","Period=FQ","BEST_FPERIOD_OVERRIDE=FQ","FILING_STATUS=MR","SCALING_FORMAT=MLN","FA_ADJUSTED=GAAP","Sort=A","Dates=H","DateFormat=P","Fill=—","Direction=H","UseDPDF=Y")</f>
        <v>-60.808</v>
      </c>
      <c r="Y52" s="13">
        <f>_xll.BDH("BLUE US Equity","EARN_FOR_COMMON","FQ4 2024","FQ4 2024","Currency=USD","Period=FQ","BEST_FPERIOD_OVERRIDE=FQ","FILING_STATUS=MR","SCALING_FORMAT=MLN","FA_ADJUSTED=GAAP","Sort=A","Dates=H","DateFormat=P","Fill=—","Direction=H","UseDPDF=Y")</f>
        <v>-28.71</v>
      </c>
      <c r="Z52" s="13"/>
      <c r="AA52" s="13"/>
    </row>
    <row r="53" spans="1:27" x14ac:dyDescent="0.25">
      <c r="A53" s="10" t="s">
        <v>136</v>
      </c>
      <c r="B53" s="10" t="s">
        <v>80</v>
      </c>
      <c r="C53" s="13">
        <f>_xll.BDH("BLUE US Equity","EARN_FOR_COMMON","FQ2 2019","FQ2 2019","Currency=USD","Period=FQ","BEST_FPERIOD_OVERRIDE=FQ","FILING_STATUS=MR","SCALING_FORMAT=MLN","FA_ADJUSTED=Adjusted","Sort=A","Dates=H","DateFormat=P","Fill=—","Direction=H","UseDPDF=Y")</f>
        <v>-195.6129</v>
      </c>
      <c r="D53" s="13">
        <f>_xll.BDH("BLUE US Equity","EARN_FOR_COMMON","FQ3 2019","FQ3 2019","Currency=USD","Period=FQ","BEST_FPERIOD_OVERRIDE=FQ","FILING_STATUS=MR","SCALING_FORMAT=MLN","FA_ADJUSTED=Adjusted","Sort=A","Dates=H","DateFormat=P","Fill=—","Direction=H","UseDPDF=Y")</f>
        <v>-205.39940000000001</v>
      </c>
      <c r="E53" s="13">
        <f>_xll.BDH("BLUE US Equity","EARN_FOR_COMMON","FQ4 2019","FQ4 2019","Currency=USD","Period=FQ","BEST_FPERIOD_OVERRIDE=FQ","FILING_STATUS=MR","SCALING_FORMAT=MLN","FA_ADJUSTED=Adjusted","Sort=A","Dates=H","DateFormat=P","Fill=—","Direction=H","UseDPDF=Y")</f>
        <v>-222.21340000000001</v>
      </c>
      <c r="F53" s="13">
        <f>_xll.BDH("BLUE US Equity","EARN_FOR_COMMON","FQ1 2020","FQ1 2020","Currency=USD","Period=FQ","BEST_FPERIOD_OVERRIDE=FQ","FILING_STATUS=MR","SCALING_FORMAT=MLN","FA_ADJUSTED=Adjusted","Sort=A","Dates=H","DateFormat=P","Fill=—","Direction=H","UseDPDF=Y")</f>
        <v>-205.06630000000001</v>
      </c>
      <c r="G53" s="13">
        <f>_xll.BDH("BLUE US Equity","EARN_FOR_COMMON","FQ2 2020","FQ2 2020","Currency=USD","Period=FQ","BEST_FPERIOD_OVERRIDE=FQ","FILING_STATUS=MR","SCALING_FORMAT=MLN","FA_ADJUSTED=Adjusted","Sort=A","Dates=H","DateFormat=P","Fill=—","Direction=H","UseDPDF=Y")</f>
        <v>-22.772500000000001</v>
      </c>
      <c r="H53" s="13">
        <f>_xll.BDH("BLUE US Equity","EARN_FOR_COMMON","FQ3 2020","FQ3 2020","Currency=USD","Period=FQ","BEST_FPERIOD_OVERRIDE=FQ","FILING_STATUS=MR","SCALING_FORMAT=MLN","FA_ADJUSTED=Adjusted","Sort=A","Dates=H","DateFormat=P","Fill=—","Direction=H","UseDPDF=Y")</f>
        <v>-195.3991</v>
      </c>
      <c r="I53" s="13">
        <f>_xll.BDH("BLUE US Equity","EARN_FOR_COMMON","FQ4 2020","FQ4 2020","Currency=USD","Period=FQ","BEST_FPERIOD_OVERRIDE=FQ","FILING_STATUS=MR","SCALING_FORMAT=MLN","FA_ADJUSTED=Adjusted","Sort=A","Dates=H","DateFormat=P","Fill=—","Direction=H","UseDPDF=Y")</f>
        <v>-136.321</v>
      </c>
      <c r="J53" s="13">
        <f>_xll.BDH("BLUE US Equity","EARN_FOR_COMMON","FQ1 2021","FQ1 2021","Currency=USD","Period=FQ","BEST_FPERIOD_OVERRIDE=FQ","FILING_STATUS=MR","SCALING_FORMAT=MLN","FA_ADJUSTED=Adjusted","Sort=A","Dates=H","DateFormat=P","Fill=—","Direction=H","UseDPDF=Y")</f>
        <v>-143.62639999999999</v>
      </c>
      <c r="K53" s="13">
        <f>_xll.BDH("BLUE US Equity","EARN_FOR_COMMON","FQ2 2021","FQ2 2021","Currency=USD","Period=FQ","BEST_FPERIOD_OVERRIDE=FQ","FILING_STATUS=MR","SCALING_FORMAT=MLN","FA_ADJUSTED=Adjusted","Sort=A","Dates=H","DateFormat=P","Fill=—","Direction=H","UseDPDF=Y")</f>
        <v>-241.66489999999999</v>
      </c>
      <c r="L53" s="13">
        <f>_xll.BDH("BLUE US Equity","EARN_FOR_COMMON","FQ3 2021","FQ3 2021","Currency=USD","Period=FQ","BEST_FPERIOD_OVERRIDE=FQ","FILING_STATUS=MR","SCALING_FORMAT=MLN","FA_ADJUSTED=Adjusted","Sort=A","Dates=H","DateFormat=P","Fill=—","Direction=H","UseDPDF=Y")</f>
        <v>-159.62010000000001</v>
      </c>
      <c r="M53" s="13">
        <f>_xll.BDH("BLUE US Equity","EARN_FOR_COMMON","FQ4 2021","FQ4 2021","Currency=USD","Period=FQ","BEST_FPERIOD_OVERRIDE=FQ","FILING_STATUS=MR","SCALING_FORMAT=MLN","FA_ADJUSTED=Adjusted","Sort=A","Dates=H","DateFormat=P","Fill=—","Direction=H","UseDPDF=Y")</f>
        <v>-131.59700000000001</v>
      </c>
      <c r="N53" s="13">
        <f>_xll.BDH("BLUE US Equity","EARN_FOR_COMMON","FQ1 2022","FQ1 2022","Currency=USD","Period=FQ","BEST_FPERIOD_OVERRIDE=FQ","FILING_STATUS=MR","SCALING_FORMAT=MLN","FA_ADJUSTED=Adjusted","Sort=A","Dates=H","DateFormat=P","Fill=—","Direction=H","UseDPDF=Y")</f>
        <v>-120.1707</v>
      </c>
      <c r="O53" s="13">
        <f>_xll.BDH("BLUE US Equity","EARN_FOR_COMMON","FQ2 2022","FQ2 2022","Currency=USD","Period=FQ","BEST_FPERIOD_OVERRIDE=FQ","FILING_STATUS=MR","SCALING_FORMAT=MLN","FA_ADJUSTED=Adjusted","Sort=A","Dates=H","DateFormat=P","Fill=—","Direction=H","UseDPDF=Y")</f>
        <v>-94.397900000000007</v>
      </c>
      <c r="P53" s="13">
        <f>_xll.BDH("BLUE US Equity","EARN_FOR_COMMON","FQ3 2022","FQ3 2022","Currency=USD","Period=FQ","BEST_FPERIOD_OVERRIDE=FQ","FILING_STATUS=MR","SCALING_FORMAT=MLN","FA_ADJUSTED=Adjusted","Sort=A","Dates=H","DateFormat=P","Fill=—","Direction=H","UseDPDF=Y")</f>
        <v>-75.385599999999997</v>
      </c>
      <c r="Q53" s="13">
        <f>_xll.BDH("BLUE US Equity","EARN_FOR_COMMON","FQ4 2022","FQ4 2022","Currency=USD","Period=FQ","BEST_FPERIOD_OVERRIDE=FQ","FILING_STATUS=MR","SCALING_FORMAT=MLN","FA_ADJUSTED=Adjusted","Sort=A","Dates=H","DateFormat=P","Fill=—","Direction=H","UseDPDF=Y")</f>
        <v>-17.065300000000001</v>
      </c>
      <c r="R53" s="13">
        <f>_xll.BDH("BLUE US Equity","EARN_FOR_COMMON","FQ1 2023","FQ1 2023","Currency=USD","Period=FQ","BEST_FPERIOD_OVERRIDE=FQ","FILING_STATUS=MR","SCALING_FORMAT=MLN","FA_ADJUSTED=Adjusted","Sort=A","Dates=H","DateFormat=P","Fill=—","Direction=H","UseDPDF=Y")</f>
        <v>-54.484699999999997</v>
      </c>
      <c r="S53" s="13">
        <f>_xll.BDH("BLUE US Equity","EARN_FOR_COMMON","FQ2 2023","FQ2 2023","Currency=USD","Period=FQ","BEST_FPERIOD_OVERRIDE=FQ","FILING_STATUS=MR","SCALING_FORMAT=MLN","FA_ADJUSTED=Adjusted","Sort=A","Dates=H","DateFormat=P","Fill=—","Direction=H","UseDPDF=Y")</f>
        <v>-62.789000000000001</v>
      </c>
      <c r="T53" s="13">
        <f>_xll.BDH("BLUE US Equity","EARN_FOR_COMMON","FQ3 2023","FQ3 2023","Currency=USD","Period=FQ","BEST_FPERIOD_OVERRIDE=FQ","FILING_STATUS=MR","SCALING_FORMAT=MLN","FA_ADJUSTED=Adjusted","Sort=A","Dates=H","DateFormat=P","Fill=—","Direction=H","UseDPDF=Y")</f>
        <v>-87.231999999999999</v>
      </c>
      <c r="U53" s="13">
        <f>_xll.BDH("BLUE US Equity","EARN_FOR_COMMON","FQ4 2023","FQ4 2023","Currency=USD","Period=FQ","BEST_FPERIOD_OVERRIDE=FQ","FILING_STATUS=MR","SCALING_FORMAT=MLN","FA_ADJUSTED=Adjusted","Sort=A","Dates=H","DateFormat=P","Fill=—","Direction=H","UseDPDF=Y")</f>
        <v>-88.513999999999996</v>
      </c>
      <c r="V53" s="13">
        <f>_xll.BDH("BLUE US Equity","EARN_FOR_COMMON","FQ1 2024","FQ1 2024","Currency=USD","Period=FQ","BEST_FPERIOD_OVERRIDE=FQ","FILING_STATUS=MR","SCALING_FORMAT=MLN","FA_ADJUSTED=Adjusted","Sort=A","Dates=H","DateFormat=P","Fill=—","Direction=H","UseDPDF=Y")</f>
        <v>-69.804000000000002</v>
      </c>
      <c r="W53" s="13">
        <f>_xll.BDH("BLUE US Equity","EARN_FOR_COMMON","FQ2 2024","FQ2 2024","Currency=USD","Period=FQ","BEST_FPERIOD_OVERRIDE=FQ","FILING_STATUS=MR","SCALING_FORMAT=MLN","FA_ADJUSTED=Adjusted","Sort=A","Dates=H","DateFormat=P","Fill=—","Direction=H","UseDPDF=Y")</f>
        <v>-81.393000000000001</v>
      </c>
      <c r="X53" s="13">
        <f>_xll.BDH("BLUE US Equity","EARN_FOR_COMMON","FQ3 2024","FQ3 2024","Currency=USD","Period=FQ","BEST_FPERIOD_OVERRIDE=FQ","FILING_STATUS=MR","SCALING_FORMAT=MLN","FA_ADJUSTED=Adjusted","Sort=A","Dates=H","DateFormat=P","Fill=—","Direction=H","UseDPDF=Y")</f>
        <v>-58.587299999999999</v>
      </c>
      <c r="Y53" s="13">
        <f>_xll.BDH("BLUE US Equity","EARN_FOR_COMMON","FQ4 2024","FQ4 2024","Currency=USD","Period=FQ","BEST_FPERIOD_OVERRIDE=FQ","FILING_STATUS=MR","SCALING_FORMAT=MLN","FA_ADJUSTED=Adjusted","Sort=A","Dates=H","DateFormat=P","Fill=—","Direction=H","UseDPDF=Y")</f>
        <v>-28.748699999999999</v>
      </c>
      <c r="Z53" s="13"/>
      <c r="AA53" s="13"/>
    </row>
    <row r="54" spans="1:27" x14ac:dyDescent="0.25">
      <c r="A54" s="7" t="s">
        <v>90</v>
      </c>
      <c r="B54" s="7"/>
      <c r="C54" s="7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Z45"/>
  <sheetViews>
    <sheetView tabSelected="1" workbookViewId="0">
      <selection activeCell="O12" sqref="O12"/>
    </sheetView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  <col min="41" max="41" width="11.85546875" customWidth="1"/>
    <col min="42" max="42" width="7" customWidth="1"/>
    <col min="43" max="43" width="11.85546875" customWidth="1"/>
    <col min="44" max="44" width="7" customWidth="1"/>
    <col min="45" max="45" width="11.85546875" customWidth="1"/>
    <col min="46" max="46" width="7" customWidth="1"/>
    <col min="47" max="47" width="11.85546875" customWidth="1"/>
    <col min="48" max="48" width="7" customWidth="1"/>
    <col min="49" max="49" width="11.85546875" customWidth="1"/>
    <col min="50" max="50" width="7" customWidth="1"/>
    <col min="51" max="51" width="11.85546875" customWidth="1"/>
    <col min="52" max="52" width="7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0.25" x14ac:dyDescent="0.25">
      <c r="A2" s="8" t="s">
        <v>1473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8</v>
      </c>
      <c r="H4" s="30"/>
      <c r="I4" s="30" t="s">
        <v>9</v>
      </c>
      <c r="J4" s="30"/>
      <c r="K4" s="30" t="s">
        <v>10</v>
      </c>
      <c r="L4" s="30"/>
      <c r="M4" s="30" t="s">
        <v>11</v>
      </c>
      <c r="N4" s="30"/>
      <c r="O4" s="30" t="s">
        <v>12</v>
      </c>
      <c r="P4" s="30"/>
      <c r="Q4" s="30" t="s">
        <v>13</v>
      </c>
      <c r="R4" s="30"/>
      <c r="S4" s="30" t="s">
        <v>14</v>
      </c>
      <c r="T4" s="30"/>
      <c r="U4" s="30" t="s">
        <v>15</v>
      </c>
      <c r="V4" s="30"/>
      <c r="W4" s="30" t="s">
        <v>16</v>
      </c>
      <c r="X4" s="30"/>
      <c r="Y4" s="30" t="s">
        <v>17</v>
      </c>
      <c r="Z4" s="30"/>
      <c r="AA4" s="30" t="s">
        <v>18</v>
      </c>
      <c r="AB4" s="30"/>
      <c r="AC4" s="30" t="s">
        <v>19</v>
      </c>
      <c r="AD4" s="30"/>
      <c r="AE4" s="30" t="s">
        <v>20</v>
      </c>
      <c r="AF4" s="30"/>
      <c r="AG4" s="30" t="s">
        <v>21</v>
      </c>
      <c r="AH4" s="30"/>
      <c r="AI4" s="30" t="s">
        <v>22</v>
      </c>
      <c r="AJ4" s="30"/>
      <c r="AK4" s="30" t="s">
        <v>23</v>
      </c>
      <c r="AL4" s="30"/>
      <c r="AM4" s="30" t="s">
        <v>24</v>
      </c>
      <c r="AN4" s="30"/>
      <c r="AO4" s="30" t="s">
        <v>25</v>
      </c>
      <c r="AP4" s="30"/>
      <c r="AQ4" s="30" t="s">
        <v>26</v>
      </c>
      <c r="AR4" s="30"/>
      <c r="AS4" s="30" t="s">
        <v>27</v>
      </c>
      <c r="AT4" s="30"/>
      <c r="AU4" s="30" t="s">
        <v>28</v>
      </c>
      <c r="AV4" s="30"/>
      <c r="AW4" s="30" t="s">
        <v>29</v>
      </c>
      <c r="AX4" s="30"/>
      <c r="AY4" s="30" t="s">
        <v>30</v>
      </c>
      <c r="AZ4" s="30"/>
    </row>
    <row r="5" spans="1:52" x14ac:dyDescent="0.25">
      <c r="A5" s="9" t="s">
        <v>33</v>
      </c>
      <c r="B5" s="9"/>
      <c r="C5" s="31" t="s">
        <v>95</v>
      </c>
      <c r="D5" s="31"/>
      <c r="E5" s="31" t="s">
        <v>96</v>
      </c>
      <c r="F5" s="31"/>
      <c r="G5" s="31" t="s">
        <v>34</v>
      </c>
      <c r="H5" s="31"/>
      <c r="I5" s="31" t="s">
        <v>35</v>
      </c>
      <c r="J5" s="31"/>
      <c r="K5" s="31" t="s">
        <v>36</v>
      </c>
      <c r="L5" s="31"/>
      <c r="M5" s="31" t="s">
        <v>37</v>
      </c>
      <c r="N5" s="31"/>
      <c r="O5" s="31" t="s">
        <v>38</v>
      </c>
      <c r="P5" s="31"/>
      <c r="Q5" s="31" t="s">
        <v>39</v>
      </c>
      <c r="R5" s="31"/>
      <c r="S5" s="31" t="s">
        <v>40</v>
      </c>
      <c r="T5" s="31"/>
      <c r="U5" s="31" t="s">
        <v>41</v>
      </c>
      <c r="V5" s="31"/>
      <c r="W5" s="31" t="s">
        <v>42</v>
      </c>
      <c r="X5" s="31"/>
      <c r="Y5" s="31" t="s">
        <v>43</v>
      </c>
      <c r="Z5" s="31"/>
      <c r="AA5" s="31" t="s">
        <v>44</v>
      </c>
      <c r="AB5" s="31"/>
      <c r="AC5" s="31" t="s">
        <v>45</v>
      </c>
      <c r="AD5" s="31"/>
      <c r="AE5" s="31" t="s">
        <v>46</v>
      </c>
      <c r="AF5" s="31"/>
      <c r="AG5" s="31" t="s">
        <v>47</v>
      </c>
      <c r="AH5" s="31"/>
      <c r="AI5" s="31" t="s">
        <v>48</v>
      </c>
      <c r="AJ5" s="31"/>
      <c r="AK5" s="31" t="s">
        <v>49</v>
      </c>
      <c r="AL5" s="31"/>
      <c r="AM5" s="31" t="s">
        <v>50</v>
      </c>
      <c r="AN5" s="31"/>
      <c r="AO5" s="31" t="s">
        <v>51</v>
      </c>
      <c r="AP5" s="31"/>
      <c r="AQ5" s="31" t="s">
        <v>52</v>
      </c>
      <c r="AR5" s="31"/>
      <c r="AS5" s="31" t="s">
        <v>53</v>
      </c>
      <c r="AT5" s="31"/>
      <c r="AU5" s="31" t="s">
        <v>54</v>
      </c>
      <c r="AV5" s="31"/>
      <c r="AW5" s="31" t="s">
        <v>55</v>
      </c>
      <c r="AX5" s="31"/>
      <c r="AY5" s="31" t="s">
        <v>56</v>
      </c>
      <c r="AZ5" s="31"/>
    </row>
    <row r="6" spans="1:52" x14ac:dyDescent="0.25">
      <c r="A6" s="6" t="s">
        <v>0</v>
      </c>
      <c r="B6" s="6"/>
      <c r="C6" s="34">
        <v>19.242999999999999</v>
      </c>
      <c r="D6" s="35">
        <v>1</v>
      </c>
      <c r="E6" s="34">
        <v>12.471</v>
      </c>
      <c r="F6" s="35">
        <v>1</v>
      </c>
      <c r="G6" s="34">
        <v>13.295999999999999</v>
      </c>
      <c r="H6" s="35">
        <v>1</v>
      </c>
      <c r="I6" s="34">
        <v>8.91</v>
      </c>
      <c r="J6" s="35">
        <v>1</v>
      </c>
      <c r="K6" s="34">
        <v>9.9969999999999999</v>
      </c>
      <c r="L6" s="35">
        <v>1</v>
      </c>
      <c r="M6" s="34">
        <v>21.863</v>
      </c>
      <c r="N6" s="35">
        <v>1</v>
      </c>
      <c r="O6" s="34">
        <v>198.89</v>
      </c>
      <c r="P6" s="35">
        <v>1</v>
      </c>
      <c r="Q6" s="34">
        <v>19.273</v>
      </c>
      <c r="R6" s="35">
        <v>1</v>
      </c>
      <c r="S6" s="34">
        <v>0</v>
      </c>
      <c r="T6" s="35"/>
      <c r="U6" s="34">
        <v>0.89400000000000002</v>
      </c>
      <c r="V6" s="35">
        <v>1</v>
      </c>
      <c r="W6" s="34">
        <v>7.4720000000000004</v>
      </c>
      <c r="X6" s="35">
        <v>1</v>
      </c>
      <c r="Y6" s="34">
        <v>1.0189999999999999</v>
      </c>
      <c r="Z6" s="35">
        <v>1</v>
      </c>
      <c r="AA6" s="34">
        <v>1.6060000000000001</v>
      </c>
      <c r="AB6" s="35">
        <v>1</v>
      </c>
      <c r="AC6" s="34">
        <v>1.9450000000000001</v>
      </c>
      <c r="AD6" s="35">
        <v>1</v>
      </c>
      <c r="AE6" s="34">
        <v>1.5189999999999999</v>
      </c>
      <c r="AF6" s="35">
        <v>1</v>
      </c>
      <c r="AG6" s="34">
        <v>7.0999999999999994E-2</v>
      </c>
      <c r="AH6" s="35">
        <v>1</v>
      </c>
      <c r="AI6" s="34">
        <v>6.2E-2</v>
      </c>
      <c r="AJ6" s="35">
        <v>1</v>
      </c>
      <c r="AK6" s="34">
        <v>2.3809999999999998</v>
      </c>
      <c r="AL6" s="35">
        <v>1</v>
      </c>
      <c r="AM6" s="34">
        <v>6.89</v>
      </c>
      <c r="AN6" s="35">
        <v>1</v>
      </c>
      <c r="AO6" s="34">
        <v>12.391999999999999</v>
      </c>
      <c r="AP6" s="35">
        <v>1</v>
      </c>
      <c r="AQ6" s="34">
        <v>7.8339999999999996</v>
      </c>
      <c r="AR6" s="35">
        <v>1</v>
      </c>
      <c r="AS6" s="34">
        <v>18.573</v>
      </c>
      <c r="AT6" s="35">
        <v>1</v>
      </c>
      <c r="AU6" s="34">
        <v>16.100999999999999</v>
      </c>
      <c r="AV6" s="35">
        <v>1</v>
      </c>
      <c r="AW6" s="34">
        <v>10.612</v>
      </c>
      <c r="AX6" s="35">
        <v>1</v>
      </c>
      <c r="AY6" s="34">
        <v>38.521000000000001</v>
      </c>
      <c r="AZ6" s="35">
        <v>1</v>
      </c>
    </row>
    <row r="7" spans="1:52" x14ac:dyDescent="0.25">
      <c r="A7" s="10" t="s">
        <v>1474</v>
      </c>
      <c r="B7" s="10"/>
      <c r="C7" s="32">
        <v>19.242999999999999</v>
      </c>
      <c r="D7" s="33">
        <v>1</v>
      </c>
      <c r="E7" s="32">
        <v>12.471</v>
      </c>
      <c r="F7" s="33">
        <v>1</v>
      </c>
      <c r="G7" s="32">
        <v>13.295999999999999</v>
      </c>
      <c r="H7" s="33">
        <v>1</v>
      </c>
      <c r="I7" s="32">
        <v>8.91</v>
      </c>
      <c r="J7" s="33">
        <v>1</v>
      </c>
      <c r="K7" s="32">
        <v>9.9969999999999999</v>
      </c>
      <c r="L7" s="33">
        <v>1</v>
      </c>
      <c r="M7" s="32">
        <v>21.863</v>
      </c>
      <c r="N7" s="33">
        <v>1</v>
      </c>
      <c r="O7" s="32">
        <v>198.89</v>
      </c>
      <c r="P7" s="33">
        <v>1</v>
      </c>
      <c r="Q7" s="32">
        <v>19.273</v>
      </c>
      <c r="R7" s="33">
        <v>1</v>
      </c>
      <c r="S7" s="32">
        <v>0</v>
      </c>
      <c r="T7" s="33"/>
      <c r="U7" s="32">
        <v>0.89400000000000002</v>
      </c>
      <c r="V7" s="33">
        <v>1</v>
      </c>
      <c r="W7" s="32">
        <v>7.4720000000000004</v>
      </c>
      <c r="X7" s="33">
        <v>1</v>
      </c>
      <c r="Y7" s="32">
        <v>1.0189999999999999</v>
      </c>
      <c r="Z7" s="33">
        <v>1</v>
      </c>
      <c r="AA7" s="32">
        <v>1.6060000000000001</v>
      </c>
      <c r="AB7" s="33">
        <v>1</v>
      </c>
      <c r="AC7" s="32">
        <v>1.9450000000000001</v>
      </c>
      <c r="AD7" s="33">
        <v>1</v>
      </c>
      <c r="AE7" s="32">
        <v>1.5189999999999999</v>
      </c>
      <c r="AF7" s="33">
        <v>1</v>
      </c>
      <c r="AG7" s="32">
        <v>7.0999999999999994E-2</v>
      </c>
      <c r="AH7" s="33">
        <v>1</v>
      </c>
      <c r="AI7" s="32">
        <v>6.2E-2</v>
      </c>
      <c r="AJ7" s="33">
        <v>1</v>
      </c>
      <c r="AK7" s="32">
        <v>2.3809999999999998</v>
      </c>
      <c r="AL7" s="33">
        <v>1</v>
      </c>
      <c r="AM7" s="32">
        <v>6.89</v>
      </c>
      <c r="AN7" s="33">
        <v>1</v>
      </c>
      <c r="AO7" s="32">
        <v>12.391999999999999</v>
      </c>
      <c r="AP7" s="33">
        <v>1</v>
      </c>
      <c r="AQ7" s="32">
        <v>7.8339999999999996</v>
      </c>
      <c r="AR7" s="33">
        <v>1</v>
      </c>
      <c r="AS7" s="32">
        <v>18.573</v>
      </c>
      <c r="AT7" s="33">
        <v>1</v>
      </c>
      <c r="AU7" s="32">
        <v>16.100999999999999</v>
      </c>
      <c r="AV7" s="33">
        <v>1</v>
      </c>
      <c r="AW7" s="32">
        <v>10.612</v>
      </c>
      <c r="AX7" s="33">
        <v>1</v>
      </c>
      <c r="AY7" s="32">
        <v>38.521000000000001</v>
      </c>
      <c r="AZ7" s="33">
        <v>1</v>
      </c>
    </row>
    <row r="8" spans="1:52" x14ac:dyDescent="0.25">
      <c r="A8" s="6" t="s">
        <v>1475</v>
      </c>
      <c r="B8" s="6"/>
      <c r="C8" s="34">
        <v>19.242999999999999</v>
      </c>
      <c r="D8" s="35">
        <v>1</v>
      </c>
      <c r="E8" s="34">
        <v>12.471</v>
      </c>
      <c r="F8" s="35">
        <v>1</v>
      </c>
      <c r="G8" s="34">
        <v>13.295999999999999</v>
      </c>
      <c r="H8" s="35">
        <v>1</v>
      </c>
      <c r="I8" s="34">
        <v>8.91</v>
      </c>
      <c r="J8" s="35">
        <v>1</v>
      </c>
      <c r="K8" s="34">
        <v>9.9969999999999999</v>
      </c>
      <c r="L8" s="35">
        <v>1</v>
      </c>
      <c r="M8" s="34">
        <v>21.863</v>
      </c>
      <c r="N8" s="35">
        <v>1</v>
      </c>
      <c r="O8" s="34">
        <v>198.89</v>
      </c>
      <c r="P8" s="35">
        <v>1</v>
      </c>
      <c r="Q8" s="34">
        <v>19.273</v>
      </c>
      <c r="R8" s="35">
        <v>1</v>
      </c>
      <c r="S8" s="34">
        <v>0</v>
      </c>
      <c r="T8" s="35"/>
      <c r="U8" s="34">
        <v>0.89400000000000002</v>
      </c>
      <c r="V8" s="35">
        <v>1</v>
      </c>
      <c r="W8" s="34">
        <v>7.4720000000000004</v>
      </c>
      <c r="X8" s="35">
        <v>1</v>
      </c>
      <c r="Y8" s="34">
        <v>1.0189999999999999</v>
      </c>
      <c r="Z8" s="35">
        <v>1</v>
      </c>
      <c r="AA8" s="34">
        <v>1.6060000000000001</v>
      </c>
      <c r="AB8" s="35">
        <v>1</v>
      </c>
      <c r="AC8" s="34">
        <v>1.9450000000000001</v>
      </c>
      <c r="AD8" s="35">
        <v>1</v>
      </c>
      <c r="AE8" s="34">
        <v>1.5189999999999999</v>
      </c>
      <c r="AF8" s="35">
        <v>1</v>
      </c>
      <c r="AG8" s="34">
        <v>7.0999999999999994E-2</v>
      </c>
      <c r="AH8" s="35">
        <v>1</v>
      </c>
      <c r="AI8" s="34" t="s">
        <v>76</v>
      </c>
      <c r="AJ8" s="35"/>
      <c r="AK8" s="34" t="s">
        <v>76</v>
      </c>
      <c r="AL8" s="35"/>
      <c r="AM8" s="34">
        <v>6.89</v>
      </c>
      <c r="AN8" s="35">
        <v>1</v>
      </c>
      <c r="AO8" s="34">
        <v>12.391999999999999</v>
      </c>
      <c r="AP8" s="35">
        <v>1</v>
      </c>
      <c r="AQ8" s="34" t="s">
        <v>76</v>
      </c>
      <c r="AR8" s="35"/>
      <c r="AS8" s="34" t="s">
        <v>76</v>
      </c>
      <c r="AT8" s="35"/>
      <c r="AU8" s="34">
        <v>16.100999999999999</v>
      </c>
      <c r="AV8" s="35">
        <v>1</v>
      </c>
      <c r="AW8" s="34" t="s">
        <v>76</v>
      </c>
      <c r="AX8" s="35"/>
      <c r="AY8" s="34" t="s">
        <v>76</v>
      </c>
      <c r="AZ8" s="35"/>
    </row>
    <row r="9" spans="1:52" x14ac:dyDescent="0.25">
      <c r="A9" s="10" t="s">
        <v>1476</v>
      </c>
      <c r="B9" s="10"/>
      <c r="C9" s="32" t="s">
        <v>76</v>
      </c>
      <c r="D9" s="33"/>
      <c r="E9" s="32" t="s">
        <v>76</v>
      </c>
      <c r="F9" s="33"/>
      <c r="G9" s="32" t="s">
        <v>76</v>
      </c>
      <c r="H9" s="33"/>
      <c r="I9" s="32" t="s">
        <v>76</v>
      </c>
      <c r="J9" s="33"/>
      <c r="K9" s="32" t="s">
        <v>76</v>
      </c>
      <c r="L9" s="33"/>
      <c r="M9" s="32" t="s">
        <v>76</v>
      </c>
      <c r="N9" s="33"/>
      <c r="O9" s="32" t="s">
        <v>76</v>
      </c>
      <c r="P9" s="33"/>
      <c r="Q9" s="32" t="s">
        <v>76</v>
      </c>
      <c r="R9" s="33"/>
      <c r="S9" s="32">
        <v>0</v>
      </c>
      <c r="T9" s="33"/>
      <c r="U9" s="32">
        <v>0.17</v>
      </c>
      <c r="V9" s="33">
        <v>0.190156599552573</v>
      </c>
      <c r="W9" s="32" t="s">
        <v>76</v>
      </c>
      <c r="X9" s="33"/>
      <c r="Y9" s="32">
        <v>0.251</v>
      </c>
      <c r="Z9" s="33">
        <v>0.24631992149165799</v>
      </c>
      <c r="AA9" s="32">
        <v>0.248</v>
      </c>
      <c r="AB9" s="33">
        <v>0.154420921544209</v>
      </c>
      <c r="AC9" s="32">
        <v>0.53700000000000003</v>
      </c>
      <c r="AD9" s="33">
        <v>0.27609254498714703</v>
      </c>
      <c r="AE9" s="32">
        <v>0.188</v>
      </c>
      <c r="AF9" s="33">
        <v>0.12376563528637299</v>
      </c>
      <c r="AG9" s="32">
        <v>7.0999999999999994E-2</v>
      </c>
      <c r="AH9" s="33">
        <v>1</v>
      </c>
      <c r="AI9" s="32" t="s">
        <v>76</v>
      </c>
      <c r="AJ9" s="33"/>
      <c r="AK9" s="32" t="s">
        <v>76</v>
      </c>
      <c r="AL9" s="33"/>
      <c r="AM9" s="32">
        <v>5.2999999999999999E-2</v>
      </c>
      <c r="AN9" s="33">
        <v>7.6923076923076901E-3</v>
      </c>
      <c r="AO9" s="32">
        <v>0.111</v>
      </c>
      <c r="AP9" s="33">
        <v>8.9573918657198208E-3</v>
      </c>
      <c r="AQ9" s="32" t="s">
        <v>76</v>
      </c>
      <c r="AR9" s="33"/>
      <c r="AS9" s="32" t="s">
        <v>76</v>
      </c>
      <c r="AT9" s="33"/>
      <c r="AU9" s="32">
        <v>0</v>
      </c>
      <c r="AV9" s="33"/>
      <c r="AW9" s="32" t="s">
        <v>76</v>
      </c>
      <c r="AX9" s="33"/>
      <c r="AY9" s="32" t="s">
        <v>76</v>
      </c>
      <c r="AZ9" s="33"/>
    </row>
    <row r="10" spans="1:52" x14ac:dyDescent="0.25">
      <c r="A10" s="10" t="s">
        <v>1477</v>
      </c>
      <c r="B10" s="10"/>
      <c r="C10" s="32" t="s">
        <v>76</v>
      </c>
      <c r="D10" s="33"/>
      <c r="E10" s="32" t="s">
        <v>76</v>
      </c>
      <c r="F10" s="33"/>
      <c r="G10" s="32" t="s">
        <v>76</v>
      </c>
      <c r="H10" s="33"/>
      <c r="I10" s="32" t="s">
        <v>76</v>
      </c>
      <c r="J10" s="33"/>
      <c r="K10" s="32" t="s">
        <v>76</v>
      </c>
      <c r="L10" s="33"/>
      <c r="M10" s="32" t="s">
        <v>76</v>
      </c>
      <c r="N10" s="33"/>
      <c r="O10" s="32" t="s">
        <v>76</v>
      </c>
      <c r="P10" s="33"/>
      <c r="Q10" s="32" t="s">
        <v>76</v>
      </c>
      <c r="R10" s="33"/>
      <c r="S10" s="32">
        <v>0</v>
      </c>
      <c r="T10" s="33"/>
      <c r="U10" s="32">
        <v>0.72399999999999998</v>
      </c>
      <c r="V10" s="33">
        <v>0.80984340044742698</v>
      </c>
      <c r="W10" s="32" t="s">
        <v>76</v>
      </c>
      <c r="X10" s="33"/>
      <c r="Y10" s="32">
        <v>0.76800000000000002</v>
      </c>
      <c r="Z10" s="33">
        <v>0.75368007850834196</v>
      </c>
      <c r="AA10" s="32">
        <v>1.3580000000000001</v>
      </c>
      <c r="AB10" s="33">
        <v>0.84557907845579094</v>
      </c>
      <c r="AC10" s="32">
        <v>1.4079999999999999</v>
      </c>
      <c r="AD10" s="33">
        <v>0.72390745501285303</v>
      </c>
      <c r="AE10" s="32">
        <v>1.331</v>
      </c>
      <c r="AF10" s="33">
        <v>0.87623436471362703</v>
      </c>
      <c r="AG10" s="32">
        <v>0</v>
      </c>
      <c r="AH10" s="33"/>
      <c r="AI10" s="32" t="s">
        <v>76</v>
      </c>
      <c r="AJ10" s="33"/>
      <c r="AK10" s="32" t="s">
        <v>76</v>
      </c>
      <c r="AL10" s="33"/>
      <c r="AM10" s="32">
        <v>6.8369999999999997</v>
      </c>
      <c r="AN10" s="33">
        <v>0.992307692307692</v>
      </c>
      <c r="AO10" s="32">
        <v>12.281000000000001</v>
      </c>
      <c r="AP10" s="33">
        <v>0.99104260813428002</v>
      </c>
      <c r="AQ10" s="32" t="s">
        <v>76</v>
      </c>
      <c r="AR10" s="33"/>
      <c r="AS10" s="32" t="s">
        <v>76</v>
      </c>
      <c r="AT10" s="33"/>
      <c r="AU10" s="32">
        <v>16.100999999999999</v>
      </c>
      <c r="AV10" s="33">
        <v>1</v>
      </c>
      <c r="AW10" s="32" t="s">
        <v>76</v>
      </c>
      <c r="AX10" s="33"/>
      <c r="AY10" s="32" t="s">
        <v>76</v>
      </c>
      <c r="AZ10" s="33"/>
    </row>
    <row r="11" spans="1:52" x14ac:dyDescent="0.25">
      <c r="A11" s="10" t="s">
        <v>1478</v>
      </c>
      <c r="B11" s="10"/>
      <c r="C11" s="32" t="s">
        <v>76</v>
      </c>
      <c r="D11" s="33"/>
      <c r="E11" s="32" t="s">
        <v>76</v>
      </c>
      <c r="F11" s="33"/>
      <c r="G11" s="32" t="s">
        <v>76</v>
      </c>
      <c r="H11" s="33"/>
      <c r="I11" s="32" t="s">
        <v>76</v>
      </c>
      <c r="J11" s="33"/>
      <c r="K11" s="32" t="s">
        <v>76</v>
      </c>
      <c r="L11" s="33"/>
      <c r="M11" s="32">
        <v>2.7280000000000002</v>
      </c>
      <c r="N11" s="33">
        <v>0.12477702053698</v>
      </c>
      <c r="O11" s="32">
        <v>10.859</v>
      </c>
      <c r="P11" s="33">
        <v>5.4598019005480398E-2</v>
      </c>
      <c r="Q11" s="32">
        <v>3.4990000000000001</v>
      </c>
      <c r="R11" s="33">
        <v>0.18154931769833399</v>
      </c>
      <c r="S11" s="32" t="s">
        <v>76</v>
      </c>
      <c r="T11" s="33"/>
      <c r="U11" s="32" t="s">
        <v>76</v>
      </c>
      <c r="V11" s="33"/>
      <c r="W11" s="32">
        <v>0.48799999999999999</v>
      </c>
      <c r="X11" s="33">
        <v>6.5310492505353299E-2</v>
      </c>
      <c r="Y11" s="32" t="s">
        <v>76</v>
      </c>
      <c r="Z11" s="33"/>
      <c r="AA11" s="32" t="s">
        <v>76</v>
      </c>
      <c r="AB11" s="33"/>
      <c r="AC11" s="32" t="s">
        <v>76</v>
      </c>
      <c r="AD11" s="33"/>
      <c r="AE11" s="32" t="s">
        <v>76</v>
      </c>
      <c r="AF11" s="33"/>
      <c r="AG11" s="32" t="s">
        <v>76</v>
      </c>
      <c r="AH11" s="33"/>
      <c r="AI11" s="32" t="s">
        <v>76</v>
      </c>
      <c r="AJ11" s="33"/>
      <c r="AK11" s="32" t="s">
        <v>76</v>
      </c>
      <c r="AL11" s="33"/>
      <c r="AM11" s="32" t="s">
        <v>76</v>
      </c>
      <c r="AN11" s="33"/>
      <c r="AO11" s="32" t="s">
        <v>76</v>
      </c>
      <c r="AP11" s="33"/>
      <c r="AQ11" s="32" t="s">
        <v>76</v>
      </c>
      <c r="AR11" s="33"/>
      <c r="AS11" s="32" t="s">
        <v>76</v>
      </c>
      <c r="AT11" s="33"/>
      <c r="AU11" s="32" t="s">
        <v>76</v>
      </c>
      <c r="AV11" s="33"/>
      <c r="AW11" s="32" t="s">
        <v>76</v>
      </c>
      <c r="AX11" s="33"/>
      <c r="AY11" s="32" t="s">
        <v>76</v>
      </c>
      <c r="AZ11" s="33"/>
    </row>
    <row r="12" spans="1:52" x14ac:dyDescent="0.25">
      <c r="A12" s="10" t="s">
        <v>1479</v>
      </c>
      <c r="B12" s="10"/>
      <c r="C12" s="32" t="s">
        <v>76</v>
      </c>
      <c r="D12" s="33"/>
      <c r="E12" s="32" t="s">
        <v>76</v>
      </c>
      <c r="F12" s="33"/>
      <c r="G12" s="32" t="s">
        <v>76</v>
      </c>
      <c r="H12" s="33"/>
      <c r="I12" s="32" t="s">
        <v>76</v>
      </c>
      <c r="J12" s="33"/>
      <c r="K12" s="32" t="s">
        <v>76</v>
      </c>
      <c r="L12" s="33"/>
      <c r="M12" s="32">
        <v>16.832999999999998</v>
      </c>
      <c r="N12" s="33">
        <v>0.76993093354068498</v>
      </c>
      <c r="O12" s="32">
        <v>78.356999999999999</v>
      </c>
      <c r="P12" s="33">
        <v>0.393971542058424</v>
      </c>
      <c r="Q12" s="32">
        <v>13.352</v>
      </c>
      <c r="R12" s="33">
        <v>0.69278264930213296</v>
      </c>
      <c r="S12" s="32" t="s">
        <v>76</v>
      </c>
      <c r="T12" s="33"/>
      <c r="U12" s="32" t="s">
        <v>76</v>
      </c>
      <c r="V12" s="33"/>
      <c r="W12" s="32">
        <v>5.3140000000000001</v>
      </c>
      <c r="X12" s="33">
        <v>0.71118843683083499</v>
      </c>
      <c r="Y12" s="32" t="s">
        <v>76</v>
      </c>
      <c r="Z12" s="33"/>
      <c r="AA12" s="32" t="s">
        <v>76</v>
      </c>
      <c r="AB12" s="33"/>
      <c r="AC12" s="32" t="s">
        <v>76</v>
      </c>
      <c r="AD12" s="33"/>
      <c r="AE12" s="32" t="s">
        <v>76</v>
      </c>
      <c r="AF12" s="33"/>
      <c r="AG12" s="32" t="s">
        <v>76</v>
      </c>
      <c r="AH12" s="33"/>
      <c r="AI12" s="32" t="s">
        <v>76</v>
      </c>
      <c r="AJ12" s="33"/>
      <c r="AK12" s="32" t="s">
        <v>76</v>
      </c>
      <c r="AL12" s="33"/>
      <c r="AM12" s="32" t="s">
        <v>76</v>
      </c>
      <c r="AN12" s="33"/>
      <c r="AO12" s="32" t="s">
        <v>76</v>
      </c>
      <c r="AP12" s="33"/>
      <c r="AQ12" s="32" t="s">
        <v>76</v>
      </c>
      <c r="AR12" s="33"/>
      <c r="AS12" s="32" t="s">
        <v>76</v>
      </c>
      <c r="AT12" s="33"/>
      <c r="AU12" s="32" t="s">
        <v>76</v>
      </c>
      <c r="AV12" s="33"/>
      <c r="AW12" s="32" t="s">
        <v>76</v>
      </c>
      <c r="AX12" s="33"/>
      <c r="AY12" s="32" t="s">
        <v>76</v>
      </c>
      <c r="AZ12" s="33"/>
    </row>
    <row r="13" spans="1:52" x14ac:dyDescent="0.25">
      <c r="A13" s="10" t="s">
        <v>1480</v>
      </c>
      <c r="B13" s="10"/>
      <c r="C13" s="32">
        <v>0.86099999999999999</v>
      </c>
      <c r="D13" s="33">
        <v>4.4743543106584197E-2</v>
      </c>
      <c r="E13" s="32">
        <v>1.294</v>
      </c>
      <c r="F13" s="33">
        <v>0.103760724881726</v>
      </c>
      <c r="G13" s="32">
        <v>1.738</v>
      </c>
      <c r="H13" s="33">
        <v>0.130716004813478</v>
      </c>
      <c r="I13" s="32">
        <v>2.335</v>
      </c>
      <c r="J13" s="33">
        <v>0.26206509539842898</v>
      </c>
      <c r="K13" s="32">
        <v>2.8380000000000001</v>
      </c>
      <c r="L13" s="33">
        <v>0.28388516554966498</v>
      </c>
      <c r="M13" s="32" t="s">
        <v>76</v>
      </c>
      <c r="N13" s="33"/>
      <c r="O13" s="32" t="s">
        <v>76</v>
      </c>
      <c r="P13" s="33"/>
      <c r="Q13" s="32" t="s">
        <v>76</v>
      </c>
      <c r="R13" s="33"/>
      <c r="S13" s="32" t="s">
        <v>76</v>
      </c>
      <c r="T13" s="33"/>
      <c r="U13" s="32" t="s">
        <v>76</v>
      </c>
      <c r="V13" s="33"/>
      <c r="W13" s="32" t="s">
        <v>76</v>
      </c>
      <c r="X13" s="33"/>
      <c r="Y13" s="32" t="s">
        <v>76</v>
      </c>
      <c r="Z13" s="33"/>
      <c r="AA13" s="32" t="s">
        <v>76</v>
      </c>
      <c r="AB13" s="33"/>
      <c r="AC13" s="32" t="s">
        <v>76</v>
      </c>
      <c r="AD13" s="33"/>
      <c r="AE13" s="32" t="s">
        <v>76</v>
      </c>
      <c r="AF13" s="33"/>
      <c r="AG13" s="32" t="s">
        <v>76</v>
      </c>
      <c r="AH13" s="33"/>
      <c r="AI13" s="32" t="s">
        <v>76</v>
      </c>
      <c r="AJ13" s="33"/>
      <c r="AK13" s="32" t="s">
        <v>76</v>
      </c>
      <c r="AL13" s="33"/>
      <c r="AM13" s="32" t="s">
        <v>76</v>
      </c>
      <c r="AN13" s="33"/>
      <c r="AO13" s="32" t="s">
        <v>76</v>
      </c>
      <c r="AP13" s="33"/>
      <c r="AQ13" s="32" t="s">
        <v>76</v>
      </c>
      <c r="AR13" s="33"/>
      <c r="AS13" s="32" t="s">
        <v>76</v>
      </c>
      <c r="AT13" s="33"/>
      <c r="AU13" s="32" t="s">
        <v>76</v>
      </c>
      <c r="AV13" s="33"/>
      <c r="AW13" s="32" t="s">
        <v>76</v>
      </c>
      <c r="AX13" s="33"/>
      <c r="AY13" s="32" t="s">
        <v>76</v>
      </c>
      <c r="AZ13" s="33"/>
    </row>
    <row r="14" spans="1:52" x14ac:dyDescent="0.25">
      <c r="A14" s="10" t="s">
        <v>1481</v>
      </c>
      <c r="B14" s="10"/>
      <c r="C14" s="32">
        <v>18.382000000000001</v>
      </c>
      <c r="D14" s="33">
        <v>0.95525645689341598</v>
      </c>
      <c r="E14" s="32">
        <v>11.177</v>
      </c>
      <c r="F14" s="33">
        <v>0.89623927511827495</v>
      </c>
      <c r="G14" s="32">
        <v>11.558</v>
      </c>
      <c r="H14" s="33">
        <v>0.869283995186522</v>
      </c>
      <c r="I14" s="32">
        <v>6.5750000000000002</v>
      </c>
      <c r="J14" s="33">
        <v>0.73793490460157096</v>
      </c>
      <c r="K14" s="32">
        <v>7.1589999999999998</v>
      </c>
      <c r="L14" s="33">
        <v>0.71611483445033497</v>
      </c>
      <c r="M14" s="32">
        <v>2.302</v>
      </c>
      <c r="N14" s="33">
        <v>0.105292045922335</v>
      </c>
      <c r="O14" s="32">
        <v>109.67400000000001</v>
      </c>
      <c r="P14" s="33">
        <v>0.551430438936095</v>
      </c>
      <c r="Q14" s="32">
        <v>2.4220000000000002</v>
      </c>
      <c r="R14" s="33">
        <v>0.125668032999533</v>
      </c>
      <c r="S14" s="32" t="s">
        <v>76</v>
      </c>
      <c r="T14" s="33"/>
      <c r="U14" s="32" t="s">
        <v>76</v>
      </c>
      <c r="V14" s="33"/>
      <c r="W14" s="32">
        <v>1.67</v>
      </c>
      <c r="X14" s="33">
        <v>0.223501070663812</v>
      </c>
      <c r="Y14" s="32" t="s">
        <v>76</v>
      </c>
      <c r="Z14" s="33"/>
      <c r="AA14" s="32" t="s">
        <v>76</v>
      </c>
      <c r="AB14" s="33"/>
      <c r="AC14" s="32" t="s">
        <v>76</v>
      </c>
      <c r="AD14" s="33"/>
      <c r="AE14" s="32" t="s">
        <v>76</v>
      </c>
      <c r="AF14" s="33"/>
      <c r="AG14" s="32" t="s">
        <v>76</v>
      </c>
      <c r="AH14" s="33"/>
      <c r="AI14" s="32" t="s">
        <v>76</v>
      </c>
      <c r="AJ14" s="33"/>
      <c r="AK14" s="32" t="s">
        <v>76</v>
      </c>
      <c r="AL14" s="33"/>
      <c r="AM14" s="32" t="s">
        <v>76</v>
      </c>
      <c r="AN14" s="33"/>
      <c r="AO14" s="32" t="s">
        <v>76</v>
      </c>
      <c r="AP14" s="33"/>
      <c r="AQ14" s="32" t="s">
        <v>76</v>
      </c>
      <c r="AR14" s="33"/>
      <c r="AS14" s="32" t="s">
        <v>76</v>
      </c>
      <c r="AT14" s="33"/>
      <c r="AU14" s="32" t="s">
        <v>76</v>
      </c>
      <c r="AV14" s="33"/>
      <c r="AW14" s="32" t="s">
        <v>76</v>
      </c>
      <c r="AX14" s="33"/>
      <c r="AY14" s="32" t="s">
        <v>76</v>
      </c>
      <c r="AZ14" s="33"/>
    </row>
    <row r="15" spans="1:52" x14ac:dyDescent="0.25">
      <c r="A15" s="6" t="s">
        <v>2</v>
      </c>
      <c r="B15" s="6"/>
      <c r="C15" s="34" t="s">
        <v>76</v>
      </c>
      <c r="D15" s="35"/>
      <c r="E15" s="34" t="s">
        <v>76</v>
      </c>
      <c r="F15" s="35"/>
      <c r="G15" s="34" t="s">
        <v>76</v>
      </c>
      <c r="H15" s="35"/>
      <c r="I15" s="34" t="s">
        <v>76</v>
      </c>
      <c r="J15" s="35"/>
      <c r="K15" s="34" t="s">
        <v>76</v>
      </c>
      <c r="L15" s="35"/>
      <c r="M15" s="34" t="s">
        <v>76</v>
      </c>
      <c r="N15" s="35"/>
      <c r="O15" s="34" t="s">
        <v>76</v>
      </c>
      <c r="P15" s="35"/>
      <c r="Q15" s="34" t="s">
        <v>76</v>
      </c>
      <c r="R15" s="35"/>
      <c r="S15" s="34">
        <v>0</v>
      </c>
      <c r="T15" s="35"/>
      <c r="U15" s="34">
        <v>0.318</v>
      </c>
      <c r="V15" s="35">
        <v>1</v>
      </c>
      <c r="W15" s="34" t="s">
        <v>76</v>
      </c>
      <c r="X15" s="35"/>
      <c r="Y15" s="34">
        <v>-18.366</v>
      </c>
      <c r="Z15" s="35"/>
      <c r="AA15" s="34">
        <v>-2.0760000000000001</v>
      </c>
      <c r="AB15" s="35"/>
      <c r="AC15" s="34">
        <v>-6.3650000000000002</v>
      </c>
      <c r="AD15" s="35"/>
      <c r="AE15" s="34">
        <v>-0.22600000000000001</v>
      </c>
      <c r="AF15" s="35"/>
      <c r="AG15" s="34" t="s">
        <v>76</v>
      </c>
      <c r="AH15" s="35"/>
      <c r="AI15" s="34">
        <v>0.04</v>
      </c>
      <c r="AJ15" s="35">
        <v>1</v>
      </c>
      <c r="AK15" s="34">
        <v>-3.1309999999999998</v>
      </c>
      <c r="AL15" s="35"/>
      <c r="AM15" s="34">
        <v>0.193</v>
      </c>
      <c r="AN15" s="35">
        <v>1</v>
      </c>
      <c r="AO15" s="34">
        <v>3.266</v>
      </c>
      <c r="AP15" s="35">
        <v>1</v>
      </c>
      <c r="AQ15" s="34">
        <v>-1.798</v>
      </c>
      <c r="AR15" s="35"/>
      <c r="AS15" s="34">
        <v>-7.2910000000000004</v>
      </c>
      <c r="AT15" s="35"/>
      <c r="AU15" s="34">
        <v>-12.845000000000001</v>
      </c>
      <c r="AV15" s="35"/>
      <c r="AW15" s="34">
        <v>-1.169</v>
      </c>
      <c r="AX15" s="35"/>
      <c r="AY15" s="34">
        <v>15.731999999999999</v>
      </c>
      <c r="AZ15" s="35">
        <v>1</v>
      </c>
    </row>
    <row r="16" spans="1:52" x14ac:dyDescent="0.25">
      <c r="A16" s="10" t="s">
        <v>1474</v>
      </c>
      <c r="B16" s="10"/>
      <c r="C16" s="32" t="s">
        <v>76</v>
      </c>
      <c r="D16" s="33"/>
      <c r="E16" s="32" t="s">
        <v>76</v>
      </c>
      <c r="F16" s="33"/>
      <c r="G16" s="32" t="s">
        <v>76</v>
      </c>
      <c r="H16" s="33"/>
      <c r="I16" s="32" t="s">
        <v>76</v>
      </c>
      <c r="J16" s="33"/>
      <c r="K16" s="32" t="s">
        <v>76</v>
      </c>
      <c r="L16" s="33"/>
      <c r="M16" s="32" t="s">
        <v>76</v>
      </c>
      <c r="N16" s="33"/>
      <c r="O16" s="32" t="s">
        <v>76</v>
      </c>
      <c r="P16" s="33"/>
      <c r="Q16" s="32" t="s">
        <v>76</v>
      </c>
      <c r="R16" s="33"/>
      <c r="S16" s="32">
        <v>0</v>
      </c>
      <c r="T16" s="33"/>
      <c r="U16" s="32">
        <v>0.318</v>
      </c>
      <c r="V16" s="33">
        <v>1</v>
      </c>
      <c r="W16" s="32" t="s">
        <v>76</v>
      </c>
      <c r="X16" s="33"/>
      <c r="Y16" s="32">
        <v>-18.366</v>
      </c>
      <c r="Z16" s="33">
        <v>1</v>
      </c>
      <c r="AA16" s="32">
        <v>-2.0760000000000001</v>
      </c>
      <c r="AB16" s="33">
        <v>1</v>
      </c>
      <c r="AC16" s="32">
        <v>-6.3650000000000002</v>
      </c>
      <c r="AD16" s="33">
        <v>1</v>
      </c>
      <c r="AE16" s="32">
        <v>-0.22600000000000001</v>
      </c>
      <c r="AF16" s="33">
        <v>1</v>
      </c>
      <c r="AG16" s="32" t="s">
        <v>76</v>
      </c>
      <c r="AH16" s="33"/>
      <c r="AI16" s="32">
        <v>0.04</v>
      </c>
      <c r="AJ16" s="33">
        <v>1</v>
      </c>
      <c r="AK16" s="32">
        <v>-3.1309999999999998</v>
      </c>
      <c r="AL16" s="33">
        <v>1</v>
      </c>
      <c r="AM16" s="32">
        <v>0.193</v>
      </c>
      <c r="AN16" s="33">
        <v>1</v>
      </c>
      <c r="AO16" s="32">
        <v>3.266</v>
      </c>
      <c r="AP16" s="33">
        <v>1</v>
      </c>
      <c r="AQ16" s="32">
        <v>-1.798</v>
      </c>
      <c r="AR16" s="33">
        <v>1</v>
      </c>
      <c r="AS16" s="32">
        <v>-7.2910000000000004</v>
      </c>
      <c r="AT16" s="33">
        <v>1</v>
      </c>
      <c r="AU16" s="32">
        <v>-12.845000000000001</v>
      </c>
      <c r="AV16" s="33">
        <v>1</v>
      </c>
      <c r="AW16" s="32">
        <v>-1.169</v>
      </c>
      <c r="AX16" s="33">
        <v>1</v>
      </c>
      <c r="AY16" s="32">
        <v>15.731999999999999</v>
      </c>
      <c r="AZ16" s="33">
        <v>1</v>
      </c>
    </row>
    <row r="17" spans="1:52" x14ac:dyDescent="0.25">
      <c r="A17" s="6" t="s">
        <v>98</v>
      </c>
      <c r="B17" s="6"/>
      <c r="C17" s="34">
        <v>-156.96100000000001</v>
      </c>
      <c r="D17" s="35"/>
      <c r="E17" s="34">
        <v>-171.17400000000001</v>
      </c>
      <c r="F17" s="35"/>
      <c r="G17" s="34">
        <v>-202.702</v>
      </c>
      <c r="H17" s="35"/>
      <c r="I17" s="34">
        <v>-210.416</v>
      </c>
      <c r="J17" s="35"/>
      <c r="K17" s="34">
        <v>-230.53399999999999</v>
      </c>
      <c r="L17" s="35"/>
      <c r="M17" s="34">
        <v>-203.42500000000001</v>
      </c>
      <c r="N17" s="35"/>
      <c r="O17" s="34">
        <v>-25.945</v>
      </c>
      <c r="P17" s="35"/>
      <c r="Q17" s="34">
        <v>-189.69399999999999</v>
      </c>
      <c r="R17" s="35"/>
      <c r="S17" s="34">
        <v>-139.387</v>
      </c>
      <c r="T17" s="35"/>
      <c r="U17" s="34">
        <v>-146.09399999999999</v>
      </c>
      <c r="V17" s="35"/>
      <c r="W17" s="34">
        <v>-240.83799999999999</v>
      </c>
      <c r="X17" s="35"/>
      <c r="Y17" s="34">
        <v>-154.44900000000001</v>
      </c>
      <c r="Z17" s="35"/>
      <c r="AA17" s="34">
        <v>-135.667</v>
      </c>
      <c r="AB17" s="35"/>
      <c r="AC17" s="34">
        <v>-120.346</v>
      </c>
      <c r="AD17" s="35"/>
      <c r="AE17" s="34">
        <v>-107.4</v>
      </c>
      <c r="AF17" s="35"/>
      <c r="AG17" s="34">
        <v>-84.781000000000006</v>
      </c>
      <c r="AH17" s="35"/>
      <c r="AI17" s="34">
        <v>62.341999999999999</v>
      </c>
      <c r="AJ17" s="35">
        <v>1</v>
      </c>
      <c r="AK17" s="34">
        <v>10.744999999999999</v>
      </c>
      <c r="AL17" s="35">
        <v>1</v>
      </c>
      <c r="AM17" s="34">
        <v>-71.716999999999999</v>
      </c>
      <c r="AN17" s="35"/>
      <c r="AO17" s="34">
        <v>-96.006</v>
      </c>
      <c r="AP17" s="35"/>
      <c r="AQ17" s="34">
        <v>-82.673000000000002</v>
      </c>
      <c r="AR17" s="35"/>
      <c r="AS17" s="34">
        <v>-78.691999999999993</v>
      </c>
      <c r="AT17" s="35"/>
      <c r="AU17" s="34">
        <v>-88.391999999999996</v>
      </c>
      <c r="AV17" s="35"/>
      <c r="AW17" s="34">
        <v>-66.918999999999997</v>
      </c>
      <c r="AX17" s="35"/>
      <c r="AY17" s="34">
        <v>-36.457999999999998</v>
      </c>
      <c r="AZ17" s="35"/>
    </row>
    <row r="18" spans="1:52" x14ac:dyDescent="0.25">
      <c r="A18" s="10" t="s">
        <v>1474</v>
      </c>
      <c r="B18" s="10"/>
      <c r="C18" s="32">
        <v>-156.96100000000001</v>
      </c>
      <c r="D18" s="33">
        <v>1</v>
      </c>
      <c r="E18" s="32">
        <v>-171.17400000000001</v>
      </c>
      <c r="F18" s="33">
        <v>1</v>
      </c>
      <c r="G18" s="32">
        <v>-202.702</v>
      </c>
      <c r="H18" s="33">
        <v>1</v>
      </c>
      <c r="I18" s="32">
        <v>-210.416</v>
      </c>
      <c r="J18" s="33">
        <v>1</v>
      </c>
      <c r="K18" s="32">
        <v>-230.53399999999999</v>
      </c>
      <c r="L18" s="33">
        <v>1</v>
      </c>
      <c r="M18" s="32">
        <v>-203.42500000000001</v>
      </c>
      <c r="N18" s="33">
        <v>1</v>
      </c>
      <c r="O18" s="32">
        <v>-25.945</v>
      </c>
      <c r="P18" s="33">
        <v>1</v>
      </c>
      <c r="Q18" s="32">
        <v>-189.69399999999999</v>
      </c>
      <c r="R18" s="33">
        <v>1</v>
      </c>
      <c r="S18" s="32">
        <v>-139.387</v>
      </c>
      <c r="T18" s="33">
        <v>1</v>
      </c>
      <c r="U18" s="32">
        <v>-146.09399999999999</v>
      </c>
      <c r="V18" s="33">
        <v>1</v>
      </c>
      <c r="W18" s="32">
        <v>-240.83799999999999</v>
      </c>
      <c r="X18" s="33">
        <v>1</v>
      </c>
      <c r="Y18" s="32">
        <v>-154.44900000000001</v>
      </c>
      <c r="Z18" s="33">
        <v>1</v>
      </c>
      <c r="AA18" s="32">
        <v>-135.667</v>
      </c>
      <c r="AB18" s="33">
        <v>1</v>
      </c>
      <c r="AC18" s="32">
        <v>-120.346</v>
      </c>
      <c r="AD18" s="33">
        <v>1</v>
      </c>
      <c r="AE18" s="32">
        <v>-107.4</v>
      </c>
      <c r="AF18" s="33">
        <v>1</v>
      </c>
      <c r="AG18" s="32">
        <v>-84.781000000000006</v>
      </c>
      <c r="AH18" s="33">
        <v>1</v>
      </c>
      <c r="AI18" s="32">
        <v>62.341999999999999</v>
      </c>
      <c r="AJ18" s="33">
        <v>1</v>
      </c>
      <c r="AK18" s="32">
        <v>10.744999999999999</v>
      </c>
      <c r="AL18" s="33">
        <v>1</v>
      </c>
      <c r="AM18" s="32">
        <v>-71.716999999999999</v>
      </c>
      <c r="AN18" s="33">
        <v>1</v>
      </c>
      <c r="AO18" s="32">
        <v>-96.006</v>
      </c>
      <c r="AP18" s="33">
        <v>1</v>
      </c>
      <c r="AQ18" s="32">
        <v>-82.673000000000002</v>
      </c>
      <c r="AR18" s="33">
        <v>1</v>
      </c>
      <c r="AS18" s="32">
        <v>-78.691999999999993</v>
      </c>
      <c r="AT18" s="33">
        <v>1</v>
      </c>
      <c r="AU18" s="32">
        <v>-88.391999999999996</v>
      </c>
      <c r="AV18" s="33">
        <v>1</v>
      </c>
      <c r="AW18" s="32">
        <v>-66.918999999999997</v>
      </c>
      <c r="AX18" s="33">
        <v>1</v>
      </c>
      <c r="AY18" s="32">
        <v>-36.457999999999998</v>
      </c>
      <c r="AZ18" s="33">
        <v>1</v>
      </c>
    </row>
    <row r="19" spans="1:52" x14ac:dyDescent="0.25">
      <c r="A19" s="6" t="s">
        <v>422</v>
      </c>
      <c r="B19" s="6"/>
      <c r="C19" s="34">
        <v>0</v>
      </c>
      <c r="D19" s="35"/>
      <c r="E19" s="34">
        <v>0</v>
      </c>
      <c r="F19" s="35"/>
      <c r="G19" s="34">
        <v>0</v>
      </c>
      <c r="H19" s="35"/>
      <c r="I19" s="34">
        <v>0</v>
      </c>
      <c r="J19" s="35"/>
      <c r="K19" s="34">
        <v>0</v>
      </c>
      <c r="L19" s="35"/>
      <c r="M19" s="34">
        <v>0</v>
      </c>
      <c r="N19" s="35"/>
      <c r="O19" s="34">
        <v>0</v>
      </c>
      <c r="P19" s="35"/>
      <c r="Q19" s="34">
        <v>0</v>
      </c>
      <c r="R19" s="35"/>
      <c r="S19" s="34">
        <v>0</v>
      </c>
      <c r="T19" s="35"/>
      <c r="U19" s="34">
        <v>0</v>
      </c>
      <c r="V19" s="35"/>
      <c r="W19" s="34">
        <v>0</v>
      </c>
      <c r="X19" s="35"/>
      <c r="Y19" s="34">
        <v>0</v>
      </c>
      <c r="Z19" s="35"/>
      <c r="AA19" s="34">
        <v>0</v>
      </c>
      <c r="AB19" s="35"/>
      <c r="AC19" s="34">
        <v>0</v>
      </c>
      <c r="AD19" s="35"/>
      <c r="AE19" s="34">
        <v>0</v>
      </c>
      <c r="AF19" s="35"/>
      <c r="AG19" s="34">
        <v>0</v>
      </c>
      <c r="AH19" s="35"/>
      <c r="AI19" s="34">
        <v>6.3220000000000001</v>
      </c>
      <c r="AJ19" s="35">
        <v>1</v>
      </c>
      <c r="AK19" s="34">
        <v>4.2699999999999996</v>
      </c>
      <c r="AL19" s="35">
        <v>1</v>
      </c>
      <c r="AM19" s="34">
        <v>3.75</v>
      </c>
      <c r="AN19" s="35">
        <v>1</v>
      </c>
      <c r="AO19" s="34">
        <v>4.3109999999999999</v>
      </c>
      <c r="AP19" s="35">
        <v>1</v>
      </c>
      <c r="AQ19" s="34">
        <v>16.353000000000002</v>
      </c>
      <c r="AR19" s="35">
        <v>1</v>
      </c>
      <c r="AS19" s="34">
        <v>4.8559999999999999</v>
      </c>
      <c r="AT19" s="35">
        <v>1</v>
      </c>
      <c r="AU19" s="34">
        <v>5.4530000000000003</v>
      </c>
      <c r="AV19" s="35">
        <v>1</v>
      </c>
      <c r="AW19" s="34">
        <v>5.7779999999999996</v>
      </c>
      <c r="AX19" s="35">
        <v>1</v>
      </c>
      <c r="AY19" s="34">
        <v>6.492</v>
      </c>
      <c r="AZ19" s="35">
        <v>1</v>
      </c>
    </row>
    <row r="20" spans="1:52" x14ac:dyDescent="0.25">
      <c r="A20" s="10" t="s">
        <v>1474</v>
      </c>
      <c r="B20" s="10"/>
      <c r="C20" s="32">
        <v>0</v>
      </c>
      <c r="D20" s="33"/>
      <c r="E20" s="32">
        <v>0</v>
      </c>
      <c r="F20" s="33"/>
      <c r="G20" s="32">
        <v>0</v>
      </c>
      <c r="H20" s="33"/>
      <c r="I20" s="32">
        <v>0</v>
      </c>
      <c r="J20" s="33"/>
      <c r="K20" s="32">
        <v>0</v>
      </c>
      <c r="L20" s="33"/>
      <c r="M20" s="32">
        <v>0</v>
      </c>
      <c r="N20" s="33"/>
      <c r="O20" s="32">
        <v>0</v>
      </c>
      <c r="P20" s="33"/>
      <c r="Q20" s="32">
        <v>0</v>
      </c>
      <c r="R20" s="33"/>
      <c r="S20" s="32">
        <v>0</v>
      </c>
      <c r="T20" s="33"/>
      <c r="U20" s="32">
        <v>0</v>
      </c>
      <c r="V20" s="33"/>
      <c r="W20" s="32">
        <v>0</v>
      </c>
      <c r="X20" s="33"/>
      <c r="Y20" s="32">
        <v>0</v>
      </c>
      <c r="Z20" s="33"/>
      <c r="AA20" s="32">
        <v>0</v>
      </c>
      <c r="AB20" s="33"/>
      <c r="AC20" s="32">
        <v>0</v>
      </c>
      <c r="AD20" s="33"/>
      <c r="AE20" s="32">
        <v>0</v>
      </c>
      <c r="AF20" s="33"/>
      <c r="AG20" s="32">
        <v>0</v>
      </c>
      <c r="AH20" s="33"/>
      <c r="AI20" s="32">
        <v>6.3220000000000001</v>
      </c>
      <c r="AJ20" s="33">
        <v>1</v>
      </c>
      <c r="AK20" s="32">
        <v>4.2699999999999996</v>
      </c>
      <c r="AL20" s="33">
        <v>1</v>
      </c>
      <c r="AM20" s="32">
        <v>3.75</v>
      </c>
      <c r="AN20" s="33">
        <v>1</v>
      </c>
      <c r="AO20" s="32">
        <v>4.3109999999999999</v>
      </c>
      <c r="AP20" s="33">
        <v>1</v>
      </c>
      <c r="AQ20" s="32">
        <v>16.353000000000002</v>
      </c>
      <c r="AR20" s="33">
        <v>1</v>
      </c>
      <c r="AS20" s="32">
        <v>4.8559999999999999</v>
      </c>
      <c r="AT20" s="33">
        <v>1</v>
      </c>
      <c r="AU20" s="32">
        <v>5.4530000000000003</v>
      </c>
      <c r="AV20" s="33">
        <v>1</v>
      </c>
      <c r="AW20" s="32">
        <v>5.7779999999999996</v>
      </c>
      <c r="AX20" s="33">
        <v>1</v>
      </c>
      <c r="AY20" s="32">
        <v>6.492</v>
      </c>
      <c r="AZ20" s="33">
        <v>1</v>
      </c>
    </row>
    <row r="21" spans="1:52" x14ac:dyDescent="0.25">
      <c r="A21" s="6" t="s">
        <v>424</v>
      </c>
      <c r="B21" s="6"/>
      <c r="C21" s="34">
        <v>6.2089999999999996</v>
      </c>
      <c r="D21" s="35">
        <v>1</v>
      </c>
      <c r="E21" s="34">
        <v>10.102</v>
      </c>
      <c r="F21" s="35">
        <v>1</v>
      </c>
      <c r="G21" s="34">
        <v>9.3870000000000005</v>
      </c>
      <c r="H21" s="35">
        <v>1</v>
      </c>
      <c r="I21" s="34">
        <v>8.4169999999999998</v>
      </c>
      <c r="J21" s="35">
        <v>1</v>
      </c>
      <c r="K21" s="34">
        <v>6.8550000000000004</v>
      </c>
      <c r="L21" s="35">
        <v>1</v>
      </c>
      <c r="M21" s="34">
        <v>5.3550000000000004</v>
      </c>
      <c r="N21" s="35">
        <v>1</v>
      </c>
      <c r="O21" s="34">
        <v>2.9390000000000001</v>
      </c>
      <c r="P21" s="35">
        <v>1</v>
      </c>
      <c r="Q21" s="34">
        <v>1.964</v>
      </c>
      <c r="R21" s="35">
        <v>1</v>
      </c>
      <c r="S21" s="34">
        <v>0.64100000000000001</v>
      </c>
      <c r="T21" s="35">
        <v>1</v>
      </c>
      <c r="U21" s="34">
        <v>0.35499999999999998</v>
      </c>
      <c r="V21" s="35">
        <v>1</v>
      </c>
      <c r="W21" s="34">
        <v>0.439</v>
      </c>
      <c r="X21" s="35">
        <v>1</v>
      </c>
      <c r="Y21" s="34">
        <v>0.16</v>
      </c>
      <c r="Z21" s="35">
        <v>1</v>
      </c>
      <c r="AA21" s="34">
        <v>0.14599999999999999</v>
      </c>
      <c r="AB21" s="35">
        <v>1</v>
      </c>
      <c r="AC21" s="34">
        <v>0.106</v>
      </c>
      <c r="AD21" s="35">
        <v>1</v>
      </c>
      <c r="AE21" s="34">
        <v>0.17399999999999999</v>
      </c>
      <c r="AF21" s="35">
        <v>1</v>
      </c>
      <c r="AG21" s="34">
        <v>0.38300000000000001</v>
      </c>
      <c r="AH21" s="35">
        <v>1</v>
      </c>
      <c r="AI21" s="34">
        <v>0.36899999999999999</v>
      </c>
      <c r="AJ21" s="35">
        <v>1</v>
      </c>
      <c r="AK21" s="34">
        <v>2.8279999999999998</v>
      </c>
      <c r="AL21" s="35">
        <v>1</v>
      </c>
      <c r="AM21" s="34">
        <v>2.6789999999999998</v>
      </c>
      <c r="AN21" s="35">
        <v>1</v>
      </c>
      <c r="AO21" s="34">
        <v>2.4540000000000002</v>
      </c>
      <c r="AP21" s="35">
        <v>1</v>
      </c>
      <c r="AQ21" s="34">
        <v>1.911</v>
      </c>
      <c r="AR21" s="35">
        <v>1</v>
      </c>
      <c r="AS21" s="34">
        <v>2.5790000000000002</v>
      </c>
      <c r="AT21" s="35">
        <v>1</v>
      </c>
      <c r="AU21" s="34">
        <v>2.8370000000000002</v>
      </c>
      <c r="AV21" s="35">
        <v>1</v>
      </c>
      <c r="AW21" s="34">
        <v>1.64</v>
      </c>
      <c r="AX21" s="35">
        <v>1</v>
      </c>
      <c r="AY21" s="34">
        <v>1.1619999999999999</v>
      </c>
      <c r="AZ21" s="35">
        <v>1</v>
      </c>
    </row>
    <row r="22" spans="1:52" x14ac:dyDescent="0.25">
      <c r="A22" s="10" t="s">
        <v>1474</v>
      </c>
      <c r="B22" s="10"/>
      <c r="C22" s="32">
        <v>6.2089999999999996</v>
      </c>
      <c r="D22" s="33">
        <v>1</v>
      </c>
      <c r="E22" s="32">
        <v>10.102</v>
      </c>
      <c r="F22" s="33">
        <v>1</v>
      </c>
      <c r="G22" s="32">
        <v>9.3870000000000005</v>
      </c>
      <c r="H22" s="33">
        <v>1</v>
      </c>
      <c r="I22" s="32">
        <v>8.4169999999999998</v>
      </c>
      <c r="J22" s="33">
        <v>1</v>
      </c>
      <c r="K22" s="32">
        <v>6.8550000000000004</v>
      </c>
      <c r="L22" s="33">
        <v>1</v>
      </c>
      <c r="M22" s="32">
        <v>5.3550000000000004</v>
      </c>
      <c r="N22" s="33">
        <v>1</v>
      </c>
      <c r="O22" s="32">
        <v>2.9390000000000001</v>
      </c>
      <c r="P22" s="33">
        <v>1</v>
      </c>
      <c r="Q22" s="32">
        <v>1.964</v>
      </c>
      <c r="R22" s="33">
        <v>1</v>
      </c>
      <c r="S22" s="32">
        <v>0.64100000000000001</v>
      </c>
      <c r="T22" s="33">
        <v>1</v>
      </c>
      <c r="U22" s="32">
        <v>0.35499999999999998</v>
      </c>
      <c r="V22" s="33">
        <v>1</v>
      </c>
      <c r="W22" s="32">
        <v>0.439</v>
      </c>
      <c r="X22" s="33">
        <v>1</v>
      </c>
      <c r="Y22" s="32">
        <v>0.16</v>
      </c>
      <c r="Z22" s="33">
        <v>1</v>
      </c>
      <c r="AA22" s="32">
        <v>0.14599999999999999</v>
      </c>
      <c r="AB22" s="33">
        <v>1</v>
      </c>
      <c r="AC22" s="32">
        <v>0.106</v>
      </c>
      <c r="AD22" s="33">
        <v>1</v>
      </c>
      <c r="AE22" s="32">
        <v>0.17399999999999999</v>
      </c>
      <c r="AF22" s="33">
        <v>1</v>
      </c>
      <c r="AG22" s="32">
        <v>0.38300000000000001</v>
      </c>
      <c r="AH22" s="33">
        <v>1</v>
      </c>
      <c r="AI22" s="32">
        <v>0.36899999999999999</v>
      </c>
      <c r="AJ22" s="33">
        <v>1</v>
      </c>
      <c r="AK22" s="32">
        <v>2.8279999999999998</v>
      </c>
      <c r="AL22" s="33">
        <v>1</v>
      </c>
      <c r="AM22" s="32">
        <v>2.6789999999999998</v>
      </c>
      <c r="AN22" s="33">
        <v>1</v>
      </c>
      <c r="AO22" s="32">
        <v>2.4540000000000002</v>
      </c>
      <c r="AP22" s="33">
        <v>1</v>
      </c>
      <c r="AQ22" s="32">
        <v>1.911</v>
      </c>
      <c r="AR22" s="33">
        <v>1</v>
      </c>
      <c r="AS22" s="32">
        <v>2.5790000000000002</v>
      </c>
      <c r="AT22" s="33">
        <v>1</v>
      </c>
      <c r="AU22" s="32">
        <v>2.8370000000000002</v>
      </c>
      <c r="AV22" s="33">
        <v>1</v>
      </c>
      <c r="AW22" s="32">
        <v>1.64</v>
      </c>
      <c r="AX22" s="33">
        <v>1</v>
      </c>
      <c r="AY22" s="32">
        <v>1.1619999999999999</v>
      </c>
      <c r="AZ22" s="33">
        <v>1</v>
      </c>
    </row>
    <row r="23" spans="1:52" x14ac:dyDescent="0.25">
      <c r="A23" s="6" t="s">
        <v>379</v>
      </c>
      <c r="B23" s="6"/>
      <c r="C23" s="34">
        <v>-148.83600000000001</v>
      </c>
      <c r="D23" s="35"/>
      <c r="E23" s="34">
        <v>-164.46100000000001</v>
      </c>
      <c r="F23" s="35"/>
      <c r="G23" s="34">
        <v>-196.251</v>
      </c>
      <c r="H23" s="35"/>
      <c r="I23" s="34">
        <v>-206.297</v>
      </c>
      <c r="J23" s="35"/>
      <c r="K23" s="34">
        <v>-223.14400000000001</v>
      </c>
      <c r="L23" s="35"/>
      <c r="M23" s="34">
        <v>-202.517</v>
      </c>
      <c r="N23" s="35"/>
      <c r="O23" s="34">
        <v>-21.454999999999998</v>
      </c>
      <c r="P23" s="35"/>
      <c r="Q23" s="34">
        <v>-194.416</v>
      </c>
      <c r="R23" s="35"/>
      <c r="S23" s="34">
        <v>-136.06800000000001</v>
      </c>
      <c r="T23" s="35"/>
      <c r="U23" s="34">
        <v>-121.438</v>
      </c>
      <c r="V23" s="35"/>
      <c r="W23" s="34">
        <v>-241.48599999999999</v>
      </c>
      <c r="X23" s="35"/>
      <c r="Y23" s="34">
        <v>-152.947</v>
      </c>
      <c r="Z23" s="35"/>
      <c r="AA23" s="34">
        <v>-132.238</v>
      </c>
      <c r="AB23" s="35"/>
      <c r="AC23" s="34">
        <v>-122.152</v>
      </c>
      <c r="AD23" s="35"/>
      <c r="AE23" s="34">
        <v>-100.13800000000001</v>
      </c>
      <c r="AF23" s="35"/>
      <c r="AG23" s="34">
        <v>-76.513000000000005</v>
      </c>
      <c r="AH23" s="35"/>
      <c r="AI23" s="34">
        <v>68.578000000000003</v>
      </c>
      <c r="AJ23" s="35">
        <v>1</v>
      </c>
      <c r="AK23" s="34">
        <v>18.93</v>
      </c>
      <c r="AL23" s="35">
        <v>1</v>
      </c>
      <c r="AM23" s="34">
        <v>-62.869</v>
      </c>
      <c r="AN23" s="35"/>
      <c r="AO23" s="34">
        <v>-87.231999999999999</v>
      </c>
      <c r="AP23" s="35"/>
      <c r="AQ23" s="34">
        <v>-88.56</v>
      </c>
      <c r="AR23" s="35"/>
      <c r="AS23" s="34">
        <v>-69.804000000000002</v>
      </c>
      <c r="AT23" s="35"/>
      <c r="AU23" s="34">
        <v>-81.372</v>
      </c>
      <c r="AV23" s="35"/>
      <c r="AW23" s="34">
        <v>-60.866</v>
      </c>
      <c r="AX23" s="35"/>
      <c r="AY23" s="34">
        <v>-28.603000000000002</v>
      </c>
      <c r="AZ23" s="35"/>
    </row>
    <row r="24" spans="1:52" x14ac:dyDescent="0.25">
      <c r="A24" s="10" t="s">
        <v>1474</v>
      </c>
      <c r="B24" s="10"/>
      <c r="C24" s="32">
        <v>-148.83600000000001</v>
      </c>
      <c r="D24" s="33">
        <v>1</v>
      </c>
      <c r="E24" s="32">
        <v>-164.46100000000001</v>
      </c>
      <c r="F24" s="33">
        <v>1</v>
      </c>
      <c r="G24" s="32">
        <v>-196.251</v>
      </c>
      <c r="H24" s="33">
        <v>1</v>
      </c>
      <c r="I24" s="32">
        <v>-206.297</v>
      </c>
      <c r="J24" s="33">
        <v>1</v>
      </c>
      <c r="K24" s="32">
        <v>-223.14400000000001</v>
      </c>
      <c r="L24" s="33">
        <v>1</v>
      </c>
      <c r="M24" s="32">
        <v>-202.517</v>
      </c>
      <c r="N24" s="33">
        <v>1</v>
      </c>
      <c r="O24" s="32">
        <v>-21.454999999999998</v>
      </c>
      <c r="P24" s="33">
        <v>1</v>
      </c>
      <c r="Q24" s="32">
        <v>-194.416</v>
      </c>
      <c r="R24" s="33">
        <v>1</v>
      </c>
      <c r="S24" s="32">
        <v>-136.06800000000001</v>
      </c>
      <c r="T24" s="33">
        <v>1</v>
      </c>
      <c r="U24" s="32">
        <v>-121.438</v>
      </c>
      <c r="V24" s="33">
        <v>1</v>
      </c>
      <c r="W24" s="32">
        <v>-241.48599999999999</v>
      </c>
      <c r="X24" s="33">
        <v>1</v>
      </c>
      <c r="Y24" s="32">
        <v>-152.947</v>
      </c>
      <c r="Z24" s="33">
        <v>1</v>
      </c>
      <c r="AA24" s="32">
        <v>-132.238</v>
      </c>
      <c r="AB24" s="33">
        <v>1</v>
      </c>
      <c r="AC24" s="32">
        <v>-122.152</v>
      </c>
      <c r="AD24" s="33">
        <v>1</v>
      </c>
      <c r="AE24" s="32">
        <v>-100.13800000000001</v>
      </c>
      <c r="AF24" s="33">
        <v>1</v>
      </c>
      <c r="AG24" s="32">
        <v>-76.513000000000005</v>
      </c>
      <c r="AH24" s="33">
        <v>1</v>
      </c>
      <c r="AI24" s="32">
        <v>68.578000000000003</v>
      </c>
      <c r="AJ24" s="33">
        <v>1</v>
      </c>
      <c r="AK24" s="32">
        <v>18.93</v>
      </c>
      <c r="AL24" s="33">
        <v>1</v>
      </c>
      <c r="AM24" s="32">
        <v>-62.869</v>
      </c>
      <c r="AN24" s="33">
        <v>1</v>
      </c>
      <c r="AO24" s="32">
        <v>-87.231999999999999</v>
      </c>
      <c r="AP24" s="33">
        <v>1</v>
      </c>
      <c r="AQ24" s="32">
        <v>-88.56</v>
      </c>
      <c r="AR24" s="33">
        <v>1</v>
      </c>
      <c r="AS24" s="32">
        <v>-69.804000000000002</v>
      </c>
      <c r="AT24" s="33">
        <v>1</v>
      </c>
      <c r="AU24" s="32">
        <v>-81.372</v>
      </c>
      <c r="AV24" s="33">
        <v>1</v>
      </c>
      <c r="AW24" s="32">
        <v>-60.866</v>
      </c>
      <c r="AX24" s="33">
        <v>1</v>
      </c>
      <c r="AY24" s="32">
        <v>-28.603000000000002</v>
      </c>
      <c r="AZ24" s="33">
        <v>1</v>
      </c>
    </row>
    <row r="25" spans="1:52" x14ac:dyDescent="0.25">
      <c r="A25" s="6" t="s">
        <v>1482</v>
      </c>
      <c r="B25" s="6"/>
      <c r="C25" s="34">
        <v>0.187</v>
      </c>
      <c r="D25" s="35">
        <v>1</v>
      </c>
      <c r="E25" s="34">
        <v>-1.4999999999999999E-2</v>
      </c>
      <c r="F25" s="35"/>
      <c r="G25" s="34">
        <v>-0.46899999999999997</v>
      </c>
      <c r="H25" s="35"/>
      <c r="I25" s="34">
        <v>-0.26400000000000001</v>
      </c>
      <c r="J25" s="35"/>
      <c r="K25" s="34">
        <v>0.20300000000000001</v>
      </c>
      <c r="L25" s="35">
        <v>1</v>
      </c>
      <c r="M25" s="34">
        <v>9.4E-2</v>
      </c>
      <c r="N25" s="35">
        <v>1</v>
      </c>
      <c r="O25" s="34">
        <v>0.01</v>
      </c>
      <c r="P25" s="35">
        <v>1</v>
      </c>
      <c r="Q25" s="34">
        <v>0.32900000000000001</v>
      </c>
      <c r="R25" s="35">
        <v>1</v>
      </c>
      <c r="S25" s="34">
        <v>0.253</v>
      </c>
      <c r="T25" s="35">
        <v>1</v>
      </c>
      <c r="U25" s="34">
        <v>6.6000000000000003E-2</v>
      </c>
      <c r="V25" s="35">
        <v>1</v>
      </c>
      <c r="W25" s="34">
        <v>0.216</v>
      </c>
      <c r="X25" s="35">
        <v>1</v>
      </c>
      <c r="Y25" s="34">
        <v>-0.113</v>
      </c>
      <c r="Z25" s="35"/>
      <c r="AA25" s="34">
        <v>8.8999999999999996E-2</v>
      </c>
      <c r="AB25" s="35">
        <v>1</v>
      </c>
      <c r="AC25" s="34">
        <v>0</v>
      </c>
      <c r="AD25" s="35"/>
      <c r="AE25" s="34">
        <v>0</v>
      </c>
      <c r="AF25" s="35"/>
      <c r="AG25" s="34">
        <v>7.0000000000000001E-3</v>
      </c>
      <c r="AH25" s="35">
        <v>1</v>
      </c>
      <c r="AI25" s="34">
        <v>0.11</v>
      </c>
      <c r="AJ25" s="35">
        <v>1</v>
      </c>
      <c r="AK25" s="34">
        <v>0</v>
      </c>
      <c r="AL25" s="35"/>
      <c r="AM25" s="34">
        <v>-0.08</v>
      </c>
      <c r="AN25" s="35"/>
      <c r="AO25" s="34">
        <v>0</v>
      </c>
      <c r="AP25" s="35"/>
      <c r="AQ25" s="34">
        <v>-4.5999999999999999E-2</v>
      </c>
      <c r="AR25" s="35"/>
      <c r="AS25" s="34">
        <v>0</v>
      </c>
      <c r="AT25" s="35"/>
      <c r="AU25" s="34">
        <v>2.1000000000000001E-2</v>
      </c>
      <c r="AV25" s="35">
        <v>1</v>
      </c>
      <c r="AW25" s="34">
        <v>-5.8000000000000003E-2</v>
      </c>
      <c r="AX25" s="35"/>
      <c r="AY25" s="34">
        <v>0.107</v>
      </c>
      <c r="AZ25" s="35">
        <v>1</v>
      </c>
    </row>
    <row r="26" spans="1:52" x14ac:dyDescent="0.25">
      <c r="A26" s="10" t="s">
        <v>1474</v>
      </c>
      <c r="B26" s="10"/>
      <c r="C26" s="32">
        <v>0.187</v>
      </c>
      <c r="D26" s="33">
        <v>1</v>
      </c>
      <c r="E26" s="32">
        <v>-1.4999999999999999E-2</v>
      </c>
      <c r="F26" s="33">
        <v>1</v>
      </c>
      <c r="G26" s="32">
        <v>-0.46899999999999997</v>
      </c>
      <c r="H26" s="33">
        <v>1</v>
      </c>
      <c r="I26" s="32">
        <v>-0.26400000000000001</v>
      </c>
      <c r="J26" s="33">
        <v>1</v>
      </c>
      <c r="K26" s="32">
        <v>0.20300000000000001</v>
      </c>
      <c r="L26" s="33">
        <v>1</v>
      </c>
      <c r="M26" s="32">
        <v>9.4E-2</v>
      </c>
      <c r="N26" s="33">
        <v>1</v>
      </c>
      <c r="O26" s="32">
        <v>0.01</v>
      </c>
      <c r="P26" s="33">
        <v>1</v>
      </c>
      <c r="Q26" s="32">
        <v>0.32900000000000001</v>
      </c>
      <c r="R26" s="33">
        <v>1</v>
      </c>
      <c r="S26" s="32">
        <v>0.253</v>
      </c>
      <c r="T26" s="33">
        <v>1</v>
      </c>
      <c r="U26" s="32">
        <v>6.6000000000000003E-2</v>
      </c>
      <c r="V26" s="33">
        <v>1</v>
      </c>
      <c r="W26" s="32">
        <v>0.216</v>
      </c>
      <c r="X26" s="33">
        <v>1</v>
      </c>
      <c r="Y26" s="32">
        <v>-0.113</v>
      </c>
      <c r="Z26" s="33">
        <v>1</v>
      </c>
      <c r="AA26" s="32">
        <v>8.8999999999999996E-2</v>
      </c>
      <c r="AB26" s="33">
        <v>1</v>
      </c>
      <c r="AC26" s="32">
        <v>0</v>
      </c>
      <c r="AD26" s="33"/>
      <c r="AE26" s="32">
        <v>0</v>
      </c>
      <c r="AF26" s="33"/>
      <c r="AG26" s="32">
        <v>7.0000000000000001E-3</v>
      </c>
      <c r="AH26" s="33">
        <v>1</v>
      </c>
      <c r="AI26" s="32">
        <v>0.11</v>
      </c>
      <c r="AJ26" s="33">
        <v>1</v>
      </c>
      <c r="AK26" s="32">
        <v>0</v>
      </c>
      <c r="AL26" s="33"/>
      <c r="AM26" s="32">
        <v>-0.08</v>
      </c>
      <c r="AN26" s="33">
        <v>1</v>
      </c>
      <c r="AO26" s="32">
        <v>0</v>
      </c>
      <c r="AP26" s="33"/>
      <c r="AQ26" s="32">
        <v>-4.5999999999999999E-2</v>
      </c>
      <c r="AR26" s="33">
        <v>1</v>
      </c>
      <c r="AS26" s="32">
        <v>0</v>
      </c>
      <c r="AT26" s="33"/>
      <c r="AU26" s="32">
        <v>2.1000000000000001E-2</v>
      </c>
      <c r="AV26" s="33">
        <v>1</v>
      </c>
      <c r="AW26" s="32">
        <v>-5.8000000000000003E-2</v>
      </c>
      <c r="AX26" s="33">
        <v>1</v>
      </c>
      <c r="AY26" s="32">
        <v>0.107</v>
      </c>
      <c r="AZ26" s="33">
        <v>1</v>
      </c>
    </row>
    <row r="27" spans="1:52" x14ac:dyDescent="0.25">
      <c r="A27" s="6" t="s">
        <v>158</v>
      </c>
      <c r="B27" s="6"/>
      <c r="C27" s="34">
        <v>-149.023</v>
      </c>
      <c r="D27" s="35"/>
      <c r="E27" s="34">
        <v>-164.446</v>
      </c>
      <c r="F27" s="35"/>
      <c r="G27" s="34">
        <v>-195.78200000000001</v>
      </c>
      <c r="H27" s="35"/>
      <c r="I27" s="34">
        <v>-206.03299999999999</v>
      </c>
      <c r="J27" s="35"/>
      <c r="K27" s="34">
        <v>-223.34700000000001</v>
      </c>
      <c r="L27" s="35"/>
      <c r="M27" s="34">
        <v>-202.61099999999999</v>
      </c>
      <c r="N27" s="35"/>
      <c r="O27" s="34">
        <v>-21.465</v>
      </c>
      <c r="P27" s="35"/>
      <c r="Q27" s="34">
        <v>-194.745</v>
      </c>
      <c r="R27" s="35"/>
      <c r="S27" s="34">
        <v>-199.874</v>
      </c>
      <c r="T27" s="35"/>
      <c r="U27" s="34">
        <v>-205.80799999999999</v>
      </c>
      <c r="V27" s="35"/>
      <c r="W27" s="34">
        <v>-241.702</v>
      </c>
      <c r="X27" s="35"/>
      <c r="Y27" s="34">
        <v>-216.816</v>
      </c>
      <c r="Z27" s="35"/>
      <c r="AA27" s="34">
        <v>-155.05199999999999</v>
      </c>
      <c r="AB27" s="35"/>
      <c r="AC27" s="34">
        <v>-122.152</v>
      </c>
      <c r="AD27" s="35"/>
      <c r="AE27" s="34">
        <v>-100.13800000000001</v>
      </c>
      <c r="AF27" s="35"/>
      <c r="AG27" s="34">
        <v>-76.52</v>
      </c>
      <c r="AH27" s="35"/>
      <c r="AI27" s="34">
        <v>68.468000000000004</v>
      </c>
      <c r="AJ27" s="35">
        <v>1</v>
      </c>
      <c r="AK27" s="34">
        <v>18.93</v>
      </c>
      <c r="AL27" s="35">
        <v>1</v>
      </c>
      <c r="AM27" s="34">
        <v>-62.789000000000001</v>
      </c>
      <c r="AN27" s="35"/>
      <c r="AO27" s="34">
        <v>-87.231999999999999</v>
      </c>
      <c r="AP27" s="35"/>
      <c r="AQ27" s="34">
        <v>-88.513999999999996</v>
      </c>
      <c r="AR27" s="35"/>
      <c r="AS27" s="34">
        <v>-69.804000000000002</v>
      </c>
      <c r="AT27" s="35"/>
      <c r="AU27" s="34">
        <v>-81.393000000000001</v>
      </c>
      <c r="AV27" s="35"/>
      <c r="AW27" s="34">
        <v>-60.808</v>
      </c>
      <c r="AX27" s="35"/>
      <c r="AY27" s="34">
        <v>-28.71</v>
      </c>
      <c r="AZ27" s="35"/>
    </row>
    <row r="28" spans="1:52" x14ac:dyDescent="0.25">
      <c r="A28" s="10" t="s">
        <v>1474</v>
      </c>
      <c r="B28" s="10"/>
      <c r="C28" s="32">
        <v>-149.023</v>
      </c>
      <c r="D28" s="33">
        <v>1</v>
      </c>
      <c r="E28" s="32">
        <v>-164.446</v>
      </c>
      <c r="F28" s="33">
        <v>1</v>
      </c>
      <c r="G28" s="32">
        <v>-195.78200000000001</v>
      </c>
      <c r="H28" s="33">
        <v>1</v>
      </c>
      <c r="I28" s="32">
        <v>-206.03299999999999</v>
      </c>
      <c r="J28" s="33">
        <v>1</v>
      </c>
      <c r="K28" s="32">
        <v>-223.34700000000001</v>
      </c>
      <c r="L28" s="33">
        <v>1</v>
      </c>
      <c r="M28" s="32">
        <v>-202.61099999999999</v>
      </c>
      <c r="N28" s="33">
        <v>1</v>
      </c>
      <c r="O28" s="32">
        <v>-21.465</v>
      </c>
      <c r="P28" s="33">
        <v>1</v>
      </c>
      <c r="Q28" s="32">
        <v>-194.745</v>
      </c>
      <c r="R28" s="33">
        <v>1</v>
      </c>
      <c r="S28" s="32">
        <v>-199.874</v>
      </c>
      <c r="T28" s="33">
        <v>1</v>
      </c>
      <c r="U28" s="32">
        <v>-205.80799999999999</v>
      </c>
      <c r="V28" s="33">
        <v>1</v>
      </c>
      <c r="W28" s="32">
        <v>-241.702</v>
      </c>
      <c r="X28" s="33">
        <v>1</v>
      </c>
      <c r="Y28" s="32">
        <v>-216.816</v>
      </c>
      <c r="Z28" s="33">
        <v>1</v>
      </c>
      <c r="AA28" s="32">
        <v>-155.05199999999999</v>
      </c>
      <c r="AB28" s="33">
        <v>1</v>
      </c>
      <c r="AC28" s="32">
        <v>-122.152</v>
      </c>
      <c r="AD28" s="33">
        <v>1</v>
      </c>
      <c r="AE28" s="32">
        <v>-100.13800000000001</v>
      </c>
      <c r="AF28" s="33">
        <v>1</v>
      </c>
      <c r="AG28" s="32">
        <v>-76.52</v>
      </c>
      <c r="AH28" s="33">
        <v>1</v>
      </c>
      <c r="AI28" s="32">
        <v>68.468000000000004</v>
      </c>
      <c r="AJ28" s="33">
        <v>1</v>
      </c>
      <c r="AK28" s="32">
        <v>18.93</v>
      </c>
      <c r="AL28" s="33">
        <v>1</v>
      </c>
      <c r="AM28" s="32">
        <v>-62.789000000000001</v>
      </c>
      <c r="AN28" s="33">
        <v>1</v>
      </c>
      <c r="AO28" s="32">
        <v>-87.231999999999999</v>
      </c>
      <c r="AP28" s="33">
        <v>1</v>
      </c>
      <c r="AQ28" s="32">
        <v>-88.513999999999996</v>
      </c>
      <c r="AR28" s="33">
        <v>1</v>
      </c>
      <c r="AS28" s="32">
        <v>-69.804000000000002</v>
      </c>
      <c r="AT28" s="33">
        <v>1</v>
      </c>
      <c r="AU28" s="32">
        <v>-81.393000000000001</v>
      </c>
      <c r="AV28" s="33">
        <v>1</v>
      </c>
      <c r="AW28" s="32">
        <v>-60.808</v>
      </c>
      <c r="AX28" s="33">
        <v>1</v>
      </c>
      <c r="AY28" s="32">
        <v>-28.71</v>
      </c>
      <c r="AZ28" s="33">
        <v>1</v>
      </c>
    </row>
    <row r="29" spans="1:52" x14ac:dyDescent="0.25">
      <c r="A29" s="6" t="s">
        <v>1483</v>
      </c>
      <c r="B29" s="6"/>
      <c r="C29" s="34">
        <v>246.62200000000001</v>
      </c>
      <c r="D29" s="35">
        <v>1</v>
      </c>
      <c r="E29" s="34">
        <v>298.64800000000002</v>
      </c>
      <c r="F29" s="35">
        <v>1</v>
      </c>
      <c r="G29" s="34">
        <v>320.11399999999998</v>
      </c>
      <c r="H29" s="35">
        <v>1</v>
      </c>
      <c r="I29" s="34">
        <v>335.66</v>
      </c>
      <c r="J29" s="35">
        <v>1</v>
      </c>
      <c r="K29" s="34">
        <v>337.06099999999998</v>
      </c>
      <c r="L29" s="35">
        <v>1</v>
      </c>
      <c r="M29" s="34">
        <v>348.38900000000001</v>
      </c>
      <c r="N29" s="35">
        <v>1</v>
      </c>
      <c r="O29" s="34">
        <v>344.84</v>
      </c>
      <c r="P29" s="35">
        <v>1</v>
      </c>
      <c r="Q29" s="34">
        <v>346.13099999999997</v>
      </c>
      <c r="R29" s="35">
        <v>1</v>
      </c>
      <c r="S29" s="34">
        <v>84.936000000000007</v>
      </c>
      <c r="T29" s="35">
        <v>1</v>
      </c>
      <c r="U29" s="34">
        <v>363.16800000000001</v>
      </c>
      <c r="V29" s="35">
        <v>1</v>
      </c>
      <c r="W29" s="34">
        <v>349.81299999999999</v>
      </c>
      <c r="X29" s="35">
        <v>1</v>
      </c>
      <c r="Y29" s="34">
        <v>220.18</v>
      </c>
      <c r="Z29" s="35">
        <v>1</v>
      </c>
      <c r="AA29" s="34">
        <v>101.238</v>
      </c>
      <c r="AB29" s="35">
        <v>1</v>
      </c>
      <c r="AC29" s="34">
        <v>123.131</v>
      </c>
      <c r="AD29" s="35">
        <v>1</v>
      </c>
      <c r="AE29" s="34">
        <v>307.29700000000003</v>
      </c>
      <c r="AF29" s="35">
        <v>1</v>
      </c>
      <c r="AG29" s="34">
        <v>300.21899999999999</v>
      </c>
      <c r="AH29" s="35">
        <v>1</v>
      </c>
      <c r="AI29" s="34">
        <v>298.52100000000002</v>
      </c>
      <c r="AJ29" s="35">
        <v>1</v>
      </c>
      <c r="AK29" s="34">
        <v>278.87099999999998</v>
      </c>
      <c r="AL29" s="35">
        <v>1</v>
      </c>
      <c r="AM29" s="34">
        <v>313.07600000000002</v>
      </c>
      <c r="AN29" s="35">
        <v>1</v>
      </c>
      <c r="AO29" s="34">
        <v>304.68900000000002</v>
      </c>
      <c r="AP29" s="35">
        <v>1</v>
      </c>
      <c r="AQ29" s="34">
        <v>267.04899999999998</v>
      </c>
      <c r="AR29" s="35">
        <v>1</v>
      </c>
      <c r="AS29" s="34">
        <v>285.57499999999999</v>
      </c>
      <c r="AT29" s="35">
        <v>1</v>
      </c>
      <c r="AU29" s="34">
        <v>267.96199999999999</v>
      </c>
      <c r="AV29" s="35">
        <v>1</v>
      </c>
      <c r="AW29" s="34">
        <v>245.691</v>
      </c>
      <c r="AX29" s="35">
        <v>1</v>
      </c>
      <c r="AY29" s="34">
        <v>237.73099999999999</v>
      </c>
      <c r="AZ29" s="35">
        <v>1</v>
      </c>
    </row>
    <row r="30" spans="1:52" x14ac:dyDescent="0.25">
      <c r="A30" s="10" t="s">
        <v>1474</v>
      </c>
      <c r="B30" s="10"/>
      <c r="C30" s="32">
        <v>246.62200000000001</v>
      </c>
      <c r="D30" s="33">
        <v>1</v>
      </c>
      <c r="E30" s="32">
        <v>298.64800000000002</v>
      </c>
      <c r="F30" s="33">
        <v>1</v>
      </c>
      <c r="G30" s="32">
        <v>320.11399999999998</v>
      </c>
      <c r="H30" s="33">
        <v>1</v>
      </c>
      <c r="I30" s="32">
        <v>335.66</v>
      </c>
      <c r="J30" s="33">
        <v>1</v>
      </c>
      <c r="K30" s="32">
        <v>337.06099999999998</v>
      </c>
      <c r="L30" s="33">
        <v>1</v>
      </c>
      <c r="M30" s="32">
        <v>348.38900000000001</v>
      </c>
      <c r="N30" s="33">
        <v>1</v>
      </c>
      <c r="O30" s="32">
        <v>344.84</v>
      </c>
      <c r="P30" s="33">
        <v>1</v>
      </c>
      <c r="Q30" s="32">
        <v>346.13099999999997</v>
      </c>
      <c r="R30" s="33">
        <v>1</v>
      </c>
      <c r="S30" s="32">
        <v>84.936000000000007</v>
      </c>
      <c r="T30" s="33">
        <v>1</v>
      </c>
      <c r="U30" s="32">
        <v>363.16800000000001</v>
      </c>
      <c r="V30" s="33">
        <v>1</v>
      </c>
      <c r="W30" s="32">
        <v>349.81299999999999</v>
      </c>
      <c r="X30" s="33">
        <v>1</v>
      </c>
      <c r="Y30" s="32">
        <v>220.18</v>
      </c>
      <c r="Z30" s="33">
        <v>1</v>
      </c>
      <c r="AA30" s="32">
        <v>101.238</v>
      </c>
      <c r="AB30" s="33">
        <v>1</v>
      </c>
      <c r="AC30" s="32">
        <v>123.131</v>
      </c>
      <c r="AD30" s="33">
        <v>1</v>
      </c>
      <c r="AE30" s="32">
        <v>307.29700000000003</v>
      </c>
      <c r="AF30" s="33">
        <v>1</v>
      </c>
      <c r="AG30" s="32">
        <v>300.21899999999999</v>
      </c>
      <c r="AH30" s="33">
        <v>1</v>
      </c>
      <c r="AI30" s="32">
        <v>298.52100000000002</v>
      </c>
      <c r="AJ30" s="33">
        <v>1</v>
      </c>
      <c r="AK30" s="32">
        <v>278.87099999999998</v>
      </c>
      <c r="AL30" s="33">
        <v>1</v>
      </c>
      <c r="AM30" s="32">
        <v>313.07600000000002</v>
      </c>
      <c r="AN30" s="33">
        <v>1</v>
      </c>
      <c r="AO30" s="32">
        <v>304.68900000000002</v>
      </c>
      <c r="AP30" s="33">
        <v>1</v>
      </c>
      <c r="AQ30" s="32">
        <v>267.04899999999998</v>
      </c>
      <c r="AR30" s="33">
        <v>1</v>
      </c>
      <c r="AS30" s="32">
        <v>285.57499999999999</v>
      </c>
      <c r="AT30" s="33">
        <v>1</v>
      </c>
      <c r="AU30" s="32">
        <v>267.96199999999999</v>
      </c>
      <c r="AV30" s="33">
        <v>1</v>
      </c>
      <c r="AW30" s="32">
        <v>245.691</v>
      </c>
      <c r="AX30" s="33">
        <v>1</v>
      </c>
      <c r="AY30" s="32">
        <v>237.73099999999999</v>
      </c>
      <c r="AZ30" s="33">
        <v>1</v>
      </c>
    </row>
    <row r="31" spans="1:52" x14ac:dyDescent="0.25">
      <c r="A31" s="6" t="s">
        <v>780</v>
      </c>
      <c r="B31" s="6"/>
      <c r="C31" s="34">
        <v>13.128</v>
      </c>
      <c r="D31" s="35">
        <v>1</v>
      </c>
      <c r="E31" s="34">
        <v>13.128</v>
      </c>
      <c r="F31" s="35">
        <v>1</v>
      </c>
      <c r="G31" s="34">
        <v>13.128</v>
      </c>
      <c r="H31" s="35">
        <v>1</v>
      </c>
      <c r="I31" s="34">
        <v>13.128</v>
      </c>
      <c r="J31" s="35">
        <v>1</v>
      </c>
      <c r="K31" s="34">
        <v>13.128</v>
      </c>
      <c r="L31" s="35">
        <v>1</v>
      </c>
      <c r="M31" s="34">
        <v>13.128</v>
      </c>
      <c r="N31" s="35">
        <v>1</v>
      </c>
      <c r="O31" s="34">
        <v>13.128</v>
      </c>
      <c r="P31" s="35">
        <v>1</v>
      </c>
      <c r="Q31" s="34">
        <v>13.128</v>
      </c>
      <c r="R31" s="35">
        <v>1</v>
      </c>
      <c r="S31" s="34">
        <v>5.6459999999999999</v>
      </c>
      <c r="T31" s="35">
        <v>1</v>
      </c>
      <c r="U31" s="34">
        <v>13.128</v>
      </c>
      <c r="V31" s="35">
        <v>1</v>
      </c>
      <c r="W31" s="34">
        <v>13.128</v>
      </c>
      <c r="X31" s="35">
        <v>1</v>
      </c>
      <c r="Y31" s="34">
        <v>12.055999999999999</v>
      </c>
      <c r="Z31" s="35">
        <v>1</v>
      </c>
      <c r="AA31" s="34">
        <v>5.6459999999999999</v>
      </c>
      <c r="AB31" s="35">
        <v>1</v>
      </c>
      <c r="AC31" s="34">
        <v>5.6459999999999999</v>
      </c>
      <c r="AD31" s="35">
        <v>1</v>
      </c>
      <c r="AE31" s="34">
        <v>5.6459999999999999</v>
      </c>
      <c r="AF31" s="35">
        <v>1</v>
      </c>
      <c r="AG31" s="34">
        <v>5.6459999999999999</v>
      </c>
      <c r="AH31" s="35">
        <v>1</v>
      </c>
      <c r="AI31" s="34">
        <v>5.6459999999999999</v>
      </c>
      <c r="AJ31" s="35">
        <v>1</v>
      </c>
      <c r="AK31" s="34">
        <v>5.6459999999999999</v>
      </c>
      <c r="AL31" s="35">
        <v>1</v>
      </c>
      <c r="AM31" s="34">
        <v>5.6459999999999999</v>
      </c>
      <c r="AN31" s="35">
        <v>1</v>
      </c>
      <c r="AO31" s="34">
        <v>5.6459999999999999</v>
      </c>
      <c r="AP31" s="35">
        <v>1</v>
      </c>
      <c r="AQ31" s="34">
        <v>5.6459999999999999</v>
      </c>
      <c r="AR31" s="35">
        <v>1</v>
      </c>
      <c r="AS31" s="34">
        <v>5.6459999999999999</v>
      </c>
      <c r="AT31" s="35">
        <v>1</v>
      </c>
      <c r="AU31" s="34">
        <v>5.6459999999999999</v>
      </c>
      <c r="AV31" s="35">
        <v>1</v>
      </c>
      <c r="AW31" s="34">
        <v>5.6459999999999999</v>
      </c>
      <c r="AX31" s="35">
        <v>1</v>
      </c>
      <c r="AY31" s="34">
        <v>5.6459999999999999</v>
      </c>
      <c r="AZ31" s="35">
        <v>1</v>
      </c>
    </row>
    <row r="32" spans="1:52" x14ac:dyDescent="0.25">
      <c r="A32" s="10" t="s">
        <v>1474</v>
      </c>
      <c r="B32" s="10"/>
      <c r="C32" s="32">
        <v>13.128</v>
      </c>
      <c r="D32" s="33">
        <v>1</v>
      </c>
      <c r="E32" s="32">
        <v>13.128</v>
      </c>
      <c r="F32" s="33">
        <v>1</v>
      </c>
      <c r="G32" s="32">
        <v>13.128</v>
      </c>
      <c r="H32" s="33">
        <v>1</v>
      </c>
      <c r="I32" s="32">
        <v>13.128</v>
      </c>
      <c r="J32" s="33">
        <v>1</v>
      </c>
      <c r="K32" s="32">
        <v>13.128</v>
      </c>
      <c r="L32" s="33">
        <v>1</v>
      </c>
      <c r="M32" s="32">
        <v>13.128</v>
      </c>
      <c r="N32" s="33">
        <v>1</v>
      </c>
      <c r="O32" s="32">
        <v>13.128</v>
      </c>
      <c r="P32" s="33">
        <v>1</v>
      </c>
      <c r="Q32" s="32">
        <v>13.128</v>
      </c>
      <c r="R32" s="33">
        <v>1</v>
      </c>
      <c r="S32" s="32">
        <v>5.6459999999999999</v>
      </c>
      <c r="T32" s="33">
        <v>1</v>
      </c>
      <c r="U32" s="32">
        <v>13.128</v>
      </c>
      <c r="V32" s="33">
        <v>1</v>
      </c>
      <c r="W32" s="32">
        <v>13.128</v>
      </c>
      <c r="X32" s="33">
        <v>1</v>
      </c>
      <c r="Y32" s="32">
        <v>12.055999999999999</v>
      </c>
      <c r="Z32" s="33">
        <v>1</v>
      </c>
      <c r="AA32" s="32">
        <v>5.6459999999999999</v>
      </c>
      <c r="AB32" s="33">
        <v>1</v>
      </c>
      <c r="AC32" s="32">
        <v>5.6459999999999999</v>
      </c>
      <c r="AD32" s="33">
        <v>1</v>
      </c>
      <c r="AE32" s="32">
        <v>5.6459999999999999</v>
      </c>
      <c r="AF32" s="33">
        <v>1</v>
      </c>
      <c r="AG32" s="32">
        <v>5.6459999999999999</v>
      </c>
      <c r="AH32" s="33">
        <v>1</v>
      </c>
      <c r="AI32" s="32">
        <v>5.6459999999999999</v>
      </c>
      <c r="AJ32" s="33">
        <v>1</v>
      </c>
      <c r="AK32" s="32">
        <v>5.6459999999999999</v>
      </c>
      <c r="AL32" s="33">
        <v>1</v>
      </c>
      <c r="AM32" s="32">
        <v>5.6459999999999999</v>
      </c>
      <c r="AN32" s="33">
        <v>1</v>
      </c>
      <c r="AO32" s="32">
        <v>5.6459999999999999</v>
      </c>
      <c r="AP32" s="33">
        <v>1</v>
      </c>
      <c r="AQ32" s="32">
        <v>5.6459999999999999</v>
      </c>
      <c r="AR32" s="33">
        <v>1</v>
      </c>
      <c r="AS32" s="32">
        <v>5.6459999999999999</v>
      </c>
      <c r="AT32" s="33">
        <v>1</v>
      </c>
      <c r="AU32" s="32">
        <v>5.6459999999999999</v>
      </c>
      <c r="AV32" s="33">
        <v>1</v>
      </c>
      <c r="AW32" s="32">
        <v>5.6459999999999999</v>
      </c>
      <c r="AX32" s="33">
        <v>1</v>
      </c>
      <c r="AY32" s="32">
        <v>5.6459999999999999</v>
      </c>
      <c r="AZ32" s="33">
        <v>1</v>
      </c>
    </row>
    <row r="33" spans="1:52" x14ac:dyDescent="0.25">
      <c r="A33" s="6" t="s">
        <v>1484</v>
      </c>
      <c r="B33" s="6"/>
      <c r="C33" s="34">
        <v>2242.8440000000001</v>
      </c>
      <c r="D33" s="35">
        <v>1</v>
      </c>
      <c r="E33" s="34">
        <v>2138.6149999999998</v>
      </c>
      <c r="F33" s="35">
        <v>1</v>
      </c>
      <c r="G33" s="34">
        <v>2023.3440000000001</v>
      </c>
      <c r="H33" s="35">
        <v>1</v>
      </c>
      <c r="I33" s="34">
        <v>1892.2180000000001</v>
      </c>
      <c r="J33" s="35">
        <v>1</v>
      </c>
      <c r="K33" s="34">
        <v>1727.424</v>
      </c>
      <c r="L33" s="35">
        <v>1</v>
      </c>
      <c r="M33" s="34">
        <v>1529.104</v>
      </c>
      <c r="N33" s="35">
        <v>1</v>
      </c>
      <c r="O33" s="34">
        <v>2107.79</v>
      </c>
      <c r="P33" s="35">
        <v>1</v>
      </c>
      <c r="Q33" s="34">
        <v>1945.4839999999999</v>
      </c>
      <c r="R33" s="35">
        <v>1</v>
      </c>
      <c r="S33" s="34">
        <v>1781.252</v>
      </c>
      <c r="T33" s="35">
        <v>1</v>
      </c>
      <c r="U33" s="34">
        <v>1637.279</v>
      </c>
      <c r="V33" s="35">
        <v>1</v>
      </c>
      <c r="W33" s="34">
        <v>1454.4590000000001</v>
      </c>
      <c r="X33" s="35">
        <v>1</v>
      </c>
      <c r="Y33" s="34">
        <v>1339.644</v>
      </c>
      <c r="Z33" s="35">
        <v>1</v>
      </c>
      <c r="AA33" s="34">
        <v>593.79499999999996</v>
      </c>
      <c r="AB33" s="35">
        <v>1</v>
      </c>
      <c r="AC33" s="34">
        <v>491.07100000000003</v>
      </c>
      <c r="AD33" s="35">
        <v>1</v>
      </c>
      <c r="AE33" s="34">
        <v>573.59199999999998</v>
      </c>
      <c r="AF33" s="35">
        <v>1</v>
      </c>
      <c r="AG33" s="34">
        <v>520.09799999999996</v>
      </c>
      <c r="AH33" s="35">
        <v>1</v>
      </c>
      <c r="AI33" s="34">
        <v>569.81399999999996</v>
      </c>
      <c r="AJ33" s="35">
        <v>1</v>
      </c>
      <c r="AK33" s="34">
        <v>692.73599999999999</v>
      </c>
      <c r="AL33" s="35">
        <v>1</v>
      </c>
      <c r="AM33" s="34">
        <v>663.39300000000003</v>
      </c>
      <c r="AN33" s="35">
        <v>1</v>
      </c>
      <c r="AO33" s="34">
        <v>613.60799999999995</v>
      </c>
      <c r="AP33" s="35">
        <v>1</v>
      </c>
      <c r="AQ33" s="34">
        <v>619.16099999999994</v>
      </c>
      <c r="AR33" s="35">
        <v>1</v>
      </c>
      <c r="AS33" s="34">
        <v>631.48299999999995</v>
      </c>
      <c r="AT33" s="35">
        <v>1</v>
      </c>
      <c r="AU33" s="34">
        <v>545.19299999999998</v>
      </c>
      <c r="AV33" s="35">
        <v>1</v>
      </c>
      <c r="AW33" s="34">
        <v>465.05599999999998</v>
      </c>
      <c r="AX33" s="35">
        <v>1</v>
      </c>
      <c r="AY33" s="34">
        <v>460.23200000000003</v>
      </c>
      <c r="AZ33" s="35">
        <v>1</v>
      </c>
    </row>
    <row r="34" spans="1:52" x14ac:dyDescent="0.25">
      <c r="A34" s="10" t="s">
        <v>1474</v>
      </c>
      <c r="B34" s="10"/>
      <c r="C34" s="32">
        <v>2242.8440000000001</v>
      </c>
      <c r="D34" s="33">
        <v>1</v>
      </c>
      <c r="E34" s="32">
        <v>2138.6149999999998</v>
      </c>
      <c r="F34" s="33">
        <v>1</v>
      </c>
      <c r="G34" s="32">
        <v>2023.3440000000001</v>
      </c>
      <c r="H34" s="33">
        <v>1</v>
      </c>
      <c r="I34" s="32">
        <v>1892.2180000000001</v>
      </c>
      <c r="J34" s="33">
        <v>1</v>
      </c>
      <c r="K34" s="32">
        <v>1727.424</v>
      </c>
      <c r="L34" s="33">
        <v>1</v>
      </c>
      <c r="M34" s="32">
        <v>1529.104</v>
      </c>
      <c r="N34" s="33">
        <v>1</v>
      </c>
      <c r="O34" s="32">
        <v>2107.79</v>
      </c>
      <c r="P34" s="33">
        <v>1</v>
      </c>
      <c r="Q34" s="32">
        <v>1945.4839999999999</v>
      </c>
      <c r="R34" s="33">
        <v>1</v>
      </c>
      <c r="S34" s="32">
        <v>1781.252</v>
      </c>
      <c r="T34" s="33">
        <v>1</v>
      </c>
      <c r="U34" s="32">
        <v>1637.279</v>
      </c>
      <c r="V34" s="33">
        <v>1</v>
      </c>
      <c r="W34" s="32">
        <v>1454.4590000000001</v>
      </c>
      <c r="X34" s="33">
        <v>1</v>
      </c>
      <c r="Y34" s="32">
        <v>1339.644</v>
      </c>
      <c r="Z34" s="33">
        <v>1</v>
      </c>
      <c r="AA34" s="32">
        <v>593.79499999999996</v>
      </c>
      <c r="AB34" s="33">
        <v>1</v>
      </c>
      <c r="AC34" s="32">
        <v>491.07100000000003</v>
      </c>
      <c r="AD34" s="33">
        <v>1</v>
      </c>
      <c r="AE34" s="32">
        <v>573.59199999999998</v>
      </c>
      <c r="AF34" s="33">
        <v>1</v>
      </c>
      <c r="AG34" s="32">
        <v>520.09799999999996</v>
      </c>
      <c r="AH34" s="33">
        <v>1</v>
      </c>
      <c r="AI34" s="32">
        <v>569.81399999999996</v>
      </c>
      <c r="AJ34" s="33">
        <v>1</v>
      </c>
      <c r="AK34" s="32">
        <v>692.73599999999999</v>
      </c>
      <c r="AL34" s="33">
        <v>1</v>
      </c>
      <c r="AM34" s="32">
        <v>663.39300000000003</v>
      </c>
      <c r="AN34" s="33">
        <v>1</v>
      </c>
      <c r="AO34" s="32">
        <v>613.60799999999995</v>
      </c>
      <c r="AP34" s="33">
        <v>1</v>
      </c>
      <c r="AQ34" s="32">
        <v>619.16099999999994</v>
      </c>
      <c r="AR34" s="33">
        <v>1</v>
      </c>
      <c r="AS34" s="32">
        <v>631.48299999999995</v>
      </c>
      <c r="AT34" s="33">
        <v>1</v>
      </c>
      <c r="AU34" s="32">
        <v>545.19299999999998</v>
      </c>
      <c r="AV34" s="33">
        <v>1</v>
      </c>
      <c r="AW34" s="32">
        <v>465.05599999999998</v>
      </c>
      <c r="AX34" s="33">
        <v>1</v>
      </c>
      <c r="AY34" s="32">
        <v>460.23200000000003</v>
      </c>
      <c r="AZ34" s="33">
        <v>1</v>
      </c>
    </row>
    <row r="35" spans="1:52" x14ac:dyDescent="0.25">
      <c r="A35" s="6" t="s">
        <v>1485</v>
      </c>
      <c r="B35" s="6"/>
      <c r="C35" s="34">
        <v>357.774</v>
      </c>
      <c r="D35" s="35">
        <v>1</v>
      </c>
      <c r="E35" s="34">
        <v>366.51600000000002</v>
      </c>
      <c r="F35" s="35">
        <v>1</v>
      </c>
      <c r="G35" s="34">
        <v>386.97</v>
      </c>
      <c r="H35" s="35">
        <v>1</v>
      </c>
      <c r="I35" s="34">
        <v>420.50799999999998</v>
      </c>
      <c r="J35" s="35">
        <v>1</v>
      </c>
      <c r="K35" s="34">
        <v>442.43099999999998</v>
      </c>
      <c r="L35" s="35">
        <v>1</v>
      </c>
      <c r="M35" s="34">
        <v>408.67099999999999</v>
      </c>
      <c r="N35" s="35">
        <v>1</v>
      </c>
      <c r="O35" s="34">
        <v>425.75900000000001</v>
      </c>
      <c r="P35" s="35">
        <v>1</v>
      </c>
      <c r="Q35" s="34">
        <v>422.46300000000002</v>
      </c>
      <c r="R35" s="35">
        <v>1</v>
      </c>
      <c r="S35" s="34">
        <v>426.19600000000003</v>
      </c>
      <c r="T35" s="35">
        <v>1</v>
      </c>
      <c r="U35" s="34">
        <v>436.94600000000003</v>
      </c>
      <c r="V35" s="35">
        <v>1</v>
      </c>
      <c r="W35" s="34">
        <v>469.89800000000002</v>
      </c>
      <c r="X35" s="35">
        <v>1</v>
      </c>
      <c r="Y35" s="34">
        <v>469.11700000000002</v>
      </c>
      <c r="Z35" s="35">
        <v>1</v>
      </c>
      <c r="AA35" s="34">
        <v>219.518</v>
      </c>
      <c r="AB35" s="35">
        <v>1</v>
      </c>
      <c r="AC35" s="34">
        <v>227.81200000000001</v>
      </c>
      <c r="AD35" s="35">
        <v>1</v>
      </c>
      <c r="AE35" s="34">
        <v>393.476</v>
      </c>
      <c r="AF35" s="35">
        <v>1</v>
      </c>
      <c r="AG35" s="34">
        <v>361.24099999999999</v>
      </c>
      <c r="AH35" s="35">
        <v>1</v>
      </c>
      <c r="AI35" s="34">
        <v>435.48099999999999</v>
      </c>
      <c r="AJ35" s="35">
        <v>1</v>
      </c>
      <c r="AK35" s="34">
        <v>337.99599999999998</v>
      </c>
      <c r="AL35" s="35">
        <v>1</v>
      </c>
      <c r="AM35" s="34">
        <v>374.37400000000002</v>
      </c>
      <c r="AN35" s="35">
        <v>1</v>
      </c>
      <c r="AO35" s="34">
        <v>391.072</v>
      </c>
      <c r="AP35" s="35">
        <v>1</v>
      </c>
      <c r="AQ35" s="34">
        <v>424.62400000000002</v>
      </c>
      <c r="AR35" s="35">
        <v>1</v>
      </c>
      <c r="AS35" s="34">
        <v>500.43700000000001</v>
      </c>
      <c r="AT35" s="35">
        <v>1</v>
      </c>
      <c r="AU35" s="34">
        <v>492.21199999999999</v>
      </c>
      <c r="AV35" s="35">
        <v>1</v>
      </c>
      <c r="AW35" s="34">
        <v>470.84199999999998</v>
      </c>
      <c r="AX35" s="35">
        <v>1</v>
      </c>
      <c r="AY35" s="34">
        <v>491.76600000000002</v>
      </c>
      <c r="AZ35" s="35">
        <v>1</v>
      </c>
    </row>
    <row r="36" spans="1:52" x14ac:dyDescent="0.25">
      <c r="A36" s="10" t="s">
        <v>1474</v>
      </c>
      <c r="B36" s="10"/>
      <c r="C36" s="32">
        <v>357.774</v>
      </c>
      <c r="D36" s="33">
        <v>1</v>
      </c>
      <c r="E36" s="32">
        <v>366.51600000000002</v>
      </c>
      <c r="F36" s="33">
        <v>1</v>
      </c>
      <c r="G36" s="32">
        <v>386.97</v>
      </c>
      <c r="H36" s="33">
        <v>1</v>
      </c>
      <c r="I36" s="32">
        <v>420.50799999999998</v>
      </c>
      <c r="J36" s="33">
        <v>1</v>
      </c>
      <c r="K36" s="32">
        <v>442.43099999999998</v>
      </c>
      <c r="L36" s="33">
        <v>1</v>
      </c>
      <c r="M36" s="32">
        <v>408.67099999999999</v>
      </c>
      <c r="N36" s="33">
        <v>1</v>
      </c>
      <c r="O36" s="32">
        <v>425.75900000000001</v>
      </c>
      <c r="P36" s="33">
        <v>1</v>
      </c>
      <c r="Q36" s="32">
        <v>422.46300000000002</v>
      </c>
      <c r="R36" s="33">
        <v>1</v>
      </c>
      <c r="S36" s="32">
        <v>426.19600000000003</v>
      </c>
      <c r="T36" s="33">
        <v>1</v>
      </c>
      <c r="U36" s="32">
        <v>436.94600000000003</v>
      </c>
      <c r="V36" s="33">
        <v>1</v>
      </c>
      <c r="W36" s="32">
        <v>469.89800000000002</v>
      </c>
      <c r="X36" s="33">
        <v>1</v>
      </c>
      <c r="Y36" s="32">
        <v>469.11700000000002</v>
      </c>
      <c r="Z36" s="33">
        <v>1</v>
      </c>
      <c r="AA36" s="32">
        <v>219.518</v>
      </c>
      <c r="AB36" s="33">
        <v>1</v>
      </c>
      <c r="AC36" s="32">
        <v>227.81200000000001</v>
      </c>
      <c r="AD36" s="33">
        <v>1</v>
      </c>
      <c r="AE36" s="32">
        <v>393.476</v>
      </c>
      <c r="AF36" s="33">
        <v>1</v>
      </c>
      <c r="AG36" s="32">
        <v>361.24099999999999</v>
      </c>
      <c r="AH36" s="33">
        <v>1</v>
      </c>
      <c r="AI36" s="32">
        <v>435.48099999999999</v>
      </c>
      <c r="AJ36" s="33">
        <v>1</v>
      </c>
      <c r="AK36" s="32">
        <v>337.99599999999998</v>
      </c>
      <c r="AL36" s="33">
        <v>1</v>
      </c>
      <c r="AM36" s="32">
        <v>374.37400000000002</v>
      </c>
      <c r="AN36" s="33">
        <v>1</v>
      </c>
      <c r="AO36" s="32">
        <v>391.072</v>
      </c>
      <c r="AP36" s="33">
        <v>1</v>
      </c>
      <c r="AQ36" s="32">
        <v>424.62400000000002</v>
      </c>
      <c r="AR36" s="33">
        <v>1</v>
      </c>
      <c r="AS36" s="32">
        <v>500.43700000000001</v>
      </c>
      <c r="AT36" s="33">
        <v>1</v>
      </c>
      <c r="AU36" s="32">
        <v>492.21199999999999</v>
      </c>
      <c r="AV36" s="33">
        <v>1</v>
      </c>
      <c r="AW36" s="32">
        <v>470.84199999999998</v>
      </c>
      <c r="AX36" s="33">
        <v>1</v>
      </c>
      <c r="AY36" s="32">
        <v>491.76600000000002</v>
      </c>
      <c r="AZ36" s="33">
        <v>1</v>
      </c>
    </row>
    <row r="37" spans="1:52" x14ac:dyDescent="0.25">
      <c r="A37" s="6" t="s">
        <v>483</v>
      </c>
      <c r="B37" s="6"/>
      <c r="C37" s="34">
        <v>4.5449999999999999</v>
      </c>
      <c r="D37" s="35">
        <v>1</v>
      </c>
      <c r="E37" s="34">
        <v>3.7829999999999999</v>
      </c>
      <c r="F37" s="35">
        <v>1</v>
      </c>
      <c r="G37" s="34">
        <v>4.048</v>
      </c>
      <c r="H37" s="35">
        <v>1</v>
      </c>
      <c r="I37" s="34">
        <v>4.5469999999999997</v>
      </c>
      <c r="J37" s="35">
        <v>1</v>
      </c>
      <c r="K37" s="34">
        <v>5.056</v>
      </c>
      <c r="L37" s="35">
        <v>1</v>
      </c>
      <c r="M37" s="34">
        <v>4.88</v>
      </c>
      <c r="N37" s="35">
        <v>1</v>
      </c>
      <c r="O37" s="34">
        <v>4.55</v>
      </c>
      <c r="P37" s="35">
        <v>1</v>
      </c>
      <c r="Q37" s="34">
        <v>4.9480000000000004</v>
      </c>
      <c r="R37" s="35">
        <v>1</v>
      </c>
      <c r="S37" s="34">
        <v>4.9779999999999998</v>
      </c>
      <c r="T37" s="35">
        <v>1</v>
      </c>
      <c r="U37" s="34">
        <v>5.36</v>
      </c>
      <c r="V37" s="35">
        <v>1</v>
      </c>
      <c r="W37" s="34">
        <v>5.9930000000000003</v>
      </c>
      <c r="X37" s="35">
        <v>1</v>
      </c>
      <c r="Y37" s="34">
        <v>5.9820000000000002</v>
      </c>
      <c r="Z37" s="35">
        <v>1</v>
      </c>
      <c r="AA37" s="34">
        <v>2.3140000000000001</v>
      </c>
      <c r="AB37" s="35">
        <v>1</v>
      </c>
      <c r="AC37" s="34">
        <v>1.014</v>
      </c>
      <c r="AD37" s="35">
        <v>1</v>
      </c>
      <c r="AE37" s="34">
        <v>1.3440000000000001</v>
      </c>
      <c r="AF37" s="35">
        <v>1</v>
      </c>
      <c r="AG37" s="34">
        <v>1.387</v>
      </c>
      <c r="AH37" s="35">
        <v>1</v>
      </c>
      <c r="AI37" s="34">
        <v>4.5990000000000002</v>
      </c>
      <c r="AJ37" s="35">
        <v>1</v>
      </c>
      <c r="AK37" s="34">
        <v>6.1719999999999997</v>
      </c>
      <c r="AL37" s="35">
        <v>1</v>
      </c>
      <c r="AM37" s="34">
        <v>6.0780000000000003</v>
      </c>
      <c r="AN37" s="35">
        <v>1</v>
      </c>
      <c r="AO37" s="34">
        <v>7.41</v>
      </c>
      <c r="AP37" s="35">
        <v>1</v>
      </c>
      <c r="AQ37" s="34">
        <v>25.401</v>
      </c>
      <c r="AR37" s="35">
        <v>1</v>
      </c>
      <c r="AS37" s="34">
        <v>15.468999999999999</v>
      </c>
      <c r="AT37" s="35">
        <v>1</v>
      </c>
      <c r="AU37" s="34">
        <v>16.526</v>
      </c>
      <c r="AV37" s="35">
        <v>1</v>
      </c>
      <c r="AW37" s="34">
        <v>15.343999999999999</v>
      </c>
      <c r="AX37" s="35">
        <v>1</v>
      </c>
      <c r="AY37" s="34">
        <v>13.904999999999999</v>
      </c>
      <c r="AZ37" s="35">
        <v>1</v>
      </c>
    </row>
    <row r="38" spans="1:52" x14ac:dyDescent="0.25">
      <c r="A38" s="10" t="s">
        <v>1474</v>
      </c>
      <c r="B38" s="10"/>
      <c r="C38" s="32">
        <v>4.5449999999999999</v>
      </c>
      <c r="D38" s="33">
        <v>1</v>
      </c>
      <c r="E38" s="32">
        <v>3.7829999999999999</v>
      </c>
      <c r="F38" s="33">
        <v>1</v>
      </c>
      <c r="G38" s="32">
        <v>4.048</v>
      </c>
      <c r="H38" s="33">
        <v>1</v>
      </c>
      <c r="I38" s="32">
        <v>4.5469999999999997</v>
      </c>
      <c r="J38" s="33">
        <v>1</v>
      </c>
      <c r="K38" s="32">
        <v>5.056</v>
      </c>
      <c r="L38" s="33">
        <v>1</v>
      </c>
      <c r="M38" s="32">
        <v>4.88</v>
      </c>
      <c r="N38" s="33">
        <v>1</v>
      </c>
      <c r="O38" s="32">
        <v>4.55</v>
      </c>
      <c r="P38" s="33">
        <v>1</v>
      </c>
      <c r="Q38" s="32">
        <v>4.9480000000000004</v>
      </c>
      <c r="R38" s="33">
        <v>1</v>
      </c>
      <c r="S38" s="32">
        <v>4.9779999999999998</v>
      </c>
      <c r="T38" s="33">
        <v>1</v>
      </c>
      <c r="U38" s="32">
        <v>5.36</v>
      </c>
      <c r="V38" s="33">
        <v>1</v>
      </c>
      <c r="W38" s="32">
        <v>5.9930000000000003</v>
      </c>
      <c r="X38" s="33">
        <v>1</v>
      </c>
      <c r="Y38" s="32">
        <v>5.9820000000000002</v>
      </c>
      <c r="Z38" s="33">
        <v>1</v>
      </c>
      <c r="AA38" s="32">
        <v>2.3140000000000001</v>
      </c>
      <c r="AB38" s="33">
        <v>1</v>
      </c>
      <c r="AC38" s="32">
        <v>1.014</v>
      </c>
      <c r="AD38" s="33">
        <v>1</v>
      </c>
      <c r="AE38" s="32">
        <v>1.3440000000000001</v>
      </c>
      <c r="AF38" s="33">
        <v>1</v>
      </c>
      <c r="AG38" s="32">
        <v>1.387</v>
      </c>
      <c r="AH38" s="33">
        <v>1</v>
      </c>
      <c r="AI38" s="32">
        <v>4.5990000000000002</v>
      </c>
      <c r="AJ38" s="33">
        <v>1</v>
      </c>
      <c r="AK38" s="32">
        <v>6.1719999999999997</v>
      </c>
      <c r="AL38" s="33">
        <v>1</v>
      </c>
      <c r="AM38" s="32">
        <v>6.0780000000000003</v>
      </c>
      <c r="AN38" s="33">
        <v>1</v>
      </c>
      <c r="AO38" s="32">
        <v>7.41</v>
      </c>
      <c r="AP38" s="33">
        <v>1</v>
      </c>
      <c r="AQ38" s="32">
        <v>25.401</v>
      </c>
      <c r="AR38" s="33">
        <v>1</v>
      </c>
      <c r="AS38" s="32">
        <v>15.468999999999999</v>
      </c>
      <c r="AT38" s="33">
        <v>1</v>
      </c>
      <c r="AU38" s="32">
        <v>16.526</v>
      </c>
      <c r="AV38" s="33">
        <v>1</v>
      </c>
      <c r="AW38" s="32">
        <v>15.343999999999999</v>
      </c>
      <c r="AX38" s="33">
        <v>1</v>
      </c>
      <c r="AY38" s="32">
        <v>13.904999999999999</v>
      </c>
      <c r="AZ38" s="33">
        <v>1</v>
      </c>
    </row>
    <row r="39" spans="1:52" x14ac:dyDescent="0.25">
      <c r="A39" s="6" t="s">
        <v>1486</v>
      </c>
      <c r="B39" s="6"/>
      <c r="C39" s="34" t="s">
        <v>76</v>
      </c>
      <c r="D39" s="35"/>
      <c r="E39" s="34" t="s">
        <v>76</v>
      </c>
      <c r="F39" s="35"/>
      <c r="G39" s="34" t="s">
        <v>76</v>
      </c>
      <c r="H39" s="35"/>
      <c r="I39" s="34" t="s">
        <v>76</v>
      </c>
      <c r="J39" s="35"/>
      <c r="K39" s="34" t="s">
        <v>76</v>
      </c>
      <c r="L39" s="35"/>
      <c r="M39" s="34" t="s">
        <v>76</v>
      </c>
      <c r="N39" s="35"/>
      <c r="O39" s="34" t="s">
        <v>76</v>
      </c>
      <c r="P39" s="35"/>
      <c r="Q39" s="34" t="s">
        <v>76</v>
      </c>
      <c r="R39" s="35"/>
      <c r="S39" s="34" t="s">
        <v>76</v>
      </c>
      <c r="T39" s="35"/>
      <c r="U39" s="34" t="s">
        <v>76</v>
      </c>
      <c r="V39" s="35"/>
      <c r="W39" s="34" t="s">
        <v>76</v>
      </c>
      <c r="X39" s="35"/>
      <c r="Y39" s="34">
        <v>5.9820000000000002</v>
      </c>
      <c r="Z39" s="35">
        <v>1</v>
      </c>
      <c r="AA39" s="34" t="s">
        <v>76</v>
      </c>
      <c r="AB39" s="35"/>
      <c r="AC39" s="34" t="s">
        <v>76</v>
      </c>
      <c r="AD39" s="35"/>
      <c r="AE39" s="34" t="s">
        <v>76</v>
      </c>
      <c r="AF39" s="35"/>
      <c r="AG39" s="34">
        <v>1.387</v>
      </c>
      <c r="AH39" s="35">
        <v>1</v>
      </c>
      <c r="AI39" s="34" t="s">
        <v>76</v>
      </c>
      <c r="AJ39" s="35"/>
      <c r="AK39" s="34" t="s">
        <v>76</v>
      </c>
      <c r="AL39" s="35"/>
      <c r="AM39" s="34" t="s">
        <v>76</v>
      </c>
      <c r="AN39" s="35"/>
      <c r="AO39" s="34" t="s">
        <v>76</v>
      </c>
      <c r="AP39" s="35"/>
      <c r="AQ39" s="34" t="s">
        <v>76</v>
      </c>
      <c r="AR39" s="35"/>
      <c r="AS39" s="34" t="s">
        <v>76</v>
      </c>
      <c r="AT39" s="35"/>
      <c r="AU39" s="34" t="s">
        <v>76</v>
      </c>
      <c r="AV39" s="35"/>
      <c r="AW39" s="34" t="s">
        <v>76</v>
      </c>
      <c r="AX39" s="35"/>
      <c r="AY39" s="34" t="s">
        <v>76</v>
      </c>
      <c r="AZ39" s="35"/>
    </row>
    <row r="40" spans="1:52" x14ac:dyDescent="0.25">
      <c r="A40" s="10" t="s">
        <v>1474</v>
      </c>
      <c r="B40" s="10"/>
      <c r="C40" s="32" t="s">
        <v>76</v>
      </c>
      <c r="D40" s="33"/>
      <c r="E40" s="32" t="s">
        <v>76</v>
      </c>
      <c r="F40" s="33"/>
      <c r="G40" s="32" t="s">
        <v>76</v>
      </c>
      <c r="H40" s="33"/>
      <c r="I40" s="32" t="s">
        <v>76</v>
      </c>
      <c r="J40" s="33"/>
      <c r="K40" s="32" t="s">
        <v>76</v>
      </c>
      <c r="L40" s="33"/>
      <c r="M40" s="32" t="s">
        <v>76</v>
      </c>
      <c r="N40" s="33"/>
      <c r="O40" s="32" t="s">
        <v>76</v>
      </c>
      <c r="P40" s="33"/>
      <c r="Q40" s="32" t="s">
        <v>76</v>
      </c>
      <c r="R40" s="33"/>
      <c r="S40" s="32" t="s">
        <v>76</v>
      </c>
      <c r="T40" s="33"/>
      <c r="U40" s="32" t="s">
        <v>76</v>
      </c>
      <c r="V40" s="33"/>
      <c r="W40" s="32" t="s">
        <v>76</v>
      </c>
      <c r="X40" s="33"/>
      <c r="Y40" s="32">
        <v>5.9820000000000002</v>
      </c>
      <c r="Z40" s="33">
        <v>1</v>
      </c>
      <c r="AA40" s="32" t="s">
        <v>76</v>
      </c>
      <c r="AB40" s="33"/>
      <c r="AC40" s="32" t="s">
        <v>76</v>
      </c>
      <c r="AD40" s="33"/>
      <c r="AE40" s="32" t="s">
        <v>76</v>
      </c>
      <c r="AF40" s="33"/>
      <c r="AG40" s="32">
        <v>1.387</v>
      </c>
      <c r="AH40" s="33">
        <v>1</v>
      </c>
      <c r="AI40" s="32" t="s">
        <v>76</v>
      </c>
      <c r="AJ40" s="33"/>
      <c r="AK40" s="32" t="s">
        <v>76</v>
      </c>
      <c r="AL40" s="33"/>
      <c r="AM40" s="32" t="s">
        <v>76</v>
      </c>
      <c r="AN40" s="33"/>
      <c r="AO40" s="32" t="s">
        <v>76</v>
      </c>
      <c r="AP40" s="33"/>
      <c r="AQ40" s="32" t="s">
        <v>76</v>
      </c>
      <c r="AR40" s="33"/>
      <c r="AS40" s="32" t="s">
        <v>76</v>
      </c>
      <c r="AT40" s="33"/>
      <c r="AU40" s="32" t="s">
        <v>76</v>
      </c>
      <c r="AV40" s="33"/>
      <c r="AW40" s="32" t="s">
        <v>76</v>
      </c>
      <c r="AX40" s="33"/>
      <c r="AY40" s="32" t="s">
        <v>76</v>
      </c>
      <c r="AZ40" s="33"/>
    </row>
    <row r="41" spans="1:52" x14ac:dyDescent="0.25">
      <c r="A41" s="6" t="s">
        <v>1487</v>
      </c>
      <c r="B41" s="6"/>
      <c r="C41" s="34">
        <v>119.72199999999999</v>
      </c>
      <c r="D41" s="35">
        <v>1</v>
      </c>
      <c r="E41" s="34">
        <v>122.64</v>
      </c>
      <c r="F41" s="35">
        <v>1</v>
      </c>
      <c r="G41" s="34">
        <v>146.54</v>
      </c>
      <c r="H41" s="35">
        <v>1</v>
      </c>
      <c r="I41" s="34">
        <v>151.41200000000001</v>
      </c>
      <c r="J41" s="35">
        <v>1</v>
      </c>
      <c r="K41" s="34">
        <v>161.821</v>
      </c>
      <c r="L41" s="35">
        <v>1</v>
      </c>
      <c r="M41" s="34">
        <v>154.12299999999999</v>
      </c>
      <c r="N41" s="35">
        <v>1</v>
      </c>
      <c r="O41" s="34">
        <v>156.30799999999999</v>
      </c>
      <c r="P41" s="35">
        <v>1</v>
      </c>
      <c r="Q41" s="34">
        <v>140.43100000000001</v>
      </c>
      <c r="R41" s="35">
        <v>1</v>
      </c>
      <c r="S41" s="34">
        <v>58.814999999999998</v>
      </c>
      <c r="T41" s="35">
        <v>1</v>
      </c>
      <c r="U41" s="34">
        <v>82.843000000000004</v>
      </c>
      <c r="V41" s="35">
        <v>1</v>
      </c>
      <c r="W41" s="34">
        <v>144.315</v>
      </c>
      <c r="X41" s="35">
        <v>1</v>
      </c>
      <c r="Y41" s="34">
        <v>73.679000000000002</v>
      </c>
      <c r="Z41" s="35">
        <v>1</v>
      </c>
      <c r="AA41" s="34">
        <v>79.384</v>
      </c>
      <c r="AB41" s="35">
        <v>1</v>
      </c>
      <c r="AC41" s="34">
        <v>77.875</v>
      </c>
      <c r="AD41" s="35">
        <v>1</v>
      </c>
      <c r="AE41" s="34">
        <v>63.841000000000001</v>
      </c>
      <c r="AF41" s="35">
        <v>1</v>
      </c>
      <c r="AG41" s="34">
        <v>53.149000000000001</v>
      </c>
      <c r="AH41" s="35">
        <v>1</v>
      </c>
      <c r="AI41" s="34">
        <v>5.5739999999999998</v>
      </c>
      <c r="AJ41" s="35">
        <v>1</v>
      </c>
      <c r="AK41" s="34">
        <v>41.587000000000003</v>
      </c>
      <c r="AL41" s="35">
        <v>1</v>
      </c>
      <c r="AM41" s="34">
        <v>31.448</v>
      </c>
      <c r="AN41" s="35">
        <v>1</v>
      </c>
      <c r="AO41" s="34">
        <v>58.500999999999998</v>
      </c>
      <c r="AP41" s="35">
        <v>1</v>
      </c>
      <c r="AQ41" s="34">
        <v>33.771000000000001</v>
      </c>
      <c r="AR41" s="35">
        <v>1</v>
      </c>
      <c r="AS41" s="34">
        <v>25.071999999999999</v>
      </c>
      <c r="AT41" s="35">
        <v>1</v>
      </c>
      <c r="AU41" s="34">
        <v>25.161999999999999</v>
      </c>
      <c r="AV41" s="35">
        <v>1</v>
      </c>
      <c r="AW41" s="34">
        <v>23.173999999999999</v>
      </c>
      <c r="AX41" s="35">
        <v>1</v>
      </c>
      <c r="AY41" s="34">
        <v>20.844000000000001</v>
      </c>
      <c r="AZ41" s="35">
        <v>1</v>
      </c>
    </row>
    <row r="42" spans="1:52" x14ac:dyDescent="0.25">
      <c r="A42" s="10" t="s">
        <v>1474</v>
      </c>
      <c r="B42" s="10"/>
      <c r="C42" s="32">
        <v>119.72199999999999</v>
      </c>
      <c r="D42" s="33">
        <v>1</v>
      </c>
      <c r="E42" s="32">
        <v>122.64</v>
      </c>
      <c r="F42" s="33">
        <v>1</v>
      </c>
      <c r="G42" s="32">
        <v>146.54</v>
      </c>
      <c r="H42" s="33">
        <v>1</v>
      </c>
      <c r="I42" s="32">
        <v>151.41200000000001</v>
      </c>
      <c r="J42" s="33">
        <v>1</v>
      </c>
      <c r="K42" s="32">
        <v>161.821</v>
      </c>
      <c r="L42" s="33">
        <v>1</v>
      </c>
      <c r="M42" s="32">
        <v>154.12299999999999</v>
      </c>
      <c r="N42" s="33">
        <v>1</v>
      </c>
      <c r="O42" s="32">
        <v>156.30799999999999</v>
      </c>
      <c r="P42" s="33">
        <v>1</v>
      </c>
      <c r="Q42" s="32">
        <v>140.43100000000001</v>
      </c>
      <c r="R42" s="33">
        <v>1</v>
      </c>
      <c r="S42" s="32">
        <v>58.814999999999998</v>
      </c>
      <c r="T42" s="33">
        <v>1</v>
      </c>
      <c r="U42" s="32">
        <v>82.843000000000004</v>
      </c>
      <c r="V42" s="33">
        <v>1</v>
      </c>
      <c r="W42" s="32">
        <v>144.315</v>
      </c>
      <c r="X42" s="33">
        <v>1</v>
      </c>
      <c r="Y42" s="32">
        <v>73.679000000000002</v>
      </c>
      <c r="Z42" s="33">
        <v>1</v>
      </c>
      <c r="AA42" s="32">
        <v>79.384</v>
      </c>
      <c r="AB42" s="33">
        <v>1</v>
      </c>
      <c r="AC42" s="32">
        <v>77.875</v>
      </c>
      <c r="AD42" s="33">
        <v>1</v>
      </c>
      <c r="AE42" s="32">
        <v>63.841000000000001</v>
      </c>
      <c r="AF42" s="33">
        <v>1</v>
      </c>
      <c r="AG42" s="32">
        <v>53.149000000000001</v>
      </c>
      <c r="AH42" s="33">
        <v>1</v>
      </c>
      <c r="AI42" s="32">
        <v>5.5739999999999998</v>
      </c>
      <c r="AJ42" s="33">
        <v>1</v>
      </c>
      <c r="AK42" s="32">
        <v>41.587000000000003</v>
      </c>
      <c r="AL42" s="33">
        <v>1</v>
      </c>
      <c r="AM42" s="32">
        <v>31.448</v>
      </c>
      <c r="AN42" s="33">
        <v>1</v>
      </c>
      <c r="AO42" s="32">
        <v>58.500999999999998</v>
      </c>
      <c r="AP42" s="33">
        <v>1</v>
      </c>
      <c r="AQ42" s="32">
        <v>33.771000000000001</v>
      </c>
      <c r="AR42" s="33">
        <v>1</v>
      </c>
      <c r="AS42" s="32">
        <v>25.071999999999999</v>
      </c>
      <c r="AT42" s="33">
        <v>1</v>
      </c>
      <c r="AU42" s="32">
        <v>25.161999999999999</v>
      </c>
      <c r="AV42" s="33">
        <v>1</v>
      </c>
      <c r="AW42" s="32">
        <v>23.173999999999999</v>
      </c>
      <c r="AX42" s="33">
        <v>1</v>
      </c>
      <c r="AY42" s="32">
        <v>20.844000000000001</v>
      </c>
      <c r="AZ42" s="33">
        <v>1</v>
      </c>
    </row>
    <row r="43" spans="1:52" x14ac:dyDescent="0.25">
      <c r="A43" s="6" t="s">
        <v>86</v>
      </c>
      <c r="B43" s="6"/>
      <c r="C43" s="34">
        <v>-12.893000000000001</v>
      </c>
      <c r="D43" s="35"/>
      <c r="E43" s="34">
        <v>-19.321000000000002</v>
      </c>
      <c r="F43" s="35"/>
      <c r="G43" s="34">
        <v>-18.603999999999999</v>
      </c>
      <c r="H43" s="35"/>
      <c r="I43" s="34">
        <v>-20.713000000000001</v>
      </c>
      <c r="J43" s="35"/>
      <c r="K43" s="34">
        <v>-12.39</v>
      </c>
      <c r="L43" s="35"/>
      <c r="M43" s="34">
        <v>-10.676</v>
      </c>
      <c r="N43" s="35"/>
      <c r="O43" s="34">
        <v>-4.8019999999999996</v>
      </c>
      <c r="P43" s="35"/>
      <c r="Q43" s="34">
        <v>-5.62</v>
      </c>
      <c r="R43" s="35"/>
      <c r="S43" s="34">
        <v>-7.8879999999999999</v>
      </c>
      <c r="T43" s="35"/>
      <c r="U43" s="34">
        <v>-7.6260000000000003</v>
      </c>
      <c r="V43" s="35"/>
      <c r="W43" s="34">
        <v>-1.5780000000000001</v>
      </c>
      <c r="X43" s="35"/>
      <c r="Y43" s="34">
        <v>-3.74</v>
      </c>
      <c r="Z43" s="35"/>
      <c r="AA43" s="34">
        <v>-1.5589999999999999</v>
      </c>
      <c r="AB43" s="35"/>
      <c r="AC43" s="34">
        <v>-0.85699999999999998</v>
      </c>
      <c r="AD43" s="35"/>
      <c r="AE43" s="34">
        <v>-5.9790000000000001</v>
      </c>
      <c r="AF43" s="35"/>
      <c r="AG43" s="34">
        <v>-1.264</v>
      </c>
      <c r="AH43" s="35"/>
      <c r="AI43" s="34">
        <v>-0.108</v>
      </c>
      <c r="AJ43" s="35"/>
      <c r="AK43" s="34">
        <v>-0.23200000000000001</v>
      </c>
      <c r="AL43" s="35"/>
      <c r="AM43" s="34">
        <v>-0.70499999999999996</v>
      </c>
      <c r="AN43" s="35"/>
      <c r="AO43" s="34">
        <v>-2.0379999999999998</v>
      </c>
      <c r="AP43" s="35"/>
      <c r="AQ43" s="34">
        <v>-1.214</v>
      </c>
      <c r="AR43" s="35"/>
      <c r="AS43" s="34">
        <v>-1.7749999999999999</v>
      </c>
      <c r="AT43" s="35"/>
      <c r="AU43" s="34">
        <v>-5.8999999999999997E-2</v>
      </c>
      <c r="AV43" s="35"/>
      <c r="AW43" s="34">
        <v>-0.28000000000000003</v>
      </c>
      <c r="AX43" s="35"/>
      <c r="AY43" s="34">
        <v>-0.48499999999999999</v>
      </c>
      <c r="AZ43" s="35"/>
    </row>
    <row r="44" spans="1:52" x14ac:dyDescent="0.25">
      <c r="A44" s="10" t="s">
        <v>1474</v>
      </c>
      <c r="B44" s="10"/>
      <c r="C44" s="32">
        <v>-12.893000000000001</v>
      </c>
      <c r="D44" s="33">
        <v>1</v>
      </c>
      <c r="E44" s="32">
        <v>-19.321000000000002</v>
      </c>
      <c r="F44" s="33">
        <v>1</v>
      </c>
      <c r="G44" s="32">
        <v>-18.603999999999999</v>
      </c>
      <c r="H44" s="33">
        <v>1</v>
      </c>
      <c r="I44" s="32">
        <v>-20.713000000000001</v>
      </c>
      <c r="J44" s="33">
        <v>1</v>
      </c>
      <c r="K44" s="32">
        <v>-12.39</v>
      </c>
      <c r="L44" s="33">
        <v>1</v>
      </c>
      <c r="M44" s="32">
        <v>-10.676</v>
      </c>
      <c r="N44" s="33">
        <v>1</v>
      </c>
      <c r="O44" s="32">
        <v>-4.8019999999999996</v>
      </c>
      <c r="P44" s="33">
        <v>1</v>
      </c>
      <c r="Q44" s="32">
        <v>-5.62</v>
      </c>
      <c r="R44" s="33">
        <v>1</v>
      </c>
      <c r="S44" s="32">
        <v>-7.8879999999999999</v>
      </c>
      <c r="T44" s="33">
        <v>1</v>
      </c>
      <c r="U44" s="32">
        <v>-7.6260000000000003</v>
      </c>
      <c r="V44" s="33">
        <v>1</v>
      </c>
      <c r="W44" s="32">
        <v>-1.5780000000000001</v>
      </c>
      <c r="X44" s="33">
        <v>1</v>
      </c>
      <c r="Y44" s="32">
        <v>-3.74</v>
      </c>
      <c r="Z44" s="33">
        <v>1</v>
      </c>
      <c r="AA44" s="32">
        <v>-1.5589999999999999</v>
      </c>
      <c r="AB44" s="33">
        <v>1</v>
      </c>
      <c r="AC44" s="32">
        <v>-0.85699999999999998</v>
      </c>
      <c r="AD44" s="33">
        <v>1</v>
      </c>
      <c r="AE44" s="32">
        <v>-5.9790000000000001</v>
      </c>
      <c r="AF44" s="33">
        <v>1</v>
      </c>
      <c r="AG44" s="32">
        <v>-1.264</v>
      </c>
      <c r="AH44" s="33">
        <v>1</v>
      </c>
      <c r="AI44" s="32">
        <v>-0.108</v>
      </c>
      <c r="AJ44" s="33">
        <v>1</v>
      </c>
      <c r="AK44" s="32">
        <v>-0.23200000000000001</v>
      </c>
      <c r="AL44" s="33">
        <v>1</v>
      </c>
      <c r="AM44" s="32">
        <v>-0.70499999999999996</v>
      </c>
      <c r="AN44" s="33">
        <v>1</v>
      </c>
      <c r="AO44" s="32">
        <v>-2.0379999999999998</v>
      </c>
      <c r="AP44" s="33">
        <v>1</v>
      </c>
      <c r="AQ44" s="32">
        <v>-1.214</v>
      </c>
      <c r="AR44" s="33">
        <v>1</v>
      </c>
      <c r="AS44" s="32">
        <v>-1.7749999999999999</v>
      </c>
      <c r="AT44" s="33">
        <v>1</v>
      </c>
      <c r="AU44" s="32">
        <v>-5.8999999999999997E-2</v>
      </c>
      <c r="AV44" s="33">
        <v>1</v>
      </c>
      <c r="AW44" s="32">
        <v>-0.28000000000000003</v>
      </c>
      <c r="AX44" s="33">
        <v>1</v>
      </c>
      <c r="AY44" s="32">
        <v>-0.48499999999999999</v>
      </c>
      <c r="AZ44" s="33">
        <v>1</v>
      </c>
    </row>
    <row r="45" spans="1:52" x14ac:dyDescent="0.25">
      <c r="A45" s="7" t="s">
        <v>90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  <col min="13" max="13" width="11.85546875" customWidth="1"/>
    <col min="14" max="14" width="7" customWidth="1"/>
    <col min="15" max="15" width="11.85546875" customWidth="1"/>
    <col min="16" max="16" width="7" customWidth="1"/>
    <col min="17" max="17" width="11.85546875" customWidth="1"/>
    <col min="18" max="18" width="7" customWidth="1"/>
    <col min="19" max="19" width="11.85546875" customWidth="1"/>
    <col min="20" max="20" width="7" customWidth="1"/>
    <col min="21" max="21" width="11.85546875" customWidth="1"/>
    <col min="22" max="22" width="7" customWidth="1"/>
    <col min="23" max="23" width="11.85546875" customWidth="1"/>
    <col min="24" max="24" width="7" customWidth="1"/>
    <col min="25" max="25" width="11.85546875" customWidth="1"/>
    <col min="26" max="26" width="7" customWidth="1"/>
    <col min="27" max="27" width="11.85546875" customWidth="1"/>
    <col min="28" max="28" width="7" customWidth="1"/>
    <col min="29" max="29" width="11.85546875" customWidth="1"/>
    <col min="30" max="30" width="7" customWidth="1"/>
    <col min="31" max="31" width="11.85546875" customWidth="1"/>
    <col min="32" max="32" width="7" customWidth="1"/>
    <col min="33" max="33" width="11.85546875" customWidth="1"/>
    <col min="34" max="34" width="7" customWidth="1"/>
    <col min="35" max="35" width="11.85546875" customWidth="1"/>
    <col min="36" max="36" width="7" customWidth="1"/>
    <col min="37" max="37" width="11.85546875" customWidth="1"/>
    <col min="38" max="38" width="7" customWidth="1"/>
    <col min="39" max="39" width="11.85546875" customWidth="1"/>
    <col min="40" max="40" width="7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0.25" x14ac:dyDescent="0.25">
      <c r="A2" s="8" t="s">
        <v>1488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3" t="s">
        <v>92</v>
      </c>
      <c r="B4" s="3"/>
      <c r="C4" s="30" t="s">
        <v>93</v>
      </c>
      <c r="D4" s="30"/>
      <c r="E4" s="30" t="s">
        <v>94</v>
      </c>
      <c r="F4" s="30"/>
      <c r="G4" s="30" t="s">
        <v>8</v>
      </c>
      <c r="H4" s="30"/>
      <c r="I4" s="30" t="s">
        <v>9</v>
      </c>
      <c r="J4" s="30"/>
      <c r="K4" s="30" t="s">
        <v>10</v>
      </c>
      <c r="L4" s="30"/>
      <c r="M4" s="30" t="s">
        <v>11</v>
      </c>
      <c r="N4" s="30"/>
      <c r="O4" s="30" t="s">
        <v>12</v>
      </c>
      <c r="P4" s="30"/>
      <c r="Q4" s="30" t="s">
        <v>13</v>
      </c>
      <c r="R4" s="30"/>
      <c r="S4" s="30" t="s">
        <v>14</v>
      </c>
      <c r="T4" s="30"/>
      <c r="U4" s="30" t="s">
        <v>15</v>
      </c>
      <c r="V4" s="30"/>
      <c r="W4" s="30" t="s">
        <v>16</v>
      </c>
      <c r="X4" s="30"/>
      <c r="Y4" s="30" t="s">
        <v>17</v>
      </c>
      <c r="Z4" s="30"/>
      <c r="AA4" s="30" t="s">
        <v>18</v>
      </c>
      <c r="AB4" s="30"/>
      <c r="AC4" s="30" t="s">
        <v>19</v>
      </c>
      <c r="AD4" s="30"/>
      <c r="AE4" s="30" t="s">
        <v>20</v>
      </c>
      <c r="AF4" s="30"/>
      <c r="AG4" s="30" t="s">
        <v>21</v>
      </c>
      <c r="AH4" s="30"/>
      <c r="AI4" s="30" t="s">
        <v>24</v>
      </c>
      <c r="AJ4" s="30"/>
      <c r="AK4" s="30" t="s">
        <v>25</v>
      </c>
      <c r="AL4" s="30"/>
      <c r="AM4" s="30" t="s">
        <v>28</v>
      </c>
      <c r="AN4" s="30"/>
    </row>
    <row r="5" spans="1:40" x14ac:dyDescent="0.25">
      <c r="A5" s="9" t="s">
        <v>33</v>
      </c>
      <c r="B5" s="9"/>
      <c r="C5" s="31" t="s">
        <v>95</v>
      </c>
      <c r="D5" s="31"/>
      <c r="E5" s="31" t="s">
        <v>96</v>
      </c>
      <c r="F5" s="31"/>
      <c r="G5" s="31" t="s">
        <v>34</v>
      </c>
      <c r="H5" s="31"/>
      <c r="I5" s="31" t="s">
        <v>35</v>
      </c>
      <c r="J5" s="31"/>
      <c r="K5" s="31" t="s">
        <v>36</v>
      </c>
      <c r="L5" s="31"/>
      <c r="M5" s="31" t="s">
        <v>37</v>
      </c>
      <c r="N5" s="31"/>
      <c r="O5" s="31" t="s">
        <v>38</v>
      </c>
      <c r="P5" s="31"/>
      <c r="Q5" s="31" t="s">
        <v>39</v>
      </c>
      <c r="R5" s="31"/>
      <c r="S5" s="31" t="s">
        <v>40</v>
      </c>
      <c r="T5" s="31"/>
      <c r="U5" s="31" t="s">
        <v>41</v>
      </c>
      <c r="V5" s="31"/>
      <c r="W5" s="31" t="s">
        <v>42</v>
      </c>
      <c r="X5" s="31"/>
      <c r="Y5" s="31" t="s">
        <v>43</v>
      </c>
      <c r="Z5" s="31"/>
      <c r="AA5" s="31" t="s">
        <v>44</v>
      </c>
      <c r="AB5" s="31"/>
      <c r="AC5" s="31" t="s">
        <v>45</v>
      </c>
      <c r="AD5" s="31"/>
      <c r="AE5" s="31" t="s">
        <v>46</v>
      </c>
      <c r="AF5" s="31"/>
      <c r="AG5" s="31" t="s">
        <v>47</v>
      </c>
      <c r="AH5" s="31"/>
      <c r="AI5" s="31" t="s">
        <v>50</v>
      </c>
      <c r="AJ5" s="31"/>
      <c r="AK5" s="31" t="s">
        <v>51</v>
      </c>
      <c r="AL5" s="31"/>
      <c r="AM5" s="31" t="s">
        <v>54</v>
      </c>
      <c r="AN5" s="31"/>
    </row>
    <row r="6" spans="1:40" x14ac:dyDescent="0.25">
      <c r="A6" s="6" t="s">
        <v>0</v>
      </c>
      <c r="B6" s="6"/>
      <c r="C6" s="34">
        <v>19.242999999999999</v>
      </c>
      <c r="D6" s="35">
        <v>1</v>
      </c>
      <c r="E6" s="34">
        <v>12.471</v>
      </c>
      <c r="F6" s="35">
        <v>1</v>
      </c>
      <c r="G6" s="34">
        <v>13.295999999999999</v>
      </c>
      <c r="H6" s="35">
        <v>1</v>
      </c>
      <c r="I6" s="34">
        <v>8.91</v>
      </c>
      <c r="J6" s="35">
        <v>1</v>
      </c>
      <c r="K6" s="34">
        <v>9.9969999999999999</v>
      </c>
      <c r="L6" s="35">
        <v>1</v>
      </c>
      <c r="M6" s="34">
        <v>21.863</v>
      </c>
      <c r="N6" s="35">
        <v>1</v>
      </c>
      <c r="O6" s="34">
        <v>198.89</v>
      </c>
      <c r="P6" s="35">
        <v>1</v>
      </c>
      <c r="Q6" s="34">
        <v>19.273</v>
      </c>
      <c r="R6" s="35">
        <v>1</v>
      </c>
      <c r="S6" s="34">
        <v>0</v>
      </c>
      <c r="T6" s="35"/>
      <c r="U6" s="34">
        <v>0.89400000000000002</v>
      </c>
      <c r="V6" s="35">
        <v>1</v>
      </c>
      <c r="W6" s="34">
        <v>7.4720000000000004</v>
      </c>
      <c r="X6" s="35">
        <v>1</v>
      </c>
      <c r="Y6" s="34">
        <v>1.0189999999999999</v>
      </c>
      <c r="Z6" s="35">
        <v>1</v>
      </c>
      <c r="AA6" s="34">
        <v>1.6060000000000001</v>
      </c>
      <c r="AB6" s="35">
        <v>1</v>
      </c>
      <c r="AC6" s="34">
        <v>1.9450000000000001</v>
      </c>
      <c r="AD6" s="35">
        <v>1</v>
      </c>
      <c r="AE6" s="34">
        <v>1.5189999999999999</v>
      </c>
      <c r="AF6" s="35">
        <v>1</v>
      </c>
      <c r="AG6" s="34">
        <v>7.0999999999999994E-2</v>
      </c>
      <c r="AH6" s="35">
        <v>1</v>
      </c>
      <c r="AI6" s="34">
        <v>6.89</v>
      </c>
      <c r="AJ6" s="35">
        <v>1</v>
      </c>
      <c r="AK6" s="34">
        <v>12.391999999999999</v>
      </c>
      <c r="AL6" s="35">
        <v>1</v>
      </c>
      <c r="AM6" s="34">
        <v>16.100999999999999</v>
      </c>
      <c r="AN6" s="35">
        <v>1</v>
      </c>
    </row>
    <row r="7" spans="1:40" x14ac:dyDescent="0.25">
      <c r="A7" s="10" t="s">
        <v>1489</v>
      </c>
      <c r="B7" s="10"/>
      <c r="C7" s="32">
        <v>19.242999999999999</v>
      </c>
      <c r="D7" s="33">
        <v>1</v>
      </c>
      <c r="E7" s="32">
        <v>12.471</v>
      </c>
      <c r="F7" s="33">
        <v>1</v>
      </c>
      <c r="G7" s="32">
        <v>13.295999999999999</v>
      </c>
      <c r="H7" s="33">
        <v>1</v>
      </c>
      <c r="I7" s="32">
        <v>8.91</v>
      </c>
      <c r="J7" s="33">
        <v>1</v>
      </c>
      <c r="K7" s="32">
        <v>9.9969999999999999</v>
      </c>
      <c r="L7" s="33">
        <v>1</v>
      </c>
      <c r="M7" s="32">
        <v>21.863</v>
      </c>
      <c r="N7" s="33">
        <v>1</v>
      </c>
      <c r="O7" s="32">
        <v>198.89</v>
      </c>
      <c r="P7" s="33">
        <v>1</v>
      </c>
      <c r="Q7" s="32">
        <v>19.273</v>
      </c>
      <c r="R7" s="33">
        <v>1</v>
      </c>
      <c r="S7" s="32">
        <v>0</v>
      </c>
      <c r="T7" s="33"/>
      <c r="U7" s="32">
        <v>0.89400000000000002</v>
      </c>
      <c r="V7" s="33">
        <v>1</v>
      </c>
      <c r="W7" s="32">
        <v>7.4720000000000004</v>
      </c>
      <c r="X7" s="33">
        <v>1</v>
      </c>
      <c r="Y7" s="32">
        <v>1.0189999999999999</v>
      </c>
      <c r="Z7" s="33">
        <v>1</v>
      </c>
      <c r="AA7" s="32">
        <v>1.6060000000000001</v>
      </c>
      <c r="AB7" s="33">
        <v>1</v>
      </c>
      <c r="AC7" s="32">
        <v>1.9450000000000001</v>
      </c>
      <c r="AD7" s="33">
        <v>1</v>
      </c>
      <c r="AE7" s="32">
        <v>1.5189999999999999</v>
      </c>
      <c r="AF7" s="33">
        <v>1</v>
      </c>
      <c r="AG7" s="32">
        <v>7.0999999999999994E-2</v>
      </c>
      <c r="AH7" s="33">
        <v>1</v>
      </c>
      <c r="AI7" s="32">
        <v>6.89</v>
      </c>
      <c r="AJ7" s="33">
        <v>1</v>
      </c>
      <c r="AK7" s="32">
        <v>12.391999999999999</v>
      </c>
      <c r="AL7" s="33">
        <v>1</v>
      </c>
      <c r="AM7" s="32">
        <v>16.100999999999999</v>
      </c>
      <c r="AN7" s="33">
        <v>1</v>
      </c>
    </row>
    <row r="8" spans="1:40" x14ac:dyDescent="0.25">
      <c r="A8" s="7" t="s">
        <v>90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3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1490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93</v>
      </c>
      <c r="D4" s="4" t="s">
        <v>94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</row>
    <row r="5" spans="1:27" x14ac:dyDescent="0.25">
      <c r="A5" s="9" t="s">
        <v>33</v>
      </c>
      <c r="B5" s="9"/>
      <c r="C5" s="5" t="s">
        <v>95</v>
      </c>
      <c r="D5" s="5" t="s">
        <v>96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 t="s">
        <v>47</v>
      </c>
      <c r="S5" s="5" t="s">
        <v>48</v>
      </c>
      <c r="T5" s="5" t="s">
        <v>49</v>
      </c>
      <c r="U5" s="5" t="s">
        <v>50</v>
      </c>
      <c r="V5" s="5" t="s">
        <v>51</v>
      </c>
      <c r="W5" s="5" t="s">
        <v>52</v>
      </c>
      <c r="X5" s="5" t="s">
        <v>53</v>
      </c>
      <c r="Y5" s="5" t="s">
        <v>54</v>
      </c>
      <c r="Z5" s="5" t="s">
        <v>55</v>
      </c>
      <c r="AA5" s="5" t="s">
        <v>56</v>
      </c>
    </row>
    <row r="6" spans="1:27" x14ac:dyDescent="0.25">
      <c r="A6" s="6" t="s">
        <v>1491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0" t="s">
        <v>1492</v>
      </c>
      <c r="B7" s="10"/>
      <c r="C7" s="13">
        <v>19.242999999999999</v>
      </c>
      <c r="D7" s="13">
        <v>12.471</v>
      </c>
      <c r="E7" s="13">
        <v>13.295999999999999</v>
      </c>
      <c r="F7" s="13">
        <v>8.91</v>
      </c>
      <c r="G7" s="13">
        <v>9.9969999999999999</v>
      </c>
      <c r="H7" s="13">
        <v>21.863</v>
      </c>
      <c r="I7" s="13">
        <v>198.89</v>
      </c>
      <c r="J7" s="13">
        <v>19.273</v>
      </c>
      <c r="K7" s="13">
        <v>0</v>
      </c>
      <c r="L7" s="13">
        <v>0.89400000000000002</v>
      </c>
      <c r="M7" s="13">
        <v>7.4720000000000004</v>
      </c>
      <c r="N7" s="13">
        <v>1.0189999999999999</v>
      </c>
      <c r="O7" s="13">
        <v>1.6060000000000001</v>
      </c>
      <c r="P7" s="13">
        <v>1.9450000000000001</v>
      </c>
      <c r="Q7" s="13">
        <v>1.5189999999999999</v>
      </c>
      <c r="R7" s="13">
        <v>7.0999999999999994E-2</v>
      </c>
      <c r="S7" s="13">
        <v>6.2E-2</v>
      </c>
      <c r="T7" s="13">
        <v>2.3809999999999998</v>
      </c>
      <c r="U7" s="13">
        <v>6.89</v>
      </c>
      <c r="V7" s="13">
        <v>12.391999999999999</v>
      </c>
      <c r="W7" s="13">
        <v>7.8339999999999996</v>
      </c>
      <c r="X7" s="13">
        <v>18.573</v>
      </c>
      <c r="Y7" s="13">
        <v>16.100999999999999</v>
      </c>
      <c r="Z7" s="13">
        <v>10.612</v>
      </c>
      <c r="AA7" s="13">
        <v>38.521000000000001</v>
      </c>
    </row>
    <row r="8" spans="1:27" x14ac:dyDescent="0.25">
      <c r="A8" s="10" t="s">
        <v>1493</v>
      </c>
      <c r="B8" s="10"/>
      <c r="C8" s="13">
        <v>-156.96100000000001</v>
      </c>
      <c r="D8" s="13">
        <v>-171.17400000000001</v>
      </c>
      <c r="E8" s="13">
        <v>-202.702</v>
      </c>
      <c r="F8" s="13">
        <v>-210.416</v>
      </c>
      <c r="G8" s="13">
        <v>-230.53399999999999</v>
      </c>
      <c r="H8" s="13">
        <v>-203.42500000000001</v>
      </c>
      <c r="I8" s="13">
        <v>-25.945</v>
      </c>
      <c r="J8" s="13">
        <v>-189.69399999999999</v>
      </c>
      <c r="K8" s="13">
        <v>-139.387</v>
      </c>
      <c r="L8" s="13">
        <v>-146.09399999999999</v>
      </c>
      <c r="M8" s="13">
        <v>-240.83799999999999</v>
      </c>
      <c r="N8" s="13">
        <v>-154.44900000000001</v>
      </c>
      <c r="O8" s="13">
        <v>-135.667</v>
      </c>
      <c r="P8" s="13">
        <v>-120.346</v>
      </c>
      <c r="Q8" s="13">
        <v>-107.4</v>
      </c>
      <c r="R8" s="13">
        <v>-84.781000000000006</v>
      </c>
      <c r="S8" s="13">
        <v>62.341999999999999</v>
      </c>
      <c r="T8" s="13">
        <v>10.744999999999999</v>
      </c>
      <c r="U8" s="13">
        <v>-71.716999999999999</v>
      </c>
      <c r="V8" s="13">
        <v>-96.006</v>
      </c>
      <c r="W8" s="13">
        <v>-82.673000000000002</v>
      </c>
      <c r="X8" s="13">
        <v>-78.691999999999993</v>
      </c>
      <c r="Y8" s="13">
        <v>-88.391999999999996</v>
      </c>
      <c r="Z8" s="13">
        <v>-66.918999999999997</v>
      </c>
      <c r="AA8" s="13">
        <v>-36.457999999999998</v>
      </c>
    </row>
    <row r="9" spans="1:27" x14ac:dyDescent="0.25">
      <c r="A9" s="10" t="s">
        <v>1494</v>
      </c>
      <c r="B9" s="10"/>
      <c r="C9" s="13">
        <v>2242.8440000000001</v>
      </c>
      <c r="D9" s="13">
        <v>2138.6149999999998</v>
      </c>
      <c r="E9" s="13">
        <v>2023.3440000000001</v>
      </c>
      <c r="F9" s="13">
        <v>1892.2180000000001</v>
      </c>
      <c r="G9" s="13">
        <v>1727.424</v>
      </c>
      <c r="H9" s="13">
        <v>1529.104</v>
      </c>
      <c r="I9" s="13">
        <v>2107.79</v>
      </c>
      <c r="J9" s="13">
        <v>1945.4839999999999</v>
      </c>
      <c r="K9" s="13">
        <v>1781.252</v>
      </c>
      <c r="L9" s="13">
        <v>1637.279</v>
      </c>
      <c r="M9" s="13">
        <v>1454.4590000000001</v>
      </c>
      <c r="N9" s="13">
        <v>1339.644</v>
      </c>
      <c r="O9" s="13">
        <v>593.79499999999996</v>
      </c>
      <c r="P9" s="13">
        <v>491.07100000000003</v>
      </c>
      <c r="Q9" s="13">
        <v>573.59199999999998</v>
      </c>
      <c r="R9" s="13">
        <v>520.09799999999996</v>
      </c>
      <c r="S9" s="13">
        <v>569.81399999999996</v>
      </c>
      <c r="T9" s="13">
        <v>692.73599999999999</v>
      </c>
      <c r="U9" s="13">
        <v>663.39300000000003</v>
      </c>
      <c r="V9" s="13">
        <v>613.60799999999995</v>
      </c>
      <c r="W9" s="13">
        <v>619.16099999999994</v>
      </c>
      <c r="X9" s="13">
        <v>631.48299999999995</v>
      </c>
      <c r="Y9" s="13">
        <v>545.19299999999998</v>
      </c>
      <c r="Z9" s="13">
        <v>465.05599999999998</v>
      </c>
      <c r="AA9" s="13">
        <v>460.23200000000003</v>
      </c>
    </row>
    <row r="10" spans="1:27" x14ac:dyDescent="0.25">
      <c r="A10" s="10" t="s">
        <v>1495</v>
      </c>
      <c r="B10" s="10"/>
      <c r="C10" s="13">
        <v>4.5449999999999999</v>
      </c>
      <c r="D10" s="13">
        <v>3.7829999999999999</v>
      </c>
      <c r="E10" s="13">
        <v>4.048</v>
      </c>
      <c r="F10" s="13">
        <v>4.5469999999999997</v>
      </c>
      <c r="G10" s="13">
        <v>5.056</v>
      </c>
      <c r="H10" s="13">
        <v>4.88</v>
      </c>
      <c r="I10" s="13">
        <v>4.55</v>
      </c>
      <c r="J10" s="13">
        <v>4.9480000000000004</v>
      </c>
      <c r="K10" s="13">
        <v>4.9779999999999998</v>
      </c>
      <c r="L10" s="13">
        <v>5.36</v>
      </c>
      <c r="M10" s="13">
        <v>5.9930000000000003</v>
      </c>
      <c r="N10" s="13">
        <v>5.9820000000000002</v>
      </c>
      <c r="O10" s="13">
        <v>2.3140000000000001</v>
      </c>
      <c r="P10" s="13">
        <v>1.014</v>
      </c>
      <c r="Q10" s="13">
        <v>1.3440000000000001</v>
      </c>
      <c r="R10" s="13">
        <v>1.387</v>
      </c>
      <c r="S10" s="13">
        <v>4.5990000000000002</v>
      </c>
      <c r="T10" s="13">
        <v>6.1719999999999997</v>
      </c>
      <c r="U10" s="13">
        <v>6.0780000000000003</v>
      </c>
      <c r="V10" s="13">
        <v>7.41</v>
      </c>
      <c r="W10" s="13">
        <v>25.401</v>
      </c>
      <c r="X10" s="13">
        <v>15.468999999999999</v>
      </c>
      <c r="Y10" s="13">
        <v>16.526</v>
      </c>
      <c r="Z10" s="13">
        <v>15.343999999999999</v>
      </c>
      <c r="AA10" s="13">
        <v>13.904999999999999</v>
      </c>
    </row>
    <row r="11" spans="1:27" x14ac:dyDescent="0.25">
      <c r="A11" s="10" t="s">
        <v>1496</v>
      </c>
      <c r="B11" s="10"/>
      <c r="C11" s="13">
        <v>-12.893000000000001</v>
      </c>
      <c r="D11" s="13">
        <v>-19.321000000000002</v>
      </c>
      <c r="E11" s="13">
        <v>-18.603999999999999</v>
      </c>
      <c r="F11" s="13">
        <v>-20.713000000000001</v>
      </c>
      <c r="G11" s="13">
        <v>-12.39</v>
      </c>
      <c r="H11" s="13">
        <v>-10.676</v>
      </c>
      <c r="I11" s="13">
        <v>-4.8019999999999996</v>
      </c>
      <c r="J11" s="13">
        <v>-5.62</v>
      </c>
      <c r="K11" s="13">
        <v>-7.8879999999999999</v>
      </c>
      <c r="L11" s="13">
        <v>-7.6260000000000003</v>
      </c>
      <c r="M11" s="13">
        <v>-1.5780000000000001</v>
      </c>
      <c r="N11" s="13">
        <v>-3.74</v>
      </c>
      <c r="O11" s="13">
        <v>-1.5589999999999999</v>
      </c>
      <c r="P11" s="13">
        <v>-0.85699999999999998</v>
      </c>
      <c r="Q11" s="13">
        <v>-5.9790000000000001</v>
      </c>
      <c r="R11" s="13">
        <v>-1.264</v>
      </c>
      <c r="S11" s="13">
        <v>-0.108</v>
      </c>
      <c r="T11" s="13">
        <v>-0.23200000000000001</v>
      </c>
      <c r="U11" s="13">
        <v>-0.70499999999999996</v>
      </c>
      <c r="V11" s="13">
        <v>-2.0379999999999998</v>
      </c>
      <c r="W11" s="13">
        <v>-1.214</v>
      </c>
      <c r="X11" s="13">
        <v>-1.7749999999999999</v>
      </c>
      <c r="Y11" s="13">
        <v>-5.8999999999999997E-2</v>
      </c>
      <c r="Z11" s="13">
        <v>-0.28000000000000003</v>
      </c>
      <c r="AA11" s="13">
        <v>-0.48499999999999999</v>
      </c>
    </row>
    <row r="12" spans="1:27" x14ac:dyDescent="0.25">
      <c r="A12" s="10" t="s">
        <v>1497</v>
      </c>
      <c r="B12" s="10"/>
      <c r="C12" s="13">
        <v>246.62200000000001</v>
      </c>
      <c r="D12" s="13">
        <v>298.64800000000002</v>
      </c>
      <c r="E12" s="13">
        <v>320.11399999999998</v>
      </c>
      <c r="F12" s="13">
        <v>335.66</v>
      </c>
      <c r="G12" s="13">
        <v>337.06099999999998</v>
      </c>
      <c r="H12" s="13">
        <v>348.38900000000001</v>
      </c>
      <c r="I12" s="13">
        <v>344.84</v>
      </c>
      <c r="J12" s="13">
        <v>346.13099999999997</v>
      </c>
      <c r="K12" s="13">
        <v>84.936000000000007</v>
      </c>
      <c r="L12" s="13">
        <v>363.16800000000001</v>
      </c>
      <c r="M12" s="13">
        <v>349.81299999999999</v>
      </c>
      <c r="N12" s="13">
        <v>220.18</v>
      </c>
      <c r="O12" s="13">
        <v>101.238</v>
      </c>
      <c r="P12" s="13">
        <v>123.131</v>
      </c>
      <c r="Q12" s="13">
        <v>307.29700000000003</v>
      </c>
      <c r="R12" s="13">
        <v>300.21899999999999</v>
      </c>
      <c r="S12" s="13">
        <v>298.52100000000002</v>
      </c>
      <c r="T12" s="13">
        <v>278.87099999999998</v>
      </c>
      <c r="U12" s="13">
        <v>313.07600000000002</v>
      </c>
      <c r="V12" s="13">
        <v>304.68900000000002</v>
      </c>
      <c r="W12" s="13">
        <v>267.04899999999998</v>
      </c>
      <c r="X12" s="13">
        <v>285.57499999999999</v>
      </c>
      <c r="Y12" s="13">
        <v>267.96199999999999</v>
      </c>
      <c r="Z12" s="13">
        <v>245.691</v>
      </c>
      <c r="AA12" s="13">
        <v>237.73099999999999</v>
      </c>
    </row>
    <row r="13" spans="1:27" x14ac:dyDescent="0.25">
      <c r="A13" s="10" t="s">
        <v>1498</v>
      </c>
      <c r="B13" s="10"/>
      <c r="C13" s="13">
        <v>357.774</v>
      </c>
      <c r="D13" s="13">
        <v>366.51600000000002</v>
      </c>
      <c r="E13" s="13">
        <v>386.97</v>
      </c>
      <c r="F13" s="13">
        <v>420.50799999999998</v>
      </c>
      <c r="G13" s="13">
        <v>442.43099999999998</v>
      </c>
      <c r="H13" s="13">
        <v>408.67099999999999</v>
      </c>
      <c r="I13" s="13">
        <v>425.75900000000001</v>
      </c>
      <c r="J13" s="13">
        <v>422.46300000000002</v>
      </c>
      <c r="K13" s="13">
        <v>426.19600000000003</v>
      </c>
      <c r="L13" s="13">
        <v>436.94600000000003</v>
      </c>
      <c r="M13" s="13">
        <v>469.89800000000002</v>
      </c>
      <c r="N13" s="13">
        <v>469.11700000000002</v>
      </c>
      <c r="O13" s="13">
        <v>219.518</v>
      </c>
      <c r="P13" s="13">
        <v>227.81200000000001</v>
      </c>
      <c r="Q13" s="13">
        <v>393.476</v>
      </c>
      <c r="R13" s="13">
        <v>361.24099999999999</v>
      </c>
      <c r="S13" s="13">
        <v>435.48099999999999</v>
      </c>
      <c r="T13" s="13">
        <v>337.99599999999998</v>
      </c>
      <c r="U13" s="13">
        <v>374.37400000000002</v>
      </c>
      <c r="V13" s="13">
        <v>391.072</v>
      </c>
      <c r="W13" s="13">
        <v>424.62400000000002</v>
      </c>
      <c r="X13" s="13">
        <v>500.43700000000001</v>
      </c>
      <c r="Y13" s="13">
        <v>492.21199999999999</v>
      </c>
      <c r="Z13" s="13">
        <v>470.84199999999998</v>
      </c>
      <c r="AA13" s="13">
        <v>491.76600000000002</v>
      </c>
    </row>
    <row r="14" spans="1:27" x14ac:dyDescent="0.25">
      <c r="A14" s="10" t="s">
        <v>1499</v>
      </c>
      <c r="B14" s="10"/>
      <c r="C14" s="13">
        <v>13.128</v>
      </c>
      <c r="D14" s="13">
        <v>13.128</v>
      </c>
      <c r="E14" s="13">
        <v>13.128</v>
      </c>
      <c r="F14" s="13">
        <v>13.128</v>
      </c>
      <c r="G14" s="13">
        <v>13.128</v>
      </c>
      <c r="H14" s="13">
        <v>13.128</v>
      </c>
      <c r="I14" s="13">
        <v>13.128</v>
      </c>
      <c r="J14" s="13">
        <v>13.128</v>
      </c>
      <c r="K14" s="13">
        <v>5.6459999999999999</v>
      </c>
      <c r="L14" s="13">
        <v>13.128</v>
      </c>
      <c r="M14" s="13">
        <v>13.128</v>
      </c>
      <c r="N14" s="13">
        <v>12.055999999999999</v>
      </c>
      <c r="O14" s="13">
        <v>5.6459999999999999</v>
      </c>
      <c r="P14" s="13">
        <v>5.6459999999999999</v>
      </c>
      <c r="Q14" s="13">
        <v>5.6459999999999999</v>
      </c>
      <c r="R14" s="13">
        <v>5.6459999999999999</v>
      </c>
      <c r="S14" s="13">
        <v>5.6459999999999999</v>
      </c>
      <c r="T14" s="13">
        <v>5.6459999999999999</v>
      </c>
      <c r="U14" s="13">
        <v>5.6459999999999999</v>
      </c>
      <c r="V14" s="13">
        <v>5.6459999999999999</v>
      </c>
      <c r="W14" s="13">
        <v>5.6459999999999999</v>
      </c>
      <c r="X14" s="13">
        <v>5.6459999999999999</v>
      </c>
      <c r="Y14" s="13">
        <v>5.6459999999999999</v>
      </c>
      <c r="Z14" s="13">
        <v>5.6459999999999999</v>
      </c>
      <c r="AA14" s="13">
        <v>5.6459999999999999</v>
      </c>
    </row>
    <row r="15" spans="1:27" x14ac:dyDescent="0.25">
      <c r="A15" s="10" t="s">
        <v>1500</v>
      </c>
      <c r="B15" s="10"/>
      <c r="C15" s="13">
        <v>-149.023</v>
      </c>
      <c r="D15" s="13">
        <v>-164.446</v>
      </c>
      <c r="E15" s="13">
        <v>-195.78200000000001</v>
      </c>
      <c r="F15" s="13">
        <v>-206.03299999999999</v>
      </c>
      <c r="G15" s="13">
        <v>-223.34700000000001</v>
      </c>
      <c r="H15" s="13">
        <v>-202.61099999999999</v>
      </c>
      <c r="I15" s="13">
        <v>-21.465</v>
      </c>
      <c r="J15" s="13">
        <v>-194.745</v>
      </c>
      <c r="K15" s="13">
        <v>-199.874</v>
      </c>
      <c r="L15" s="13">
        <v>-205.80799999999999</v>
      </c>
      <c r="M15" s="13">
        <v>-241.702</v>
      </c>
      <c r="N15" s="13">
        <v>-216.816</v>
      </c>
      <c r="O15" s="13">
        <v>-155.05199999999999</v>
      </c>
      <c r="P15" s="13">
        <v>-122.152</v>
      </c>
      <c r="Q15" s="13">
        <v>-100.13800000000001</v>
      </c>
      <c r="R15" s="13">
        <v>-76.52</v>
      </c>
      <c r="S15" s="13">
        <v>68.468000000000004</v>
      </c>
      <c r="T15" s="13">
        <v>18.93</v>
      </c>
      <c r="U15" s="13">
        <v>-62.789000000000001</v>
      </c>
      <c r="V15" s="13">
        <v>-87.231999999999999</v>
      </c>
      <c r="W15" s="13">
        <v>-88.513999999999996</v>
      </c>
      <c r="X15" s="13">
        <v>-69.804000000000002</v>
      </c>
      <c r="Y15" s="13">
        <v>-81.393000000000001</v>
      </c>
      <c r="Z15" s="13">
        <v>-60.808</v>
      </c>
      <c r="AA15" s="13">
        <v>-28.71</v>
      </c>
    </row>
    <row r="16" spans="1:27" x14ac:dyDescent="0.25">
      <c r="A16" s="10" t="s">
        <v>1501</v>
      </c>
      <c r="B16" s="10"/>
      <c r="C16" s="13" t="s">
        <v>76</v>
      </c>
      <c r="D16" s="13" t="s">
        <v>76</v>
      </c>
      <c r="E16" s="13" t="s">
        <v>76</v>
      </c>
      <c r="F16" s="13" t="s">
        <v>76</v>
      </c>
      <c r="G16" s="13" t="s">
        <v>76</v>
      </c>
      <c r="H16" s="13" t="s">
        <v>76</v>
      </c>
      <c r="I16" s="13" t="s">
        <v>76</v>
      </c>
      <c r="J16" s="13" t="s">
        <v>76</v>
      </c>
      <c r="K16" s="13">
        <v>0</v>
      </c>
      <c r="L16" s="13">
        <v>0.318</v>
      </c>
      <c r="M16" s="13" t="s">
        <v>76</v>
      </c>
      <c r="N16" s="13">
        <v>-18.366</v>
      </c>
      <c r="O16" s="13">
        <v>-2.0760000000000001</v>
      </c>
      <c r="P16" s="13">
        <v>-6.3650000000000002</v>
      </c>
      <c r="Q16" s="13">
        <v>-0.22600000000000001</v>
      </c>
      <c r="R16" s="13" t="s">
        <v>76</v>
      </c>
      <c r="S16" s="13">
        <v>0.04</v>
      </c>
      <c r="T16" s="13">
        <v>-3.1309999999999998</v>
      </c>
      <c r="U16" s="13">
        <v>0.193</v>
      </c>
      <c r="V16" s="13">
        <v>3.266</v>
      </c>
      <c r="W16" s="13">
        <v>-1.798</v>
      </c>
      <c r="X16" s="13">
        <v>-7.2910000000000004</v>
      </c>
      <c r="Y16" s="13">
        <v>-12.845000000000001</v>
      </c>
      <c r="Z16" s="13">
        <v>-1.169</v>
      </c>
      <c r="AA16" s="13">
        <v>15.731999999999999</v>
      </c>
    </row>
    <row r="17" spans="1:27" x14ac:dyDescent="0.25">
      <c r="A17" s="10" t="s">
        <v>1502</v>
      </c>
      <c r="B17" s="10"/>
      <c r="C17" s="13">
        <v>-148.83600000000001</v>
      </c>
      <c r="D17" s="13">
        <v>-164.46100000000001</v>
      </c>
      <c r="E17" s="13">
        <v>-196.251</v>
      </c>
      <c r="F17" s="13">
        <v>-206.297</v>
      </c>
      <c r="G17" s="13">
        <v>-223.14400000000001</v>
      </c>
      <c r="H17" s="13">
        <v>-202.517</v>
      </c>
      <c r="I17" s="13">
        <v>-21.454999999999998</v>
      </c>
      <c r="J17" s="13">
        <v>-194.416</v>
      </c>
      <c r="K17" s="13">
        <v>-136.06800000000001</v>
      </c>
      <c r="L17" s="13">
        <v>-121.438</v>
      </c>
      <c r="M17" s="13">
        <v>-241.48599999999999</v>
      </c>
      <c r="N17" s="13">
        <v>-152.947</v>
      </c>
      <c r="O17" s="13">
        <v>-132.238</v>
      </c>
      <c r="P17" s="13">
        <v>-122.152</v>
      </c>
      <c r="Q17" s="13">
        <v>-100.13800000000001</v>
      </c>
      <c r="R17" s="13">
        <v>-76.513000000000005</v>
      </c>
      <c r="S17" s="13">
        <v>68.578000000000003</v>
      </c>
      <c r="T17" s="13">
        <v>18.93</v>
      </c>
      <c r="U17" s="13">
        <v>-62.869</v>
      </c>
      <c r="V17" s="13">
        <v>-87.231999999999999</v>
      </c>
      <c r="W17" s="13">
        <v>-88.56</v>
      </c>
      <c r="X17" s="13">
        <v>-69.804000000000002</v>
      </c>
      <c r="Y17" s="13">
        <v>-81.372</v>
      </c>
      <c r="Z17" s="13">
        <v>-60.866</v>
      </c>
      <c r="AA17" s="13">
        <v>-28.603000000000002</v>
      </c>
    </row>
    <row r="18" spans="1:27" x14ac:dyDescent="0.25">
      <c r="A18" s="10" t="s">
        <v>1503</v>
      </c>
      <c r="B18" s="10"/>
      <c r="C18" s="13">
        <v>119.72199999999999</v>
      </c>
      <c r="D18" s="13">
        <v>122.64</v>
      </c>
      <c r="E18" s="13">
        <v>146.54</v>
      </c>
      <c r="F18" s="13">
        <v>151.41200000000001</v>
      </c>
      <c r="G18" s="13">
        <v>161.821</v>
      </c>
      <c r="H18" s="13">
        <v>154.12299999999999</v>
      </c>
      <c r="I18" s="13">
        <v>156.30799999999999</v>
      </c>
      <c r="J18" s="13">
        <v>140.43100000000001</v>
      </c>
      <c r="K18" s="13">
        <v>58.814999999999998</v>
      </c>
      <c r="L18" s="13">
        <v>82.843000000000004</v>
      </c>
      <c r="M18" s="13">
        <v>144.315</v>
      </c>
      <c r="N18" s="13">
        <v>73.679000000000002</v>
      </c>
      <c r="O18" s="13">
        <v>79.384</v>
      </c>
      <c r="P18" s="13">
        <v>77.875</v>
      </c>
      <c r="Q18" s="13">
        <v>63.841000000000001</v>
      </c>
      <c r="R18" s="13">
        <v>53.149000000000001</v>
      </c>
      <c r="S18" s="13">
        <v>5.5739999999999998</v>
      </c>
      <c r="T18" s="13">
        <v>41.587000000000003</v>
      </c>
      <c r="U18" s="13">
        <v>31.448</v>
      </c>
      <c r="V18" s="13">
        <v>58.500999999999998</v>
      </c>
      <c r="W18" s="13">
        <v>33.771000000000001</v>
      </c>
      <c r="X18" s="13">
        <v>25.071999999999999</v>
      </c>
      <c r="Y18" s="13">
        <v>25.161999999999999</v>
      </c>
      <c r="Z18" s="13">
        <v>23.173999999999999</v>
      </c>
      <c r="AA18" s="13">
        <v>20.844000000000001</v>
      </c>
    </row>
    <row r="19" spans="1:27" x14ac:dyDescent="0.25">
      <c r="A19" s="10" t="s">
        <v>1504</v>
      </c>
      <c r="B19" s="10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6.3220000000000001</v>
      </c>
      <c r="T19" s="13">
        <v>4.2699999999999996</v>
      </c>
      <c r="U19" s="13">
        <v>3.75</v>
      </c>
      <c r="V19" s="13">
        <v>4.3109999999999999</v>
      </c>
      <c r="W19" s="13">
        <v>16.353000000000002</v>
      </c>
      <c r="X19" s="13">
        <v>4.8559999999999999</v>
      </c>
      <c r="Y19" s="13">
        <v>5.4530000000000003</v>
      </c>
      <c r="Z19" s="13">
        <v>5.7779999999999996</v>
      </c>
      <c r="AA19" s="13">
        <v>6.492</v>
      </c>
    </row>
    <row r="20" spans="1:27" x14ac:dyDescent="0.25">
      <c r="A20" s="10" t="s">
        <v>1505</v>
      </c>
      <c r="B20" s="10"/>
      <c r="C20" s="13">
        <v>6.2089999999999996</v>
      </c>
      <c r="D20" s="13">
        <v>10.102</v>
      </c>
      <c r="E20" s="13">
        <v>9.3870000000000005</v>
      </c>
      <c r="F20" s="13">
        <v>8.4169999999999998</v>
      </c>
      <c r="G20" s="13">
        <v>6.8550000000000004</v>
      </c>
      <c r="H20" s="13">
        <v>5.3550000000000004</v>
      </c>
      <c r="I20" s="13">
        <v>2.9390000000000001</v>
      </c>
      <c r="J20" s="13">
        <v>1.964</v>
      </c>
      <c r="K20" s="13">
        <v>0.64100000000000001</v>
      </c>
      <c r="L20" s="13">
        <v>0.35499999999999998</v>
      </c>
      <c r="M20" s="13">
        <v>0.439</v>
      </c>
      <c r="N20" s="13">
        <v>0.16</v>
      </c>
      <c r="O20" s="13">
        <v>0.14599999999999999</v>
      </c>
      <c r="P20" s="13">
        <v>0.106</v>
      </c>
      <c r="Q20" s="13">
        <v>0.17399999999999999</v>
      </c>
      <c r="R20" s="13">
        <v>0.38300000000000001</v>
      </c>
      <c r="S20" s="13">
        <v>0.36899999999999999</v>
      </c>
      <c r="T20" s="13">
        <v>2.8279999999999998</v>
      </c>
      <c r="U20" s="13">
        <v>2.6789999999999998</v>
      </c>
      <c r="V20" s="13">
        <v>2.4540000000000002</v>
      </c>
      <c r="W20" s="13">
        <v>1.911</v>
      </c>
      <c r="X20" s="13">
        <v>2.5790000000000002</v>
      </c>
      <c r="Y20" s="13">
        <v>2.8370000000000002</v>
      </c>
      <c r="Z20" s="13">
        <v>1.64</v>
      </c>
      <c r="AA20" s="13">
        <v>1.1619999999999999</v>
      </c>
    </row>
    <row r="21" spans="1:27" x14ac:dyDescent="0.25">
      <c r="A21" s="10" t="s">
        <v>1506</v>
      </c>
      <c r="B21" s="10"/>
      <c r="C21" s="13">
        <v>0.187</v>
      </c>
      <c r="D21" s="13">
        <v>-1.4999999999999999E-2</v>
      </c>
      <c r="E21" s="13">
        <v>-0.46899999999999997</v>
      </c>
      <c r="F21" s="13">
        <v>-0.26400000000000001</v>
      </c>
      <c r="G21" s="13">
        <v>0.20300000000000001</v>
      </c>
      <c r="H21" s="13">
        <v>9.4E-2</v>
      </c>
      <c r="I21" s="13">
        <v>0.01</v>
      </c>
      <c r="J21" s="13">
        <v>0.32900000000000001</v>
      </c>
      <c r="K21" s="13">
        <v>0.253</v>
      </c>
      <c r="L21" s="13">
        <v>6.6000000000000003E-2</v>
      </c>
      <c r="M21" s="13">
        <v>0.216</v>
      </c>
      <c r="N21" s="13">
        <v>-0.113</v>
      </c>
      <c r="O21" s="13">
        <v>8.8999999999999996E-2</v>
      </c>
      <c r="P21" s="13">
        <v>0</v>
      </c>
      <c r="Q21" s="13">
        <v>0</v>
      </c>
      <c r="R21" s="13">
        <v>7.0000000000000001E-3</v>
      </c>
      <c r="S21" s="13">
        <v>0.11</v>
      </c>
      <c r="T21" s="13">
        <v>0</v>
      </c>
      <c r="U21" s="13">
        <v>-0.08</v>
      </c>
      <c r="V21" s="13">
        <v>0</v>
      </c>
      <c r="W21" s="13">
        <v>-4.5999999999999999E-2</v>
      </c>
      <c r="X21" s="13">
        <v>0</v>
      </c>
      <c r="Y21" s="13">
        <v>2.1000000000000001E-2</v>
      </c>
      <c r="Z21" s="13">
        <v>-5.8000000000000003E-2</v>
      </c>
      <c r="AA21" s="13">
        <v>0.107</v>
      </c>
    </row>
    <row r="22" spans="1:27" x14ac:dyDescent="0.25">
      <c r="A22" s="10" t="s">
        <v>1507</v>
      </c>
      <c r="B22" s="10"/>
      <c r="C22" s="13" t="s">
        <v>76</v>
      </c>
      <c r="D22" s="13" t="s">
        <v>76</v>
      </c>
      <c r="E22" s="13" t="s">
        <v>76</v>
      </c>
      <c r="F22" s="13" t="s">
        <v>76</v>
      </c>
      <c r="G22" s="13" t="s">
        <v>76</v>
      </c>
      <c r="H22" s="13" t="s">
        <v>76</v>
      </c>
      <c r="I22" s="13" t="s">
        <v>76</v>
      </c>
      <c r="J22" s="13" t="s">
        <v>76</v>
      </c>
      <c r="K22" s="13" t="s">
        <v>76</v>
      </c>
      <c r="L22" s="13" t="s">
        <v>76</v>
      </c>
      <c r="M22" s="13" t="s">
        <v>76</v>
      </c>
      <c r="N22" s="13">
        <v>5.9820000000000002</v>
      </c>
      <c r="O22" s="13" t="s">
        <v>76</v>
      </c>
      <c r="P22" s="13" t="s">
        <v>76</v>
      </c>
      <c r="Q22" s="13" t="s">
        <v>76</v>
      </c>
      <c r="R22" s="13">
        <v>1.387</v>
      </c>
      <c r="S22" s="13" t="s">
        <v>76</v>
      </c>
      <c r="T22" s="13" t="s">
        <v>76</v>
      </c>
      <c r="U22" s="13" t="s">
        <v>76</v>
      </c>
      <c r="V22" s="13" t="s">
        <v>76</v>
      </c>
      <c r="W22" s="13" t="s">
        <v>76</v>
      </c>
      <c r="X22" s="13" t="s">
        <v>76</v>
      </c>
      <c r="Y22" s="13" t="s">
        <v>76</v>
      </c>
      <c r="Z22" s="13" t="s">
        <v>76</v>
      </c>
      <c r="AA22" s="13" t="s">
        <v>76</v>
      </c>
    </row>
    <row r="23" spans="1:27" x14ac:dyDescent="0.25">
      <c r="A23" s="6" t="s">
        <v>1508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A24" s="10" t="s">
        <v>1509</v>
      </c>
      <c r="B24" s="10"/>
      <c r="C24" s="13" t="s">
        <v>76</v>
      </c>
      <c r="D24" s="13" t="s">
        <v>76</v>
      </c>
      <c r="E24" s="13" t="s">
        <v>76</v>
      </c>
      <c r="F24" s="13" t="s">
        <v>76</v>
      </c>
      <c r="G24" s="13" t="s">
        <v>76</v>
      </c>
      <c r="H24" s="13" t="s">
        <v>76</v>
      </c>
      <c r="I24" s="13" t="s">
        <v>76</v>
      </c>
      <c r="J24" s="13" t="s">
        <v>76</v>
      </c>
      <c r="K24" s="13">
        <v>0</v>
      </c>
      <c r="L24" s="13">
        <v>0.72399999999999998</v>
      </c>
      <c r="M24" s="13" t="s">
        <v>76</v>
      </c>
      <c r="N24" s="13">
        <v>0.76800000000000002</v>
      </c>
      <c r="O24" s="13">
        <v>1.3580000000000001</v>
      </c>
      <c r="P24" s="13">
        <v>1.4079999999999999</v>
      </c>
      <c r="Q24" s="13">
        <v>1.331</v>
      </c>
      <c r="R24" s="13">
        <v>0</v>
      </c>
      <c r="S24" s="13" t="s">
        <v>76</v>
      </c>
      <c r="T24" s="13" t="s">
        <v>76</v>
      </c>
      <c r="U24" s="13">
        <v>6.8369999999999997</v>
      </c>
      <c r="V24" s="13">
        <v>12.281000000000001</v>
      </c>
      <c r="W24" s="13" t="s">
        <v>76</v>
      </c>
      <c r="X24" s="13" t="s">
        <v>76</v>
      </c>
      <c r="Y24" s="13">
        <v>16.100999999999999</v>
      </c>
      <c r="Z24" s="13" t="s">
        <v>76</v>
      </c>
      <c r="AA24" s="13" t="s">
        <v>76</v>
      </c>
    </row>
    <row r="25" spans="1:27" x14ac:dyDescent="0.25">
      <c r="A25" s="6" t="s">
        <v>1510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10" t="s">
        <v>1509</v>
      </c>
      <c r="B26" s="10"/>
      <c r="C26" s="13" t="s">
        <v>76</v>
      </c>
      <c r="D26" s="13" t="s">
        <v>76</v>
      </c>
      <c r="E26" s="13" t="s">
        <v>76</v>
      </c>
      <c r="F26" s="13" t="s">
        <v>76</v>
      </c>
      <c r="G26" s="13" t="s">
        <v>76</v>
      </c>
      <c r="H26" s="13" t="s">
        <v>76</v>
      </c>
      <c r="I26" s="13" t="s">
        <v>76</v>
      </c>
      <c r="J26" s="13" t="s">
        <v>76</v>
      </c>
      <c r="K26" s="13">
        <v>0</v>
      </c>
      <c r="L26" s="13">
        <v>0.17</v>
      </c>
      <c r="M26" s="13" t="s">
        <v>76</v>
      </c>
      <c r="N26" s="13">
        <v>0.251</v>
      </c>
      <c r="O26" s="13">
        <v>0.248</v>
      </c>
      <c r="P26" s="13">
        <v>0.53700000000000003</v>
      </c>
      <c r="Q26" s="13">
        <v>0.188</v>
      </c>
      <c r="R26" s="13">
        <v>7.0999999999999994E-2</v>
      </c>
      <c r="S26" s="13" t="s">
        <v>76</v>
      </c>
      <c r="T26" s="13" t="s">
        <v>76</v>
      </c>
      <c r="U26" s="13">
        <v>5.2999999999999999E-2</v>
      </c>
      <c r="V26" s="13">
        <v>0.111</v>
      </c>
      <c r="W26" s="13" t="s">
        <v>76</v>
      </c>
      <c r="X26" s="13" t="s">
        <v>76</v>
      </c>
      <c r="Y26" s="13">
        <v>0</v>
      </c>
      <c r="Z26" s="13" t="s">
        <v>76</v>
      </c>
      <c r="AA26" s="13" t="s">
        <v>76</v>
      </c>
    </row>
    <row r="27" spans="1:27" x14ac:dyDescent="0.25">
      <c r="A27" s="6" t="s">
        <v>1511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0" t="s">
        <v>1509</v>
      </c>
      <c r="B28" s="10"/>
      <c r="C28" s="13">
        <v>18.382000000000001</v>
      </c>
      <c r="D28" s="13">
        <v>11.177</v>
      </c>
      <c r="E28" s="13">
        <v>11.558</v>
      </c>
      <c r="F28" s="13">
        <v>6.5750000000000002</v>
      </c>
      <c r="G28" s="13">
        <v>7.1589999999999998</v>
      </c>
      <c r="H28" s="13">
        <v>2.302</v>
      </c>
      <c r="I28" s="13">
        <v>109.67400000000001</v>
      </c>
      <c r="J28" s="13">
        <v>2.4220000000000002</v>
      </c>
      <c r="K28" s="13" t="s">
        <v>76</v>
      </c>
      <c r="L28" s="13" t="s">
        <v>76</v>
      </c>
      <c r="M28" s="13">
        <v>1.67</v>
      </c>
      <c r="N28" s="13" t="s">
        <v>76</v>
      </c>
      <c r="O28" s="13" t="s">
        <v>76</v>
      </c>
      <c r="P28" s="13" t="s">
        <v>76</v>
      </c>
      <c r="Q28" s="13" t="s">
        <v>76</v>
      </c>
      <c r="R28" s="13" t="s">
        <v>76</v>
      </c>
      <c r="S28" s="13" t="s">
        <v>76</v>
      </c>
      <c r="T28" s="13" t="s">
        <v>76</v>
      </c>
      <c r="U28" s="13" t="s">
        <v>76</v>
      </c>
      <c r="V28" s="13" t="s">
        <v>76</v>
      </c>
      <c r="W28" s="13" t="s">
        <v>76</v>
      </c>
      <c r="X28" s="13" t="s">
        <v>76</v>
      </c>
      <c r="Y28" s="13" t="s">
        <v>76</v>
      </c>
      <c r="Z28" s="13" t="s">
        <v>76</v>
      </c>
      <c r="AA28" s="13" t="s">
        <v>76</v>
      </c>
    </row>
    <row r="29" spans="1:27" x14ac:dyDescent="0.25">
      <c r="A29" s="6" t="s">
        <v>1512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10" t="s">
        <v>1509</v>
      </c>
      <c r="B30" s="10"/>
      <c r="C30" s="13" t="s">
        <v>76</v>
      </c>
      <c r="D30" s="13" t="s">
        <v>76</v>
      </c>
      <c r="E30" s="13" t="s">
        <v>76</v>
      </c>
      <c r="F30" s="13" t="s">
        <v>76</v>
      </c>
      <c r="G30" s="13" t="s">
        <v>76</v>
      </c>
      <c r="H30" s="13">
        <v>16.832999999999998</v>
      </c>
      <c r="I30" s="13">
        <v>78.356999999999999</v>
      </c>
      <c r="J30" s="13">
        <v>13.352</v>
      </c>
      <c r="K30" s="13" t="s">
        <v>76</v>
      </c>
      <c r="L30" s="13" t="s">
        <v>76</v>
      </c>
      <c r="M30" s="13">
        <v>5.3140000000000001</v>
      </c>
      <c r="N30" s="13" t="s">
        <v>76</v>
      </c>
      <c r="O30" s="13" t="s">
        <v>76</v>
      </c>
      <c r="P30" s="13" t="s">
        <v>76</v>
      </c>
      <c r="Q30" s="13" t="s">
        <v>76</v>
      </c>
      <c r="R30" s="13" t="s">
        <v>76</v>
      </c>
      <c r="S30" s="13" t="s">
        <v>76</v>
      </c>
      <c r="T30" s="13" t="s">
        <v>76</v>
      </c>
      <c r="U30" s="13" t="s">
        <v>76</v>
      </c>
      <c r="V30" s="13" t="s">
        <v>76</v>
      </c>
      <c r="W30" s="13" t="s">
        <v>76</v>
      </c>
      <c r="X30" s="13" t="s">
        <v>76</v>
      </c>
      <c r="Y30" s="13" t="s">
        <v>76</v>
      </c>
      <c r="Z30" s="13" t="s">
        <v>76</v>
      </c>
      <c r="AA30" s="13" t="s">
        <v>76</v>
      </c>
    </row>
    <row r="31" spans="1:27" x14ac:dyDescent="0.25">
      <c r="A31" s="6" t="s">
        <v>1513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10" t="s">
        <v>1509</v>
      </c>
      <c r="B32" s="10"/>
      <c r="C32" s="13" t="s">
        <v>76</v>
      </c>
      <c r="D32" s="13" t="s">
        <v>76</v>
      </c>
      <c r="E32" s="13" t="s">
        <v>76</v>
      </c>
      <c r="F32" s="13" t="s">
        <v>76</v>
      </c>
      <c r="G32" s="13" t="s">
        <v>76</v>
      </c>
      <c r="H32" s="13">
        <v>2.7280000000000002</v>
      </c>
      <c r="I32" s="13">
        <v>10.859</v>
      </c>
      <c r="J32" s="13">
        <v>3.4990000000000001</v>
      </c>
      <c r="K32" s="13" t="s">
        <v>76</v>
      </c>
      <c r="L32" s="13" t="s">
        <v>76</v>
      </c>
      <c r="M32" s="13">
        <v>0.48799999999999999</v>
      </c>
      <c r="N32" s="13" t="s">
        <v>76</v>
      </c>
      <c r="O32" s="13" t="s">
        <v>76</v>
      </c>
      <c r="P32" s="13" t="s">
        <v>76</v>
      </c>
      <c r="Q32" s="13" t="s">
        <v>76</v>
      </c>
      <c r="R32" s="13" t="s">
        <v>76</v>
      </c>
      <c r="S32" s="13" t="s">
        <v>76</v>
      </c>
      <c r="T32" s="13" t="s">
        <v>76</v>
      </c>
      <c r="U32" s="13" t="s">
        <v>76</v>
      </c>
      <c r="V32" s="13" t="s">
        <v>76</v>
      </c>
      <c r="W32" s="13" t="s">
        <v>76</v>
      </c>
      <c r="X32" s="13" t="s">
        <v>76</v>
      </c>
      <c r="Y32" s="13" t="s">
        <v>76</v>
      </c>
      <c r="Z32" s="13" t="s">
        <v>76</v>
      </c>
      <c r="AA32" s="13" t="s">
        <v>76</v>
      </c>
    </row>
    <row r="33" spans="1:27" x14ac:dyDescent="0.25">
      <c r="A33" s="6" t="s">
        <v>1514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0" t="s">
        <v>1509</v>
      </c>
      <c r="B34" s="10"/>
      <c r="C34" s="13">
        <v>0.86099999999999999</v>
      </c>
      <c r="D34" s="13">
        <v>1.294</v>
      </c>
      <c r="E34" s="13">
        <v>1.738</v>
      </c>
      <c r="F34" s="13">
        <v>2.335</v>
      </c>
      <c r="G34" s="13">
        <v>2.8380000000000001</v>
      </c>
      <c r="H34" s="13" t="s">
        <v>76</v>
      </c>
      <c r="I34" s="13" t="s">
        <v>76</v>
      </c>
      <c r="J34" s="13" t="s">
        <v>76</v>
      </c>
      <c r="K34" s="13" t="s">
        <v>76</v>
      </c>
      <c r="L34" s="13" t="s">
        <v>76</v>
      </c>
      <c r="M34" s="13" t="s">
        <v>76</v>
      </c>
      <c r="N34" s="13" t="s">
        <v>76</v>
      </c>
      <c r="O34" s="13" t="s">
        <v>76</v>
      </c>
      <c r="P34" s="13" t="s">
        <v>76</v>
      </c>
      <c r="Q34" s="13" t="s">
        <v>76</v>
      </c>
      <c r="R34" s="13" t="s">
        <v>76</v>
      </c>
      <c r="S34" s="13" t="s">
        <v>76</v>
      </c>
      <c r="T34" s="13" t="s">
        <v>76</v>
      </c>
      <c r="U34" s="13" t="s">
        <v>76</v>
      </c>
      <c r="V34" s="13" t="s">
        <v>76</v>
      </c>
      <c r="W34" s="13" t="s">
        <v>76</v>
      </c>
      <c r="X34" s="13" t="s">
        <v>76</v>
      </c>
      <c r="Y34" s="13" t="s">
        <v>76</v>
      </c>
      <c r="Z34" s="13" t="s">
        <v>76</v>
      </c>
      <c r="AA34" s="13" t="s">
        <v>76</v>
      </c>
    </row>
    <row r="35" spans="1:27" x14ac:dyDescent="0.25">
      <c r="A35" s="7" t="s">
        <v>90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4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16" width="11.855468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 x14ac:dyDescent="0.25">
      <c r="A2" s="8" t="s">
        <v>1515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3" t="s">
        <v>92</v>
      </c>
      <c r="B4" s="3"/>
      <c r="C4" s="4" t="s">
        <v>1516</v>
      </c>
      <c r="D4" s="4" t="s">
        <v>1517</v>
      </c>
      <c r="E4" s="4" t="s">
        <v>1518</v>
      </c>
      <c r="F4" s="4" t="s">
        <v>1519</v>
      </c>
      <c r="G4" s="4" t="s">
        <v>1520</v>
      </c>
      <c r="H4" s="4" t="s">
        <v>1521</v>
      </c>
      <c r="I4" s="4" t="s">
        <v>1522</v>
      </c>
      <c r="J4" s="4" t="s">
        <v>1523</v>
      </c>
      <c r="K4" s="4" t="s">
        <v>1524</v>
      </c>
      <c r="L4" s="4" t="s">
        <v>1525</v>
      </c>
      <c r="M4" s="4" t="s">
        <v>1526</v>
      </c>
      <c r="N4" s="4" t="s">
        <v>1527</v>
      </c>
      <c r="O4" s="4" t="s">
        <v>1528</v>
      </c>
      <c r="P4" s="4" t="s">
        <v>1529</v>
      </c>
    </row>
    <row r="5" spans="1:16" x14ac:dyDescent="0.25">
      <c r="A5" s="9" t="s">
        <v>33</v>
      </c>
      <c r="B5" s="9"/>
      <c r="C5" s="5" t="s">
        <v>1530</v>
      </c>
      <c r="D5" s="5" t="s">
        <v>1531</v>
      </c>
      <c r="E5" s="5" t="s">
        <v>1532</v>
      </c>
      <c r="F5" s="5" t="s">
        <v>1533</v>
      </c>
      <c r="G5" s="5" t="s">
        <v>1534</v>
      </c>
      <c r="H5" s="5" t="s">
        <v>1535</v>
      </c>
      <c r="I5" s="5" t="s">
        <v>1536</v>
      </c>
      <c r="J5" s="5" t="s">
        <v>95</v>
      </c>
      <c r="K5" s="5" t="s">
        <v>36</v>
      </c>
      <c r="L5" s="5" t="s">
        <v>40</v>
      </c>
      <c r="M5" s="5" t="s">
        <v>44</v>
      </c>
      <c r="N5" s="5" t="s">
        <v>48</v>
      </c>
      <c r="O5" s="5" t="s">
        <v>52</v>
      </c>
      <c r="P5" s="5" t="s">
        <v>56</v>
      </c>
    </row>
    <row r="6" spans="1:16" x14ac:dyDescent="0.25">
      <c r="A6" s="10" t="s">
        <v>1537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10" t="s">
        <v>1538</v>
      </c>
      <c r="B7" s="10" t="s">
        <v>1539</v>
      </c>
      <c r="C7" s="14" t="str">
        <f>_xll.BDH("BLUE US Equity","ESG_DISCLOSURE_SCORE","FY 2011","FY 2011","Currency=USD","Period=FQ","BEST_FPERIOD_OVERRIDE=FQ","FILING_STATUS=MR","Sort=A","Dates=H","DateFormat=P","Fill=—","Direction=H","UseDPDF=Y")</f>
        <v>—</v>
      </c>
      <c r="D7" s="14" t="str">
        <f>_xll.BDH("BLUE US Equity","ESG_DISCLOSURE_SCORE","FY 2012","FY 2012","Currency=USD","Period=FQ","BEST_FPERIOD_OVERRIDE=FQ","FILING_STATUS=MR","Sort=A","Dates=H","DateFormat=P","Fill=—","Direction=H","UseDPDF=Y")</f>
        <v>—</v>
      </c>
      <c r="E7" s="14" t="str">
        <f>_xll.BDH("BLUE US Equity","ESG_DISCLOSURE_SCORE","FY 2013","FY 2013","Currency=USD","Period=FQ","BEST_FPERIOD_OVERRIDE=FQ","FILING_STATUS=MR","Sort=A","Dates=H","DateFormat=P","Fill=—","Direction=H","UseDPDF=Y")</f>
        <v>—</v>
      </c>
      <c r="F7" s="14" t="str">
        <f>_xll.BDH("BLUE US Equity","ESG_DISCLOSURE_SCORE","FY 2014","FY 2014","Currency=USD","Period=FQ","BEST_FPERIOD_OVERRIDE=FQ","FILING_STATUS=MR","Sort=A","Dates=H","DateFormat=P","Fill=—","Direction=H","UseDPDF=Y")</f>
        <v>—</v>
      </c>
      <c r="G7" s="14" t="str">
        <f>_xll.BDH("BLUE US Equity","ESG_DISCLOSURE_SCORE","FY 2015","FY 2015","Currency=USD","Period=FQ","BEST_FPERIOD_OVERRIDE=FQ","FILING_STATUS=MR","Sort=A","Dates=H","DateFormat=P","Fill=—","Direction=H","UseDPDF=Y")</f>
        <v>—</v>
      </c>
      <c r="H7" s="14" t="str">
        <f>_xll.BDH("BLUE US Equity","ESG_DISCLOSURE_SCORE","FY 2016","FY 2016","Currency=USD","Period=FQ","BEST_FPERIOD_OVERRIDE=FQ","FILING_STATUS=MR","Sort=A","Dates=H","DateFormat=P","Fill=—","Direction=H","UseDPDF=Y")</f>
        <v>—</v>
      </c>
      <c r="I7" s="14" t="str">
        <f>_xll.BDH("BLUE US Equity","ESG_DISCLOSURE_SCORE","FY 2017","FY 2017","Currency=USD","Period=FQ","BEST_FPERIOD_OVERRIDE=FQ","FILING_STATUS=MR","Sort=A","Dates=H","DateFormat=P","Fill=—","Direction=H","UseDPDF=Y")</f>
        <v>—</v>
      </c>
      <c r="J7" s="14" t="str">
        <f>_xll.BDH("BLUE US Equity","ESG_DISCLOSURE_SCORE","FY 2018","FY 2018","Currency=USD","Period=FQ","BEST_FPERIOD_OVERRIDE=FQ","FILING_STATUS=MR","Sort=A","Dates=H","DateFormat=P","Fill=—","Direction=H","UseDPDF=Y")</f>
        <v>—</v>
      </c>
      <c r="K7" s="14" t="str">
        <f>_xll.BDH("BLUE US Equity","ESG_DISCLOSURE_SCORE","FY 2019","FY 2019","Currency=USD","Period=FQ","BEST_FPERIOD_OVERRIDE=FQ","FILING_STATUS=MR","Sort=A","Dates=H","DateFormat=P","Fill=—","Direction=H","UseDPDF=Y")</f>
        <v>—</v>
      </c>
      <c r="L7" s="14" t="str">
        <f>_xll.BDH("BLUE US Equity","ESG_DISCLOSURE_SCORE","FY 2020","FY 2020","Currency=USD","Period=FQ","BEST_FPERIOD_OVERRIDE=FQ","FILING_STATUS=MR","Sort=A","Dates=H","DateFormat=P","Fill=—","Direction=H","UseDPDF=Y")</f>
        <v>—</v>
      </c>
      <c r="M7" s="14" t="str">
        <f>_xll.BDH("BLUE US Equity","ESG_DISCLOSURE_SCORE","FY 2021","FY 2021","Currency=USD","Period=FQ","BEST_FPERIOD_OVERRIDE=FQ","FILING_STATUS=MR","Sort=A","Dates=H","DateFormat=P","Fill=—","Direction=H","UseDPDF=Y")</f>
        <v>—</v>
      </c>
      <c r="N7" s="14" t="str">
        <f>_xll.BDH("BLUE US Equity","ESG_DISCLOSURE_SCORE","FY 2022","FY 2022","Currency=USD","Period=FQ","BEST_FPERIOD_OVERRIDE=FQ","FILING_STATUS=MR","Sort=A","Dates=H","DateFormat=P","Fill=—","Direction=H","UseDPDF=Y")</f>
        <v>—</v>
      </c>
      <c r="O7" s="14" t="str">
        <f>_xll.BDH("BLUE US Equity","ESG_DISCLOSURE_SCORE","FY 2023","FY 2023","Currency=USD","Period=FQ","BEST_FPERIOD_OVERRIDE=FQ","FILING_STATUS=MR","Sort=A","Dates=H","DateFormat=P","Fill=—","Direction=H","UseDPDF=Y")</f>
        <v>—</v>
      </c>
      <c r="P7" s="14" t="str">
        <f>_xll.BDH("BLUE US Equity","ESG_DISCLOSURE_SCORE","FY 2024","FY 2024","Currency=USD","Period=FQ","BEST_FPERIOD_OVERRIDE=FQ","FILING_STATUS=MR","Sort=A","Dates=H","DateFormat=P","Fill=—","Direction=H","UseDPDF=Y")</f>
        <v>—</v>
      </c>
    </row>
    <row r="8" spans="1:16" x14ac:dyDescent="0.25">
      <c r="A8" s="10" t="s">
        <v>1540</v>
      </c>
      <c r="B8" s="10" t="s">
        <v>1541</v>
      </c>
      <c r="C8" s="14" t="str">
        <f>_xll.BDH("BLUE US Equity","ENVIRON_DISCLOSURE_SCORE","FY 2011","FY 2011","Currency=USD","Period=FQ","BEST_FPERIOD_OVERRIDE=FQ","FILING_STATUS=MR","Sort=A","Dates=H","DateFormat=P","Fill=—","Direction=H","UseDPDF=Y")</f>
        <v>—</v>
      </c>
      <c r="D8" s="14" t="str">
        <f>_xll.BDH("BLUE US Equity","ENVIRON_DISCLOSURE_SCORE","FY 2012","FY 2012","Currency=USD","Period=FQ","BEST_FPERIOD_OVERRIDE=FQ","FILING_STATUS=MR","Sort=A","Dates=H","DateFormat=P","Fill=—","Direction=H","UseDPDF=Y")</f>
        <v>—</v>
      </c>
      <c r="E8" s="14" t="str">
        <f>_xll.BDH("BLUE US Equity","ENVIRON_DISCLOSURE_SCORE","FY 2013","FY 2013","Currency=USD","Period=FQ","BEST_FPERIOD_OVERRIDE=FQ","FILING_STATUS=MR","Sort=A","Dates=H","DateFormat=P","Fill=—","Direction=H","UseDPDF=Y")</f>
        <v>—</v>
      </c>
      <c r="F8" s="14" t="str">
        <f>_xll.BDH("BLUE US Equity","ENVIRON_DISCLOSURE_SCORE","FY 2014","FY 2014","Currency=USD","Period=FQ","BEST_FPERIOD_OVERRIDE=FQ","FILING_STATUS=MR","Sort=A","Dates=H","DateFormat=P","Fill=—","Direction=H","UseDPDF=Y")</f>
        <v>—</v>
      </c>
      <c r="G8" s="14" t="str">
        <f>_xll.BDH("BLUE US Equity","ENVIRON_DISCLOSURE_SCORE","FY 2015","FY 2015","Currency=USD","Period=FQ","BEST_FPERIOD_OVERRIDE=FQ","FILING_STATUS=MR","Sort=A","Dates=H","DateFormat=P","Fill=—","Direction=H","UseDPDF=Y")</f>
        <v>—</v>
      </c>
      <c r="H8" s="14" t="str">
        <f>_xll.BDH("BLUE US Equity","ENVIRON_DISCLOSURE_SCORE","FY 2016","FY 2016","Currency=USD","Period=FQ","BEST_FPERIOD_OVERRIDE=FQ","FILING_STATUS=MR","Sort=A","Dates=H","DateFormat=P","Fill=—","Direction=H","UseDPDF=Y")</f>
        <v>—</v>
      </c>
      <c r="I8" s="14" t="str">
        <f>_xll.BDH("BLUE US Equity","ENVIRON_DISCLOSURE_SCORE","FY 2017","FY 2017","Currency=USD","Period=FQ","BEST_FPERIOD_OVERRIDE=FQ","FILING_STATUS=MR","Sort=A","Dates=H","DateFormat=P","Fill=—","Direction=H","UseDPDF=Y")</f>
        <v>—</v>
      </c>
      <c r="J8" s="14" t="str">
        <f>_xll.BDH("BLUE US Equity","ENVIRON_DISCLOSURE_SCORE","FY 2018","FY 2018","Currency=USD","Period=FQ","BEST_FPERIOD_OVERRIDE=FQ","FILING_STATUS=MR","Sort=A","Dates=H","DateFormat=P","Fill=—","Direction=H","UseDPDF=Y")</f>
        <v>—</v>
      </c>
      <c r="K8" s="14" t="str">
        <f>_xll.BDH("BLUE US Equity","ENVIRON_DISCLOSURE_SCORE","FY 2019","FY 2019","Currency=USD","Period=FQ","BEST_FPERIOD_OVERRIDE=FQ","FILING_STATUS=MR","Sort=A","Dates=H","DateFormat=P","Fill=—","Direction=H","UseDPDF=Y")</f>
        <v>—</v>
      </c>
      <c r="L8" s="14" t="str">
        <f>_xll.BDH("BLUE US Equity","ENVIRON_DISCLOSURE_SCORE","FY 2020","FY 2020","Currency=USD","Period=FQ","BEST_FPERIOD_OVERRIDE=FQ","FILING_STATUS=MR","Sort=A","Dates=H","DateFormat=P","Fill=—","Direction=H","UseDPDF=Y")</f>
        <v>—</v>
      </c>
      <c r="M8" s="14" t="str">
        <f>_xll.BDH("BLUE US Equity","ENVIRON_DISCLOSURE_SCORE","FY 2021","FY 2021","Currency=USD","Period=FQ","BEST_FPERIOD_OVERRIDE=FQ","FILING_STATUS=MR","Sort=A","Dates=H","DateFormat=P","Fill=—","Direction=H","UseDPDF=Y")</f>
        <v>—</v>
      </c>
      <c r="N8" s="14" t="str">
        <f>_xll.BDH("BLUE US Equity","ENVIRON_DISCLOSURE_SCORE","FY 2022","FY 2022","Currency=USD","Period=FQ","BEST_FPERIOD_OVERRIDE=FQ","FILING_STATUS=MR","Sort=A","Dates=H","DateFormat=P","Fill=—","Direction=H","UseDPDF=Y")</f>
        <v>—</v>
      </c>
      <c r="O8" s="14" t="str">
        <f>_xll.BDH("BLUE US Equity","ENVIRON_DISCLOSURE_SCORE","FY 2023","FY 2023","Currency=USD","Period=FQ","BEST_FPERIOD_OVERRIDE=FQ","FILING_STATUS=MR","Sort=A","Dates=H","DateFormat=P","Fill=—","Direction=H","UseDPDF=Y")</f>
        <v>—</v>
      </c>
      <c r="P8" s="14" t="str">
        <f>_xll.BDH("BLUE US Equity","ENVIRON_DISCLOSURE_SCORE","FY 2024","FY 2024","Currency=USD","Period=FQ","BEST_FPERIOD_OVERRIDE=FQ","FILING_STATUS=MR","Sort=A","Dates=H","DateFormat=P","Fill=—","Direction=H","UseDPDF=Y")</f>
        <v>—</v>
      </c>
    </row>
    <row r="9" spans="1:16" x14ac:dyDescent="0.25">
      <c r="A9" s="10" t="s">
        <v>1542</v>
      </c>
      <c r="B9" s="10" t="s">
        <v>1543</v>
      </c>
      <c r="C9" s="14" t="str">
        <f>_xll.BDH("BLUE US Equity","SOCIAL_DISCLOSURE_SCORE","FY 2011","FY 2011","Currency=USD","Period=FQ","BEST_FPERIOD_OVERRIDE=FQ","FILING_STATUS=MR","Sort=A","Dates=H","DateFormat=P","Fill=—","Direction=H","UseDPDF=Y")</f>
        <v>—</v>
      </c>
      <c r="D9" s="14" t="str">
        <f>_xll.BDH("BLUE US Equity","SOCIAL_DISCLOSURE_SCORE","FY 2012","FY 2012","Currency=USD","Period=FQ","BEST_FPERIOD_OVERRIDE=FQ","FILING_STATUS=MR","Sort=A","Dates=H","DateFormat=P","Fill=—","Direction=H","UseDPDF=Y")</f>
        <v>—</v>
      </c>
      <c r="E9" s="14" t="str">
        <f>_xll.BDH("BLUE US Equity","SOCIAL_DISCLOSURE_SCORE","FY 2013","FY 2013","Currency=USD","Period=FQ","BEST_FPERIOD_OVERRIDE=FQ","FILING_STATUS=MR","Sort=A","Dates=H","DateFormat=P","Fill=—","Direction=H","UseDPDF=Y")</f>
        <v>—</v>
      </c>
      <c r="F9" s="14" t="str">
        <f>_xll.BDH("BLUE US Equity","SOCIAL_DISCLOSURE_SCORE","FY 2014","FY 2014","Currency=USD","Period=FQ","BEST_FPERIOD_OVERRIDE=FQ","FILING_STATUS=MR","Sort=A","Dates=H","DateFormat=P","Fill=—","Direction=H","UseDPDF=Y")</f>
        <v>—</v>
      </c>
      <c r="G9" s="14" t="str">
        <f>_xll.BDH("BLUE US Equity","SOCIAL_DISCLOSURE_SCORE","FY 2015","FY 2015","Currency=USD","Period=FQ","BEST_FPERIOD_OVERRIDE=FQ","FILING_STATUS=MR","Sort=A","Dates=H","DateFormat=P","Fill=—","Direction=H","UseDPDF=Y")</f>
        <v>—</v>
      </c>
      <c r="H9" s="14" t="str">
        <f>_xll.BDH("BLUE US Equity","SOCIAL_DISCLOSURE_SCORE","FY 2016","FY 2016","Currency=USD","Period=FQ","BEST_FPERIOD_OVERRIDE=FQ","FILING_STATUS=MR","Sort=A","Dates=H","DateFormat=P","Fill=—","Direction=H","UseDPDF=Y")</f>
        <v>—</v>
      </c>
      <c r="I9" s="14" t="str">
        <f>_xll.BDH("BLUE US Equity","SOCIAL_DISCLOSURE_SCORE","FY 2017","FY 2017","Currency=USD","Period=FQ","BEST_FPERIOD_OVERRIDE=FQ","FILING_STATUS=MR","Sort=A","Dates=H","DateFormat=P","Fill=—","Direction=H","UseDPDF=Y")</f>
        <v>—</v>
      </c>
      <c r="J9" s="14" t="str">
        <f>_xll.BDH("BLUE US Equity","SOCIAL_DISCLOSURE_SCORE","FY 2018","FY 2018","Currency=USD","Period=FQ","BEST_FPERIOD_OVERRIDE=FQ","FILING_STATUS=MR","Sort=A","Dates=H","DateFormat=P","Fill=—","Direction=H","UseDPDF=Y")</f>
        <v>—</v>
      </c>
      <c r="K9" s="14" t="str">
        <f>_xll.BDH("BLUE US Equity","SOCIAL_DISCLOSURE_SCORE","FY 2019","FY 2019","Currency=USD","Period=FQ","BEST_FPERIOD_OVERRIDE=FQ","FILING_STATUS=MR","Sort=A","Dates=H","DateFormat=P","Fill=—","Direction=H","UseDPDF=Y")</f>
        <v>—</v>
      </c>
      <c r="L9" s="14" t="str">
        <f>_xll.BDH("BLUE US Equity","SOCIAL_DISCLOSURE_SCORE","FY 2020","FY 2020","Currency=USD","Period=FQ","BEST_FPERIOD_OVERRIDE=FQ","FILING_STATUS=MR","Sort=A","Dates=H","DateFormat=P","Fill=—","Direction=H","UseDPDF=Y")</f>
        <v>—</v>
      </c>
      <c r="M9" s="14" t="str">
        <f>_xll.BDH("BLUE US Equity","SOCIAL_DISCLOSURE_SCORE","FY 2021","FY 2021","Currency=USD","Period=FQ","BEST_FPERIOD_OVERRIDE=FQ","FILING_STATUS=MR","Sort=A","Dates=H","DateFormat=P","Fill=—","Direction=H","UseDPDF=Y")</f>
        <v>—</v>
      </c>
      <c r="N9" s="14" t="str">
        <f>_xll.BDH("BLUE US Equity","SOCIAL_DISCLOSURE_SCORE","FY 2022","FY 2022","Currency=USD","Period=FQ","BEST_FPERIOD_OVERRIDE=FQ","FILING_STATUS=MR","Sort=A","Dates=H","DateFormat=P","Fill=—","Direction=H","UseDPDF=Y")</f>
        <v>—</v>
      </c>
      <c r="O9" s="14" t="str">
        <f>_xll.BDH("BLUE US Equity","SOCIAL_DISCLOSURE_SCORE","FY 2023","FY 2023","Currency=USD","Period=FQ","BEST_FPERIOD_OVERRIDE=FQ","FILING_STATUS=MR","Sort=A","Dates=H","DateFormat=P","Fill=—","Direction=H","UseDPDF=Y")</f>
        <v>—</v>
      </c>
      <c r="P9" s="14" t="str">
        <f>_xll.BDH("BLUE US Equity","SOCIAL_DISCLOSURE_SCORE","FY 2024","FY 2024","Currency=USD","Period=FQ","BEST_FPERIOD_OVERRIDE=FQ","FILING_STATUS=MR","Sort=A","Dates=H","DateFormat=P","Fill=—","Direction=H","UseDPDF=Y")</f>
        <v>—</v>
      </c>
    </row>
    <row r="10" spans="1:16" x14ac:dyDescent="0.25">
      <c r="A10" s="10" t="s">
        <v>1544</v>
      </c>
      <c r="B10" s="10" t="s">
        <v>1545</v>
      </c>
      <c r="C10" s="14" t="str">
        <f>_xll.BDH("BLUE US Equity","GOVNCE_DISCLOSURE_SCORE","FY 2011","FY 2011","Currency=USD","Period=FQ","BEST_FPERIOD_OVERRIDE=FQ","FILING_STATUS=MR","Sort=A","Dates=H","DateFormat=P","Fill=—","Direction=H","UseDPDF=Y")</f>
        <v>—</v>
      </c>
      <c r="D10" s="14" t="str">
        <f>_xll.BDH("BLUE US Equity","GOVNCE_DISCLOSURE_SCORE","FY 2012","FY 2012","Currency=USD","Period=FQ","BEST_FPERIOD_OVERRIDE=FQ","FILING_STATUS=MR","Sort=A","Dates=H","DateFormat=P","Fill=—","Direction=H","UseDPDF=Y")</f>
        <v>—</v>
      </c>
      <c r="E10" s="14" t="str">
        <f>_xll.BDH("BLUE US Equity","GOVNCE_DISCLOSURE_SCORE","FY 2013","FY 2013","Currency=USD","Period=FQ","BEST_FPERIOD_OVERRIDE=FQ","FILING_STATUS=MR","Sort=A","Dates=H","DateFormat=P","Fill=—","Direction=H","UseDPDF=Y")</f>
        <v>—</v>
      </c>
      <c r="F10" s="14" t="str">
        <f>_xll.BDH("BLUE US Equity","GOVNCE_DISCLOSURE_SCORE","FY 2014","FY 2014","Currency=USD","Period=FQ","BEST_FPERIOD_OVERRIDE=FQ","FILING_STATUS=MR","Sort=A","Dates=H","DateFormat=P","Fill=—","Direction=H","UseDPDF=Y")</f>
        <v>—</v>
      </c>
      <c r="G10" s="14" t="str">
        <f>_xll.BDH("BLUE US Equity","GOVNCE_DISCLOSURE_SCORE","FY 2015","FY 2015","Currency=USD","Period=FQ","BEST_FPERIOD_OVERRIDE=FQ","FILING_STATUS=MR","Sort=A","Dates=H","DateFormat=P","Fill=—","Direction=H","UseDPDF=Y")</f>
        <v>—</v>
      </c>
      <c r="H10" s="14" t="str">
        <f>_xll.BDH("BLUE US Equity","GOVNCE_DISCLOSURE_SCORE","FY 2016","FY 2016","Currency=USD","Period=FQ","BEST_FPERIOD_OVERRIDE=FQ","FILING_STATUS=MR","Sort=A","Dates=H","DateFormat=P","Fill=—","Direction=H","UseDPDF=Y")</f>
        <v>—</v>
      </c>
      <c r="I10" s="14" t="str">
        <f>_xll.BDH("BLUE US Equity","GOVNCE_DISCLOSURE_SCORE","FY 2017","FY 2017","Currency=USD","Period=FQ","BEST_FPERIOD_OVERRIDE=FQ","FILING_STATUS=MR","Sort=A","Dates=H","DateFormat=P","Fill=—","Direction=H","UseDPDF=Y")</f>
        <v>—</v>
      </c>
      <c r="J10" s="14" t="str">
        <f>_xll.BDH("BLUE US Equity","GOVNCE_DISCLOSURE_SCORE","FY 2018","FY 2018","Currency=USD","Period=FQ","BEST_FPERIOD_OVERRIDE=FQ","FILING_STATUS=MR","Sort=A","Dates=H","DateFormat=P","Fill=—","Direction=H","UseDPDF=Y")</f>
        <v>—</v>
      </c>
      <c r="K10" s="14" t="str">
        <f>_xll.BDH("BLUE US Equity","GOVNCE_DISCLOSURE_SCORE","FY 2019","FY 2019","Currency=USD","Period=FQ","BEST_FPERIOD_OVERRIDE=FQ","FILING_STATUS=MR","Sort=A","Dates=H","DateFormat=P","Fill=—","Direction=H","UseDPDF=Y")</f>
        <v>—</v>
      </c>
      <c r="L10" s="14" t="str">
        <f>_xll.BDH("BLUE US Equity","GOVNCE_DISCLOSURE_SCORE","FY 2020","FY 2020","Currency=USD","Period=FQ","BEST_FPERIOD_OVERRIDE=FQ","FILING_STATUS=MR","Sort=A","Dates=H","DateFormat=P","Fill=—","Direction=H","UseDPDF=Y")</f>
        <v>—</v>
      </c>
      <c r="M10" s="14" t="str">
        <f>_xll.BDH("BLUE US Equity","GOVNCE_DISCLOSURE_SCORE","FY 2021","FY 2021","Currency=USD","Period=FQ","BEST_FPERIOD_OVERRIDE=FQ","FILING_STATUS=MR","Sort=A","Dates=H","DateFormat=P","Fill=—","Direction=H","UseDPDF=Y")</f>
        <v>—</v>
      </c>
      <c r="N10" s="14" t="str">
        <f>_xll.BDH("BLUE US Equity","GOVNCE_DISCLOSURE_SCORE","FY 2022","FY 2022","Currency=USD","Period=FQ","BEST_FPERIOD_OVERRIDE=FQ","FILING_STATUS=MR","Sort=A","Dates=H","DateFormat=P","Fill=—","Direction=H","UseDPDF=Y")</f>
        <v>—</v>
      </c>
      <c r="O10" s="14" t="str">
        <f>_xll.BDH("BLUE US Equity","GOVNCE_DISCLOSURE_SCORE","FY 2023","FY 2023","Currency=USD","Period=FQ","BEST_FPERIOD_OVERRIDE=FQ","FILING_STATUS=MR","Sort=A","Dates=H","DateFormat=P","Fill=—","Direction=H","UseDPDF=Y")</f>
        <v>—</v>
      </c>
      <c r="P10" s="14" t="str">
        <f>_xll.BDH("BLUE US Equity","GOVNCE_DISCLOSURE_SCORE","FY 2024","FY 2024","Currency=USD","Period=FQ","BEST_FPERIOD_OVERRIDE=FQ","FILING_STATUS=MR","Sort=A","Dates=H","DateFormat=P","Fill=—","Direction=H","UseDPDF=Y")</f>
        <v>—</v>
      </c>
    </row>
    <row r="11" spans="1:16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6" t="s">
        <v>1546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6" t="s">
        <v>1547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5">
      <c r="A16" s="6" t="s">
        <v>1548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6" t="s">
        <v>1549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6" t="s">
        <v>1550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6" t="s">
        <v>1551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6" t="s">
        <v>1552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0" t="s">
        <v>1553</v>
      </c>
      <c r="B25" s="10" t="s">
        <v>1554</v>
      </c>
      <c r="C25" s="14" t="str">
        <f>_xll.BDH("BLUE US Equity","RD_EXPENDITURES_PER_CASH_FLOW","FY 2011","FY 2011","Currency=USD","Period=FQ","BEST_FPERIOD_OVERRIDE=FQ","FILING_STATUS=MR","Sort=A","Dates=H","DateFormat=P","Fill=—","Direction=H","UseDPDF=Y")</f>
        <v>—</v>
      </c>
      <c r="D25" s="14" t="str">
        <f>_xll.BDH("BLUE US Equity","RD_EXPENDITURES_PER_CASH_FLOW","FY 2012","FY 2012","Currency=USD","Period=FQ","BEST_FPERIOD_OVERRIDE=FQ","FILING_STATUS=MR","Sort=A","Dates=H","DateFormat=P","Fill=—","Direction=H","UseDPDF=Y")</f>
        <v>—</v>
      </c>
      <c r="E25" s="14">
        <f>_xll.BDH("BLUE US Equity","RD_EXPENDITURES_PER_CASH_FLOW","FY 2013","FY 2013","Currency=USD","Period=FQ","BEST_FPERIOD_OVERRIDE=FQ","FILING_STATUS=MR","Sort=A","Dates=H","DateFormat=P","Fill=—","Direction=H","UseDPDF=Y")</f>
        <v>-1.7901</v>
      </c>
      <c r="F25" s="14">
        <f>_xll.BDH("BLUE US Equity","RD_EXPENDITURES_PER_CASH_FLOW","FY 2014","FY 2014","Currency=USD","Period=FQ","BEST_FPERIOD_OVERRIDE=FQ","FILING_STATUS=MR","Sort=A","Dates=H","DateFormat=P","Fill=—","Direction=H","UseDPDF=Y")</f>
        <v>-1.3107</v>
      </c>
      <c r="G25" s="14">
        <f>_xll.BDH("BLUE US Equity","RD_EXPENDITURES_PER_CASH_FLOW","FY 2015","FY 2015","Currency=USD","Period=FQ","BEST_FPERIOD_OVERRIDE=FQ","FILING_STATUS=MR","Sort=A","Dates=H","DateFormat=P","Fill=—","Direction=H","UseDPDF=Y")</f>
        <v>-1.0778000000000001</v>
      </c>
      <c r="H25" s="14">
        <f>_xll.BDH("BLUE US Equity","RD_EXPENDITURES_PER_CASH_FLOW","FY 2016","FY 2016","Currency=USD","Period=FQ","BEST_FPERIOD_OVERRIDE=FQ","FILING_STATUS=MR","Sort=A","Dates=H","DateFormat=P","Fill=—","Direction=H","UseDPDF=Y")</f>
        <v>-0.82669999999999999</v>
      </c>
      <c r="I25" s="14">
        <f>_xll.BDH("BLUE US Equity","RD_EXPENDITURES_PER_CASH_FLOW","FY 2017","FY 2017","Currency=USD","Period=FQ","BEST_FPERIOD_OVERRIDE=FQ","FILING_STATUS=MR","Sort=A","Dates=H","DateFormat=P","Fill=—","Direction=H","UseDPDF=Y")</f>
        <v>-0.97060000000000002</v>
      </c>
      <c r="J25" s="14">
        <f>_xll.BDH("BLUE US Equity","RD_EXPENDITURES_PER_CASH_FLOW","FY 2018","FY 2018","Currency=USD","Period=FQ","BEST_FPERIOD_OVERRIDE=FQ","FILING_STATUS=MR","Sort=A","Dates=H","DateFormat=P","Fill=—","Direction=H","UseDPDF=Y")</f>
        <v>-0.92279999999999995</v>
      </c>
      <c r="K25" s="14">
        <f>_xll.BDH("BLUE US Equity","RD_EXPENDITURES_PER_CASH_FLOW","FY 2019","FY 2019","Currency=USD","Period=FQ","BEST_FPERIOD_OVERRIDE=FQ","FILING_STATUS=MR","Sort=A","Dates=H","DateFormat=P","Fill=—","Direction=H","UseDPDF=Y")</f>
        <v>-1.0179</v>
      </c>
      <c r="L25" s="14">
        <f>_xll.BDH("BLUE US Equity","RD_EXPENDITURES_PER_CASH_FLOW","FY 2020","FY 2020","Currency=USD","Period=FQ","BEST_FPERIOD_OVERRIDE=FQ","FILING_STATUS=MR","Sort=A","Dates=H","DateFormat=P","Fill=—","Direction=H","UseDPDF=Y")</f>
        <v>-0.379</v>
      </c>
      <c r="M25" s="14">
        <f>_xll.BDH("BLUE US Equity","RD_EXPENDITURES_PER_CASH_FLOW","FY 2021","FY 2021","Currency=USD","Period=FQ","BEST_FPERIOD_OVERRIDE=FQ","FILING_STATUS=MR","Sort=A","Dates=H","DateFormat=P","Fill=—","Direction=H","UseDPDF=Y")</f>
        <v>-0.56810000000000005</v>
      </c>
      <c r="N25" s="14">
        <f>_xll.BDH("BLUE US Equity","RD_EXPENDITURES_PER_CASH_FLOW","FY 2022","FY 2022","Currency=USD","Period=FQ","BEST_FPERIOD_OVERRIDE=FQ","FILING_STATUS=MR","Sort=A","Dates=H","DateFormat=P","Fill=—","Direction=H","UseDPDF=Y")</f>
        <v>-0.2853</v>
      </c>
      <c r="O25" s="14">
        <f>_xll.BDH("BLUE US Equity","RD_EXPENDITURES_PER_CASH_FLOW","FY 2023","FY 2023","Currency=USD","Period=FQ","BEST_FPERIOD_OVERRIDE=FQ","FILING_STATUS=MR","Sort=A","Dates=H","DateFormat=P","Fill=—","Direction=H","UseDPDF=Y")</f>
        <v>-2.4405999999999999</v>
      </c>
      <c r="P25" s="14">
        <f>_xll.BDH("BLUE US Equity","RD_EXPENDITURES_PER_CASH_FLOW","FY 2024","FY 2024","Currency=USD","Period=FQ","BEST_FPERIOD_OVERRIDE=FQ","FILING_STATUS=MR","Sort=A","Dates=H","DateFormat=P","Fill=—","Direction=H","UseDPDF=Y")</f>
        <v>-0.41549999999999998</v>
      </c>
    </row>
    <row r="26" spans="1:16" x14ac:dyDescent="0.25">
      <c r="A26" s="10" t="s">
        <v>1555</v>
      </c>
      <c r="B26" s="10" t="s">
        <v>1556</v>
      </c>
      <c r="C26" s="14" t="str">
        <f>_xll.BDH("BLUE US Equity","ACTUAL_NET_INCOME_PER_EMPLOYEE","FY 2011","FY 2011","Currency=USD","Period=FQ","BEST_FPERIOD_OVERRIDE=FQ","FILING_STATUS=MR","FA_ADJUSTED=GAAP","Sort=A","Dates=H","DateFormat=P","Fill=—","Direction=H","UseDPDF=Y")</f>
        <v>—</v>
      </c>
      <c r="D26" s="14" t="str">
        <f>_xll.BDH("BLUE US Equity","ACTUAL_NET_INCOME_PER_EMPLOYEE","FY 2012","FY 2012","Currency=USD","Period=FQ","BEST_FPERIOD_OVERRIDE=FQ","FILING_STATUS=MR","FA_ADJUSTED=GAAP","Sort=A","Dates=H","DateFormat=P","Fill=—","Direction=H","UseDPDF=Y")</f>
        <v>—</v>
      </c>
      <c r="E26" s="14">
        <f>_xll.BDH("BLUE US Equity","ACTUAL_NET_INCOME_PER_EMPLOYEE","FY 2013","FY 2013","Currency=USD","Period=FQ","BEST_FPERIOD_OVERRIDE=FQ","FILING_STATUS=MR","FA_ADJUSTED=GAAP","Sort=A","Dates=H","DateFormat=P","Fill=—","Direction=H","UseDPDF=Y")</f>
        <v>-92885.057499999995</v>
      </c>
      <c r="F26" s="14">
        <f>_xll.BDH("BLUE US Equity","ACTUAL_NET_INCOME_PER_EMPLOYEE","FY 2014","FY 2014","Currency=USD","Period=FQ","BEST_FPERIOD_OVERRIDE=FQ","FILING_STATUS=MR","FA_ADJUSTED=GAAP","Sort=A","Dates=H","DateFormat=P","Fill=—","Direction=H","UseDPDF=Y")</f>
        <v>-136671.32870000001</v>
      </c>
      <c r="G26" s="14">
        <f>_xll.BDH("BLUE US Equity","ACTUAL_NET_INCOME_PER_EMPLOYEE","FY 2015","FY 2015","Currency=USD","Period=FQ","BEST_FPERIOD_OVERRIDE=FQ","FILING_STATUS=MR","FA_ADJUSTED=GAAP","Sort=A","Dates=H","DateFormat=P","Fill=—","Direction=H","UseDPDF=Y")</f>
        <v>-186129.92129999999</v>
      </c>
      <c r="H26" s="14">
        <f>_xll.BDH("BLUE US Equity","ACTUAL_NET_INCOME_PER_EMPLOYEE","FY 2016","FY 2016","Currency=USD","Period=FQ","BEST_FPERIOD_OVERRIDE=FQ","FILING_STATUS=MR","FA_ADJUSTED=GAAP","Sort=A","Dates=H","DateFormat=P","Fill=—","Direction=H","UseDPDF=Y")</f>
        <v>-217573.17069999999</v>
      </c>
      <c r="I26" s="14">
        <f>_xll.BDH("BLUE US Equity","ACTUAL_NET_INCOME_PER_EMPLOYEE","FY 2017","FY 2017","Currency=USD","Period=FQ","BEST_FPERIOD_OVERRIDE=FQ","FILING_STATUS=MR","FA_ADJUSTED=GAAP","Sort=A","Dates=H","DateFormat=P","Fill=—","Direction=H","UseDPDF=Y")</f>
        <v>-244734.86429999999</v>
      </c>
      <c r="J26" s="14">
        <f>_xll.BDH("BLUE US Equity","ACTUAL_NET_INCOME_PER_EMPLOYEE","FY 2018","FY 2018","Currency=USD","Period=FQ","BEST_FPERIOD_OVERRIDE=FQ","FILING_STATUS=MR","FA_ADJUSTED=GAAP","Sort=A","Dates=H","DateFormat=P","Fill=—","Direction=H","UseDPDF=Y")</f>
        <v>-195056.28270000001</v>
      </c>
      <c r="K26" s="14">
        <f>_xll.BDH("BLUE US Equity","ACTUAL_NET_INCOME_PER_EMPLOYEE","FY 2019","FY 2019","Currency=USD","Period=FQ","BEST_FPERIOD_OVERRIDE=FQ","FILING_STATUS=MR","FA_ADJUSTED=GAAP","Sort=A","Dates=H","DateFormat=P","Fill=—","Direction=H","UseDPDF=Y")</f>
        <v>-220698.61660000001</v>
      </c>
      <c r="L26" s="14">
        <f>_xll.BDH("BLUE US Equity","ACTUAL_NET_INCOME_PER_EMPLOYEE","FY 2020","FY 2020","Currency=USD","Period=FQ","BEST_FPERIOD_OVERRIDE=FQ","FILING_STATUS=MR","FA_ADJUSTED=GAAP","Sort=A","Dates=H","DateFormat=P","Fill=—","Direction=H","UseDPDF=Y")</f>
        <v>-164776.587</v>
      </c>
      <c r="M26" s="14">
        <f>_xll.BDH("BLUE US Equity","ACTUAL_NET_INCOME_PER_EMPLOYEE","FY 2021","FY 2021","Currency=USD","Period=FQ","BEST_FPERIOD_OVERRIDE=FQ","FILING_STATUS=MR","FA_ADJUSTED=GAAP","Sort=A","Dates=H","DateFormat=P","Fill=—","Direction=H","UseDPDF=Y")</f>
        <v>-299328.18530000001</v>
      </c>
      <c r="N26" s="14">
        <f>_xll.BDH("BLUE US Equity","ACTUAL_NET_INCOME_PER_EMPLOYEE","FY 2022","FY 2022","Currency=USD","Period=FQ","BEST_FPERIOD_OVERRIDE=FQ","FILING_STATUS=MR","FA_ADJUSTED=GAAP","Sort=A","Dates=H","DateFormat=P","Fill=—","Direction=H","UseDPDF=Y")</f>
        <v>211975.2322</v>
      </c>
      <c r="O26" s="14">
        <f>_xll.BDH("BLUE US Equity","ACTUAL_NET_INCOME_PER_EMPLOYEE","FY 2023","FY 2023","Currency=USD","Period=FQ","BEST_FPERIOD_OVERRIDE=FQ","FILING_STATUS=MR","FA_ADJUSTED=GAAP","Sort=A","Dates=H","DateFormat=P","Fill=—","Direction=H","UseDPDF=Y")</f>
        <v>-236037.3333</v>
      </c>
      <c r="P26" s="14">
        <f>_xll.BDH("BLUE US Equity","ACTUAL_NET_INCOME_PER_EMPLOYEE","FY 2024","FY 2024","Currency=USD","Period=FQ","BEST_FPERIOD_OVERRIDE=FQ","FILING_STATUS=MR","FA_ADJUSTED=GAAP","Sort=A","Dates=H","DateFormat=P","Fill=—","Direction=H","UseDPDF=Y")</f>
        <v>-115766.129</v>
      </c>
    </row>
    <row r="27" spans="1:16" x14ac:dyDescent="0.25">
      <c r="A27" s="10" t="s">
        <v>1557</v>
      </c>
      <c r="B27" s="10" t="s">
        <v>1558</v>
      </c>
      <c r="C27" s="14" t="str">
        <f>_xll.BDH("BLUE US Equity","CASH_FLOW_PER_EMPLOYEE","FY 2011","FY 2011","Currency=USD","Period=FQ","BEST_FPERIOD_OVERRIDE=FQ","FILING_STATUS=MR","Sort=A","Dates=H","DateFormat=P","Fill=—","Direction=H","UseDPDF=Y")</f>
        <v>—</v>
      </c>
      <c r="D27" s="14" t="str">
        <f>_xll.BDH("BLUE US Equity","CASH_FLOW_PER_EMPLOYEE","FY 2012","FY 2012","Currency=USD","Period=FQ","BEST_FPERIOD_OVERRIDE=FQ","FILING_STATUS=MR","Sort=A","Dates=H","DateFormat=P","Fill=—","Direction=H","UseDPDF=Y")</f>
        <v>—</v>
      </c>
      <c r="E27" s="14">
        <f>_xll.BDH("BLUE US Equity","CASH_FLOW_PER_EMPLOYEE","FY 2013","FY 2013","Currency=USD","Period=FQ","BEST_FPERIOD_OVERRIDE=FQ","FILING_STATUS=MR","Sort=A","Dates=H","DateFormat=P","Fill=—","Direction=H","UseDPDF=Y")</f>
        <v>-62701.149400000002</v>
      </c>
      <c r="F27" s="14">
        <f>_xll.BDH("BLUE US Equity","CASH_FLOW_PER_EMPLOYEE","FY 2014","FY 2014","Currency=USD","Period=FQ","BEST_FPERIOD_OVERRIDE=FQ","FILING_STATUS=MR","Sort=A","Dates=H","DateFormat=P","Fill=—","Direction=H","UseDPDF=Y")</f>
        <v>-109538.4615</v>
      </c>
      <c r="G27" s="14">
        <f>_xll.BDH("BLUE US Equity","CASH_FLOW_PER_EMPLOYEE","FY 2015","FY 2015","Currency=USD","Period=FQ","BEST_FPERIOD_OVERRIDE=FQ","FILING_STATUS=MR","Sort=A","Dates=H","DateFormat=P","Fill=—","Direction=H","UseDPDF=Y")</f>
        <v>-130255.90549999999</v>
      </c>
      <c r="H27" s="14">
        <f>_xll.BDH("BLUE US Equity","CASH_FLOW_PER_EMPLOYEE","FY 2016","FY 2016","Currency=USD","Period=FQ","BEST_FPERIOD_OVERRIDE=FQ","FILING_STATUS=MR","Sort=A","Dates=H","DateFormat=P","Fill=—","Direction=H","UseDPDF=Y")</f>
        <v>-210689.02439999999</v>
      </c>
      <c r="I27" s="14">
        <f>_xll.BDH("BLUE US Equity","CASH_FLOW_PER_EMPLOYEE","FY 2017","FY 2017","Currency=USD","Period=FQ","BEST_FPERIOD_OVERRIDE=FQ","FILING_STATUS=MR","Sort=A","Dates=H","DateFormat=P","Fill=—","Direction=H","UseDPDF=Y")</f>
        <v>-199121.08559999999</v>
      </c>
      <c r="J27" s="14">
        <f>_xll.BDH("BLUE US Equity","CASH_FLOW_PER_EMPLOYEE","FY 2018","FY 2018","Currency=USD","Period=FQ","BEST_FPERIOD_OVERRIDE=FQ","FILING_STATUS=MR","Sort=A","Dates=H","DateFormat=P","Fill=—","Direction=H","UseDPDF=Y")</f>
        <v>-169804.97380000001</v>
      </c>
      <c r="K27" s="14">
        <f>_xll.BDH("BLUE US Equity","CASH_FLOW_PER_EMPLOYEE","FY 2019","FY 2019","Currency=USD","Period=FQ","BEST_FPERIOD_OVERRIDE=FQ","FILING_STATUS=MR","Sort=A","Dates=H","DateFormat=P","Fill=—","Direction=H","UseDPDF=Y")</f>
        <v>-157090.90909999999</v>
      </c>
      <c r="L27" s="14">
        <f>_xll.BDH("BLUE US Equity","CASH_FLOW_PER_EMPLOYEE","FY 2020","FY 2020","Currency=USD","Period=FQ","BEST_FPERIOD_OVERRIDE=FQ","FILING_STATUS=MR","Sort=A","Dates=H","DateFormat=P","Fill=—","Direction=H","UseDPDF=Y")</f>
        <v>-127941.46739999999</v>
      </c>
      <c r="M27" s="14">
        <f>_xll.BDH("BLUE US Equity","CASH_FLOW_PER_EMPLOYEE","FY 2021","FY 2021","Currency=USD","Period=FQ","BEST_FPERIOD_OVERRIDE=FQ","FILING_STATUS=MR","Sort=A","Dates=H","DateFormat=P","Fill=—","Direction=H","UseDPDF=Y")</f>
        <v>-269739.38219999999</v>
      </c>
      <c r="N27" s="14">
        <f>_xll.BDH("BLUE US Equity","CASH_FLOW_PER_EMPLOYEE","FY 2022","FY 2022","Currency=USD","Period=FQ","BEST_FPERIOD_OVERRIDE=FQ","FILING_STATUS=MR","Sort=A","Dates=H","DateFormat=P","Fill=—","Direction=H","UseDPDF=Y")</f>
        <v>-60492.2601</v>
      </c>
      <c r="O27" s="14">
        <f>_xll.BDH("BLUE US Equity","CASH_FLOW_PER_EMPLOYEE","FY 2023","FY 2023","Currency=USD","Period=FQ","BEST_FPERIOD_OVERRIDE=FQ","FILING_STATUS=MR","Sort=A","Dates=H","DateFormat=P","Fill=—","Direction=H","UseDPDF=Y")</f>
        <v>-36898.666700000002</v>
      </c>
      <c r="P27" s="14">
        <f>_xll.BDH("BLUE US Equity","CASH_FLOW_PER_EMPLOYEE","FY 2024","FY 2024","Currency=USD","Period=FQ","BEST_FPERIOD_OVERRIDE=FQ","FILING_STATUS=MR","Sort=A","Dates=H","DateFormat=P","Fill=—","Direction=H","UseDPDF=Y")</f>
        <v>-202274.19349999999</v>
      </c>
    </row>
    <row r="28" spans="1:16" x14ac:dyDescent="0.25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6" t="s">
        <v>1559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5">
      <c r="A30" s="10" t="s">
        <v>1560</v>
      </c>
      <c r="B30" s="10" t="s">
        <v>1561</v>
      </c>
      <c r="C30" s="14" t="str">
        <f>_xll.BDH("BLUE US Equity","PCT_OF_NON_EXEC_DIR_ON_BRD","FY 2011","FY 2011","Currency=USD","Period=FQ","BEST_FPERIOD_OVERRIDE=FQ","FILING_STATUS=MR","Sort=A","Dates=H","DateFormat=P","Fill=—","Direction=H","UseDPDF=Y")</f>
        <v>—</v>
      </c>
      <c r="D30" s="14" t="str">
        <f>_xll.BDH("BLUE US Equity","PCT_OF_NON_EXEC_DIR_ON_BRD","FY 2012","FY 2012","Currency=USD","Period=FQ","BEST_FPERIOD_OVERRIDE=FQ","FILING_STATUS=MR","Sort=A","Dates=H","DateFormat=P","Fill=—","Direction=H","UseDPDF=Y")</f>
        <v>—</v>
      </c>
      <c r="E30" s="14" t="str">
        <f>_xll.BDH("BLUE US Equity","PCT_OF_NON_EXEC_DIR_ON_BRD","FY 2013","FY 2013","Currency=USD","Period=FQ","BEST_FPERIOD_OVERRIDE=FQ","FILING_STATUS=MR","Sort=A","Dates=H","DateFormat=P","Fill=—","Direction=H","UseDPDF=Y")</f>
        <v>—</v>
      </c>
      <c r="F30" s="14" t="str">
        <f>_xll.BDH("BLUE US Equity","PCT_OF_NON_EXEC_DIR_ON_BRD","FY 2014","FY 2014","Currency=USD","Period=FQ","BEST_FPERIOD_OVERRIDE=FQ","FILING_STATUS=MR","Sort=A","Dates=H","DateFormat=P","Fill=—","Direction=H","UseDPDF=Y")</f>
        <v>—</v>
      </c>
      <c r="G30" s="14" t="str">
        <f>_xll.BDH("BLUE US Equity","PCT_OF_NON_EXEC_DIR_ON_BRD","FY 2015","FY 2015","Currency=USD","Period=FQ","BEST_FPERIOD_OVERRIDE=FQ","FILING_STATUS=MR","Sort=A","Dates=H","DateFormat=P","Fill=—","Direction=H","UseDPDF=Y")</f>
        <v>—</v>
      </c>
      <c r="H30" s="14" t="str">
        <f>_xll.BDH("BLUE US Equity","PCT_OF_NON_EXEC_DIR_ON_BRD","FY 2016","FY 2016","Currency=USD","Period=FQ","BEST_FPERIOD_OVERRIDE=FQ","FILING_STATUS=MR","Sort=A","Dates=H","DateFormat=P","Fill=—","Direction=H","UseDPDF=Y")</f>
        <v>—</v>
      </c>
      <c r="I30" s="14" t="str">
        <f>_xll.BDH("BLUE US Equity","PCT_OF_NON_EXEC_DIR_ON_BRD","FY 2017","FY 2017","Currency=USD","Period=FQ","BEST_FPERIOD_OVERRIDE=FQ","FILING_STATUS=MR","Sort=A","Dates=H","DateFormat=P","Fill=—","Direction=H","UseDPDF=Y")</f>
        <v>—</v>
      </c>
      <c r="J30" s="14" t="str">
        <f>_xll.BDH("BLUE US Equity","PCT_OF_NON_EXEC_DIR_ON_BRD","FY 2018","FY 2018","Currency=USD","Period=FQ","BEST_FPERIOD_OVERRIDE=FQ","FILING_STATUS=MR","Sort=A","Dates=H","DateFormat=P","Fill=—","Direction=H","UseDPDF=Y")</f>
        <v>—</v>
      </c>
      <c r="K30" s="14" t="str">
        <f>_xll.BDH("BLUE US Equity","PCT_OF_NON_EXEC_DIR_ON_BRD","FY 2019","FY 2019","Currency=USD","Period=FQ","BEST_FPERIOD_OVERRIDE=FQ","FILING_STATUS=MR","Sort=A","Dates=H","DateFormat=P","Fill=—","Direction=H","UseDPDF=Y")</f>
        <v>—</v>
      </c>
      <c r="L30" s="14" t="str">
        <f>_xll.BDH("BLUE US Equity","PCT_OF_NON_EXEC_DIR_ON_BRD","FY 2020","FY 2020","Currency=USD","Period=FQ","BEST_FPERIOD_OVERRIDE=FQ","FILING_STATUS=MR","Sort=A","Dates=H","DateFormat=P","Fill=—","Direction=H","UseDPDF=Y")</f>
        <v>—</v>
      </c>
      <c r="M30" s="14" t="str">
        <f>_xll.BDH("BLUE US Equity","PCT_OF_NON_EXEC_DIR_ON_BRD","FY 2021","FY 2021","Currency=USD","Period=FQ","BEST_FPERIOD_OVERRIDE=FQ","FILING_STATUS=MR","Sort=A","Dates=H","DateFormat=P","Fill=—","Direction=H","UseDPDF=Y")</f>
        <v>—</v>
      </c>
      <c r="N30" s="14" t="str">
        <f>_xll.BDH("BLUE US Equity","PCT_OF_NON_EXEC_DIR_ON_BRD","FY 2022","FY 2022","Currency=USD","Period=FQ","BEST_FPERIOD_OVERRIDE=FQ","FILING_STATUS=MR","Sort=A","Dates=H","DateFormat=P","Fill=—","Direction=H","UseDPDF=Y")</f>
        <v>—</v>
      </c>
      <c r="O30" s="14" t="str">
        <f>_xll.BDH("BLUE US Equity","PCT_OF_NON_EXEC_DIR_ON_BRD","FY 2023","FY 2023","Currency=USD","Period=FQ","BEST_FPERIOD_OVERRIDE=FQ","FILING_STATUS=MR","Sort=A","Dates=H","DateFormat=P","Fill=—","Direction=H","UseDPDF=Y")</f>
        <v>—</v>
      </c>
      <c r="P30" s="14" t="str">
        <f>_xll.BDH("BLUE US Equity","PCT_OF_NON_EXEC_DIR_ON_BRD","FY 2024","FY 2024","Currency=USD","Period=FQ","BEST_FPERIOD_OVERRIDE=FQ","FILING_STATUS=MR","Sort=A","Dates=H","DateFormat=P","Fill=—","Direction=H","UseDPDF=Y")</f>
        <v>—</v>
      </c>
    </row>
    <row r="31" spans="1:16" x14ac:dyDescent="0.25">
      <c r="A31" s="10" t="s">
        <v>1562</v>
      </c>
      <c r="B31" s="10" t="s">
        <v>1563</v>
      </c>
      <c r="C31" s="14" t="str">
        <f>_xll.BDH("BLUE US Equity","PCT_INDEPENDENT_DIRECTORS","FY 2011","FY 2011","Currency=USD","Period=FQ","BEST_FPERIOD_OVERRIDE=FQ","FILING_STATUS=MR","Sort=A","Dates=H","DateFormat=P","Fill=—","Direction=H","UseDPDF=Y")</f>
        <v>—</v>
      </c>
      <c r="D31" s="14" t="str">
        <f>_xll.BDH("BLUE US Equity","PCT_INDEPENDENT_DIRECTORS","FY 2012","FY 2012","Currency=USD","Period=FQ","BEST_FPERIOD_OVERRIDE=FQ","FILING_STATUS=MR","Sort=A","Dates=H","DateFormat=P","Fill=—","Direction=H","UseDPDF=Y")</f>
        <v>—</v>
      </c>
      <c r="E31" s="14" t="str">
        <f>_xll.BDH("BLUE US Equity","PCT_INDEPENDENT_DIRECTORS","FY 2013","FY 2013","Currency=USD","Period=FQ","BEST_FPERIOD_OVERRIDE=FQ","FILING_STATUS=MR","Sort=A","Dates=H","DateFormat=P","Fill=—","Direction=H","UseDPDF=Y")</f>
        <v>—</v>
      </c>
      <c r="F31" s="14" t="str">
        <f>_xll.BDH("BLUE US Equity","PCT_INDEPENDENT_DIRECTORS","FY 2014","FY 2014","Currency=USD","Period=FQ","BEST_FPERIOD_OVERRIDE=FQ","FILING_STATUS=MR","Sort=A","Dates=H","DateFormat=P","Fill=—","Direction=H","UseDPDF=Y")</f>
        <v>—</v>
      </c>
      <c r="G31" s="14" t="str">
        <f>_xll.BDH("BLUE US Equity","PCT_INDEPENDENT_DIRECTORS","FY 2015","FY 2015","Currency=USD","Period=FQ","BEST_FPERIOD_OVERRIDE=FQ","FILING_STATUS=MR","Sort=A","Dates=H","DateFormat=P","Fill=—","Direction=H","UseDPDF=Y")</f>
        <v>—</v>
      </c>
      <c r="H31" s="14" t="str">
        <f>_xll.BDH("BLUE US Equity","PCT_INDEPENDENT_DIRECTORS","FY 2016","FY 2016","Currency=USD","Period=FQ","BEST_FPERIOD_OVERRIDE=FQ","FILING_STATUS=MR","Sort=A","Dates=H","DateFormat=P","Fill=—","Direction=H","UseDPDF=Y")</f>
        <v>—</v>
      </c>
      <c r="I31" s="14" t="str">
        <f>_xll.BDH("BLUE US Equity","PCT_INDEPENDENT_DIRECTORS","FY 2017","FY 2017","Currency=USD","Period=FQ","BEST_FPERIOD_OVERRIDE=FQ","FILING_STATUS=MR","Sort=A","Dates=H","DateFormat=P","Fill=—","Direction=H","UseDPDF=Y")</f>
        <v>—</v>
      </c>
      <c r="J31" s="14" t="str">
        <f>_xll.BDH("BLUE US Equity","PCT_INDEPENDENT_DIRECTORS","FY 2018","FY 2018","Currency=USD","Period=FQ","BEST_FPERIOD_OVERRIDE=FQ","FILING_STATUS=MR","Sort=A","Dates=H","DateFormat=P","Fill=—","Direction=H","UseDPDF=Y")</f>
        <v>—</v>
      </c>
      <c r="K31" s="14" t="str">
        <f>_xll.BDH("BLUE US Equity","PCT_INDEPENDENT_DIRECTORS","FY 2019","FY 2019","Currency=USD","Period=FQ","BEST_FPERIOD_OVERRIDE=FQ","FILING_STATUS=MR","Sort=A","Dates=H","DateFormat=P","Fill=—","Direction=H","UseDPDF=Y")</f>
        <v>—</v>
      </c>
      <c r="L31" s="14" t="str">
        <f>_xll.BDH("BLUE US Equity","PCT_INDEPENDENT_DIRECTORS","FY 2020","FY 2020","Currency=USD","Period=FQ","BEST_FPERIOD_OVERRIDE=FQ","FILING_STATUS=MR","Sort=A","Dates=H","DateFormat=P","Fill=—","Direction=H","UseDPDF=Y")</f>
        <v>—</v>
      </c>
      <c r="M31" s="14" t="str">
        <f>_xll.BDH("BLUE US Equity","PCT_INDEPENDENT_DIRECTORS","FY 2021","FY 2021","Currency=USD","Period=FQ","BEST_FPERIOD_OVERRIDE=FQ","FILING_STATUS=MR","Sort=A","Dates=H","DateFormat=P","Fill=—","Direction=H","UseDPDF=Y")</f>
        <v>—</v>
      </c>
      <c r="N31" s="14" t="str">
        <f>_xll.BDH("BLUE US Equity","PCT_INDEPENDENT_DIRECTORS","FY 2022","FY 2022","Currency=USD","Period=FQ","BEST_FPERIOD_OVERRIDE=FQ","FILING_STATUS=MR","Sort=A","Dates=H","DateFormat=P","Fill=—","Direction=H","UseDPDF=Y")</f>
        <v>—</v>
      </c>
      <c r="O31" s="14" t="str">
        <f>_xll.BDH("BLUE US Equity","PCT_INDEPENDENT_DIRECTORS","FY 2023","FY 2023","Currency=USD","Period=FQ","BEST_FPERIOD_OVERRIDE=FQ","FILING_STATUS=MR","Sort=A","Dates=H","DateFormat=P","Fill=—","Direction=H","UseDPDF=Y")</f>
        <v>—</v>
      </c>
      <c r="P31" s="14" t="str">
        <f>_xll.BDH("BLUE US Equity","PCT_INDEPENDENT_DIRECTORS","FY 2024","FY 2024","Currency=USD","Period=FQ","BEST_FPERIOD_OVERRIDE=FQ","FILING_STATUS=MR","Sort=A","Dates=H","DateFormat=P","Fill=—","Direction=H","UseDPDF=Y")</f>
        <v>—</v>
      </c>
    </row>
    <row r="32" spans="1:16" x14ac:dyDescent="0.25">
      <c r="A32" s="10" t="s">
        <v>1564</v>
      </c>
      <c r="B32" s="10" t="s">
        <v>1565</v>
      </c>
      <c r="C32" s="14" t="str">
        <f>_xll.BDH("BLUE US Equity","PCT_WOMEN_ON_BOARD","FY 2011","FY 2011","Currency=USD","Period=FQ","BEST_FPERIOD_OVERRIDE=FQ","FILING_STATUS=MR","Sort=A","Dates=H","DateFormat=P","Fill=—","Direction=H","UseDPDF=Y")</f>
        <v>—</v>
      </c>
      <c r="D32" s="14" t="str">
        <f>_xll.BDH("BLUE US Equity","PCT_WOMEN_ON_BOARD","FY 2012","FY 2012","Currency=USD","Period=FQ","BEST_FPERIOD_OVERRIDE=FQ","FILING_STATUS=MR","Sort=A","Dates=H","DateFormat=P","Fill=—","Direction=H","UseDPDF=Y")</f>
        <v>—</v>
      </c>
      <c r="E32" s="14" t="str">
        <f>_xll.BDH("BLUE US Equity","PCT_WOMEN_ON_BOARD","FY 2013","FY 2013","Currency=USD","Period=FQ","BEST_FPERIOD_OVERRIDE=FQ","FILING_STATUS=MR","Sort=A","Dates=H","DateFormat=P","Fill=—","Direction=H","UseDPDF=Y")</f>
        <v>—</v>
      </c>
      <c r="F32" s="14" t="str">
        <f>_xll.BDH("BLUE US Equity","PCT_WOMEN_ON_BOARD","FY 2014","FY 2014","Currency=USD","Period=FQ","BEST_FPERIOD_OVERRIDE=FQ","FILING_STATUS=MR","Sort=A","Dates=H","DateFormat=P","Fill=—","Direction=H","UseDPDF=Y")</f>
        <v>—</v>
      </c>
      <c r="G32" s="14" t="str">
        <f>_xll.BDH("BLUE US Equity","PCT_WOMEN_ON_BOARD","FY 2015","FY 2015","Currency=USD","Period=FQ","BEST_FPERIOD_OVERRIDE=FQ","FILING_STATUS=MR","Sort=A","Dates=H","DateFormat=P","Fill=—","Direction=H","UseDPDF=Y")</f>
        <v>—</v>
      </c>
      <c r="H32" s="14" t="str">
        <f>_xll.BDH("BLUE US Equity","PCT_WOMEN_ON_BOARD","FY 2016","FY 2016","Currency=USD","Period=FQ","BEST_FPERIOD_OVERRIDE=FQ","FILING_STATUS=MR","Sort=A","Dates=H","DateFormat=P","Fill=—","Direction=H","UseDPDF=Y")</f>
        <v>—</v>
      </c>
      <c r="I32" s="14" t="str">
        <f>_xll.BDH("BLUE US Equity","PCT_WOMEN_ON_BOARD","FY 2017","FY 2017","Currency=USD","Period=FQ","BEST_FPERIOD_OVERRIDE=FQ","FILING_STATUS=MR","Sort=A","Dates=H","DateFormat=P","Fill=—","Direction=H","UseDPDF=Y")</f>
        <v>—</v>
      </c>
      <c r="J32" s="14" t="str">
        <f>_xll.BDH("BLUE US Equity","PCT_WOMEN_ON_BOARD","FY 2018","FY 2018","Currency=USD","Period=FQ","BEST_FPERIOD_OVERRIDE=FQ","FILING_STATUS=MR","Sort=A","Dates=H","DateFormat=P","Fill=—","Direction=H","UseDPDF=Y")</f>
        <v>—</v>
      </c>
      <c r="K32" s="14" t="str">
        <f>_xll.BDH("BLUE US Equity","PCT_WOMEN_ON_BOARD","FY 2019","FY 2019","Currency=USD","Period=FQ","BEST_FPERIOD_OVERRIDE=FQ","FILING_STATUS=MR","Sort=A","Dates=H","DateFormat=P","Fill=—","Direction=H","UseDPDF=Y")</f>
        <v>—</v>
      </c>
      <c r="L32" s="14" t="str">
        <f>_xll.BDH("BLUE US Equity","PCT_WOMEN_ON_BOARD","FY 2020","FY 2020","Currency=USD","Period=FQ","BEST_FPERIOD_OVERRIDE=FQ","FILING_STATUS=MR","Sort=A","Dates=H","DateFormat=P","Fill=—","Direction=H","UseDPDF=Y")</f>
        <v>—</v>
      </c>
      <c r="M32" s="14" t="str">
        <f>_xll.BDH("BLUE US Equity","PCT_WOMEN_ON_BOARD","FY 2021","FY 2021","Currency=USD","Period=FQ","BEST_FPERIOD_OVERRIDE=FQ","FILING_STATUS=MR","Sort=A","Dates=H","DateFormat=P","Fill=—","Direction=H","UseDPDF=Y")</f>
        <v>—</v>
      </c>
      <c r="N32" s="14" t="str">
        <f>_xll.BDH("BLUE US Equity","PCT_WOMEN_ON_BOARD","FY 2022","FY 2022","Currency=USD","Period=FQ","BEST_FPERIOD_OVERRIDE=FQ","FILING_STATUS=MR","Sort=A","Dates=H","DateFormat=P","Fill=—","Direction=H","UseDPDF=Y")</f>
        <v>—</v>
      </c>
      <c r="O32" s="14" t="str">
        <f>_xll.BDH("BLUE US Equity","PCT_WOMEN_ON_BOARD","FY 2023","FY 2023","Currency=USD","Period=FQ","BEST_FPERIOD_OVERRIDE=FQ","FILING_STATUS=MR","Sort=A","Dates=H","DateFormat=P","Fill=—","Direction=H","UseDPDF=Y")</f>
        <v>—</v>
      </c>
      <c r="P32" s="14" t="str">
        <f>_xll.BDH("BLUE US Equity","PCT_WOMEN_ON_BOARD","FY 2024","FY 2024","Currency=USD","Period=FQ","BEST_FPERIOD_OVERRIDE=FQ","FILING_STATUS=MR","Sort=A","Dates=H","DateFormat=P","Fill=—","Direction=H","UseDPDF=Y")</f>
        <v>—</v>
      </c>
    </row>
    <row r="33" spans="1:16" x14ac:dyDescent="0.25">
      <c r="A33" s="10" t="s">
        <v>1566</v>
      </c>
      <c r="B33" s="10" t="s">
        <v>1567</v>
      </c>
      <c r="C33" s="14" t="str">
        <f>_xll.BDH("BLUE US Equity","PERCENTAGE_OF_FEMALE_EXECUTIVES","FY 2011","FY 2011","Currency=USD","Period=FQ","BEST_FPERIOD_OVERRIDE=FQ","FILING_STATUS=MR","Sort=A","Dates=H","DateFormat=P","Fill=—","Direction=H","UseDPDF=Y")</f>
        <v>—</v>
      </c>
      <c r="D33" s="14" t="str">
        <f>_xll.BDH("BLUE US Equity","PERCENTAGE_OF_FEMALE_EXECUTIVES","FY 2012","FY 2012","Currency=USD","Period=FQ","BEST_FPERIOD_OVERRIDE=FQ","FILING_STATUS=MR","Sort=A","Dates=H","DateFormat=P","Fill=—","Direction=H","UseDPDF=Y")</f>
        <v>—</v>
      </c>
      <c r="E33" s="14" t="str">
        <f>_xll.BDH("BLUE US Equity","PERCENTAGE_OF_FEMALE_EXECUTIVES","FY 2013","FY 2013","Currency=USD","Period=FQ","BEST_FPERIOD_OVERRIDE=FQ","FILING_STATUS=MR","Sort=A","Dates=H","DateFormat=P","Fill=—","Direction=H","UseDPDF=Y")</f>
        <v>—</v>
      </c>
      <c r="F33" s="14" t="str">
        <f>_xll.BDH("BLUE US Equity","PERCENTAGE_OF_FEMALE_EXECUTIVES","FY 2014","FY 2014","Currency=USD","Period=FQ","BEST_FPERIOD_OVERRIDE=FQ","FILING_STATUS=MR","Sort=A","Dates=H","DateFormat=P","Fill=—","Direction=H","UseDPDF=Y")</f>
        <v>—</v>
      </c>
      <c r="G33" s="14" t="str">
        <f>_xll.BDH("BLUE US Equity","PERCENTAGE_OF_FEMALE_EXECUTIVES","FY 2015","FY 2015","Currency=USD","Period=FQ","BEST_FPERIOD_OVERRIDE=FQ","FILING_STATUS=MR","Sort=A","Dates=H","DateFormat=P","Fill=—","Direction=H","UseDPDF=Y")</f>
        <v>—</v>
      </c>
      <c r="H33" s="14" t="str">
        <f>_xll.BDH("BLUE US Equity","PERCENTAGE_OF_FEMALE_EXECUTIVES","FY 2016","FY 2016","Currency=USD","Period=FQ","BEST_FPERIOD_OVERRIDE=FQ","FILING_STATUS=MR","Sort=A","Dates=H","DateFormat=P","Fill=—","Direction=H","UseDPDF=Y")</f>
        <v>—</v>
      </c>
      <c r="I33" s="14" t="str">
        <f>_xll.BDH("BLUE US Equity","PERCENTAGE_OF_FEMALE_EXECUTIVES","FY 2017","FY 2017","Currency=USD","Period=FQ","BEST_FPERIOD_OVERRIDE=FQ","FILING_STATUS=MR","Sort=A","Dates=H","DateFormat=P","Fill=—","Direction=H","UseDPDF=Y")</f>
        <v>—</v>
      </c>
      <c r="J33" s="14" t="str">
        <f>_xll.BDH("BLUE US Equity","PERCENTAGE_OF_FEMALE_EXECUTIVES","FY 2018","FY 2018","Currency=USD","Period=FQ","BEST_FPERIOD_OVERRIDE=FQ","FILING_STATUS=MR","Sort=A","Dates=H","DateFormat=P","Fill=—","Direction=H","UseDPDF=Y")</f>
        <v>—</v>
      </c>
      <c r="K33" s="14" t="str">
        <f>_xll.BDH("BLUE US Equity","PERCENTAGE_OF_FEMALE_EXECUTIVES","FY 2019","FY 2019","Currency=USD","Period=FQ","BEST_FPERIOD_OVERRIDE=FQ","FILING_STATUS=MR","Sort=A","Dates=H","DateFormat=P","Fill=—","Direction=H","UseDPDF=Y")</f>
        <v>—</v>
      </c>
      <c r="L33" s="14" t="str">
        <f>_xll.BDH("BLUE US Equity","PERCENTAGE_OF_FEMALE_EXECUTIVES","FY 2020","FY 2020","Currency=USD","Period=FQ","BEST_FPERIOD_OVERRIDE=FQ","FILING_STATUS=MR","Sort=A","Dates=H","DateFormat=P","Fill=—","Direction=H","UseDPDF=Y")</f>
        <v>—</v>
      </c>
      <c r="M33" s="14" t="str">
        <f>_xll.BDH("BLUE US Equity","PERCENTAGE_OF_FEMALE_EXECUTIVES","FY 2021","FY 2021","Currency=USD","Period=FQ","BEST_FPERIOD_OVERRIDE=FQ","FILING_STATUS=MR","Sort=A","Dates=H","DateFormat=P","Fill=—","Direction=H","UseDPDF=Y")</f>
        <v>—</v>
      </c>
      <c r="N33" s="14" t="str">
        <f>_xll.BDH("BLUE US Equity","PERCENTAGE_OF_FEMALE_EXECUTIVES","FY 2022","FY 2022","Currency=USD","Period=FQ","BEST_FPERIOD_OVERRIDE=FQ","FILING_STATUS=MR","Sort=A","Dates=H","DateFormat=P","Fill=—","Direction=H","UseDPDF=Y")</f>
        <v>—</v>
      </c>
      <c r="O33" s="14" t="str">
        <f>_xll.BDH("BLUE US Equity","PERCENTAGE_OF_FEMALE_EXECUTIVES","FY 2023","FY 2023","Currency=USD","Period=FQ","BEST_FPERIOD_OVERRIDE=FQ","FILING_STATUS=MR","Sort=A","Dates=H","DateFormat=P","Fill=—","Direction=H","UseDPDF=Y")</f>
        <v>—</v>
      </c>
      <c r="P33" s="14" t="str">
        <f>_xll.BDH("BLUE US Equity","PERCENTAGE_OF_FEMALE_EXECUTIVES","FY 2024","FY 2024","Currency=USD","Period=FQ","BEST_FPERIOD_OVERRIDE=FQ","FILING_STATUS=MR","Sort=A","Dates=H","DateFormat=P","Fill=—","Direction=H","UseDPDF=Y")</f>
        <v>—</v>
      </c>
    </row>
    <row r="34" spans="1:16" x14ac:dyDescent="0.25">
      <c r="A34" s="10" t="s">
        <v>1568</v>
      </c>
      <c r="B34" s="10" t="s">
        <v>1569</v>
      </c>
      <c r="C34" s="14" t="str">
        <f>_xll.BDH("BLUE US Equity","BOARD_OF_DIRECTORS_AGE_RANGE","FY 2011","FY 2011","Currency=USD","Period=FQ","BEST_FPERIOD_OVERRIDE=FQ","FILING_STATUS=MR","Sort=A","Dates=H","DateFormat=P","Fill=—","Direction=H","UseDPDF=Y")</f>
        <v>—</v>
      </c>
      <c r="D34" s="14" t="str">
        <f>_xll.BDH("BLUE US Equity","BOARD_OF_DIRECTORS_AGE_RANGE","FY 2012","FY 2012","Currency=USD","Period=FQ","BEST_FPERIOD_OVERRIDE=FQ","FILING_STATUS=MR","Sort=A","Dates=H","DateFormat=P","Fill=—","Direction=H","UseDPDF=Y")</f>
        <v>—</v>
      </c>
      <c r="E34" s="14" t="str">
        <f>_xll.BDH("BLUE US Equity","BOARD_OF_DIRECTORS_AGE_RANGE","FY 2013","FY 2013","Currency=USD","Period=FQ","BEST_FPERIOD_OVERRIDE=FQ","FILING_STATUS=MR","Sort=A","Dates=H","DateFormat=P","Fill=—","Direction=H","UseDPDF=Y")</f>
        <v>—</v>
      </c>
      <c r="F34" s="14" t="str">
        <f>_xll.BDH("BLUE US Equity","BOARD_OF_DIRECTORS_AGE_RANGE","FY 2014","FY 2014","Currency=USD","Period=FQ","BEST_FPERIOD_OVERRIDE=FQ","FILING_STATUS=MR","Sort=A","Dates=H","DateFormat=P","Fill=—","Direction=H","UseDPDF=Y")</f>
        <v>—</v>
      </c>
      <c r="G34" s="14" t="str">
        <f>_xll.BDH("BLUE US Equity","BOARD_OF_DIRECTORS_AGE_RANGE","FY 2015","FY 2015","Currency=USD","Period=FQ","BEST_FPERIOD_OVERRIDE=FQ","FILING_STATUS=MR","Sort=A","Dates=H","DateFormat=P","Fill=—","Direction=H","UseDPDF=Y")</f>
        <v>—</v>
      </c>
      <c r="H34" s="14" t="str">
        <f>_xll.BDH("BLUE US Equity","BOARD_OF_DIRECTORS_AGE_RANGE","FY 2016","FY 2016","Currency=USD","Period=FQ","BEST_FPERIOD_OVERRIDE=FQ","FILING_STATUS=MR","Sort=A","Dates=H","DateFormat=P","Fill=—","Direction=H","UseDPDF=Y")</f>
        <v>—</v>
      </c>
      <c r="I34" s="14" t="str">
        <f>_xll.BDH("BLUE US Equity","BOARD_OF_DIRECTORS_AGE_RANGE","FY 2017","FY 2017","Currency=USD","Period=FQ","BEST_FPERIOD_OVERRIDE=FQ","FILING_STATUS=MR","Sort=A","Dates=H","DateFormat=P","Fill=—","Direction=H","UseDPDF=Y")</f>
        <v>—</v>
      </c>
      <c r="J34" s="14" t="str">
        <f>_xll.BDH("BLUE US Equity","BOARD_OF_DIRECTORS_AGE_RANGE","FY 2018","FY 2018","Currency=USD","Period=FQ","BEST_FPERIOD_OVERRIDE=FQ","FILING_STATUS=MR","Sort=A","Dates=H","DateFormat=P","Fill=—","Direction=H","UseDPDF=Y")</f>
        <v>—</v>
      </c>
      <c r="K34" s="14" t="str">
        <f>_xll.BDH("BLUE US Equity","BOARD_OF_DIRECTORS_AGE_RANGE","FY 2019","FY 2019","Currency=USD","Period=FQ","BEST_FPERIOD_OVERRIDE=FQ","FILING_STATUS=MR","Sort=A","Dates=H","DateFormat=P","Fill=—","Direction=H","UseDPDF=Y")</f>
        <v>—</v>
      </c>
      <c r="L34" s="14" t="str">
        <f>_xll.BDH("BLUE US Equity","BOARD_OF_DIRECTORS_AGE_RANGE","FY 2020","FY 2020","Currency=USD","Period=FQ","BEST_FPERIOD_OVERRIDE=FQ","FILING_STATUS=MR","Sort=A","Dates=H","DateFormat=P","Fill=—","Direction=H","UseDPDF=Y")</f>
        <v>—</v>
      </c>
      <c r="M34" s="14" t="str">
        <f>_xll.BDH("BLUE US Equity","BOARD_OF_DIRECTORS_AGE_RANGE","FY 2021","FY 2021","Currency=USD","Period=FQ","BEST_FPERIOD_OVERRIDE=FQ","FILING_STATUS=MR","Sort=A","Dates=H","DateFormat=P","Fill=—","Direction=H","UseDPDF=Y")</f>
        <v>—</v>
      </c>
      <c r="N34" s="14" t="str">
        <f>_xll.BDH("BLUE US Equity","BOARD_OF_DIRECTORS_AGE_RANGE","FY 2022","FY 2022","Currency=USD","Period=FQ","BEST_FPERIOD_OVERRIDE=FQ","FILING_STATUS=MR","Sort=A","Dates=H","DateFormat=P","Fill=—","Direction=H","UseDPDF=Y")</f>
        <v>—</v>
      </c>
      <c r="O34" s="14" t="str">
        <f>_xll.BDH("BLUE US Equity","BOARD_OF_DIRECTORS_AGE_RANGE","FY 2023","FY 2023","Currency=USD","Period=FQ","BEST_FPERIOD_OVERRIDE=FQ","FILING_STATUS=MR","Sort=A","Dates=H","DateFormat=P","Fill=—","Direction=H","UseDPDF=Y")</f>
        <v>—</v>
      </c>
      <c r="P34" s="14" t="str">
        <f>_xll.BDH("BLUE US Equity","BOARD_OF_DIRECTORS_AGE_RANGE","FY 2024","FY 2024","Currency=USD","Period=FQ","BEST_FPERIOD_OVERRIDE=FQ","FILING_STATUS=MR","Sort=A","Dates=H","DateFormat=P","Fill=—","Direction=H","UseDPDF=Y")</f>
        <v>—</v>
      </c>
    </row>
    <row r="35" spans="1:16" x14ac:dyDescent="0.25">
      <c r="A35" s="10" t="s">
        <v>1570</v>
      </c>
      <c r="B35" s="10" t="s">
        <v>1571</v>
      </c>
      <c r="C35" s="14" t="str">
        <f>_xll.BDH("BLUE US Equity","BOARD_AVERAGE_AGE","FY 2011","FY 2011","Currency=USD","Period=FQ","BEST_FPERIOD_OVERRIDE=FQ","FILING_STATUS=MR","Sort=A","Dates=H","DateFormat=P","Fill=—","Direction=H","UseDPDF=Y")</f>
        <v>—</v>
      </c>
      <c r="D35" s="14" t="str">
        <f>_xll.BDH("BLUE US Equity","BOARD_AVERAGE_AGE","FY 2012","FY 2012","Currency=USD","Period=FQ","BEST_FPERIOD_OVERRIDE=FQ","FILING_STATUS=MR","Sort=A","Dates=H","DateFormat=P","Fill=—","Direction=H","UseDPDF=Y")</f>
        <v>—</v>
      </c>
      <c r="E35" s="14" t="str">
        <f>_xll.BDH("BLUE US Equity","BOARD_AVERAGE_AGE","FY 2013","FY 2013","Currency=USD","Period=FQ","BEST_FPERIOD_OVERRIDE=FQ","FILING_STATUS=MR","Sort=A","Dates=H","DateFormat=P","Fill=—","Direction=H","UseDPDF=Y")</f>
        <v>—</v>
      </c>
      <c r="F35" s="14" t="str">
        <f>_xll.BDH("BLUE US Equity","BOARD_AVERAGE_AGE","FY 2014","FY 2014","Currency=USD","Period=FQ","BEST_FPERIOD_OVERRIDE=FQ","FILING_STATUS=MR","Sort=A","Dates=H","DateFormat=P","Fill=—","Direction=H","UseDPDF=Y")</f>
        <v>—</v>
      </c>
      <c r="G35" s="14" t="str">
        <f>_xll.BDH("BLUE US Equity","BOARD_AVERAGE_AGE","FY 2015","FY 2015","Currency=USD","Period=FQ","BEST_FPERIOD_OVERRIDE=FQ","FILING_STATUS=MR","Sort=A","Dates=H","DateFormat=P","Fill=—","Direction=H","UseDPDF=Y")</f>
        <v>—</v>
      </c>
      <c r="H35" s="14" t="str">
        <f>_xll.BDH("BLUE US Equity","BOARD_AVERAGE_AGE","FY 2016","FY 2016","Currency=USD","Period=FQ","BEST_FPERIOD_OVERRIDE=FQ","FILING_STATUS=MR","Sort=A","Dates=H","DateFormat=P","Fill=—","Direction=H","UseDPDF=Y")</f>
        <v>—</v>
      </c>
      <c r="I35" s="14" t="str">
        <f>_xll.BDH("BLUE US Equity","BOARD_AVERAGE_AGE","FY 2017","FY 2017","Currency=USD","Period=FQ","BEST_FPERIOD_OVERRIDE=FQ","FILING_STATUS=MR","Sort=A","Dates=H","DateFormat=P","Fill=—","Direction=H","UseDPDF=Y")</f>
        <v>—</v>
      </c>
      <c r="J35" s="14" t="str">
        <f>_xll.BDH("BLUE US Equity","BOARD_AVERAGE_AGE","FY 2018","FY 2018","Currency=USD","Period=FQ","BEST_FPERIOD_OVERRIDE=FQ","FILING_STATUS=MR","Sort=A","Dates=H","DateFormat=P","Fill=—","Direction=H","UseDPDF=Y")</f>
        <v>—</v>
      </c>
      <c r="K35" s="14" t="str">
        <f>_xll.BDH("BLUE US Equity","BOARD_AVERAGE_AGE","FY 2019","FY 2019","Currency=USD","Period=FQ","BEST_FPERIOD_OVERRIDE=FQ","FILING_STATUS=MR","Sort=A","Dates=H","DateFormat=P","Fill=—","Direction=H","UseDPDF=Y")</f>
        <v>—</v>
      </c>
      <c r="L35" s="14" t="str">
        <f>_xll.BDH("BLUE US Equity","BOARD_AVERAGE_AGE","FY 2020","FY 2020","Currency=USD","Period=FQ","BEST_FPERIOD_OVERRIDE=FQ","FILING_STATUS=MR","Sort=A","Dates=H","DateFormat=P","Fill=—","Direction=H","UseDPDF=Y")</f>
        <v>—</v>
      </c>
      <c r="M35" s="14" t="str">
        <f>_xll.BDH("BLUE US Equity","BOARD_AVERAGE_AGE","FY 2021","FY 2021","Currency=USD","Period=FQ","BEST_FPERIOD_OVERRIDE=FQ","FILING_STATUS=MR","Sort=A","Dates=H","DateFormat=P","Fill=—","Direction=H","UseDPDF=Y")</f>
        <v>—</v>
      </c>
      <c r="N35" s="14" t="str">
        <f>_xll.BDH("BLUE US Equity","BOARD_AVERAGE_AGE","FY 2022","FY 2022","Currency=USD","Period=FQ","BEST_FPERIOD_OVERRIDE=FQ","FILING_STATUS=MR","Sort=A","Dates=H","DateFormat=P","Fill=—","Direction=H","UseDPDF=Y")</f>
        <v>—</v>
      </c>
      <c r="O35" s="14" t="str">
        <f>_xll.BDH("BLUE US Equity","BOARD_AVERAGE_AGE","FY 2023","FY 2023","Currency=USD","Period=FQ","BEST_FPERIOD_OVERRIDE=FQ","FILING_STATUS=MR","Sort=A","Dates=H","DateFormat=P","Fill=—","Direction=H","UseDPDF=Y")</f>
        <v>—</v>
      </c>
      <c r="P35" s="14" t="str">
        <f>_xll.BDH("BLUE US Equity","BOARD_AVERAGE_AGE","FY 2024","FY 2024","Currency=USD","Period=FQ","BEST_FPERIOD_OVERRIDE=FQ","FILING_STATUS=MR","Sort=A","Dates=H","DateFormat=P","Fill=—","Direction=H","UseDPDF=Y")</f>
        <v>—</v>
      </c>
    </row>
    <row r="36" spans="1:16" x14ac:dyDescent="0.25">
      <c r="A36" s="10" t="s">
        <v>1572</v>
      </c>
      <c r="B36" s="10" t="s">
        <v>1573</v>
      </c>
      <c r="C36" s="14" t="str">
        <f>_xll.BDH("BLUE US Equity","BOARD_MEETING_ATTENDANCE_PCT","FY 2011","FY 2011","Currency=USD","Period=FQ","BEST_FPERIOD_OVERRIDE=FQ","FILING_STATUS=MR","Sort=A","Dates=H","DateFormat=P","Fill=—","Direction=H","UseDPDF=Y")</f>
        <v>—</v>
      </c>
      <c r="D36" s="14" t="str">
        <f>_xll.BDH("BLUE US Equity","BOARD_MEETING_ATTENDANCE_PCT","FY 2012","FY 2012","Currency=USD","Period=FQ","BEST_FPERIOD_OVERRIDE=FQ","FILING_STATUS=MR","Sort=A","Dates=H","DateFormat=P","Fill=—","Direction=H","UseDPDF=Y")</f>
        <v>—</v>
      </c>
      <c r="E36" s="14" t="str">
        <f>_xll.BDH("BLUE US Equity","BOARD_MEETING_ATTENDANCE_PCT","FY 2013","FY 2013","Currency=USD","Period=FQ","BEST_FPERIOD_OVERRIDE=FQ","FILING_STATUS=MR","Sort=A","Dates=H","DateFormat=P","Fill=—","Direction=H","UseDPDF=Y")</f>
        <v>—</v>
      </c>
      <c r="F36" s="14" t="str">
        <f>_xll.BDH("BLUE US Equity","BOARD_MEETING_ATTENDANCE_PCT","FY 2014","FY 2014","Currency=USD","Period=FQ","BEST_FPERIOD_OVERRIDE=FQ","FILING_STATUS=MR","Sort=A","Dates=H","DateFormat=P","Fill=—","Direction=H","UseDPDF=Y")</f>
        <v>—</v>
      </c>
      <c r="G36" s="14" t="str">
        <f>_xll.BDH("BLUE US Equity","BOARD_MEETING_ATTENDANCE_PCT","FY 2015","FY 2015","Currency=USD","Period=FQ","BEST_FPERIOD_OVERRIDE=FQ","FILING_STATUS=MR","Sort=A","Dates=H","DateFormat=P","Fill=—","Direction=H","UseDPDF=Y")</f>
        <v>—</v>
      </c>
      <c r="H36" s="14" t="str">
        <f>_xll.BDH("BLUE US Equity","BOARD_MEETING_ATTENDANCE_PCT","FY 2016","FY 2016","Currency=USD","Period=FQ","BEST_FPERIOD_OVERRIDE=FQ","FILING_STATUS=MR","Sort=A","Dates=H","DateFormat=P","Fill=—","Direction=H","UseDPDF=Y")</f>
        <v>—</v>
      </c>
      <c r="I36" s="14" t="str">
        <f>_xll.BDH("BLUE US Equity","BOARD_MEETING_ATTENDANCE_PCT","FY 2017","FY 2017","Currency=USD","Period=FQ","BEST_FPERIOD_OVERRIDE=FQ","FILING_STATUS=MR","Sort=A","Dates=H","DateFormat=P","Fill=—","Direction=H","UseDPDF=Y")</f>
        <v>—</v>
      </c>
      <c r="J36" s="14" t="str">
        <f>_xll.BDH("BLUE US Equity","BOARD_MEETING_ATTENDANCE_PCT","FY 2018","FY 2018","Currency=USD","Period=FQ","BEST_FPERIOD_OVERRIDE=FQ","FILING_STATUS=MR","Sort=A","Dates=H","DateFormat=P","Fill=—","Direction=H","UseDPDF=Y")</f>
        <v>—</v>
      </c>
      <c r="K36" s="14" t="str">
        <f>_xll.BDH("BLUE US Equity","BOARD_MEETING_ATTENDANCE_PCT","FY 2019","FY 2019","Currency=USD","Period=FQ","BEST_FPERIOD_OVERRIDE=FQ","FILING_STATUS=MR","Sort=A","Dates=H","DateFormat=P","Fill=—","Direction=H","UseDPDF=Y")</f>
        <v>—</v>
      </c>
      <c r="L36" s="14" t="str">
        <f>_xll.BDH("BLUE US Equity","BOARD_MEETING_ATTENDANCE_PCT","FY 2020","FY 2020","Currency=USD","Period=FQ","BEST_FPERIOD_OVERRIDE=FQ","FILING_STATUS=MR","Sort=A","Dates=H","DateFormat=P","Fill=—","Direction=H","UseDPDF=Y")</f>
        <v>—</v>
      </c>
      <c r="M36" s="14" t="str">
        <f>_xll.BDH("BLUE US Equity","BOARD_MEETING_ATTENDANCE_PCT","FY 2021","FY 2021","Currency=USD","Period=FQ","BEST_FPERIOD_OVERRIDE=FQ","FILING_STATUS=MR","Sort=A","Dates=H","DateFormat=P","Fill=—","Direction=H","UseDPDF=Y")</f>
        <v>—</v>
      </c>
      <c r="N36" s="14" t="str">
        <f>_xll.BDH("BLUE US Equity","BOARD_MEETING_ATTENDANCE_PCT","FY 2022","FY 2022","Currency=USD","Period=FQ","BEST_FPERIOD_OVERRIDE=FQ","FILING_STATUS=MR","Sort=A","Dates=H","DateFormat=P","Fill=—","Direction=H","UseDPDF=Y")</f>
        <v>—</v>
      </c>
      <c r="O36" s="14" t="str">
        <f>_xll.BDH("BLUE US Equity","BOARD_MEETING_ATTENDANCE_PCT","FY 2023","FY 2023","Currency=USD","Period=FQ","BEST_FPERIOD_OVERRIDE=FQ","FILING_STATUS=MR","Sort=A","Dates=H","DateFormat=P","Fill=—","Direction=H","UseDPDF=Y")</f>
        <v>—</v>
      </c>
      <c r="P36" s="14" t="str">
        <f>_xll.BDH("BLUE US Equity","BOARD_MEETING_ATTENDANCE_PCT","FY 2024","FY 2024","Currency=USD","Period=FQ","BEST_FPERIOD_OVERRIDE=FQ","FILING_STATUS=MR","Sort=A","Dates=H","DateFormat=P","Fill=—","Direction=H","UseDPDF=Y")</f>
        <v>—</v>
      </c>
    </row>
    <row r="37" spans="1:16" x14ac:dyDescent="0.25">
      <c r="A37" s="10" t="s">
        <v>1574</v>
      </c>
      <c r="B37" s="10" t="s">
        <v>1575</v>
      </c>
      <c r="C37" s="14" t="str">
        <f>_xll.BDH("BLUE US Equity","IND_DIRECTORS_BRD_MTG_ATTEND_PCT","FY 2011","FY 2011","Currency=USD","Period=FQ","BEST_FPERIOD_OVERRIDE=FQ","FILING_STATUS=MR","Sort=A","Dates=H","DateFormat=P","Fill=—","Direction=H","UseDPDF=Y")</f>
        <v>—</v>
      </c>
      <c r="D37" s="14" t="str">
        <f>_xll.BDH("BLUE US Equity","IND_DIRECTORS_BRD_MTG_ATTEND_PCT","FY 2012","FY 2012","Currency=USD","Period=FQ","BEST_FPERIOD_OVERRIDE=FQ","FILING_STATUS=MR","Sort=A","Dates=H","DateFormat=P","Fill=—","Direction=H","UseDPDF=Y")</f>
        <v>—</v>
      </c>
      <c r="E37" s="14" t="str">
        <f>_xll.BDH("BLUE US Equity","IND_DIRECTORS_BRD_MTG_ATTEND_PCT","FY 2013","FY 2013","Currency=USD","Period=FQ","BEST_FPERIOD_OVERRIDE=FQ","FILING_STATUS=MR","Sort=A","Dates=H","DateFormat=P","Fill=—","Direction=H","UseDPDF=Y")</f>
        <v>—</v>
      </c>
      <c r="F37" s="14" t="str">
        <f>_xll.BDH("BLUE US Equity","IND_DIRECTORS_BRD_MTG_ATTEND_PCT","FY 2014","FY 2014","Currency=USD","Period=FQ","BEST_FPERIOD_OVERRIDE=FQ","FILING_STATUS=MR","Sort=A","Dates=H","DateFormat=P","Fill=—","Direction=H","UseDPDF=Y")</f>
        <v>—</v>
      </c>
      <c r="G37" s="14" t="str">
        <f>_xll.BDH("BLUE US Equity","IND_DIRECTORS_BRD_MTG_ATTEND_PCT","FY 2015","FY 2015","Currency=USD","Period=FQ","BEST_FPERIOD_OVERRIDE=FQ","FILING_STATUS=MR","Sort=A","Dates=H","DateFormat=P","Fill=—","Direction=H","UseDPDF=Y")</f>
        <v>—</v>
      </c>
      <c r="H37" s="14" t="str">
        <f>_xll.BDH("BLUE US Equity","IND_DIRECTORS_BRD_MTG_ATTEND_PCT","FY 2016","FY 2016","Currency=USD","Period=FQ","BEST_FPERIOD_OVERRIDE=FQ","FILING_STATUS=MR","Sort=A","Dates=H","DateFormat=P","Fill=—","Direction=H","UseDPDF=Y")</f>
        <v>—</v>
      </c>
      <c r="I37" s="14" t="str">
        <f>_xll.BDH("BLUE US Equity","IND_DIRECTORS_BRD_MTG_ATTEND_PCT","FY 2017","FY 2017","Currency=USD","Period=FQ","BEST_FPERIOD_OVERRIDE=FQ","FILING_STATUS=MR","Sort=A","Dates=H","DateFormat=P","Fill=—","Direction=H","UseDPDF=Y")</f>
        <v>—</v>
      </c>
      <c r="J37" s="14" t="str">
        <f>_xll.BDH("BLUE US Equity","IND_DIRECTORS_BRD_MTG_ATTEND_PCT","FY 2018","FY 2018","Currency=USD","Period=FQ","BEST_FPERIOD_OVERRIDE=FQ","FILING_STATUS=MR","Sort=A","Dates=H","DateFormat=P","Fill=—","Direction=H","UseDPDF=Y")</f>
        <v>—</v>
      </c>
      <c r="K37" s="14" t="str">
        <f>_xll.BDH("BLUE US Equity","IND_DIRECTORS_BRD_MTG_ATTEND_PCT","FY 2019","FY 2019","Currency=USD","Period=FQ","BEST_FPERIOD_OVERRIDE=FQ","FILING_STATUS=MR","Sort=A","Dates=H","DateFormat=P","Fill=—","Direction=H","UseDPDF=Y")</f>
        <v>—</v>
      </c>
      <c r="L37" s="14" t="str">
        <f>_xll.BDH("BLUE US Equity","IND_DIRECTORS_BRD_MTG_ATTEND_PCT","FY 2020","FY 2020","Currency=USD","Period=FQ","BEST_FPERIOD_OVERRIDE=FQ","FILING_STATUS=MR","Sort=A","Dates=H","DateFormat=P","Fill=—","Direction=H","UseDPDF=Y")</f>
        <v>—</v>
      </c>
      <c r="M37" s="14" t="str">
        <f>_xll.BDH("BLUE US Equity","IND_DIRECTORS_BRD_MTG_ATTEND_PCT","FY 2021","FY 2021","Currency=USD","Period=FQ","BEST_FPERIOD_OVERRIDE=FQ","FILING_STATUS=MR","Sort=A","Dates=H","DateFormat=P","Fill=—","Direction=H","UseDPDF=Y")</f>
        <v>—</v>
      </c>
      <c r="N37" s="14" t="str">
        <f>_xll.BDH("BLUE US Equity","IND_DIRECTORS_BRD_MTG_ATTEND_PCT","FY 2022","FY 2022","Currency=USD","Period=FQ","BEST_FPERIOD_OVERRIDE=FQ","FILING_STATUS=MR","Sort=A","Dates=H","DateFormat=P","Fill=—","Direction=H","UseDPDF=Y")</f>
        <v>—</v>
      </c>
      <c r="O37" s="14" t="str">
        <f>_xll.BDH("BLUE US Equity","IND_DIRECTORS_BRD_MTG_ATTEND_PCT","FY 2023","FY 2023","Currency=USD","Period=FQ","BEST_FPERIOD_OVERRIDE=FQ","FILING_STATUS=MR","Sort=A","Dates=H","DateFormat=P","Fill=—","Direction=H","UseDPDF=Y")</f>
        <v>—</v>
      </c>
      <c r="P37" s="14" t="str">
        <f>_xll.BDH("BLUE US Equity","IND_DIRECTORS_BRD_MTG_ATTEND_PCT","FY 2024","FY 2024","Currency=USD","Period=FQ","BEST_FPERIOD_OVERRIDE=FQ","FILING_STATUS=MR","Sort=A","Dates=H","DateFormat=P","Fill=—","Direction=H","UseDPDF=Y")</f>
        <v>—</v>
      </c>
    </row>
    <row r="38" spans="1:16" x14ac:dyDescent="0.25">
      <c r="A38" s="10" t="s">
        <v>1576</v>
      </c>
      <c r="B38" s="10" t="s">
        <v>1577</v>
      </c>
      <c r="C38" s="14" t="str">
        <f>_xll.BDH("BLUE US Equity","PCT_IND_DIRECTORS_ON_AUDIT_CMTE","FY 2011","FY 2011","Currency=USD","Period=FQ","BEST_FPERIOD_OVERRIDE=FQ","FILING_STATUS=MR","Sort=A","Dates=H","DateFormat=P","Fill=—","Direction=H","UseDPDF=Y")</f>
        <v>—</v>
      </c>
      <c r="D38" s="14" t="str">
        <f>_xll.BDH("BLUE US Equity","PCT_IND_DIRECTORS_ON_AUDIT_CMTE","FY 2012","FY 2012","Currency=USD","Period=FQ","BEST_FPERIOD_OVERRIDE=FQ","FILING_STATUS=MR","Sort=A","Dates=H","DateFormat=P","Fill=—","Direction=H","UseDPDF=Y")</f>
        <v>—</v>
      </c>
      <c r="E38" s="14" t="str">
        <f>_xll.BDH("BLUE US Equity","PCT_IND_DIRECTORS_ON_AUDIT_CMTE","FY 2013","FY 2013","Currency=USD","Period=FQ","BEST_FPERIOD_OVERRIDE=FQ","FILING_STATUS=MR","Sort=A","Dates=H","DateFormat=P","Fill=—","Direction=H","UseDPDF=Y")</f>
        <v>—</v>
      </c>
      <c r="F38" s="14" t="str">
        <f>_xll.BDH("BLUE US Equity","PCT_IND_DIRECTORS_ON_AUDIT_CMTE","FY 2014","FY 2014","Currency=USD","Period=FQ","BEST_FPERIOD_OVERRIDE=FQ","FILING_STATUS=MR","Sort=A","Dates=H","DateFormat=P","Fill=—","Direction=H","UseDPDF=Y")</f>
        <v>—</v>
      </c>
      <c r="G38" s="14" t="str">
        <f>_xll.BDH("BLUE US Equity","PCT_IND_DIRECTORS_ON_AUDIT_CMTE","FY 2015","FY 2015","Currency=USD","Period=FQ","BEST_FPERIOD_OVERRIDE=FQ","FILING_STATUS=MR","Sort=A","Dates=H","DateFormat=P","Fill=—","Direction=H","UseDPDF=Y")</f>
        <v>—</v>
      </c>
      <c r="H38" s="14" t="str">
        <f>_xll.BDH("BLUE US Equity","PCT_IND_DIRECTORS_ON_AUDIT_CMTE","FY 2016","FY 2016","Currency=USD","Period=FQ","BEST_FPERIOD_OVERRIDE=FQ","FILING_STATUS=MR","Sort=A","Dates=H","DateFormat=P","Fill=—","Direction=H","UseDPDF=Y")</f>
        <v>—</v>
      </c>
      <c r="I38" s="14" t="str">
        <f>_xll.BDH("BLUE US Equity","PCT_IND_DIRECTORS_ON_AUDIT_CMTE","FY 2017","FY 2017","Currency=USD","Period=FQ","BEST_FPERIOD_OVERRIDE=FQ","FILING_STATUS=MR","Sort=A","Dates=H","DateFormat=P","Fill=—","Direction=H","UseDPDF=Y")</f>
        <v>—</v>
      </c>
      <c r="J38" s="14" t="str">
        <f>_xll.BDH("BLUE US Equity","PCT_IND_DIRECTORS_ON_AUDIT_CMTE","FY 2018","FY 2018","Currency=USD","Period=FQ","BEST_FPERIOD_OVERRIDE=FQ","FILING_STATUS=MR","Sort=A","Dates=H","DateFormat=P","Fill=—","Direction=H","UseDPDF=Y")</f>
        <v>—</v>
      </c>
      <c r="K38" s="14" t="str">
        <f>_xll.BDH("BLUE US Equity","PCT_IND_DIRECTORS_ON_AUDIT_CMTE","FY 2019","FY 2019","Currency=USD","Period=FQ","BEST_FPERIOD_OVERRIDE=FQ","FILING_STATUS=MR","Sort=A","Dates=H","DateFormat=P","Fill=—","Direction=H","UseDPDF=Y")</f>
        <v>—</v>
      </c>
      <c r="L38" s="14" t="str">
        <f>_xll.BDH("BLUE US Equity","PCT_IND_DIRECTORS_ON_AUDIT_CMTE","FY 2020","FY 2020","Currency=USD","Period=FQ","BEST_FPERIOD_OVERRIDE=FQ","FILING_STATUS=MR","Sort=A","Dates=H","DateFormat=P","Fill=—","Direction=H","UseDPDF=Y")</f>
        <v>—</v>
      </c>
      <c r="M38" s="14" t="str">
        <f>_xll.BDH("BLUE US Equity","PCT_IND_DIRECTORS_ON_AUDIT_CMTE","FY 2021","FY 2021","Currency=USD","Period=FQ","BEST_FPERIOD_OVERRIDE=FQ","FILING_STATUS=MR","Sort=A","Dates=H","DateFormat=P","Fill=—","Direction=H","UseDPDF=Y")</f>
        <v>—</v>
      </c>
      <c r="N38" s="14" t="str">
        <f>_xll.BDH("BLUE US Equity","PCT_IND_DIRECTORS_ON_AUDIT_CMTE","FY 2022","FY 2022","Currency=USD","Period=FQ","BEST_FPERIOD_OVERRIDE=FQ","FILING_STATUS=MR","Sort=A","Dates=H","DateFormat=P","Fill=—","Direction=H","UseDPDF=Y")</f>
        <v>—</v>
      </c>
      <c r="O38" s="14" t="str">
        <f>_xll.BDH("BLUE US Equity","PCT_IND_DIRECTORS_ON_AUDIT_CMTE","FY 2023","FY 2023","Currency=USD","Period=FQ","BEST_FPERIOD_OVERRIDE=FQ","FILING_STATUS=MR","Sort=A","Dates=H","DateFormat=P","Fill=—","Direction=H","UseDPDF=Y")</f>
        <v>—</v>
      </c>
      <c r="P38" s="14" t="str">
        <f>_xll.BDH("BLUE US Equity","PCT_IND_DIRECTORS_ON_AUDIT_CMTE","FY 2024","FY 2024","Currency=USD","Period=FQ","BEST_FPERIOD_OVERRIDE=FQ","FILING_STATUS=MR","Sort=A","Dates=H","DateFormat=P","Fill=—","Direction=H","UseDPDF=Y")</f>
        <v>—</v>
      </c>
    </row>
    <row r="39" spans="1:16" x14ac:dyDescent="0.25">
      <c r="A39" s="10" t="s">
        <v>1578</v>
      </c>
      <c r="B39" s="10" t="s">
        <v>1579</v>
      </c>
      <c r="C39" s="14" t="str">
        <f>_xll.BDH("BLUE US Equity","AUDIT_COMMITTEE_MTG_ATTEND_PCT","FY 2011","FY 2011","Currency=USD","Period=FQ","BEST_FPERIOD_OVERRIDE=FQ","FILING_STATUS=MR","Sort=A","Dates=H","DateFormat=P","Fill=—","Direction=H","UseDPDF=Y")</f>
        <v>—</v>
      </c>
      <c r="D39" s="14" t="str">
        <f>_xll.BDH("BLUE US Equity","AUDIT_COMMITTEE_MTG_ATTEND_PCT","FY 2012","FY 2012","Currency=USD","Period=FQ","BEST_FPERIOD_OVERRIDE=FQ","FILING_STATUS=MR","Sort=A","Dates=H","DateFormat=P","Fill=—","Direction=H","UseDPDF=Y")</f>
        <v>—</v>
      </c>
      <c r="E39" s="14" t="str">
        <f>_xll.BDH("BLUE US Equity","AUDIT_COMMITTEE_MTG_ATTEND_PCT","FY 2013","FY 2013","Currency=USD","Period=FQ","BEST_FPERIOD_OVERRIDE=FQ","FILING_STATUS=MR","Sort=A","Dates=H","DateFormat=P","Fill=—","Direction=H","UseDPDF=Y")</f>
        <v>—</v>
      </c>
      <c r="F39" s="14" t="str">
        <f>_xll.BDH("BLUE US Equity","AUDIT_COMMITTEE_MTG_ATTEND_PCT","FY 2014","FY 2014","Currency=USD","Period=FQ","BEST_FPERIOD_OVERRIDE=FQ","FILING_STATUS=MR","Sort=A","Dates=H","DateFormat=P","Fill=—","Direction=H","UseDPDF=Y")</f>
        <v>—</v>
      </c>
      <c r="G39" s="14" t="str">
        <f>_xll.BDH("BLUE US Equity","AUDIT_COMMITTEE_MTG_ATTEND_PCT","FY 2015","FY 2015","Currency=USD","Period=FQ","BEST_FPERIOD_OVERRIDE=FQ","FILING_STATUS=MR","Sort=A","Dates=H","DateFormat=P","Fill=—","Direction=H","UseDPDF=Y")</f>
        <v>—</v>
      </c>
      <c r="H39" s="14" t="str">
        <f>_xll.BDH("BLUE US Equity","AUDIT_COMMITTEE_MTG_ATTEND_PCT","FY 2016","FY 2016","Currency=USD","Period=FQ","BEST_FPERIOD_OVERRIDE=FQ","FILING_STATUS=MR","Sort=A","Dates=H","DateFormat=P","Fill=—","Direction=H","UseDPDF=Y")</f>
        <v>—</v>
      </c>
      <c r="I39" s="14" t="str">
        <f>_xll.BDH("BLUE US Equity","AUDIT_COMMITTEE_MTG_ATTEND_PCT","FY 2017","FY 2017","Currency=USD","Period=FQ","BEST_FPERIOD_OVERRIDE=FQ","FILING_STATUS=MR","Sort=A","Dates=H","DateFormat=P","Fill=—","Direction=H","UseDPDF=Y")</f>
        <v>—</v>
      </c>
      <c r="J39" s="14" t="str">
        <f>_xll.BDH("BLUE US Equity","AUDIT_COMMITTEE_MTG_ATTEND_PCT","FY 2018","FY 2018","Currency=USD","Period=FQ","BEST_FPERIOD_OVERRIDE=FQ","FILING_STATUS=MR","Sort=A","Dates=H","DateFormat=P","Fill=—","Direction=H","UseDPDF=Y")</f>
        <v>—</v>
      </c>
      <c r="K39" s="14" t="str">
        <f>_xll.BDH("BLUE US Equity","AUDIT_COMMITTEE_MTG_ATTEND_PCT","FY 2019","FY 2019","Currency=USD","Period=FQ","BEST_FPERIOD_OVERRIDE=FQ","FILING_STATUS=MR","Sort=A","Dates=H","DateFormat=P","Fill=—","Direction=H","UseDPDF=Y")</f>
        <v>—</v>
      </c>
      <c r="L39" s="14" t="str">
        <f>_xll.BDH("BLUE US Equity","AUDIT_COMMITTEE_MTG_ATTEND_PCT","FY 2020","FY 2020","Currency=USD","Period=FQ","BEST_FPERIOD_OVERRIDE=FQ","FILING_STATUS=MR","Sort=A","Dates=H","DateFormat=P","Fill=—","Direction=H","UseDPDF=Y")</f>
        <v>—</v>
      </c>
      <c r="M39" s="14" t="str">
        <f>_xll.BDH("BLUE US Equity","AUDIT_COMMITTEE_MTG_ATTEND_PCT","FY 2021","FY 2021","Currency=USD","Period=FQ","BEST_FPERIOD_OVERRIDE=FQ","FILING_STATUS=MR","Sort=A","Dates=H","DateFormat=P","Fill=—","Direction=H","UseDPDF=Y")</f>
        <v>—</v>
      </c>
      <c r="N39" s="14" t="str">
        <f>_xll.BDH("BLUE US Equity","AUDIT_COMMITTEE_MTG_ATTEND_PCT","FY 2022","FY 2022","Currency=USD","Period=FQ","BEST_FPERIOD_OVERRIDE=FQ","FILING_STATUS=MR","Sort=A","Dates=H","DateFormat=P","Fill=—","Direction=H","UseDPDF=Y")</f>
        <v>—</v>
      </c>
      <c r="O39" s="14" t="str">
        <f>_xll.BDH("BLUE US Equity","AUDIT_COMMITTEE_MTG_ATTEND_PCT","FY 2023","FY 2023","Currency=USD","Period=FQ","BEST_FPERIOD_OVERRIDE=FQ","FILING_STATUS=MR","Sort=A","Dates=H","DateFormat=P","Fill=—","Direction=H","UseDPDF=Y")</f>
        <v>—</v>
      </c>
      <c r="P39" s="14" t="str">
        <f>_xll.BDH("BLUE US Equity","AUDIT_COMMITTEE_MTG_ATTEND_PCT","FY 2024","FY 2024","Currency=USD","Period=FQ","BEST_FPERIOD_OVERRIDE=FQ","FILING_STATUS=MR","Sort=A","Dates=H","DateFormat=P","Fill=—","Direction=H","UseDPDF=Y")</f>
        <v>—</v>
      </c>
    </row>
    <row r="40" spans="1:16" x14ac:dyDescent="0.25">
      <c r="A40" s="10" t="s">
        <v>1580</v>
      </c>
      <c r="B40" s="10" t="s">
        <v>1581</v>
      </c>
      <c r="C40" s="14" t="str">
        <f>_xll.BDH("BLUE US Equity","PCT_IND_DIRECTORS_ON_COMP_CMTE","FY 2011","FY 2011","Currency=USD","Period=FQ","BEST_FPERIOD_OVERRIDE=FQ","FILING_STATUS=MR","Sort=A","Dates=H","DateFormat=P","Fill=—","Direction=H","UseDPDF=Y")</f>
        <v>—</v>
      </c>
      <c r="D40" s="14" t="str">
        <f>_xll.BDH("BLUE US Equity","PCT_IND_DIRECTORS_ON_COMP_CMTE","FY 2012","FY 2012","Currency=USD","Period=FQ","BEST_FPERIOD_OVERRIDE=FQ","FILING_STATUS=MR","Sort=A","Dates=H","DateFormat=P","Fill=—","Direction=H","UseDPDF=Y")</f>
        <v>—</v>
      </c>
      <c r="E40" s="14" t="str">
        <f>_xll.BDH("BLUE US Equity","PCT_IND_DIRECTORS_ON_COMP_CMTE","FY 2013","FY 2013","Currency=USD","Period=FQ","BEST_FPERIOD_OVERRIDE=FQ","FILING_STATUS=MR","Sort=A","Dates=H","DateFormat=P","Fill=—","Direction=H","UseDPDF=Y")</f>
        <v>—</v>
      </c>
      <c r="F40" s="14" t="str">
        <f>_xll.BDH("BLUE US Equity","PCT_IND_DIRECTORS_ON_COMP_CMTE","FY 2014","FY 2014","Currency=USD","Period=FQ","BEST_FPERIOD_OVERRIDE=FQ","FILING_STATUS=MR","Sort=A","Dates=H","DateFormat=P","Fill=—","Direction=H","UseDPDF=Y")</f>
        <v>—</v>
      </c>
      <c r="G40" s="14" t="str">
        <f>_xll.BDH("BLUE US Equity","PCT_IND_DIRECTORS_ON_COMP_CMTE","FY 2015","FY 2015","Currency=USD","Period=FQ","BEST_FPERIOD_OVERRIDE=FQ","FILING_STATUS=MR","Sort=A","Dates=H","DateFormat=P","Fill=—","Direction=H","UseDPDF=Y")</f>
        <v>—</v>
      </c>
      <c r="H40" s="14" t="str">
        <f>_xll.BDH("BLUE US Equity","PCT_IND_DIRECTORS_ON_COMP_CMTE","FY 2016","FY 2016","Currency=USD","Period=FQ","BEST_FPERIOD_OVERRIDE=FQ","FILING_STATUS=MR","Sort=A","Dates=H","DateFormat=P","Fill=—","Direction=H","UseDPDF=Y")</f>
        <v>—</v>
      </c>
      <c r="I40" s="14" t="str">
        <f>_xll.BDH("BLUE US Equity","PCT_IND_DIRECTORS_ON_COMP_CMTE","FY 2017","FY 2017","Currency=USD","Period=FQ","BEST_FPERIOD_OVERRIDE=FQ","FILING_STATUS=MR","Sort=A","Dates=H","DateFormat=P","Fill=—","Direction=H","UseDPDF=Y")</f>
        <v>—</v>
      </c>
      <c r="J40" s="14" t="str">
        <f>_xll.BDH("BLUE US Equity","PCT_IND_DIRECTORS_ON_COMP_CMTE","FY 2018","FY 2018","Currency=USD","Period=FQ","BEST_FPERIOD_OVERRIDE=FQ","FILING_STATUS=MR","Sort=A","Dates=H","DateFormat=P","Fill=—","Direction=H","UseDPDF=Y")</f>
        <v>—</v>
      </c>
      <c r="K40" s="14" t="str">
        <f>_xll.BDH("BLUE US Equity","PCT_IND_DIRECTORS_ON_COMP_CMTE","FY 2019","FY 2019","Currency=USD","Period=FQ","BEST_FPERIOD_OVERRIDE=FQ","FILING_STATUS=MR","Sort=A","Dates=H","DateFormat=P","Fill=—","Direction=H","UseDPDF=Y")</f>
        <v>—</v>
      </c>
      <c r="L40" s="14" t="str">
        <f>_xll.BDH("BLUE US Equity","PCT_IND_DIRECTORS_ON_COMP_CMTE","FY 2020","FY 2020","Currency=USD","Period=FQ","BEST_FPERIOD_OVERRIDE=FQ","FILING_STATUS=MR","Sort=A","Dates=H","DateFormat=P","Fill=—","Direction=H","UseDPDF=Y")</f>
        <v>—</v>
      </c>
      <c r="M40" s="14" t="str">
        <f>_xll.BDH("BLUE US Equity","PCT_IND_DIRECTORS_ON_COMP_CMTE","FY 2021","FY 2021","Currency=USD","Period=FQ","BEST_FPERIOD_OVERRIDE=FQ","FILING_STATUS=MR","Sort=A","Dates=H","DateFormat=P","Fill=—","Direction=H","UseDPDF=Y")</f>
        <v>—</v>
      </c>
      <c r="N40" s="14" t="str">
        <f>_xll.BDH("BLUE US Equity","PCT_IND_DIRECTORS_ON_COMP_CMTE","FY 2022","FY 2022","Currency=USD","Period=FQ","BEST_FPERIOD_OVERRIDE=FQ","FILING_STATUS=MR","Sort=A","Dates=H","DateFormat=P","Fill=—","Direction=H","UseDPDF=Y")</f>
        <v>—</v>
      </c>
      <c r="O40" s="14" t="str">
        <f>_xll.BDH("BLUE US Equity","PCT_IND_DIRECTORS_ON_COMP_CMTE","FY 2023","FY 2023","Currency=USD","Period=FQ","BEST_FPERIOD_OVERRIDE=FQ","FILING_STATUS=MR","Sort=A","Dates=H","DateFormat=P","Fill=—","Direction=H","UseDPDF=Y")</f>
        <v>—</v>
      </c>
      <c r="P40" s="14" t="str">
        <f>_xll.BDH("BLUE US Equity","PCT_IND_DIRECTORS_ON_COMP_CMTE","FY 2024","FY 2024","Currency=USD","Period=FQ","BEST_FPERIOD_OVERRIDE=FQ","FILING_STATUS=MR","Sort=A","Dates=H","DateFormat=P","Fill=—","Direction=H","UseDPDF=Y")</f>
        <v>—</v>
      </c>
    </row>
    <row r="41" spans="1:16" x14ac:dyDescent="0.25">
      <c r="A41" s="10" t="s">
        <v>1582</v>
      </c>
      <c r="B41" s="10" t="s">
        <v>1583</v>
      </c>
      <c r="C41" s="14" t="str">
        <f>_xll.BDH("BLUE US Equity","COMPENSATION_CMTE_MTG_ATTEND_PCT","FY 2011","FY 2011","Currency=USD","Period=FQ","BEST_FPERIOD_OVERRIDE=FQ","FILING_STATUS=MR","Sort=A","Dates=H","DateFormat=P","Fill=—","Direction=H","UseDPDF=Y")</f>
        <v>—</v>
      </c>
      <c r="D41" s="14" t="str">
        <f>_xll.BDH("BLUE US Equity","COMPENSATION_CMTE_MTG_ATTEND_PCT","FY 2012","FY 2012","Currency=USD","Period=FQ","BEST_FPERIOD_OVERRIDE=FQ","FILING_STATUS=MR","Sort=A","Dates=H","DateFormat=P","Fill=—","Direction=H","UseDPDF=Y")</f>
        <v>—</v>
      </c>
      <c r="E41" s="14" t="str">
        <f>_xll.BDH("BLUE US Equity","COMPENSATION_CMTE_MTG_ATTEND_PCT","FY 2013","FY 2013","Currency=USD","Period=FQ","BEST_FPERIOD_OVERRIDE=FQ","FILING_STATUS=MR","Sort=A","Dates=H","DateFormat=P","Fill=—","Direction=H","UseDPDF=Y")</f>
        <v>—</v>
      </c>
      <c r="F41" s="14" t="str">
        <f>_xll.BDH("BLUE US Equity","COMPENSATION_CMTE_MTG_ATTEND_PCT","FY 2014","FY 2014","Currency=USD","Period=FQ","BEST_FPERIOD_OVERRIDE=FQ","FILING_STATUS=MR","Sort=A","Dates=H","DateFormat=P","Fill=—","Direction=H","UseDPDF=Y")</f>
        <v>—</v>
      </c>
      <c r="G41" s="14" t="str">
        <f>_xll.BDH("BLUE US Equity","COMPENSATION_CMTE_MTG_ATTEND_PCT","FY 2015","FY 2015","Currency=USD","Period=FQ","BEST_FPERIOD_OVERRIDE=FQ","FILING_STATUS=MR","Sort=A","Dates=H","DateFormat=P","Fill=—","Direction=H","UseDPDF=Y")</f>
        <v>—</v>
      </c>
      <c r="H41" s="14" t="str">
        <f>_xll.BDH("BLUE US Equity","COMPENSATION_CMTE_MTG_ATTEND_PCT","FY 2016","FY 2016","Currency=USD","Period=FQ","BEST_FPERIOD_OVERRIDE=FQ","FILING_STATUS=MR","Sort=A","Dates=H","DateFormat=P","Fill=—","Direction=H","UseDPDF=Y")</f>
        <v>—</v>
      </c>
      <c r="I41" s="14" t="str">
        <f>_xll.BDH("BLUE US Equity","COMPENSATION_CMTE_MTG_ATTEND_PCT","FY 2017","FY 2017","Currency=USD","Period=FQ","BEST_FPERIOD_OVERRIDE=FQ","FILING_STATUS=MR","Sort=A","Dates=H","DateFormat=P","Fill=—","Direction=H","UseDPDF=Y")</f>
        <v>—</v>
      </c>
      <c r="J41" s="14" t="str">
        <f>_xll.BDH("BLUE US Equity","COMPENSATION_CMTE_MTG_ATTEND_PCT","FY 2018","FY 2018","Currency=USD","Period=FQ","BEST_FPERIOD_OVERRIDE=FQ","FILING_STATUS=MR","Sort=A","Dates=H","DateFormat=P","Fill=—","Direction=H","UseDPDF=Y")</f>
        <v>—</v>
      </c>
      <c r="K41" s="14" t="str">
        <f>_xll.BDH("BLUE US Equity","COMPENSATION_CMTE_MTG_ATTEND_PCT","FY 2019","FY 2019","Currency=USD","Period=FQ","BEST_FPERIOD_OVERRIDE=FQ","FILING_STATUS=MR","Sort=A","Dates=H","DateFormat=P","Fill=—","Direction=H","UseDPDF=Y")</f>
        <v>—</v>
      </c>
      <c r="L41" s="14" t="str">
        <f>_xll.BDH("BLUE US Equity","COMPENSATION_CMTE_MTG_ATTEND_PCT","FY 2020","FY 2020","Currency=USD","Period=FQ","BEST_FPERIOD_OVERRIDE=FQ","FILING_STATUS=MR","Sort=A","Dates=H","DateFormat=P","Fill=—","Direction=H","UseDPDF=Y")</f>
        <v>—</v>
      </c>
      <c r="M41" s="14" t="str">
        <f>_xll.BDH("BLUE US Equity","COMPENSATION_CMTE_MTG_ATTEND_PCT","FY 2021","FY 2021","Currency=USD","Period=FQ","BEST_FPERIOD_OVERRIDE=FQ","FILING_STATUS=MR","Sort=A","Dates=H","DateFormat=P","Fill=—","Direction=H","UseDPDF=Y")</f>
        <v>—</v>
      </c>
      <c r="N41" s="14" t="str">
        <f>_xll.BDH("BLUE US Equity","COMPENSATION_CMTE_MTG_ATTEND_PCT","FY 2022","FY 2022","Currency=USD","Period=FQ","BEST_FPERIOD_OVERRIDE=FQ","FILING_STATUS=MR","Sort=A","Dates=H","DateFormat=P","Fill=—","Direction=H","UseDPDF=Y")</f>
        <v>—</v>
      </c>
      <c r="O41" s="14" t="str">
        <f>_xll.BDH("BLUE US Equity","COMPENSATION_CMTE_MTG_ATTEND_PCT","FY 2023","FY 2023","Currency=USD","Period=FQ","BEST_FPERIOD_OVERRIDE=FQ","FILING_STATUS=MR","Sort=A","Dates=H","DateFormat=P","Fill=—","Direction=H","UseDPDF=Y")</f>
        <v>—</v>
      </c>
      <c r="P41" s="14" t="str">
        <f>_xll.BDH("BLUE US Equity","COMPENSATION_CMTE_MTG_ATTEND_PCT","FY 2024","FY 2024","Currency=USD","Period=FQ","BEST_FPERIOD_OVERRIDE=FQ","FILING_STATUS=MR","Sort=A","Dates=H","DateFormat=P","Fill=—","Direction=H","UseDPDF=Y")</f>
        <v>—</v>
      </c>
    </row>
    <row r="42" spans="1:16" x14ac:dyDescent="0.25">
      <c r="A42" s="10" t="s">
        <v>1584</v>
      </c>
      <c r="B42" s="10" t="s">
        <v>1585</v>
      </c>
      <c r="C42" s="14" t="str">
        <f>_xll.BDH("BLUE US Equity","PCT_OF_IND_DIRECTORS_ON_NOM_CMTE","FY 2011","FY 2011","Currency=USD","Period=FQ","BEST_FPERIOD_OVERRIDE=FQ","FILING_STATUS=MR","Sort=A","Dates=H","DateFormat=P","Fill=—","Direction=H","UseDPDF=Y")</f>
        <v>—</v>
      </c>
      <c r="D42" s="14" t="str">
        <f>_xll.BDH("BLUE US Equity","PCT_OF_IND_DIRECTORS_ON_NOM_CMTE","FY 2012","FY 2012","Currency=USD","Period=FQ","BEST_FPERIOD_OVERRIDE=FQ","FILING_STATUS=MR","Sort=A","Dates=H","DateFormat=P","Fill=—","Direction=H","UseDPDF=Y")</f>
        <v>—</v>
      </c>
      <c r="E42" s="14" t="str">
        <f>_xll.BDH("BLUE US Equity","PCT_OF_IND_DIRECTORS_ON_NOM_CMTE","FY 2013","FY 2013","Currency=USD","Period=FQ","BEST_FPERIOD_OVERRIDE=FQ","FILING_STATUS=MR","Sort=A","Dates=H","DateFormat=P","Fill=—","Direction=H","UseDPDF=Y")</f>
        <v>—</v>
      </c>
      <c r="F42" s="14" t="str">
        <f>_xll.BDH("BLUE US Equity","PCT_OF_IND_DIRECTORS_ON_NOM_CMTE","FY 2014","FY 2014","Currency=USD","Period=FQ","BEST_FPERIOD_OVERRIDE=FQ","FILING_STATUS=MR","Sort=A","Dates=H","DateFormat=P","Fill=—","Direction=H","UseDPDF=Y")</f>
        <v>—</v>
      </c>
      <c r="G42" s="14" t="str">
        <f>_xll.BDH("BLUE US Equity","PCT_OF_IND_DIRECTORS_ON_NOM_CMTE","FY 2015","FY 2015","Currency=USD","Period=FQ","BEST_FPERIOD_OVERRIDE=FQ","FILING_STATUS=MR","Sort=A","Dates=H","DateFormat=P","Fill=—","Direction=H","UseDPDF=Y")</f>
        <v>—</v>
      </c>
      <c r="H42" s="14" t="str">
        <f>_xll.BDH("BLUE US Equity","PCT_OF_IND_DIRECTORS_ON_NOM_CMTE","FY 2016","FY 2016","Currency=USD","Period=FQ","BEST_FPERIOD_OVERRIDE=FQ","FILING_STATUS=MR","Sort=A","Dates=H","DateFormat=P","Fill=—","Direction=H","UseDPDF=Y")</f>
        <v>—</v>
      </c>
      <c r="I42" s="14" t="str">
        <f>_xll.BDH("BLUE US Equity","PCT_OF_IND_DIRECTORS_ON_NOM_CMTE","FY 2017","FY 2017","Currency=USD","Period=FQ","BEST_FPERIOD_OVERRIDE=FQ","FILING_STATUS=MR","Sort=A","Dates=H","DateFormat=P","Fill=—","Direction=H","UseDPDF=Y")</f>
        <v>—</v>
      </c>
      <c r="J42" s="14" t="str">
        <f>_xll.BDH("BLUE US Equity","PCT_OF_IND_DIRECTORS_ON_NOM_CMTE","FY 2018","FY 2018","Currency=USD","Period=FQ","BEST_FPERIOD_OVERRIDE=FQ","FILING_STATUS=MR","Sort=A","Dates=H","DateFormat=P","Fill=—","Direction=H","UseDPDF=Y")</f>
        <v>—</v>
      </c>
      <c r="K42" s="14" t="str">
        <f>_xll.BDH("BLUE US Equity","PCT_OF_IND_DIRECTORS_ON_NOM_CMTE","FY 2019","FY 2019","Currency=USD","Period=FQ","BEST_FPERIOD_OVERRIDE=FQ","FILING_STATUS=MR","Sort=A","Dates=H","DateFormat=P","Fill=—","Direction=H","UseDPDF=Y")</f>
        <v>—</v>
      </c>
      <c r="L42" s="14" t="str">
        <f>_xll.BDH("BLUE US Equity","PCT_OF_IND_DIRECTORS_ON_NOM_CMTE","FY 2020","FY 2020","Currency=USD","Period=FQ","BEST_FPERIOD_OVERRIDE=FQ","FILING_STATUS=MR","Sort=A","Dates=H","DateFormat=P","Fill=—","Direction=H","UseDPDF=Y")</f>
        <v>—</v>
      </c>
      <c r="M42" s="14" t="str">
        <f>_xll.BDH("BLUE US Equity","PCT_OF_IND_DIRECTORS_ON_NOM_CMTE","FY 2021","FY 2021","Currency=USD","Period=FQ","BEST_FPERIOD_OVERRIDE=FQ","FILING_STATUS=MR","Sort=A","Dates=H","DateFormat=P","Fill=—","Direction=H","UseDPDF=Y")</f>
        <v>—</v>
      </c>
      <c r="N42" s="14" t="str">
        <f>_xll.BDH("BLUE US Equity","PCT_OF_IND_DIRECTORS_ON_NOM_CMTE","FY 2022","FY 2022","Currency=USD","Period=FQ","BEST_FPERIOD_OVERRIDE=FQ","FILING_STATUS=MR","Sort=A","Dates=H","DateFormat=P","Fill=—","Direction=H","UseDPDF=Y")</f>
        <v>—</v>
      </c>
      <c r="O42" s="14" t="str">
        <f>_xll.BDH("BLUE US Equity","PCT_OF_IND_DIRECTORS_ON_NOM_CMTE","FY 2023","FY 2023","Currency=USD","Period=FQ","BEST_FPERIOD_OVERRIDE=FQ","FILING_STATUS=MR","Sort=A","Dates=H","DateFormat=P","Fill=—","Direction=H","UseDPDF=Y")</f>
        <v>—</v>
      </c>
      <c r="P42" s="14" t="str">
        <f>_xll.BDH("BLUE US Equity","PCT_OF_IND_DIRECTORS_ON_NOM_CMTE","FY 2024","FY 2024","Currency=USD","Period=FQ","BEST_FPERIOD_OVERRIDE=FQ","FILING_STATUS=MR","Sort=A","Dates=H","DateFormat=P","Fill=—","Direction=H","UseDPDF=Y")</f>
        <v>—</v>
      </c>
    </row>
    <row r="43" spans="1:16" x14ac:dyDescent="0.25">
      <c r="A43" s="7" t="s">
        <v>90</v>
      </c>
      <c r="B43" s="7"/>
      <c r="C43" s="7" t="s">
        <v>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162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163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164</v>
      </c>
      <c r="Z5" s="5" t="s">
        <v>57</v>
      </c>
      <c r="AA5" s="5" t="s">
        <v>58</v>
      </c>
    </row>
    <row r="6" spans="1:27" x14ac:dyDescent="0.25">
      <c r="A6" s="6" t="s">
        <v>59</v>
      </c>
      <c r="B6" s="6" t="s">
        <v>60</v>
      </c>
      <c r="C6" s="19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D6" s="19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E6" s="19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F6" s="19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G6" s="19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H6" s="19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I6" s="19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J6" s="19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K6" s="19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L6" s="19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M6" s="19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N6" s="19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O6" s="19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P6" s="19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Q6" s="19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R6" s="19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S6" s="19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T6" s="19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U6" s="19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V6" s="19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W6" s="19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X6" s="19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  <c r="Y6" s="22">
        <v>37.202266000000002</v>
      </c>
      <c r="Z6" s="19"/>
      <c r="AA6" s="19"/>
    </row>
    <row r="7" spans="1:27" x14ac:dyDescent="0.25">
      <c r="A7" s="10" t="s">
        <v>165</v>
      </c>
      <c r="B7" s="10" t="s">
        <v>62</v>
      </c>
      <c r="C7" s="13">
        <f>_xll.BDH("BLUE US Equity","CASH_AND_MARKETABLE_SECURITIES","FQ3 2019","FQ3 2019","Currency=USD","Period=FQ","BEST_FPERIOD_OVERRIDE=FQ","FILING_STATUS=MR","SCALING_FORMAT=MLN","Sort=A","Dates=H","DateFormat=P","Fill=—","Direction=H","UseDPDF=Y")</f>
        <v>1405.8869999999999</v>
      </c>
      <c r="D7" s="13">
        <f>_xll.BDH("BLUE US Equity","CASH_AND_MARKETABLE_SECURITIES","FQ4 2019","FQ4 2019","Currency=USD","Period=FQ","BEST_FPERIOD_OVERRIDE=FQ","FILING_STATUS=MR","SCALING_FORMAT=MLN","Sort=A","Dates=H","DateFormat=P","Fill=—","Direction=H","UseDPDF=Y")</f>
        <v>1237.9659999999999</v>
      </c>
      <c r="E7" s="13">
        <f>_xll.BDH("BLUE US Equity","CASH_AND_MARKETABLE_SECURITIES","FQ1 2020","FQ1 2020","Currency=USD","Period=FQ","BEST_FPERIOD_OVERRIDE=FQ","FILING_STATUS=MR","SCALING_FORMAT=MLN","Sort=A","Dates=H","DateFormat=P","Fill=—","Direction=H","UseDPDF=Y")</f>
        <v>1018.357</v>
      </c>
      <c r="F7" s="13">
        <f>_xll.BDH("BLUE US Equity","CASH_AND_MARKETABLE_SECURITIES","FQ2 2020","FQ2 2020","Currency=USD","Period=FQ","BEST_FPERIOD_OVERRIDE=FQ","FILING_STATUS=MR","SCALING_FORMAT=MLN","Sort=A","Dates=H","DateFormat=P","Fill=—","Direction=H","UseDPDF=Y")</f>
        <v>1598.7929999999999</v>
      </c>
      <c r="G7" s="13">
        <f>_xll.BDH("BLUE US Equity","CASH_AND_MARKETABLE_SECURITIES","FQ3 2020","FQ3 2020","Currency=USD","Period=FQ","BEST_FPERIOD_OVERRIDE=FQ","FILING_STATUS=MR","SCALING_FORMAT=MLN","Sort=A","Dates=H","DateFormat=P","Fill=—","Direction=H","UseDPDF=Y")</f>
        <v>1437.87</v>
      </c>
      <c r="H7" s="13">
        <f>_xll.BDH("BLUE US Equity","CASH_AND_MARKETABLE_SECURITIES","FQ4 2020","FQ4 2020","Currency=USD","Period=FQ","BEST_FPERIOD_OVERRIDE=FQ","FILING_STATUS=MR","SCALING_FORMAT=MLN","Sort=A","Dates=H","DateFormat=P","Fill=—","Direction=H","UseDPDF=Y")</f>
        <v>741.673</v>
      </c>
      <c r="I7" s="13">
        <f>_xll.BDH("BLUE US Equity","CASH_AND_MARKETABLE_SECURITIES","FQ1 2021","FQ1 2021","Currency=USD","Period=FQ","BEST_FPERIOD_OVERRIDE=FQ","FILING_STATUS=MR","SCALING_FORMAT=MLN","Sort=A","Dates=H","DateFormat=P","Fill=—","Direction=H","UseDPDF=Y")</f>
        <v>1093.5509999999999</v>
      </c>
      <c r="J7" s="13">
        <f>_xll.BDH("BLUE US Equity","CASH_AND_MARKETABLE_SECURITIES","FQ2 2021","FQ2 2021","Currency=USD","Period=FQ","BEST_FPERIOD_OVERRIDE=FQ","FILING_STATUS=MR","SCALING_FORMAT=MLN","Sort=A","Dates=H","DateFormat=P","Fill=—","Direction=H","UseDPDF=Y")</f>
        <v>941.62800000000004</v>
      </c>
      <c r="K7" s="13">
        <f>_xll.BDH("BLUE US Equity","CASH_AND_MARKETABLE_SECURITIES","FQ3 2021","FQ3 2021","Currency=USD","Period=FQ","BEST_FPERIOD_OVERRIDE=FQ","FILING_STATUS=MR","SCALING_FORMAT=MLN","Sort=A","Dates=H","DateFormat=P","Fill=—","Direction=H","UseDPDF=Y")</f>
        <v>970.73</v>
      </c>
      <c r="L7" s="13">
        <f>_xll.BDH("BLUE US Equity","CASH_AND_MARKETABLE_SECURITIES","FQ4 2021","FQ4 2021","Currency=USD","Period=FQ","BEST_FPERIOD_OVERRIDE=FQ","FILING_STATUS=MR","SCALING_FORMAT=MLN","Sort=A","Dates=H","DateFormat=P","Fill=—","Direction=H","UseDPDF=Y")</f>
        <v>396.61700000000002</v>
      </c>
      <c r="M7" s="13">
        <f>_xll.BDH("BLUE US Equity","CASH_AND_MARKETABLE_SECURITIES","FQ1 2022","FQ1 2022","Currency=USD","Period=FQ","BEST_FPERIOD_OVERRIDE=FQ","FILING_STATUS=MR","SCALING_FORMAT=MLN","Sort=A","Dates=H","DateFormat=P","Fill=—","Direction=H","UseDPDF=Y")</f>
        <v>266.637</v>
      </c>
      <c r="N7" s="13">
        <f>_xll.BDH("BLUE US Equity","CASH_AND_MARKETABLE_SECURITIES","FQ2 2022","FQ2 2022","Currency=USD","Period=FQ","BEST_FPERIOD_OVERRIDE=FQ","FILING_STATUS=MR","SCALING_FORMAT=MLN","Sort=A","Dates=H","DateFormat=P","Fill=—","Direction=H","UseDPDF=Y")</f>
        <v>173.15</v>
      </c>
      <c r="O7" s="13">
        <f>_xll.BDH("BLUE US Equity","CASH_AND_MARKETABLE_SECURITIES","FQ3 2022","FQ3 2022","Currency=USD","Period=FQ","BEST_FPERIOD_OVERRIDE=FQ","FILING_STATUS=MR","SCALING_FORMAT=MLN","Sort=A","Dates=H","DateFormat=P","Fill=—","Direction=H","UseDPDF=Y")</f>
        <v>141.04</v>
      </c>
      <c r="P7" s="13">
        <f>_xll.BDH("BLUE US Equity","CASH_AND_MARKETABLE_SECURITIES","FQ4 2022","FQ4 2022","Currency=USD","Period=FQ","BEST_FPERIOD_OVERRIDE=FQ","FILING_STATUS=MR","SCALING_FORMAT=MLN","Sort=A","Dates=H","DateFormat=P","Fill=—","Direction=H","UseDPDF=Y")</f>
        <v>181.74100000000001</v>
      </c>
      <c r="Q7" s="13">
        <f>_xll.BDH("BLUE US Equity","CASH_AND_MARKETABLE_SECURITIES","FQ1 2023","FQ1 2023","Currency=USD","Period=FQ","BEST_FPERIOD_OVERRIDE=FQ","FILING_STATUS=MR","SCALING_FORMAT=MLN","Sort=A","Dates=H","DateFormat=P","Fill=—","Direction=H","UseDPDF=Y")</f>
        <v>318.25700000000001</v>
      </c>
      <c r="R7" s="13">
        <f>_xll.BDH("BLUE US Equity","CASH_AND_MARKETABLE_SECURITIES","FQ2 2023","FQ2 2023","Currency=USD","Period=FQ","BEST_FPERIOD_OVERRIDE=FQ","FILING_STATUS=MR","SCALING_FORMAT=MLN","Sort=A","Dates=H","DateFormat=P","Fill=—","Direction=H","UseDPDF=Y")</f>
        <v>245.303</v>
      </c>
      <c r="S7" s="13">
        <f>_xll.BDH("BLUE US Equity","CASH_AND_MARKETABLE_SECURITIES","FQ3 2023","FQ3 2023","Currency=USD","Period=FQ","BEST_FPERIOD_OVERRIDE=FQ","FILING_STATUS=MR","SCALING_FORMAT=MLN","Sort=A","Dates=H","DateFormat=P","Fill=—","Direction=H","UseDPDF=Y")</f>
        <v>174.29300000000001</v>
      </c>
      <c r="T7" s="13">
        <f>_xll.BDH("BLUE US Equity","CASH_AND_MARKETABLE_SECURITIES","FQ4 2023","FQ4 2023","Currency=USD","Period=FQ","BEST_FPERIOD_OVERRIDE=FQ","FILING_STATUS=MR","SCALING_FORMAT=MLN","Sort=A","Dates=H","DateFormat=P","Fill=—","Direction=H","UseDPDF=Y")</f>
        <v>221.755</v>
      </c>
      <c r="U7" s="13">
        <f>_xll.BDH("BLUE US Equity","CASH_AND_MARKETABLE_SECURITIES","FQ1 2024","FQ1 2024","Currency=USD","Period=FQ","BEST_FPERIOD_OVERRIDE=FQ","FILING_STATUS=MR","SCALING_FORMAT=MLN","Sort=A","Dates=H","DateFormat=P","Fill=—","Direction=H","UseDPDF=Y")</f>
        <v>212.047</v>
      </c>
      <c r="V7" s="13">
        <f>_xll.BDH("BLUE US Equity","CASH_AND_MARKETABLE_SECURITIES","FQ2 2024","FQ2 2024","Currency=USD","Period=FQ","BEST_FPERIOD_OVERRIDE=FQ","FILING_STATUS=MR","SCALING_FORMAT=MLN","Sort=A","Dates=H","DateFormat=P","Fill=—","Direction=H","UseDPDF=Y")</f>
        <v>144.06700000000001</v>
      </c>
      <c r="W7" s="13">
        <f>_xll.BDH("BLUE US Equity","CASH_AND_MARKETABLE_SECURITIES","FQ3 2024","FQ3 2024","Currency=USD","Period=FQ","BEST_FPERIOD_OVERRIDE=FQ","FILING_STATUS=MR","SCALING_FORMAT=MLN","Sort=A","Dates=H","DateFormat=P","Fill=—","Direction=H","UseDPDF=Y")</f>
        <v>70.650999999999996</v>
      </c>
      <c r="X7" s="13">
        <f>_xll.BDH("BLUE US Equity","CASH_AND_MARKETABLE_SECURITIES","FQ4 2024","FQ4 2024","Currency=USD","Period=FQ","BEST_FPERIOD_OVERRIDE=FQ","FILING_STATUS=MR","SCALING_FORMAT=MLN","Sort=A","Dates=H","DateFormat=P","Fill=—","Direction=H","UseDPDF=Y")</f>
        <v>62.305</v>
      </c>
      <c r="Y7" s="16">
        <v>62.305</v>
      </c>
      <c r="Z7" s="13"/>
      <c r="AA7" s="13"/>
    </row>
    <row r="8" spans="1:27" x14ac:dyDescent="0.25">
      <c r="A8" s="10" t="s">
        <v>166</v>
      </c>
      <c r="B8" s="10" t="s">
        <v>167</v>
      </c>
      <c r="C8" s="13">
        <f>_xll.BDH("BLUE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_xll.BDH("BLUE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_xll.BDH("BLUE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_xll.BDH("BLUE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_xll.BDH("BLUE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_xll.BDH("BLUE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_xll.BDH("BLUE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_xll.BDH("BLUE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_xll.BDH("BLUE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_xll.BDH("BLUE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_xll.BDH("BLUE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_xll.BDH("BLUE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_xll.BDH("BLUE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_xll.BDH("BLUE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_xll.BDH("BLUE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_xll.BDH("BLUE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_xll.BDH("BLUE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_xll.BDH("BLUE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_xll.BDH("BLUE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_xll.BDH("BLUE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_xll.BDH("BLUE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_xll.BDH("BLUE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168</v>
      </c>
      <c r="B9" s="10" t="s">
        <v>169</v>
      </c>
      <c r="C9" s="13">
        <f>_xll.BDH("BLUE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_xll.BDH("BLUE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_xll.BDH("BLUE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_xll.BDH("BLUE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_xll.BDH("BLUE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_xll.BDH("BLUE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_xll.BDH("BLUE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_xll.BDH("BLUE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_xll.BDH("BLUE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_xll.BDH("BLUE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_xll.BDH("BLUE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_xll.BDH("BLUE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_xll.BDH("BLUE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_xll.BDH("BLUE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_xll.BDH("BLUE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_xll.BDH("BLUE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_xll.BDH("BLUE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_xll.BDH("BLUE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_xll.BDH("BLUE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_xll.BDH("BLUE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_xll.BDH("BLUE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_xll.BDH("BLUE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170</v>
      </c>
      <c r="B10" s="10" t="s">
        <v>66</v>
      </c>
      <c r="C10" s="13">
        <f>_xll.BDH("BLUE US Equity","SHORT_AND_LONG_TERM_DEBT","FQ3 2019","FQ3 2019","Currency=USD","Period=FQ","BEST_FPERIOD_OVERRIDE=FQ","FILING_STATUS=MR","SCALING_FORMAT=MLN","Sort=A","Dates=H","DateFormat=P","Fill=—","Direction=H","UseDPDF=Y")</f>
        <v>195.95699999999999</v>
      </c>
      <c r="D10" s="13">
        <f>_xll.BDH("BLUE US Equity","SHORT_AND_LONG_TERM_DEBT","FQ4 2019","FQ4 2019","Currency=USD","Period=FQ","BEST_FPERIOD_OVERRIDE=FQ","FILING_STATUS=MR","SCALING_FORMAT=MLN","Sort=A","Dates=H","DateFormat=P","Fill=—","Direction=H","UseDPDF=Y")</f>
        <v>190.98699999999999</v>
      </c>
      <c r="E10" s="13">
        <f>_xll.BDH("BLUE US Equity","SHORT_AND_LONG_TERM_DEBT","FQ1 2020","FQ1 2020","Currency=USD","Period=FQ","BEST_FPERIOD_OVERRIDE=FQ","FILING_STATUS=MR","SCALING_FORMAT=MLN","Sort=A","Dates=H","DateFormat=P","Fill=—","Direction=H","UseDPDF=Y")</f>
        <v>200.34200000000001</v>
      </c>
      <c r="F10" s="13">
        <f>_xll.BDH("BLUE US Equity","SHORT_AND_LONG_TERM_DEBT","FQ2 2020","FQ2 2020","Currency=USD","Period=FQ","BEST_FPERIOD_OVERRIDE=FQ","FILING_STATUS=MR","SCALING_FORMAT=MLN","Sort=A","Dates=H","DateFormat=P","Fill=—","Direction=H","UseDPDF=Y")</f>
        <v>195.51900000000001</v>
      </c>
      <c r="G10" s="13">
        <f>_xll.BDH("BLUE US Equity","SHORT_AND_LONG_TERM_DEBT","FQ3 2020","FQ3 2020","Currency=USD","Period=FQ","BEST_FPERIOD_OVERRIDE=FQ","FILING_STATUS=MR","SCALING_FORMAT=MLN","Sort=A","Dates=H","DateFormat=P","Fill=—","Direction=H","UseDPDF=Y")</f>
        <v>195.29300000000001</v>
      </c>
      <c r="H10" s="13">
        <f>_xll.BDH("BLUE US Equity","SHORT_AND_LONG_TERM_DEBT","FQ4 2020","FQ4 2020","Currency=USD","Period=FQ","BEST_FPERIOD_OVERRIDE=FQ","FILING_STATUS=MR","SCALING_FORMAT=MLN","Sort=A","Dates=H","DateFormat=P","Fill=—","Direction=H","UseDPDF=Y")</f>
        <v>65.418000000000006</v>
      </c>
      <c r="I10" s="13">
        <f>_xll.BDH("BLUE US Equity","SHORT_AND_LONG_TERM_DEBT","FQ1 2021","FQ1 2021","Currency=USD","Period=FQ","BEST_FPERIOD_OVERRIDE=FQ","FILING_STATUS=MR","SCALING_FORMAT=MLN","Sort=A","Dates=H","DateFormat=P","Fill=—","Direction=H","UseDPDF=Y")</f>
        <v>205.76499999999999</v>
      </c>
      <c r="J10" s="13">
        <f>_xll.BDH("BLUE US Equity","SHORT_AND_LONG_TERM_DEBT","FQ2 2021","FQ2 2021","Currency=USD","Period=FQ","BEST_FPERIOD_OVERRIDE=FQ","FILING_STATUS=MR","SCALING_FORMAT=MLN","Sort=A","Dates=H","DateFormat=P","Fill=—","Direction=H","UseDPDF=Y")</f>
        <v>198.602</v>
      </c>
      <c r="K10" s="13">
        <f>_xll.BDH("BLUE US Equity","SHORT_AND_LONG_TERM_DEBT","FQ3 2021","FQ3 2021","Currency=USD","Period=FQ","BEST_FPERIOD_OVERRIDE=FQ","FILING_STATUS=MR","SCALING_FORMAT=MLN","Sort=A","Dates=H","DateFormat=P","Fill=—","Direction=H","UseDPDF=Y")</f>
        <v>181.56700000000001</v>
      </c>
      <c r="L10" s="13">
        <f>_xll.BDH("BLUE US Equity","SHORT_AND_LONG_TERM_DEBT","FQ4 2021","FQ4 2021","Currency=USD","Period=FQ","BEST_FPERIOD_OVERRIDE=FQ","FILING_STATUS=MR","SCALING_FORMAT=MLN","Sort=A","Dates=H","DateFormat=P","Fill=—","Direction=H","UseDPDF=Y")</f>
        <v>89.584000000000003</v>
      </c>
      <c r="M10" s="13">
        <f>_xll.BDH("BLUE US Equity","SHORT_AND_LONG_TERM_DEBT","FQ1 2022","FQ1 2022","Currency=USD","Period=FQ","BEST_FPERIOD_OVERRIDE=FQ","FILING_STATUS=MR","SCALING_FORMAT=MLN","Sort=A","Dates=H","DateFormat=P","Fill=—","Direction=H","UseDPDF=Y")</f>
        <v>110.33799999999999</v>
      </c>
      <c r="N10" s="13">
        <f>_xll.BDH("BLUE US Equity","SHORT_AND_LONG_TERM_DEBT","FQ2 2022","FQ2 2022","Currency=USD","Period=FQ","BEST_FPERIOD_OVERRIDE=FQ","FILING_STATUS=MR","SCALING_FORMAT=MLN","Sort=A","Dates=H","DateFormat=P","Fill=—","Direction=H","UseDPDF=Y")</f>
        <v>292.96800000000002</v>
      </c>
      <c r="O10" s="13">
        <f>_xll.BDH("BLUE US Equity","SHORT_AND_LONG_TERM_DEBT","FQ3 2022","FQ3 2022","Currency=USD","Period=FQ","BEST_FPERIOD_OVERRIDE=FQ","FILING_STATUS=MR","SCALING_FORMAT=MLN","Sort=A","Dates=H","DateFormat=P","Fill=—","Direction=H","UseDPDF=Y")</f>
        <v>278.21300000000002</v>
      </c>
      <c r="P10" s="13">
        <f>_xll.BDH("BLUE US Equity","SHORT_AND_LONG_TERM_DEBT","FQ4 2022","FQ4 2022","Currency=USD","Period=FQ","BEST_FPERIOD_OVERRIDE=FQ","FILING_STATUS=MR","SCALING_FORMAT=MLN","Sort=A","Dates=H","DateFormat=P","Fill=—","Direction=H","UseDPDF=Y")</f>
        <v>367.05799999999999</v>
      </c>
      <c r="Q10" s="13">
        <f>_xll.BDH("BLUE US Equity","SHORT_AND_LONG_TERM_DEBT","FQ1 2023","FQ1 2023","Currency=USD","Period=FQ","BEST_FPERIOD_OVERRIDE=FQ","FILING_STATUS=MR","SCALING_FORMAT=MLN","Sort=A","Dates=H","DateFormat=P","Fill=—","Direction=H","UseDPDF=Y")</f>
        <v>273.375</v>
      </c>
      <c r="R10" s="13">
        <f>_xll.BDH("BLUE US Equity","SHORT_AND_LONG_TERM_DEBT","FQ2 2023","FQ2 2023","Currency=USD","Period=FQ","BEST_FPERIOD_OVERRIDE=FQ","FILING_STATUS=MR","SCALING_FORMAT=MLN","Sort=A","Dates=H","DateFormat=P","Fill=—","Direction=H","UseDPDF=Y")</f>
        <v>306.85700000000003</v>
      </c>
      <c r="S10" s="13">
        <f>_xll.BDH("BLUE US Equity","SHORT_AND_LONG_TERM_DEBT","FQ3 2023","FQ3 2023","Currency=USD","Period=FQ","BEST_FPERIOD_OVERRIDE=FQ","FILING_STATUS=MR","SCALING_FORMAT=MLN","Sort=A","Dates=H","DateFormat=P","Fill=—","Direction=H","UseDPDF=Y")</f>
        <v>303.70699999999999</v>
      </c>
      <c r="T10" s="13">
        <f>_xll.BDH("BLUE US Equity","SHORT_AND_LONG_TERM_DEBT","FQ4 2023","FQ4 2023","Currency=USD","Period=FQ","BEST_FPERIOD_OVERRIDE=FQ","FILING_STATUS=MR","SCALING_FORMAT=MLN","Sort=A","Dates=H","DateFormat=P","Fill=—","Direction=H","UseDPDF=Y")</f>
        <v>330.32600000000002</v>
      </c>
      <c r="U10" s="13">
        <f>_xll.BDH("BLUE US Equity","SHORT_AND_LONG_TERM_DEBT","FQ1 2024","FQ1 2024","Currency=USD","Period=FQ","BEST_FPERIOD_OVERRIDE=FQ","FILING_STATUS=MR","SCALING_FORMAT=MLN","Sort=A","Dates=H","DateFormat=P","Fill=—","Direction=H","UseDPDF=Y")</f>
        <v>414.34199999999998</v>
      </c>
      <c r="V10" s="13">
        <f>_xll.BDH("BLUE US Equity","SHORT_AND_LONG_TERM_DEBT","FQ2 2024","FQ2 2024","Currency=USD","Period=FQ","BEST_FPERIOD_OVERRIDE=FQ","FILING_STATUS=MR","SCALING_FORMAT=MLN","Sort=A","Dates=H","DateFormat=P","Fill=—","Direction=H","UseDPDF=Y")</f>
        <v>390.42</v>
      </c>
      <c r="W10" s="13">
        <f>_xll.BDH("BLUE US Equity","SHORT_AND_LONG_TERM_DEBT","FQ3 2024","FQ3 2024","Currency=USD","Period=FQ","BEST_FPERIOD_OVERRIDE=FQ","FILING_STATUS=MR","SCALING_FORMAT=MLN","Sort=A","Dates=H","DateFormat=P","Fill=—","Direction=H","UseDPDF=Y")</f>
        <v>365.02300000000002</v>
      </c>
      <c r="X10" s="13">
        <f>_xll.BDH("BLUE US Equity","SHORT_AND_LONG_TERM_DEBT","FQ4 2024","FQ4 2024","Currency=USD","Period=FQ","BEST_FPERIOD_OVERRIDE=FQ","FILING_STATUS=MR","SCALING_FORMAT=MLN","Sort=A","Dates=H","DateFormat=P","Fill=—","Direction=H","UseDPDF=Y")</f>
        <v>354.86799999999999</v>
      </c>
      <c r="Y10" s="16">
        <v>354.86799999999999</v>
      </c>
      <c r="Z10" s="13"/>
      <c r="AA10" s="13"/>
    </row>
    <row r="11" spans="1:27" x14ac:dyDescent="0.25">
      <c r="A11" s="6" t="s">
        <v>67</v>
      </c>
      <c r="B11" s="6" t="s">
        <v>68</v>
      </c>
      <c r="C11" s="19">
        <f>_xll.BDH("BLUE US Equity","ENTERPRISE_VALUE","FQ3 2019","FQ3 2019","Currency=USD","Period=FQ","BEST_FPERIOD_OVERRIDE=FQ","FILING_STATUS=MR","SCALING_FORMAT=MLN","Sort=A","Dates=H","DateFormat=P","Fill=—","Direction=H","UseDPDF=Y")</f>
        <v>3869.5524</v>
      </c>
      <c r="D11" s="19">
        <f>_xll.BDH("BLUE US Equity","ENTERPRISE_VALUE","FQ4 2019","FQ4 2019","Currency=USD","Period=FQ","BEST_FPERIOD_OVERRIDE=FQ","FILING_STATUS=MR","SCALING_FORMAT=MLN","Sort=A","Dates=H","DateFormat=P","Fill=—","Direction=H","UseDPDF=Y")</f>
        <v>3811.5630000000001</v>
      </c>
      <c r="E11" s="19">
        <f>_xll.BDH("BLUE US Equity","ENTERPRISE_VALUE","FQ1 2020","FQ1 2020","Currency=USD","Period=FQ","BEST_FPERIOD_OVERRIDE=FQ","FILING_STATUS=MR","SCALING_FORMAT=MLN","Sort=A","Dates=H","DateFormat=P","Fill=—","Direction=H","UseDPDF=Y")</f>
        <v>1738.2801999999999</v>
      </c>
      <c r="F11" s="19">
        <f>_xll.BDH("BLUE US Equity","ENTERPRISE_VALUE","FQ2 2020","FQ2 2020","Currency=USD","Period=FQ","BEST_FPERIOD_OVERRIDE=FQ","FILING_STATUS=MR","SCALING_FORMAT=MLN","Sort=A","Dates=H","DateFormat=P","Fill=—","Direction=H","UseDPDF=Y")</f>
        <v>2637.3298</v>
      </c>
      <c r="G11" s="19">
        <f>_xll.BDH("BLUE US Equity","ENTERPRISE_VALUE","FQ3 2020","FQ3 2020","Currency=USD","Period=FQ","BEST_FPERIOD_OVERRIDE=FQ","FILING_STATUS=MR","SCALING_FORMAT=MLN","Sort=A","Dates=H","DateFormat=P","Fill=—","Direction=H","UseDPDF=Y")</f>
        <v>2336.4121</v>
      </c>
      <c r="H11" s="19">
        <f>_xll.BDH("BLUE US Equity","ENTERPRISE_VALUE","FQ4 2020","FQ4 2020","Currency=USD","Period=FQ","BEST_FPERIOD_OVERRIDE=FQ","FILING_STATUS=MR","SCALING_FORMAT=MLN","Sort=A","Dates=H","DateFormat=P","Fill=—","Direction=H","UseDPDF=Y")</f>
        <v>2198.2575999999999</v>
      </c>
      <c r="I11" s="19">
        <f>_xll.BDH("BLUE US Equity","ENTERPRISE_VALUE","FQ1 2021","FQ1 2021","Currency=USD","Period=FQ","BEST_FPERIOD_OVERRIDE=FQ","FILING_STATUS=MR","SCALING_FORMAT=MLN","Sort=A","Dates=H","DateFormat=P","Fill=—","Direction=H","UseDPDF=Y")</f>
        <v>1144.9873</v>
      </c>
      <c r="J11" s="19">
        <f>_xll.BDH("BLUE US Equity","ENTERPRISE_VALUE","FQ2 2021","FQ2 2021","Currency=USD","Period=FQ","BEST_FPERIOD_OVERRIDE=FQ","FILING_STATUS=MR","SCALING_FORMAT=MLN","Sort=A","Dates=H","DateFormat=P","Fill=—","Direction=H","UseDPDF=Y")</f>
        <v>1417.2550000000001</v>
      </c>
      <c r="K11" s="19">
        <f>_xll.BDH("BLUE US Equity","ENTERPRISE_VALUE","FQ3 2021","FQ3 2021","Currency=USD","Period=FQ","BEST_FPERIOD_OVERRIDE=FQ","FILING_STATUS=MR","SCALING_FORMAT=MLN","Sort=A","Dates=H","DateFormat=P","Fill=—","Direction=H","UseDPDF=Y")</f>
        <v>550.39070000000004</v>
      </c>
      <c r="L11" s="19">
        <f>_xll.BDH("BLUE US Equity","ENTERPRISE_VALUE","FQ4 2021","FQ4 2021","Currency=USD","Period=FQ","BEST_FPERIOD_OVERRIDE=FQ","FILING_STATUS=MR","SCALING_FORMAT=MLN","Sort=A","Dates=H","DateFormat=P","Fill=—","Direction=H","UseDPDF=Y")</f>
        <v>403.40589999999997</v>
      </c>
      <c r="M11" s="19">
        <f>_xll.BDH("BLUE US Equity","ENTERPRISE_VALUE","FQ1 2022","FQ1 2022","Currency=USD","Period=FQ","BEST_FPERIOD_OVERRIDE=FQ","FILING_STATUS=MR","SCALING_FORMAT=MLN","Sort=A","Dates=H","DateFormat=P","Fill=—","Direction=H","UseDPDF=Y")</f>
        <v>190.17529999999999</v>
      </c>
      <c r="N11" s="19">
        <f>_xll.BDH("BLUE US Equity","ENTERPRISE_VALUE","FQ2 2022","FQ2 2022","Currency=USD","Period=FQ","BEST_FPERIOD_OVERRIDE=FQ","FILING_STATUS=MR","SCALING_FORMAT=MLN","Sort=A","Dates=H","DateFormat=P","Fill=—","Direction=H","UseDPDF=Y")</f>
        <v>424.31909999999999</v>
      </c>
      <c r="O11" s="19">
        <f>_xll.BDH("BLUE US Equity","ENTERPRISE_VALUE","FQ3 2022","FQ3 2022","Currency=USD","Period=FQ","BEST_FPERIOD_OVERRIDE=FQ","FILING_STATUS=MR","SCALING_FORMAT=MLN","Sort=A","Dates=H","DateFormat=P","Fill=—","Direction=H","UseDPDF=Y")</f>
        <v>661.80340000000001</v>
      </c>
      <c r="P11" s="19">
        <f>_xll.BDH("BLUE US Equity","ENTERPRISE_VALUE","FQ4 2022","FQ4 2022","Currency=USD","Period=FQ","BEST_FPERIOD_OVERRIDE=FQ","FILING_STATUS=MR","SCALING_FORMAT=MLN","Sort=A","Dates=H","DateFormat=P","Fill=—","Direction=H","UseDPDF=Y")</f>
        <v>759.14419999999996</v>
      </c>
      <c r="Q11" s="19">
        <f>_xll.BDH("BLUE US Equity","ENTERPRISE_VALUE","FQ1 2023","FQ1 2023","Currency=USD","Period=FQ","BEST_FPERIOD_OVERRIDE=FQ","FILING_STATUS=MR","SCALING_FORMAT=MLN","Sort=A","Dates=H","DateFormat=P","Fill=—","Direction=H","UseDPDF=Y")</f>
        <v>293.37459999999999</v>
      </c>
      <c r="R11" s="19">
        <f>_xll.BDH("BLUE US Equity","ENTERPRISE_VALUE","FQ2 2023","FQ2 2023","Currency=USD","Period=FQ","BEST_FPERIOD_OVERRIDE=FQ","FILING_STATUS=MR","SCALING_FORMAT=MLN","Sort=A","Dates=H","DateFormat=P","Fill=—","Direction=H","UseDPDF=Y")</f>
        <v>411.78769999999997</v>
      </c>
      <c r="S11" s="19">
        <f>_xll.BDH("BLUE US Equity","ENTERPRISE_VALUE","FQ3 2023","FQ3 2023","Currency=USD","Period=FQ","BEST_FPERIOD_OVERRIDE=FQ","FILING_STATUS=MR","SCALING_FORMAT=MLN","Sort=A","Dates=H","DateFormat=P","Fill=—","Direction=H","UseDPDF=Y")</f>
        <v>454.76089999999999</v>
      </c>
      <c r="T11" s="19">
        <f>_xll.BDH("BLUE US Equity","ENTERPRISE_VALUE","FQ4 2023","FQ4 2023","Currency=USD","Period=FQ","BEST_FPERIOD_OVERRIDE=FQ","FILING_STATUS=MR","SCALING_FORMAT=MLN","Sort=A","Dates=H","DateFormat=P","Fill=—","Direction=H","UseDPDF=Y")</f>
        <v>374.59640000000002</v>
      </c>
      <c r="U11" s="19">
        <f>_xll.BDH("BLUE US Equity","ENTERPRISE_VALUE","FQ1 2024","FQ1 2024","Currency=USD","Period=FQ","BEST_FPERIOD_OVERRIDE=FQ","FILING_STATUS=MR","SCALING_FORMAT=MLN","Sort=A","Dates=H","DateFormat=P","Fill=—","Direction=H","UseDPDF=Y")</f>
        <v>450.08120000000002</v>
      </c>
      <c r="V11" s="19">
        <f>_xll.BDH("BLUE US Equity","ENTERPRISE_VALUE","FQ2 2024","FQ2 2024","Currency=USD","Period=FQ","BEST_FPERIOD_OVERRIDE=FQ","FILING_STATUS=MR","SCALING_FORMAT=MLN","Sort=A","Dates=H","DateFormat=P","Fill=—","Direction=H","UseDPDF=Y")</f>
        <v>437.14609999999999</v>
      </c>
      <c r="W11" s="19">
        <f>_xll.BDH("BLUE US Equity","ENTERPRISE_VALUE","FQ3 2024","FQ3 2024","Currency=USD","Period=FQ","BEST_FPERIOD_OVERRIDE=FQ","FILING_STATUS=MR","SCALING_FORMAT=MLN","Sort=A","Dates=H","DateFormat=P","Fill=—","Direction=H","UseDPDF=Y")</f>
        <v>395.11189999999999</v>
      </c>
      <c r="X11" s="19">
        <f>_xll.BDH("BLUE US Equity","ENTERPRISE_VALUE","FQ4 2024","FQ4 2024","Currency=USD","Period=FQ","BEST_FPERIOD_OVERRIDE=FQ","FILING_STATUS=MR","SCALING_FORMAT=MLN","Sort=A","Dates=H","DateFormat=P","Fill=—","Direction=H","UseDPDF=Y")</f>
        <v>373.69450000000001</v>
      </c>
      <c r="Y11" s="22">
        <v>329.765266</v>
      </c>
      <c r="Z11" s="19"/>
      <c r="AA11" s="19"/>
    </row>
    <row r="12" spans="1:27" x14ac:dyDescent="0.25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21"/>
      <c r="Z12" s="18"/>
      <c r="AA12" s="18"/>
    </row>
    <row r="13" spans="1:27" x14ac:dyDescent="0.25">
      <c r="A13" s="6" t="s">
        <v>171</v>
      </c>
      <c r="B13" s="6" t="s">
        <v>172</v>
      </c>
      <c r="C13" s="19">
        <f>_xll.BDH("BLUE US Equity","BS_TOT_CAP","FQ3 2019","FQ3 2019","Currency=USD","Period=FQ","BEST_FPERIOD_OVERRIDE=FQ","FILING_STATUS=MR","SCALING_FORMAT=MLN","Sort=A","Dates=H","DateFormat=P","Fill=—","Direction=H","UseDPDF=Y")</f>
        <v>1667.6669999999999</v>
      </c>
      <c r="D13" s="19">
        <f>_xll.BDH("BLUE US Equity","BS_TOT_CAP","FQ4 2019","FQ4 2019","Currency=USD","Period=FQ","BEST_FPERIOD_OVERRIDE=FQ","FILING_STATUS=MR","SCALING_FORMAT=MLN","Sort=A","Dates=H","DateFormat=P","Fill=—","Direction=H","UseDPDF=Y")</f>
        <v>1475.98</v>
      </c>
      <c r="E13" s="19">
        <f>_xll.BDH("BLUE US Equity","BS_TOT_CAP","FQ1 2020","FQ1 2020","Currency=USD","Period=FQ","BEST_FPERIOD_OVERRIDE=FQ","FILING_STATUS=MR","SCALING_FORMAT=MLN","Sort=A","Dates=H","DateFormat=P","Fill=—","Direction=H","UseDPDF=Y")</f>
        <v>1320.7750000000001</v>
      </c>
      <c r="F13" s="19">
        <f>_xll.BDH("BLUE US Equity","BS_TOT_CAP","FQ2 2020","FQ2 2020","Currency=USD","Period=FQ","BEST_FPERIOD_OVERRIDE=FQ","FILING_STATUS=MR","SCALING_FORMAT=MLN","Sort=A","Dates=H","DateFormat=P","Fill=—","Direction=H","UseDPDF=Y")</f>
        <v>1877.55</v>
      </c>
      <c r="G13" s="19">
        <f>_xll.BDH("BLUE US Equity","BS_TOT_CAP","FQ3 2020","FQ3 2020","Currency=USD","Period=FQ","BEST_FPERIOD_OVERRIDE=FQ","FILING_STATUS=MR","SCALING_FORMAT=MLN","Sort=A","Dates=H","DateFormat=P","Fill=—","Direction=H","UseDPDF=Y")</f>
        <v>1718.3140000000001</v>
      </c>
      <c r="H13" s="19">
        <f>_xll.BDH("BLUE US Equity","BS_TOT_CAP","FQ4 2020","FQ4 2020","Currency=USD","Period=FQ","BEST_FPERIOD_OVERRIDE=FQ","FILING_STATUS=MR","SCALING_FORMAT=MLN","Sort=A","Dates=H","DateFormat=P","Fill=—","Direction=H","UseDPDF=Y")</f>
        <v>1420.4739999999999</v>
      </c>
      <c r="I13" s="19">
        <f>_xll.BDH("BLUE US Equity","BS_TOT_CAP","FQ1 2021","FQ1 2021","Currency=USD","Period=FQ","BEST_FPERIOD_OVERRIDE=FQ","FILING_STATUS=MR","SCALING_FORMAT=MLN","Sort=A","Dates=H","DateFormat=P","Fill=—","Direction=H","UseDPDF=Y")</f>
        <v>1406.098</v>
      </c>
      <c r="J13" s="19">
        <f>_xll.BDH("BLUE US Equity","BS_TOT_CAP","FQ2 2021","FQ2 2021","Currency=USD","Period=FQ","BEST_FPERIOD_OVERRIDE=FQ","FILING_STATUS=MR","SCALING_FORMAT=MLN","Sort=A","Dates=H","DateFormat=P","Fill=—","Direction=H","UseDPDF=Y")</f>
        <v>1183.163</v>
      </c>
      <c r="K13" s="19">
        <f>_xll.BDH("BLUE US Equity","BS_TOT_CAP","FQ3 2021","FQ3 2021","Currency=USD","Period=FQ","BEST_FPERIOD_OVERRIDE=FQ","FILING_STATUS=MR","SCALING_FORMAT=MLN","Sort=A","Dates=H","DateFormat=P","Fill=—","Direction=H","UseDPDF=Y")</f>
        <v>1052.0940000000001</v>
      </c>
      <c r="L13" s="19">
        <f>_xll.BDH("BLUE US Equity","BS_TOT_CAP","FQ4 2021","FQ4 2021","Currency=USD","Period=FQ","BEST_FPERIOD_OVERRIDE=FQ","FILING_STATUS=MR","SCALING_FORMAT=MLN","Sort=A","Dates=H","DateFormat=P","Fill=—","Direction=H","UseDPDF=Y")</f>
        <v>463.86099999999999</v>
      </c>
      <c r="M13" s="19">
        <f>_xll.BDH("BLUE US Equity","BS_TOT_CAP","FQ1 2022","FQ1 2022","Currency=USD","Period=FQ","BEST_FPERIOD_OVERRIDE=FQ","FILING_STATUS=MR","SCALING_FORMAT=MLN","Sort=A","Dates=H","DateFormat=P","Fill=—","Direction=H","UseDPDF=Y")</f>
        <v>373.59699999999998</v>
      </c>
      <c r="N13" s="19">
        <f>_xll.BDH("BLUE US Equity","BS_TOT_CAP","FQ2 2022","FQ2 2022","Currency=USD","Period=FQ","BEST_FPERIOD_OVERRIDE=FQ","FILING_STATUS=MR","SCALING_FORMAT=MLN","Sort=A","Dates=H","DateFormat=P","Fill=—","Direction=H","UseDPDF=Y")</f>
        <v>473.084</v>
      </c>
      <c r="O13" s="19">
        <f>_xll.BDH("BLUE US Equity","BS_TOT_CAP","FQ3 2022","FQ3 2022","Currency=USD","Period=FQ","BEST_FPERIOD_OVERRIDE=FQ","FILING_STATUS=MR","SCALING_FORMAT=MLN","Sort=A","Dates=H","DateFormat=P","Fill=—","Direction=H","UseDPDF=Y")</f>
        <v>437.07</v>
      </c>
      <c r="P13" s="19">
        <f>_xll.BDH("BLUE US Equity","BS_TOT_CAP","FQ4 2022","FQ4 2022","Currency=USD","Period=FQ","BEST_FPERIOD_OVERRIDE=FQ","FILING_STATUS=MR","SCALING_FORMAT=MLN","Sort=A","Dates=H","DateFormat=P","Fill=—","Direction=H","UseDPDF=Y")</f>
        <v>501.39100000000002</v>
      </c>
      <c r="Q13" s="19">
        <f>_xll.BDH("BLUE US Equity","BS_TOT_CAP","FQ1 2023","FQ1 2023","Currency=USD","Period=FQ","BEST_FPERIOD_OVERRIDE=FQ","FILING_STATUS=MR","SCALING_FORMAT=MLN","Sort=A","Dates=H","DateFormat=P","Fill=—","Direction=H","UseDPDF=Y")</f>
        <v>628.11500000000001</v>
      </c>
      <c r="R13" s="19">
        <f>_xll.BDH("BLUE US Equity","BS_TOT_CAP","FQ2 2023","FQ2 2023","Currency=USD","Period=FQ","BEST_FPERIOD_OVERRIDE=FQ","FILING_STATUS=MR","SCALING_FORMAT=MLN","Sort=A","Dates=H","DateFormat=P","Fill=—","Direction=H","UseDPDF=Y")</f>
        <v>595.87599999999998</v>
      </c>
      <c r="S13" s="19">
        <f>_xll.BDH("BLUE US Equity","BS_TOT_CAP","FQ3 2023","FQ3 2023","Currency=USD","Period=FQ","BEST_FPERIOD_OVERRIDE=FQ","FILING_STATUS=MR","SCALING_FORMAT=MLN","Sort=A","Dates=H","DateFormat=P","Fill=—","Direction=H","UseDPDF=Y")</f>
        <v>526.24300000000005</v>
      </c>
      <c r="T13" s="19">
        <f>_xll.BDH("BLUE US Equity","BS_TOT_CAP","FQ4 2023","FQ4 2023","Currency=USD","Period=FQ","BEST_FPERIOD_OVERRIDE=FQ","FILING_STATUS=MR","SCALING_FORMAT=MLN","Sort=A","Dates=H","DateFormat=P","Fill=—","Direction=H","UseDPDF=Y")</f>
        <v>524.86300000000006</v>
      </c>
      <c r="U13" s="19">
        <f>_xll.BDH("BLUE US Equity","BS_TOT_CAP","FQ1 2024","FQ1 2024","Currency=USD","Period=FQ","BEST_FPERIOD_OVERRIDE=FQ","FILING_STATUS=MR","SCALING_FORMAT=MLN","Sort=A","Dates=H","DateFormat=P","Fill=—","Direction=H","UseDPDF=Y")</f>
        <v>545.38800000000003</v>
      </c>
      <c r="V13" s="19">
        <f>_xll.BDH("BLUE US Equity","BS_TOT_CAP","FQ2 2024","FQ2 2024","Currency=USD","Period=FQ","BEST_FPERIOD_OVERRIDE=FQ","FILING_STATUS=MR","SCALING_FORMAT=MLN","Sort=A","Dates=H","DateFormat=P","Fill=—","Direction=H","UseDPDF=Y")</f>
        <v>443.40100000000001</v>
      </c>
      <c r="W13" s="19">
        <f>_xll.BDH("BLUE US Equity","BS_TOT_CAP","FQ3 2024","FQ3 2024","Currency=USD","Period=FQ","BEST_FPERIOD_OVERRIDE=FQ","FILING_STATUS=MR","SCALING_FORMAT=MLN","Sort=A","Dates=H","DateFormat=P","Fill=—","Direction=H","UseDPDF=Y")</f>
        <v>359.23700000000002</v>
      </c>
      <c r="X13" s="19">
        <f>_xll.BDH("BLUE US Equity","BS_TOT_CAP","FQ4 2024","FQ4 2024","Currency=USD","Period=FQ","BEST_FPERIOD_OVERRIDE=FQ","FILING_STATUS=MR","SCALING_FORMAT=MLN","Sort=A","Dates=H","DateFormat=P","Fill=—","Direction=H","UseDPDF=Y")</f>
        <v>323.334</v>
      </c>
      <c r="Y13" s="22">
        <v>323.334</v>
      </c>
      <c r="Z13" s="19"/>
      <c r="AA13" s="19"/>
    </row>
    <row r="14" spans="1:27" x14ac:dyDescent="0.25">
      <c r="A14" s="10" t="s">
        <v>173</v>
      </c>
      <c r="B14" s="10" t="s">
        <v>174</v>
      </c>
      <c r="C14" s="14">
        <f>_xll.BDH("BLUE US Equity","TOT_DEBT_TO_TOT_CAP","FQ3 2019","FQ3 2019","Currency=USD","Period=FQ","BEST_FPERIOD_OVERRIDE=FQ","FILING_STATUS=MR","Sort=A","Dates=H","DateFormat=P","Fill=—","Direction=H","UseDPDF=Y")</f>
        <v>11.750400000000001</v>
      </c>
      <c r="D14" s="14">
        <f>_xll.BDH("BLUE US Equity","TOT_DEBT_TO_TOT_CAP","FQ4 2019","FQ4 2019","Currency=USD","Period=FQ","BEST_FPERIOD_OVERRIDE=FQ","FILING_STATUS=MR","Sort=A","Dates=H","DateFormat=P","Fill=—","Direction=H","UseDPDF=Y")</f>
        <v>12.9397</v>
      </c>
      <c r="E14" s="14">
        <f>_xll.BDH("BLUE US Equity","TOT_DEBT_TO_TOT_CAP","FQ1 2020","FQ1 2020","Currency=USD","Period=FQ","BEST_FPERIOD_OVERRIDE=FQ","FILING_STATUS=MR","Sort=A","Dates=H","DateFormat=P","Fill=—","Direction=H","UseDPDF=Y")</f>
        <v>15.1685</v>
      </c>
      <c r="F14" s="14">
        <f>_xll.BDH("BLUE US Equity","TOT_DEBT_TO_TOT_CAP","FQ2 2020","FQ2 2020","Currency=USD","Period=FQ","BEST_FPERIOD_OVERRIDE=FQ","FILING_STATUS=MR","Sort=A","Dates=H","DateFormat=P","Fill=—","Direction=H","UseDPDF=Y")</f>
        <v>10.413500000000001</v>
      </c>
      <c r="G14" s="14">
        <f>_xll.BDH("BLUE US Equity","TOT_DEBT_TO_TOT_CAP","FQ3 2020","FQ3 2020","Currency=USD","Period=FQ","BEST_FPERIOD_OVERRIDE=FQ","FILING_STATUS=MR","Sort=A","Dates=H","DateFormat=P","Fill=—","Direction=H","UseDPDF=Y")</f>
        <v>11.365399999999999</v>
      </c>
      <c r="H14" s="14">
        <f>_xll.BDH("BLUE US Equity","TOT_DEBT_TO_TOT_CAP","FQ4 2020","FQ4 2020","Currency=USD","Period=FQ","BEST_FPERIOD_OVERRIDE=FQ","FILING_STATUS=MR","Sort=A","Dates=H","DateFormat=P","Fill=—","Direction=H","UseDPDF=Y")</f>
        <v>4.6054000000000004</v>
      </c>
      <c r="I14" s="14">
        <f>_xll.BDH("BLUE US Equity","TOT_DEBT_TO_TOT_CAP","FQ1 2021","FQ1 2021","Currency=USD","Period=FQ","BEST_FPERIOD_OVERRIDE=FQ","FILING_STATUS=MR","Sort=A","Dates=H","DateFormat=P","Fill=—","Direction=H","UseDPDF=Y")</f>
        <v>14.633800000000001</v>
      </c>
      <c r="J14" s="14">
        <f>_xll.BDH("BLUE US Equity","TOT_DEBT_TO_TOT_CAP","FQ2 2021","FQ2 2021","Currency=USD","Period=FQ","BEST_FPERIOD_OVERRIDE=FQ","FILING_STATUS=MR","Sort=A","Dates=H","DateFormat=P","Fill=—","Direction=H","UseDPDF=Y")</f>
        <v>16.785699999999999</v>
      </c>
      <c r="K14" s="14">
        <f>_xll.BDH("BLUE US Equity","TOT_DEBT_TO_TOT_CAP","FQ3 2021","FQ3 2021","Currency=USD","Period=FQ","BEST_FPERIOD_OVERRIDE=FQ","FILING_STATUS=MR","Sort=A","Dates=H","DateFormat=P","Fill=—","Direction=H","UseDPDF=Y")</f>
        <v>17.2577</v>
      </c>
      <c r="L14" s="14">
        <f>_xll.BDH("BLUE US Equity","TOT_DEBT_TO_TOT_CAP","FQ4 2021","FQ4 2021","Currency=USD","Period=FQ","BEST_FPERIOD_OVERRIDE=FQ","FILING_STATUS=MR","Sort=A","Dates=H","DateFormat=P","Fill=—","Direction=H","UseDPDF=Y")</f>
        <v>19.3127</v>
      </c>
      <c r="M14" s="14">
        <f>_xll.BDH("BLUE US Equity","TOT_DEBT_TO_TOT_CAP","FQ1 2022","FQ1 2022","Currency=USD","Period=FQ","BEST_FPERIOD_OVERRIDE=FQ","FILING_STATUS=MR","Sort=A","Dates=H","DateFormat=P","Fill=—","Direction=H","UseDPDF=Y")</f>
        <v>29.533999999999999</v>
      </c>
      <c r="N14" s="14">
        <f>_xll.BDH("BLUE US Equity","TOT_DEBT_TO_TOT_CAP","FQ2 2022","FQ2 2022","Currency=USD","Period=FQ","BEST_FPERIOD_OVERRIDE=FQ","FILING_STATUS=MR","Sort=A","Dates=H","DateFormat=P","Fill=—","Direction=H","UseDPDF=Y")</f>
        <v>61.927300000000002</v>
      </c>
      <c r="O14" s="14">
        <f>_xll.BDH("BLUE US Equity","TOT_DEBT_TO_TOT_CAP","FQ3 2022","FQ3 2022","Currency=USD","Period=FQ","BEST_FPERIOD_OVERRIDE=FQ","FILING_STATUS=MR","Sort=A","Dates=H","DateFormat=P","Fill=—","Direction=H","UseDPDF=Y")</f>
        <v>63.6541</v>
      </c>
      <c r="P14" s="14">
        <f>_xll.BDH("BLUE US Equity","TOT_DEBT_TO_TOT_CAP","FQ4 2022","FQ4 2022","Currency=USD","Period=FQ","BEST_FPERIOD_OVERRIDE=FQ","FILING_STATUS=MR","Sort=A","Dates=H","DateFormat=P","Fill=—","Direction=H","UseDPDF=Y")</f>
        <v>73.207899999999995</v>
      </c>
      <c r="Q14" s="14">
        <f>_xll.BDH("BLUE US Equity","TOT_DEBT_TO_TOT_CAP","FQ1 2023","FQ1 2023","Currency=USD","Period=FQ","BEST_FPERIOD_OVERRIDE=FQ","FILING_STATUS=MR","Sort=A","Dates=H","DateFormat=P","Fill=—","Direction=H","UseDPDF=Y")</f>
        <v>43.523099999999999</v>
      </c>
      <c r="R14" s="14">
        <f>_xll.BDH("BLUE US Equity","TOT_DEBT_TO_TOT_CAP","FQ2 2023","FQ2 2023","Currency=USD","Period=FQ","BEST_FPERIOD_OVERRIDE=FQ","FILING_STATUS=MR","Sort=A","Dates=H","DateFormat=P","Fill=—","Direction=H","UseDPDF=Y")</f>
        <v>51.4968</v>
      </c>
      <c r="S14" s="14">
        <f>_xll.BDH("BLUE US Equity","TOT_DEBT_TO_TOT_CAP","FQ3 2023","FQ3 2023","Currency=USD","Period=FQ","BEST_FPERIOD_OVERRIDE=FQ","FILING_STATUS=MR","Sort=A","Dates=H","DateFormat=P","Fill=—","Direction=H","UseDPDF=Y")</f>
        <v>57.712299999999999</v>
      </c>
      <c r="T14" s="14">
        <f>_xll.BDH("BLUE US Equity","TOT_DEBT_TO_TOT_CAP","FQ4 2023","FQ4 2023","Currency=USD","Period=FQ","BEST_FPERIOD_OVERRIDE=FQ","FILING_STATUS=MR","Sort=A","Dates=H","DateFormat=P","Fill=—","Direction=H","UseDPDF=Y")</f>
        <v>62.935699999999997</v>
      </c>
      <c r="U14" s="14">
        <f>_xll.BDH("BLUE US Equity","TOT_DEBT_TO_TOT_CAP","FQ1 2024","FQ1 2024","Currency=USD","Period=FQ","BEST_FPERIOD_OVERRIDE=FQ","FILING_STATUS=MR","Sort=A","Dates=H","DateFormat=P","Fill=—","Direction=H","UseDPDF=Y")</f>
        <v>75.971999999999994</v>
      </c>
      <c r="V14" s="14">
        <f>_xll.BDH("BLUE US Equity","TOT_DEBT_TO_TOT_CAP","FQ2 2024","FQ2 2024","Currency=USD","Period=FQ","BEST_FPERIOD_OVERRIDE=FQ","FILING_STATUS=MR","Sort=A","Dates=H","DateFormat=P","Fill=—","Direction=H","UseDPDF=Y")</f>
        <v>88.051199999999994</v>
      </c>
      <c r="W14" s="14">
        <f>_xll.BDH("BLUE US Equity","TOT_DEBT_TO_TOT_CAP","FQ3 2024","FQ3 2024","Currency=USD","Period=FQ","BEST_FPERIOD_OVERRIDE=FQ","FILING_STATUS=MR","Sort=A","Dates=H","DateFormat=P","Fill=—","Direction=H","UseDPDF=Y")</f>
        <v>101.61060000000001</v>
      </c>
      <c r="X14" s="14">
        <f>_xll.BDH("BLUE US Equity","TOT_DEBT_TO_TOT_CAP","FQ4 2024","FQ4 2024","Currency=USD","Period=FQ","BEST_FPERIOD_OVERRIDE=FQ","FILING_STATUS=MR","Sort=A","Dates=H","DateFormat=P","Fill=—","Direction=H","UseDPDF=Y")</f>
        <v>109.75279999999999</v>
      </c>
      <c r="Y14" s="17">
        <v>109.752763396364</v>
      </c>
      <c r="Z14" s="14"/>
      <c r="AA14" s="14"/>
    </row>
    <row r="15" spans="1:27" x14ac:dyDescent="0.25">
      <c r="A15" s="10" t="s">
        <v>175</v>
      </c>
      <c r="B15" s="10" t="s">
        <v>176</v>
      </c>
      <c r="C15" s="14">
        <f>_xll.BDH("BLUE US Equity","TOTAL_DEBT_TO_EV","FQ3 2019","FQ3 2019","Currency=USD","Period=FQ","BEST_FPERIOD_OVERRIDE=FQ","FILING_STATUS=MR","Sort=A","Dates=H","DateFormat=P","Fill=—","Direction=H","UseDPDF=Y")</f>
        <v>5.0599999999999999E-2</v>
      </c>
      <c r="D15" s="14">
        <f>_xll.BDH("BLUE US Equity","TOTAL_DEBT_TO_EV","FQ4 2019","FQ4 2019","Currency=USD","Period=FQ","BEST_FPERIOD_OVERRIDE=FQ","FILING_STATUS=MR","Sort=A","Dates=H","DateFormat=P","Fill=—","Direction=H","UseDPDF=Y")</f>
        <v>5.0099999999999999E-2</v>
      </c>
      <c r="E15" s="14">
        <f>_xll.BDH("BLUE US Equity","TOTAL_DEBT_TO_EV","FQ1 2020","FQ1 2020","Currency=USD","Period=FQ","BEST_FPERIOD_OVERRIDE=FQ","FILING_STATUS=MR","Sort=A","Dates=H","DateFormat=P","Fill=—","Direction=H","UseDPDF=Y")</f>
        <v>0.1153</v>
      </c>
      <c r="F15" s="14">
        <f>_xll.BDH("BLUE US Equity","TOTAL_DEBT_TO_EV","FQ2 2020","FQ2 2020","Currency=USD","Period=FQ","BEST_FPERIOD_OVERRIDE=FQ","FILING_STATUS=MR","Sort=A","Dates=H","DateFormat=P","Fill=—","Direction=H","UseDPDF=Y")</f>
        <v>7.4099999999999999E-2</v>
      </c>
      <c r="G15" s="14">
        <f>_xll.BDH("BLUE US Equity","TOTAL_DEBT_TO_EV","FQ3 2020","FQ3 2020","Currency=USD","Period=FQ","BEST_FPERIOD_OVERRIDE=FQ","FILING_STATUS=MR","Sort=A","Dates=H","DateFormat=P","Fill=—","Direction=H","UseDPDF=Y")</f>
        <v>8.3599999999999994E-2</v>
      </c>
      <c r="H15" s="14">
        <f>_xll.BDH("BLUE US Equity","TOTAL_DEBT_TO_EV","FQ4 2020","FQ4 2020","Currency=USD","Period=FQ","BEST_FPERIOD_OVERRIDE=FQ","FILING_STATUS=MR","Sort=A","Dates=H","DateFormat=P","Fill=—","Direction=H","UseDPDF=Y")</f>
        <v>2.98E-2</v>
      </c>
      <c r="I15" s="14">
        <f>_xll.BDH("BLUE US Equity","TOTAL_DEBT_TO_EV","FQ1 2021","FQ1 2021","Currency=USD","Period=FQ","BEST_FPERIOD_OVERRIDE=FQ","FILING_STATUS=MR","Sort=A","Dates=H","DateFormat=P","Fill=—","Direction=H","UseDPDF=Y")</f>
        <v>0.1797</v>
      </c>
      <c r="J15" s="14">
        <f>_xll.BDH("BLUE US Equity","TOTAL_DEBT_TO_EV","FQ2 2021","FQ2 2021","Currency=USD","Period=FQ","BEST_FPERIOD_OVERRIDE=FQ","FILING_STATUS=MR","Sort=A","Dates=H","DateFormat=P","Fill=—","Direction=H","UseDPDF=Y")</f>
        <v>0.1401</v>
      </c>
      <c r="K15" s="14">
        <f>_xll.BDH("BLUE US Equity","TOTAL_DEBT_TO_EV","FQ3 2021","FQ3 2021","Currency=USD","Period=FQ","BEST_FPERIOD_OVERRIDE=FQ","FILING_STATUS=MR","Sort=A","Dates=H","DateFormat=P","Fill=—","Direction=H","UseDPDF=Y")</f>
        <v>0.32990000000000003</v>
      </c>
      <c r="L15" s="14">
        <f>_xll.BDH("BLUE US Equity","TOTAL_DEBT_TO_EV","FQ4 2021","FQ4 2021","Currency=USD","Period=FQ","BEST_FPERIOD_OVERRIDE=FQ","FILING_STATUS=MR","Sort=A","Dates=H","DateFormat=P","Fill=—","Direction=H","UseDPDF=Y")</f>
        <v>0.22209999999999999</v>
      </c>
      <c r="M15" s="14">
        <f>_xll.BDH("BLUE US Equity","TOTAL_DEBT_TO_EV","FQ1 2022","FQ1 2022","Currency=USD","Period=FQ","BEST_FPERIOD_OVERRIDE=FQ","FILING_STATUS=MR","Sort=A","Dates=H","DateFormat=P","Fill=—","Direction=H","UseDPDF=Y")</f>
        <v>0.58020000000000005</v>
      </c>
      <c r="N15" s="14">
        <f>_xll.BDH("BLUE US Equity","TOTAL_DEBT_TO_EV","FQ2 2022","FQ2 2022","Currency=USD","Period=FQ","BEST_FPERIOD_OVERRIDE=FQ","FILING_STATUS=MR","Sort=A","Dates=H","DateFormat=P","Fill=—","Direction=H","UseDPDF=Y")</f>
        <v>0.69040000000000001</v>
      </c>
      <c r="O15" s="14">
        <f>_xll.BDH("BLUE US Equity","TOTAL_DEBT_TO_EV","FQ3 2022","FQ3 2022","Currency=USD","Period=FQ","BEST_FPERIOD_OVERRIDE=FQ","FILING_STATUS=MR","Sort=A","Dates=H","DateFormat=P","Fill=—","Direction=H","UseDPDF=Y")</f>
        <v>0.4204</v>
      </c>
      <c r="P15" s="14">
        <f>_xll.BDH("BLUE US Equity","TOTAL_DEBT_TO_EV","FQ4 2022","FQ4 2022","Currency=USD","Period=FQ","BEST_FPERIOD_OVERRIDE=FQ","FILING_STATUS=MR","Sort=A","Dates=H","DateFormat=P","Fill=—","Direction=H","UseDPDF=Y")</f>
        <v>0.48349999999999999</v>
      </c>
      <c r="Q15" s="14">
        <f>_xll.BDH("BLUE US Equity","TOTAL_DEBT_TO_EV","FQ1 2023","FQ1 2023","Currency=USD","Period=FQ","BEST_FPERIOD_OVERRIDE=FQ","FILING_STATUS=MR","Sort=A","Dates=H","DateFormat=P","Fill=—","Direction=H","UseDPDF=Y")</f>
        <v>0.93179999999999996</v>
      </c>
      <c r="R15" s="14">
        <f>_xll.BDH("BLUE US Equity","TOTAL_DEBT_TO_EV","FQ2 2023","FQ2 2023","Currency=USD","Period=FQ","BEST_FPERIOD_OVERRIDE=FQ","FILING_STATUS=MR","Sort=A","Dates=H","DateFormat=P","Fill=—","Direction=H","UseDPDF=Y")</f>
        <v>0.74519999999999997</v>
      </c>
      <c r="S15" s="14">
        <f>_xll.BDH("BLUE US Equity","TOTAL_DEBT_TO_EV","FQ3 2023","FQ3 2023","Currency=USD","Period=FQ","BEST_FPERIOD_OVERRIDE=FQ","FILING_STATUS=MR","Sort=A","Dates=H","DateFormat=P","Fill=—","Direction=H","UseDPDF=Y")</f>
        <v>0.66779999999999995</v>
      </c>
      <c r="T15" s="14">
        <f>_xll.BDH("BLUE US Equity","TOTAL_DEBT_TO_EV","FQ4 2023","FQ4 2023","Currency=USD","Period=FQ","BEST_FPERIOD_OVERRIDE=FQ","FILING_STATUS=MR","Sort=A","Dates=H","DateFormat=P","Fill=—","Direction=H","UseDPDF=Y")</f>
        <v>0.88180000000000003</v>
      </c>
      <c r="U15" s="14">
        <f>_xll.BDH("BLUE US Equity","TOTAL_DEBT_TO_EV","FQ1 2024","FQ1 2024","Currency=USD","Period=FQ","BEST_FPERIOD_OVERRIDE=FQ","FILING_STATUS=MR","Sort=A","Dates=H","DateFormat=P","Fill=—","Direction=H","UseDPDF=Y")</f>
        <v>0.92059999999999997</v>
      </c>
      <c r="V15" s="14">
        <f>_xll.BDH("BLUE US Equity","TOTAL_DEBT_TO_EV","FQ2 2024","FQ2 2024","Currency=USD","Period=FQ","BEST_FPERIOD_OVERRIDE=FQ","FILING_STATUS=MR","Sort=A","Dates=H","DateFormat=P","Fill=—","Direction=H","UseDPDF=Y")</f>
        <v>0.8931</v>
      </c>
      <c r="W15" s="14">
        <f>_xll.BDH("BLUE US Equity","TOTAL_DEBT_TO_EV","FQ3 2024","FQ3 2024","Currency=USD","Period=FQ","BEST_FPERIOD_OVERRIDE=FQ","FILING_STATUS=MR","Sort=A","Dates=H","DateFormat=P","Fill=—","Direction=H","UseDPDF=Y")</f>
        <v>0.92379999999999995</v>
      </c>
      <c r="X15" s="14">
        <f>_xll.BDH("BLUE US Equity","TOTAL_DEBT_TO_EV","FQ4 2024","FQ4 2024","Currency=USD","Period=FQ","BEST_FPERIOD_OVERRIDE=FQ","FILING_STATUS=MR","Sort=A","Dates=H","DateFormat=P","Fill=—","Direction=H","UseDPDF=Y")</f>
        <v>0.9496</v>
      </c>
      <c r="Y15" s="17">
        <v>1.07612303837967</v>
      </c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177</v>
      </c>
      <c r="B17" s="6" t="s">
        <v>178</v>
      </c>
      <c r="C17" s="20">
        <f>_xll.BDH("BLUE US Equity","EV_TO_T12M_SALES","FQ3 2019","FQ3 2019","Currency=USD","Period=FQ","BEST_FPERIOD_OVERRIDE=FQ","FILING_STATUS=MR","FA_ADJUSTED=GAAP","Sort=A","Dates=H","DateFormat=P","Fill=—","Direction=H","UseDPDF=Y")</f>
        <v>71.764700000000005</v>
      </c>
      <c r="D17" s="20">
        <f>_xll.BDH("BLUE US Equity","EV_TO_T12M_SALES","FQ4 2019","FQ4 2019","Currency=USD","Period=FQ","BEST_FPERIOD_OVERRIDE=FQ","FILING_STATUS=MR","FA_ADJUSTED=GAAP","Sort=A","Dates=H","DateFormat=P","Fill=—","Direction=H","UseDPDF=Y")</f>
        <v>85.319500000000005</v>
      </c>
      <c r="E17" s="20">
        <f>_xll.BDH("BLUE US Equity","EV_TO_T12M_SALES","FQ1 2020","FQ1 2020","Currency=USD","Period=FQ","BEST_FPERIOD_OVERRIDE=FQ","FILING_STATUS=MR","FA_ADJUSTED=GAAP","Sort=A","Dates=H","DateFormat=P","Fill=—","Direction=H","UseDPDF=Y")</f>
        <v>32.1511</v>
      </c>
      <c r="F17" s="20">
        <f>_xll.BDH("BLUE US Equity","EV_TO_T12M_SALES","FQ2 2020","FQ2 2020","Currency=USD","Period=FQ","BEST_FPERIOD_OVERRIDE=FQ","FILING_STATUS=MR","FA_ADJUSTED=GAAP","Sort=A","Dates=H","DateFormat=P","Fill=—","Direction=H","UseDPDF=Y")</f>
        <v>11.0045</v>
      </c>
      <c r="G17" s="20">
        <f>_xll.BDH("BLUE US Equity","EV_TO_T12M_SALES","FQ3 2020","FQ3 2020","Currency=USD","Period=FQ","BEST_FPERIOD_OVERRIDE=FQ","FILING_STATUS=MR","FA_ADJUSTED=GAAP","Sort=A","Dates=H","DateFormat=P","Fill=—","Direction=H","UseDPDF=Y")</f>
        <v>9.3447999999999993</v>
      </c>
      <c r="H17" s="20">
        <f>_xll.BDH("BLUE US Equity","EV_TO_T12M_SALES","FQ4 2020","FQ4 2020","Currency=USD","Period=FQ","BEST_FPERIOD_OVERRIDE=FQ","FILING_STATUS=MR","FA_ADJUSTED=GAAP","Sort=A","Dates=H","DateFormat=P","Fill=—","Direction=H","UseDPDF=Y")</f>
        <v>9.1584000000000003</v>
      </c>
      <c r="I17" s="20">
        <f>_xll.BDH("BLUE US Equity","EV_TO_T12M_SALES","FQ1 2021","FQ1 2021","Currency=USD","Period=FQ","BEST_FPERIOD_OVERRIDE=FQ","FILING_STATUS=MR","FA_ADJUSTED=GAAP","Sort=A","Dates=H","DateFormat=P","Fill=—","Direction=H","UseDPDF=Y")</f>
        <v>5.2268999999999997</v>
      </c>
      <c r="J17" s="20">
        <f>_xll.BDH("BLUE US Equity","EV_TO_T12M_SALES","FQ2 2021","FQ2 2021","Currency=USD","Period=FQ","BEST_FPERIOD_OVERRIDE=FQ","FILING_STATUS=MR","FA_ADJUSTED=GAAP","Sort=A","Dates=H","DateFormat=P","Fill=—","Direction=H","UseDPDF=Y")</f>
        <v>51.2774</v>
      </c>
      <c r="K17" s="20">
        <f>_xll.BDH("BLUE US Equity","EV_TO_T12M_SALES","FQ3 2021","FQ3 2021","Currency=USD","Period=FQ","BEST_FPERIOD_OVERRIDE=FQ","FILING_STATUS=MR","FA_ADJUSTED=GAAP","Sort=A","Dates=H","DateFormat=P","Fill=—","Direction=H","UseDPDF=Y")</f>
        <v>58.645800000000001</v>
      </c>
      <c r="L17" s="20">
        <f>_xll.BDH("BLUE US Equity","EV_TO_T12M_SALES","FQ4 2021","FQ4 2021","Currency=USD","Period=FQ","BEST_FPERIOD_OVERRIDE=FQ","FILING_STATUS=MR","FA_ADJUSTED=GAAP","Sort=A","Dates=H","DateFormat=P","Fill=—","Direction=H","UseDPDF=Y")</f>
        <v>36.703299999999999</v>
      </c>
      <c r="M17" s="20">
        <f>_xll.BDH("BLUE US Equity","EV_TO_T12M_SALES","FQ1 2022","FQ1 2022","Currency=USD","Period=FQ","BEST_FPERIOD_OVERRIDE=FQ","FILING_STATUS=MR","FA_ADJUSTED=GAAP","Sort=A","Dates=H","DateFormat=P","Fill=—","Direction=H","UseDPDF=Y")</f>
        <v>15.7927</v>
      </c>
      <c r="N17" s="20">
        <f>_xll.BDH("BLUE US Equity","EV_TO_T12M_SALES","FQ2 2022","FQ2 2022","Currency=USD","Period=FQ","BEST_FPERIOD_OVERRIDE=FQ","FILING_STATUS=MR","FA_ADJUSTED=GAAP","Sort=A","Dates=H","DateFormat=P","Fill=—","Direction=H","UseDPDF=Y")</f>
        <v>69.686199999999999</v>
      </c>
      <c r="O17" s="20">
        <f>_xll.BDH("BLUE US Equity","EV_TO_T12M_SALES","FQ3 2022","FQ3 2022","Currency=USD","Period=FQ","BEST_FPERIOD_OVERRIDE=FQ","FILING_STATUS=MR","FA_ADJUSTED=GAAP","Sort=A","Dates=H","DateFormat=P","Fill=—","Direction=H","UseDPDF=Y")</f>
        <v>128.73050000000001</v>
      </c>
      <c r="P17" s="20">
        <f>_xll.BDH("BLUE US Equity","EV_TO_T12M_SALES","FQ4 2022","FQ4 2022","Currency=USD","Period=FQ","BEST_FPERIOD_OVERRIDE=FQ","FILING_STATUS=MR","FA_ADJUSTED=GAAP","Sort=A","Dates=H","DateFormat=P","Fill=—","Direction=H","UseDPDF=Y")</f>
        <v>211.04929999999999</v>
      </c>
      <c r="Q17" s="20">
        <f>_xll.BDH("BLUE US Equity","EV_TO_T12M_SALES","FQ1 2023","FQ1 2023","Currency=USD","Period=FQ","BEST_FPERIOD_OVERRIDE=FQ","FILING_STATUS=MR","FA_ADJUSTED=GAAP","Sort=A","Dates=H","DateFormat=P","Fill=—","Direction=H","UseDPDF=Y")</f>
        <v>72.743499999999997</v>
      </c>
      <c r="R17" s="20">
        <f>_xll.BDH("BLUE US Equity","EV_TO_T12M_SALES","FQ2 2023","FQ2 2023","Currency=USD","Period=FQ","BEST_FPERIOD_OVERRIDE=FQ","FILING_STATUS=MR","FA_ADJUSTED=GAAP","Sort=A","Dates=H","DateFormat=P","Fill=—","Direction=H","UseDPDF=Y")</f>
        <v>43.788600000000002</v>
      </c>
      <c r="S17" s="20">
        <f>_xll.BDH("BLUE US Equity","EV_TO_T12M_SALES","FQ3 2023","FQ3 2023","Currency=USD","Period=FQ","BEST_FPERIOD_OVERRIDE=FQ","FILING_STATUS=MR","FA_ADJUSTED=GAAP","Sort=A","Dates=H","DateFormat=P","Fill=—","Direction=H","UseDPDF=Y")</f>
        <v>20.932600000000001</v>
      </c>
      <c r="T17" s="20">
        <f>_xll.BDH("BLUE US Equity","EV_TO_T12M_SALES","FQ4 2023","FQ4 2023","Currency=USD","Period=FQ","BEST_FPERIOD_OVERRIDE=FQ","FILING_STATUS=MR","FA_ADJUSTED=GAAP","Sort=A","Dates=H","DateFormat=P","Fill=—","Direction=H","UseDPDF=Y")</f>
        <v>12.6995</v>
      </c>
      <c r="U17" s="20">
        <f>_xll.BDH("BLUE US Equity","EV_TO_T12M_SALES","FQ1 2024","FQ1 2024","Currency=USD","Period=FQ","BEST_FPERIOD_OVERRIDE=FQ","FILING_STATUS=MR","FA_ADJUSTED=GAAP","Sort=A","Dates=H","DateFormat=P","Fill=—","Direction=H","UseDPDF=Y")</f>
        <v>9.8510000000000009</v>
      </c>
      <c r="V17" s="20">
        <f>_xll.BDH("BLUE US Equity","EV_TO_T12M_SALES","FQ2 2024","FQ2 2024","Currency=USD","Period=FQ","BEST_FPERIOD_OVERRIDE=FQ","FILING_STATUS=MR","FA_ADJUSTED=GAAP","Sort=A","Dates=H","DateFormat=P","Fill=—","Direction=H","UseDPDF=Y")</f>
        <v>7.9626000000000001</v>
      </c>
      <c r="W17" s="20">
        <f>_xll.BDH("BLUE US Equity","EV_TO_T12M_SALES","FQ3 2024","FQ3 2024","Currency=USD","Period=FQ","BEST_FPERIOD_OVERRIDE=FQ","FILING_STATUS=MR","FA_ADJUSTED=GAAP","Sort=A","Dates=H","DateFormat=P","Fill=—","Direction=H","UseDPDF=Y")</f>
        <v>7.4381000000000004</v>
      </c>
      <c r="X17" s="20">
        <f>_xll.BDH("BLUE US Equity","EV_TO_T12M_SALES","FQ4 2024","FQ4 2024","Currency=USD","Period=FQ","BEST_FPERIOD_OVERRIDE=FQ","FILING_STATUS=MR","FA_ADJUSTED=GAAP","Sort=A","Dates=H","DateFormat=P","Fill=—","Direction=H","UseDPDF=Y")</f>
        <v>4.4589999999999996</v>
      </c>
      <c r="Y17" s="23">
        <v>3.9348176882599302</v>
      </c>
      <c r="Z17" s="20">
        <v>1.2881455703125</v>
      </c>
      <c r="AA17" s="20">
        <v>0.97309474361357795</v>
      </c>
    </row>
    <row r="18" spans="1:27" x14ac:dyDescent="0.25">
      <c r="A18" s="6" t="s">
        <v>179</v>
      </c>
      <c r="B18" s="6" t="s">
        <v>180</v>
      </c>
      <c r="C18" s="20" t="str">
        <f>_xll.BDH("BLUE US Equity","EV_TO_T12M_EBIT","FQ3 2019","FQ3 2019","Currency=USD","Period=FQ","BEST_FPERIOD_OVERRIDE=FQ","FILING_STATUS=MR","FA_ADJUSTED=GAAP","Sort=A","Dates=H","DateFormat=P","Fill=—","Direction=H","UseDPDF=Y")</f>
        <v>—</v>
      </c>
      <c r="D18" s="20" t="str">
        <f>_xll.BDH("BLUE US Equity","EV_TO_T12M_EBIT","FQ4 2019","FQ4 2019","Currency=USD","Period=FQ","BEST_FPERIOD_OVERRIDE=FQ","FILING_STATUS=MR","FA_ADJUSTED=GAAP","Sort=A","Dates=H","DateFormat=P","Fill=—","Direction=H","UseDPDF=Y")</f>
        <v>—</v>
      </c>
      <c r="E18" s="20" t="str">
        <f>_xll.BDH("BLUE US Equity","EV_TO_T12M_EBIT","FQ1 2020","FQ1 2020","Currency=USD","Period=FQ","BEST_FPERIOD_OVERRIDE=FQ","FILING_STATUS=MR","FA_ADJUSTED=GAAP","Sort=A","Dates=H","DateFormat=P","Fill=—","Direction=H","UseDPDF=Y")</f>
        <v>—</v>
      </c>
      <c r="F18" s="20" t="str">
        <f>_xll.BDH("BLUE US Equity","EV_TO_T12M_EBIT","FQ2 2020","FQ2 2020","Currency=USD","Period=FQ","BEST_FPERIOD_OVERRIDE=FQ","FILING_STATUS=MR","FA_ADJUSTED=GAAP","Sort=A","Dates=H","DateFormat=P","Fill=—","Direction=H","UseDPDF=Y")</f>
        <v>—</v>
      </c>
      <c r="G18" s="20" t="str">
        <f>_xll.BDH("BLUE US Equity","EV_TO_T12M_EBIT","FQ3 2020","FQ3 2020","Currency=USD","Period=FQ","BEST_FPERIOD_OVERRIDE=FQ","FILING_STATUS=MR","FA_ADJUSTED=GAAP","Sort=A","Dates=H","DateFormat=P","Fill=—","Direction=H","UseDPDF=Y")</f>
        <v>—</v>
      </c>
      <c r="H18" s="20" t="str">
        <f>_xll.BDH("BLUE US Equity","EV_TO_T12M_EBIT","FQ4 2020","FQ4 2020","Currency=USD","Period=FQ","BEST_FPERIOD_OVERRIDE=FQ","FILING_STATUS=MR","FA_ADJUSTED=GAAP","Sort=A","Dates=H","DateFormat=P","Fill=—","Direction=H","UseDPDF=Y")</f>
        <v>—</v>
      </c>
      <c r="I18" s="20" t="str">
        <f>_xll.BDH("BLUE US Equity","EV_TO_T12M_EBIT","FQ1 2021","FQ1 2021","Currency=USD","Period=FQ","BEST_FPERIOD_OVERRIDE=FQ","FILING_STATUS=MR","FA_ADJUSTED=GAAP","Sort=A","Dates=H","DateFormat=P","Fill=—","Direction=H","UseDPDF=Y")</f>
        <v>—</v>
      </c>
      <c r="J18" s="20" t="str">
        <f>_xll.BDH("BLUE US Equity","EV_TO_T12M_EBIT","FQ2 2021","FQ2 2021","Currency=USD","Period=FQ","BEST_FPERIOD_OVERRIDE=FQ","FILING_STATUS=MR","FA_ADJUSTED=GAAP","Sort=A","Dates=H","DateFormat=P","Fill=—","Direction=H","UseDPDF=Y")</f>
        <v>—</v>
      </c>
      <c r="K18" s="20" t="str">
        <f>_xll.BDH("BLUE US Equity","EV_TO_T12M_EBIT","FQ3 2021","FQ3 2021","Currency=USD","Period=FQ","BEST_FPERIOD_OVERRIDE=FQ","FILING_STATUS=MR","FA_ADJUSTED=GAAP","Sort=A","Dates=H","DateFormat=P","Fill=—","Direction=H","UseDPDF=Y")</f>
        <v>—</v>
      </c>
      <c r="L18" s="20" t="str">
        <f>_xll.BDH("BLUE US Equity","EV_TO_T12M_EBIT","FQ4 2021","FQ4 2021","Currency=USD","Period=FQ","BEST_FPERIOD_OVERRIDE=FQ","FILING_STATUS=MR","FA_ADJUSTED=GAAP","Sort=A","Dates=H","DateFormat=P","Fill=—","Direction=H","UseDPDF=Y")</f>
        <v>—</v>
      </c>
      <c r="M18" s="20" t="str">
        <f>_xll.BDH("BLUE US Equity","EV_TO_T12M_EBIT","FQ1 2022","FQ1 2022","Currency=USD","Period=FQ","BEST_FPERIOD_OVERRIDE=FQ","FILING_STATUS=MR","FA_ADJUSTED=GAAP","Sort=A","Dates=H","DateFormat=P","Fill=—","Direction=H","UseDPDF=Y")</f>
        <v>—</v>
      </c>
      <c r="N18" s="20" t="str">
        <f>_xll.BDH("BLUE US Equity","EV_TO_T12M_EBIT","FQ2 2022","FQ2 2022","Currency=USD","Period=FQ","BEST_FPERIOD_OVERRIDE=FQ","FILING_STATUS=MR","FA_ADJUSTED=GAAP","Sort=A","Dates=H","DateFormat=P","Fill=—","Direction=H","UseDPDF=Y")</f>
        <v>—</v>
      </c>
      <c r="O18" s="20" t="str">
        <f>_xll.BDH("BLUE US Equity","EV_TO_T12M_EBIT","FQ3 2022","FQ3 2022","Currency=USD","Period=FQ","BEST_FPERIOD_OVERRIDE=FQ","FILING_STATUS=MR","FA_ADJUSTED=GAAP","Sort=A","Dates=H","DateFormat=P","Fill=—","Direction=H","UseDPDF=Y")</f>
        <v>—</v>
      </c>
      <c r="P18" s="20" t="str">
        <f>_xll.BDH("BLUE US Equity","EV_TO_T12M_EBIT","FQ4 2022","FQ4 2022","Currency=USD","Period=FQ","BEST_FPERIOD_OVERRIDE=FQ","FILING_STATUS=MR","FA_ADJUSTED=GAAP","Sort=A","Dates=H","DateFormat=P","Fill=—","Direction=H","UseDPDF=Y")</f>
        <v>—</v>
      </c>
      <c r="Q18" s="20" t="str">
        <f>_xll.BDH("BLUE US Equity","EV_TO_T12M_EBIT","FQ1 2023","FQ1 2023","Currency=USD","Period=FQ","BEST_FPERIOD_OVERRIDE=FQ","FILING_STATUS=MR","FA_ADJUSTED=GAAP","Sort=A","Dates=H","DateFormat=P","Fill=—","Direction=H","UseDPDF=Y")</f>
        <v>—</v>
      </c>
      <c r="R18" s="20" t="str">
        <f>_xll.BDH("BLUE US Equity","EV_TO_T12M_EBIT","FQ2 2023","FQ2 2023","Currency=USD","Period=FQ","BEST_FPERIOD_OVERRIDE=FQ","FILING_STATUS=MR","FA_ADJUSTED=GAAP","Sort=A","Dates=H","DateFormat=P","Fill=—","Direction=H","UseDPDF=Y")</f>
        <v>—</v>
      </c>
      <c r="S18" s="20" t="str">
        <f>_xll.BDH("BLUE US Equity","EV_TO_T12M_EBIT","FQ3 2023","FQ3 2023","Currency=USD","Period=FQ","BEST_FPERIOD_OVERRIDE=FQ","FILING_STATUS=MR","FA_ADJUSTED=GAAP","Sort=A","Dates=H","DateFormat=P","Fill=—","Direction=H","UseDPDF=Y")</f>
        <v>—</v>
      </c>
      <c r="T18" s="20" t="str">
        <f>_xll.BDH("BLUE US Equity","EV_TO_T12M_EBIT","FQ4 2023","FQ4 2023","Currency=USD","Period=FQ","BEST_FPERIOD_OVERRIDE=FQ","FILING_STATUS=MR","FA_ADJUSTED=GAAP","Sort=A","Dates=H","DateFormat=P","Fill=—","Direction=H","UseDPDF=Y")</f>
        <v>—</v>
      </c>
      <c r="U18" s="20" t="str">
        <f>_xll.BDH("BLUE US Equity","EV_TO_T12M_EBIT","FQ1 2024","FQ1 2024","Currency=USD","Period=FQ","BEST_FPERIOD_OVERRIDE=FQ","FILING_STATUS=MR","FA_ADJUSTED=GAAP","Sort=A","Dates=H","DateFormat=P","Fill=—","Direction=H","UseDPDF=Y")</f>
        <v>—</v>
      </c>
      <c r="V18" s="20" t="str">
        <f>_xll.BDH("BLUE US Equity","EV_TO_T12M_EBIT","FQ2 2024","FQ2 2024","Currency=USD","Period=FQ","BEST_FPERIOD_OVERRIDE=FQ","FILING_STATUS=MR","FA_ADJUSTED=GAAP","Sort=A","Dates=H","DateFormat=P","Fill=—","Direction=H","UseDPDF=Y")</f>
        <v>—</v>
      </c>
      <c r="W18" s="20" t="str">
        <f>_xll.BDH("BLUE US Equity","EV_TO_T12M_EBIT","FQ3 2024","FQ3 2024","Currency=USD","Period=FQ","BEST_FPERIOD_OVERRIDE=FQ","FILING_STATUS=MR","FA_ADJUSTED=GAAP","Sort=A","Dates=H","DateFormat=P","Fill=—","Direction=H","UseDPDF=Y")</f>
        <v>—</v>
      </c>
      <c r="X18" s="20" t="str">
        <f>_xll.BDH("BLUE US Equity","EV_TO_T12M_EBIT","FQ4 2024","FQ4 2024","Currency=USD","Period=FQ","BEST_FPERIOD_OVERRIDE=FQ","FILING_STATUS=MR","FA_ADJUSTED=GAAP","Sort=A","Dates=H","DateFormat=P","Fill=—","Direction=H","UseDPDF=Y")</f>
        <v>—</v>
      </c>
      <c r="Y18" s="23"/>
      <c r="Z18" s="20">
        <v>-3.99110760665658</v>
      </c>
      <c r="AA18" s="20">
        <v>-21.825750612217899</v>
      </c>
    </row>
    <row r="19" spans="1:27" x14ac:dyDescent="0.25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21"/>
      <c r="Z19" s="18"/>
      <c r="AA19" s="18"/>
    </row>
    <row r="20" spans="1:27" x14ac:dyDescent="0.25">
      <c r="A20" s="6" t="s">
        <v>181</v>
      </c>
      <c r="B20" s="6" t="s">
        <v>182</v>
      </c>
      <c r="C20" s="19">
        <f>_xll.BDH("BLUE US Equity","DILUTED_MKT_CAP","FQ3 2019","FQ3 2019","Currency=USD","Period=FQ","BEST_FPERIOD_OVERRIDE=FQ","FILING_STATUS=MR","SCALING_FORMAT=MLN","Sort=A","Dates=H","DateFormat=P","Fill=—","Direction=H","UseDPDF=Y")</f>
        <v>5076.9114</v>
      </c>
      <c r="D20" s="19">
        <f>_xll.BDH("BLUE US Equity","DILUTED_MKT_CAP","FQ4 2019","FQ4 2019","Currency=USD","Period=FQ","BEST_FPERIOD_OVERRIDE=FQ","FILING_STATUS=MR","SCALING_FORMAT=MLN","Sort=A","Dates=H","DateFormat=P","Fill=—","Direction=H","UseDPDF=Y")</f>
        <v>4856.4359999999997</v>
      </c>
      <c r="E20" s="19">
        <f>_xll.BDH("BLUE US Equity","DILUTED_MKT_CAP","FQ1 2020","FQ1 2020","Currency=USD","Period=FQ","BEST_FPERIOD_OVERRIDE=FQ","FILING_STATUS=MR","SCALING_FORMAT=MLN","Sort=A","Dates=H","DateFormat=P","Fill=—","Direction=H","UseDPDF=Y")</f>
        <v>2554.9164000000001</v>
      </c>
      <c r="F20" s="19">
        <f>_xll.BDH("BLUE US Equity","DILUTED_MKT_CAP","FQ2 2020","FQ2 2020","Currency=USD","Period=FQ","BEST_FPERIOD_OVERRIDE=FQ","FILING_STATUS=MR","SCALING_FORMAT=MLN","Sort=A","Dates=H","DateFormat=P","Fill=—","Direction=H","UseDPDF=Y")</f>
        <v>3685.8393999999998</v>
      </c>
      <c r="G20" s="19">
        <f>_xll.BDH("BLUE US Equity","DILUTED_MKT_CAP","FQ3 2020","FQ3 2020","Currency=USD","Period=FQ","BEST_FPERIOD_OVERRIDE=FQ","FILING_STATUS=MR","SCALING_FORMAT=MLN","Sort=A","Dates=H","DateFormat=P","Fill=—","Direction=H","UseDPDF=Y")</f>
        <v>3574.2415000000001</v>
      </c>
      <c r="H20" s="19">
        <f>_xll.BDH("BLUE US Equity","DILUTED_MKT_CAP","FQ4 2020","FQ4 2020","Currency=USD","Period=FQ","BEST_FPERIOD_OVERRIDE=FQ","FILING_STATUS=MR","SCALING_FORMAT=MLN","Sort=A","Dates=H","DateFormat=P","Fill=—","Direction=H","UseDPDF=Y")</f>
        <v>2872.9117000000001</v>
      </c>
      <c r="I20" s="19">
        <f>_xll.BDH("BLUE US Equity","DILUTED_MKT_CAP","FQ1 2021","FQ1 2021","Currency=USD","Period=FQ","BEST_FPERIOD_OVERRIDE=FQ","FILING_STATUS=MR","SCALING_FORMAT=MLN","Sort=A","Dates=H","DateFormat=P","Fill=—","Direction=H","UseDPDF=Y")</f>
        <v>2019.3263999999999</v>
      </c>
      <c r="J20" s="19">
        <f>_xll.BDH("BLUE US Equity","DILUTED_MKT_CAP","FQ2 2021","FQ2 2021","Currency=USD","Period=FQ","BEST_FPERIOD_OVERRIDE=FQ","FILING_STATUS=MR","SCALING_FORMAT=MLN","Sort=A","Dates=H","DateFormat=P","Fill=—","Direction=H","UseDPDF=Y")</f>
        <v>2158.2343000000001</v>
      </c>
      <c r="K20" s="19">
        <f>_xll.BDH("BLUE US Equity","DILUTED_MKT_CAP","FQ3 2021","FQ3 2021","Currency=USD","Period=FQ","BEST_FPERIOD_OVERRIDE=FQ","FILING_STATUS=MR","SCALING_FORMAT=MLN","Sort=A","Dates=H","DateFormat=P","Fill=—","Direction=H","UseDPDF=Y")</f>
        <v>1311.3472999999999</v>
      </c>
      <c r="L20" s="19">
        <f>_xll.BDH("BLUE US Equity","DILUTED_MKT_CAP","FQ4 2021","FQ4 2021","Currency=USD","Period=FQ","BEST_FPERIOD_OVERRIDE=FQ","FILING_STATUS=MR","SCALING_FORMAT=MLN","Sort=A","Dates=H","DateFormat=P","Fill=—","Direction=H","UseDPDF=Y")</f>
        <v>724.255</v>
      </c>
      <c r="M20" s="19">
        <f>_xll.BDH("BLUE US Equity","DILUTED_MKT_CAP","FQ1 2022","FQ1 2022","Currency=USD","Period=FQ","BEST_FPERIOD_OVERRIDE=FQ","FILING_STATUS=MR","SCALING_FORMAT=MLN","Sort=A","Dates=H","DateFormat=P","Fill=—","Direction=H","UseDPDF=Y")</f>
        <v>357.38679999999999</v>
      </c>
      <c r="N20" s="19">
        <f>_xll.BDH("BLUE US Equity","DILUTED_MKT_CAP","FQ2 2022","FQ2 2022","Currency=USD","Period=FQ","BEST_FPERIOD_OVERRIDE=FQ","FILING_STATUS=MR","SCALING_FORMAT=MLN","Sort=A","Dates=H","DateFormat=P","Fill=—","Direction=H","UseDPDF=Y")</f>
        <v>305.3954</v>
      </c>
      <c r="O20" s="19">
        <f>_xll.BDH("BLUE US Equity","DILUTED_MKT_CAP","FQ3 2022","FQ3 2022","Currency=USD","Period=FQ","BEST_FPERIOD_OVERRIDE=FQ","FILING_STATUS=MR","SCALING_FORMAT=MLN","Sort=A","Dates=H","DateFormat=P","Fill=—","Direction=H","UseDPDF=Y")</f>
        <v>516.16719999999998</v>
      </c>
      <c r="P20" s="19">
        <f>_xll.BDH("BLUE US Equity","DILUTED_MKT_CAP","FQ4 2022","FQ4 2022","Currency=USD","Period=FQ","BEST_FPERIOD_OVERRIDE=FQ","FILING_STATUS=MR","SCALING_FORMAT=MLN","Sort=A","Dates=H","DateFormat=P","Fill=—","Direction=H","UseDPDF=Y")</f>
        <v>590.56659999999999</v>
      </c>
      <c r="Q20" s="19">
        <f>_xll.BDH("BLUE US Equity","DILUTED_MKT_CAP","FQ1 2023","FQ1 2023","Currency=USD","Period=FQ","BEST_FPERIOD_OVERRIDE=FQ","FILING_STATUS=MR","SCALING_FORMAT=MLN","Sort=A","Dates=H","DateFormat=P","Fill=—","Direction=H","UseDPDF=Y")</f>
        <v>328.50349999999997</v>
      </c>
      <c r="R20" s="19">
        <f>_xll.BDH("BLUE US Equity","DILUTED_MKT_CAP","FQ2 2023","FQ2 2023","Currency=USD","Period=FQ","BEST_FPERIOD_OVERRIDE=FQ","FILING_STATUS=MR","SCALING_FORMAT=MLN","Sort=A","Dates=H","DateFormat=P","Fill=—","Direction=H","UseDPDF=Y")</f>
        <v>357.57369999999997</v>
      </c>
      <c r="S20" s="19">
        <f>_xll.BDH("BLUE US Equity","DILUTED_MKT_CAP","FQ3 2023","FQ3 2023","Currency=USD","Period=FQ","BEST_FPERIOD_OVERRIDE=FQ","FILING_STATUS=MR","SCALING_FORMAT=MLN","Sort=A","Dates=H","DateFormat=P","Fill=—","Direction=H","UseDPDF=Y")</f>
        <v>331.65789999999998</v>
      </c>
      <c r="T20" s="19">
        <f>_xll.BDH("BLUE US Equity","DILUTED_MKT_CAP","FQ4 2023","FQ4 2023","Currency=USD","Period=FQ","BEST_FPERIOD_OVERRIDE=FQ","FILING_STATUS=MR","SCALING_FORMAT=MLN","Sort=A","Dates=H","DateFormat=P","Fill=—","Direction=H","UseDPDF=Y")</f>
        <v>163.66390000000001</v>
      </c>
      <c r="U20" s="19">
        <f>_xll.BDH("BLUE US Equity","DILUTED_MKT_CAP","FQ1 2024","FQ1 2024","Currency=USD","Period=FQ","BEST_FPERIOD_OVERRIDE=FQ","FILING_STATUS=MR","SCALING_FORMAT=MLN","Sort=A","Dates=H","DateFormat=P","Fill=—","Direction=H","UseDPDF=Y")</f>
        <v>247.23330000000001</v>
      </c>
      <c r="V20" s="19">
        <f>_xll.BDH("BLUE US Equity","DILUTED_MKT_CAP","FQ2 2024","FQ2 2024","Currency=USD","Period=FQ","BEST_FPERIOD_OVERRIDE=FQ","FILING_STATUS=MR","SCALING_FORMAT=MLN","Sort=A","Dates=H","DateFormat=P","Fill=—","Direction=H","UseDPDF=Y")</f>
        <v>190.65530000000001</v>
      </c>
      <c r="W20" s="19">
        <f>_xll.BDH("BLUE US Equity","DILUTED_MKT_CAP","FQ3 2024","FQ3 2024","Currency=USD","Period=FQ","BEST_FPERIOD_OVERRIDE=FQ","FILING_STATUS=MR","SCALING_FORMAT=MLN","Sort=A","Dates=H","DateFormat=P","Fill=—","Direction=H","UseDPDF=Y")</f>
        <v>100.7274</v>
      </c>
      <c r="X20" s="19">
        <f>_xll.BDH("BLUE US Equity","DILUTED_MKT_CAP","FQ4 2024","FQ4 2024","Currency=USD","Period=FQ","BEST_FPERIOD_OVERRIDE=FQ","FILING_STATUS=MR","SCALING_FORMAT=MLN","Sort=A","Dates=H","DateFormat=P","Fill=—","Direction=H","UseDPDF=Y")</f>
        <v>80.973100000000002</v>
      </c>
      <c r="Y20" s="22">
        <v>36.894199537038801</v>
      </c>
      <c r="Z20" s="19"/>
      <c r="AA20" s="19"/>
    </row>
    <row r="21" spans="1:27" x14ac:dyDescent="0.25">
      <c r="A21" s="6" t="s">
        <v>183</v>
      </c>
      <c r="B21" s="6" t="s">
        <v>184</v>
      </c>
      <c r="C21" s="19">
        <f>_xll.BDH("BLUE US Equity","DILUTED_EV","FQ3 2019","FQ3 2019","Currency=USD","Period=FQ","BEST_FPERIOD_OVERRIDE=FQ","FILING_STATUS=MR","SCALING_FORMAT=MLN","Sort=A","Dates=H","DateFormat=P","Fill=—","Direction=H","UseDPDF=Y")</f>
        <v>3866.9814000000001</v>
      </c>
      <c r="D21" s="19">
        <f>_xll.BDH("BLUE US Equity","DILUTED_EV","FQ4 2019","FQ4 2019","Currency=USD","Period=FQ","BEST_FPERIOD_OVERRIDE=FQ","FILING_STATUS=MR","SCALING_FORMAT=MLN","Sort=A","Dates=H","DateFormat=P","Fill=—","Direction=H","UseDPDF=Y")</f>
        <v>3809.4569999999999</v>
      </c>
      <c r="E21" s="19">
        <f>_xll.BDH("BLUE US Equity","DILUTED_EV","FQ1 2020","FQ1 2020","Currency=USD","Period=FQ","BEST_FPERIOD_OVERRIDE=FQ","FILING_STATUS=MR","SCALING_FORMAT=MLN","Sort=A","Dates=H","DateFormat=P","Fill=—","Direction=H","UseDPDF=Y")</f>
        <v>1736.9014</v>
      </c>
      <c r="F21" s="19">
        <f>_xll.BDH("BLUE US Equity","DILUTED_EV","FQ2 2020","FQ2 2020","Currency=USD","Period=FQ","BEST_FPERIOD_OVERRIDE=FQ","FILING_STATUS=MR","SCALING_FORMAT=MLN","Sort=A","Dates=H","DateFormat=P","Fill=—","Direction=H","UseDPDF=Y")</f>
        <v>2282.5654</v>
      </c>
      <c r="G21" s="19">
        <f>_xll.BDH("BLUE US Equity","DILUTED_EV","FQ3 2020","FQ3 2020","Currency=USD","Period=FQ","BEST_FPERIOD_OVERRIDE=FQ","FILING_STATUS=MR","SCALING_FORMAT=MLN","Sort=A","Dates=H","DateFormat=P","Fill=—","Direction=H","UseDPDF=Y")</f>
        <v>2331.6644999999999</v>
      </c>
      <c r="H21" s="19">
        <f>_xll.BDH("BLUE US Equity","DILUTED_EV","FQ4 2020","FQ4 2020","Currency=USD","Period=FQ","BEST_FPERIOD_OVERRIDE=FQ","FILING_STATUS=MR","SCALING_FORMAT=MLN","Sort=A","Dates=H","DateFormat=P","Fill=—","Direction=H","UseDPDF=Y")</f>
        <v>2196.6567</v>
      </c>
      <c r="I21" s="19">
        <f>_xll.BDH("BLUE US Equity","DILUTED_EV","FQ1 2021","FQ1 2021","Currency=USD","Period=FQ","BEST_FPERIOD_OVERRIDE=FQ","FILING_STATUS=MR","SCALING_FORMAT=MLN","Sort=A","Dates=H","DateFormat=P","Fill=—","Direction=H","UseDPDF=Y")</f>
        <v>1131.5404000000001</v>
      </c>
      <c r="J21" s="19">
        <f>_xll.BDH("BLUE US Equity","DILUTED_EV","FQ2 2021","FQ2 2021","Currency=USD","Period=FQ","BEST_FPERIOD_OVERRIDE=FQ","FILING_STATUS=MR","SCALING_FORMAT=MLN","Sort=A","Dates=H","DateFormat=P","Fill=—","Direction=H","UseDPDF=Y")</f>
        <v>1415.2083</v>
      </c>
      <c r="K21" s="19">
        <f>_xll.BDH("BLUE US Equity","DILUTED_EV","FQ3 2021","FQ3 2021","Currency=USD","Period=FQ","BEST_FPERIOD_OVERRIDE=FQ","FILING_STATUS=MR","SCALING_FORMAT=MLN","Sort=A","Dates=H","DateFormat=P","Fill=—","Direction=H","UseDPDF=Y")</f>
        <v>522.18430000000001</v>
      </c>
      <c r="L21" s="19">
        <f>_xll.BDH("BLUE US Equity","DILUTED_EV","FQ4 2021","FQ4 2021","Currency=USD","Period=FQ","BEST_FPERIOD_OVERRIDE=FQ","FILING_STATUS=MR","SCALING_FORMAT=MLN","Sort=A","Dates=H","DateFormat=P","Fill=—","Direction=H","UseDPDF=Y")</f>
        <v>417.22199999999998</v>
      </c>
      <c r="M21" s="19">
        <f>_xll.BDH("BLUE US Equity","DILUTED_EV","FQ1 2022","FQ1 2022","Currency=USD","Period=FQ","BEST_FPERIOD_OVERRIDE=FQ","FILING_STATUS=MR","SCALING_FORMAT=MLN","Sort=A","Dates=H","DateFormat=P","Fill=—","Direction=H","UseDPDF=Y")</f>
        <v>201.08779999999999</v>
      </c>
      <c r="N21" s="19">
        <f>_xll.BDH("BLUE US Equity","DILUTED_EV","FQ2 2022","FQ2 2022","Currency=USD","Period=FQ","BEST_FPERIOD_OVERRIDE=FQ","FILING_STATUS=MR","SCALING_FORMAT=MLN","Sort=A","Dates=H","DateFormat=P","Fill=—","Direction=H","UseDPDF=Y")</f>
        <v>425.21339999999998</v>
      </c>
      <c r="O21" s="19">
        <f>_xll.BDH("BLUE US Equity","DILUTED_EV","FQ3 2022","FQ3 2022","Currency=USD","Period=FQ","BEST_FPERIOD_OVERRIDE=FQ","FILING_STATUS=MR","SCALING_FORMAT=MLN","Sort=A","Dates=H","DateFormat=P","Fill=—","Direction=H","UseDPDF=Y")</f>
        <v>653.34019999999998</v>
      </c>
      <c r="P21" s="19">
        <f>_xll.BDH("BLUE US Equity","DILUTED_EV","FQ4 2022","FQ4 2022","Currency=USD","Period=FQ","BEST_FPERIOD_OVERRIDE=FQ","FILING_STATUS=MR","SCALING_FORMAT=MLN","Sort=A","Dates=H","DateFormat=P","Fill=—","Direction=H","UseDPDF=Y")</f>
        <v>775.8836</v>
      </c>
      <c r="Q21" s="19">
        <f>_xll.BDH("BLUE US Equity","DILUTED_EV","FQ1 2023","FQ1 2023","Currency=USD","Period=FQ","BEST_FPERIOD_OVERRIDE=FQ","FILING_STATUS=MR","SCALING_FORMAT=MLN","Sort=A","Dates=H","DateFormat=P","Fill=—","Direction=H","UseDPDF=Y")</f>
        <v>294.63339999999999</v>
      </c>
      <c r="R21" s="19">
        <f>_xll.BDH("BLUE US Equity","DILUTED_EV","FQ2 2023","FQ2 2023","Currency=USD","Period=FQ","BEST_FPERIOD_OVERRIDE=FQ","FILING_STATUS=MR","SCALING_FORMAT=MLN","Sort=A","Dates=H","DateFormat=P","Fill=—","Direction=H","UseDPDF=Y")</f>
        <v>419.12759999999997</v>
      </c>
      <c r="S21" s="19">
        <f>_xll.BDH("BLUE US Equity","DILUTED_EV","FQ3 2023","FQ3 2023","Currency=USD","Period=FQ","BEST_FPERIOD_OVERRIDE=FQ","FILING_STATUS=MR","SCALING_FORMAT=MLN","Sort=A","Dates=H","DateFormat=P","Fill=—","Direction=H","UseDPDF=Y")</f>
        <v>461.07190000000003</v>
      </c>
      <c r="T21" s="19">
        <f>_xll.BDH("BLUE US Equity","DILUTED_EV","FQ4 2023","FQ4 2023","Currency=USD","Period=FQ","BEST_FPERIOD_OVERRIDE=FQ","FILING_STATUS=MR","SCALING_FORMAT=MLN","Sort=A","Dates=H","DateFormat=P","Fill=—","Direction=H","UseDPDF=Y")</f>
        <v>272.23489999999998</v>
      </c>
      <c r="U21" s="19">
        <f>_xll.BDH("BLUE US Equity","DILUTED_EV","FQ1 2024","FQ1 2024","Currency=USD","Period=FQ","BEST_FPERIOD_OVERRIDE=FQ","FILING_STATUS=MR","SCALING_FORMAT=MLN","Sort=A","Dates=H","DateFormat=P","Fill=—","Direction=H","UseDPDF=Y")</f>
        <v>449.5283</v>
      </c>
      <c r="V21" s="19">
        <f>_xll.BDH("BLUE US Equity","DILUTED_EV","FQ2 2024","FQ2 2024","Currency=USD","Period=FQ","BEST_FPERIOD_OVERRIDE=FQ","FILING_STATUS=MR","SCALING_FORMAT=MLN","Sort=A","Dates=H","DateFormat=P","Fill=—","Direction=H","UseDPDF=Y")</f>
        <v>437.00830000000002</v>
      </c>
      <c r="W21" s="19">
        <f>_xll.BDH("BLUE US Equity","DILUTED_EV","FQ3 2024","FQ3 2024","Currency=USD","Period=FQ","BEST_FPERIOD_OVERRIDE=FQ","FILING_STATUS=MR","SCALING_FORMAT=MLN","Sort=A","Dates=H","DateFormat=P","Fill=—","Direction=H","UseDPDF=Y")</f>
        <v>395.0994</v>
      </c>
      <c r="X21" s="19">
        <f>_xll.BDH("BLUE US Equity","DILUTED_EV","FQ4 2024","FQ4 2024","Currency=USD","Period=FQ","BEST_FPERIOD_OVERRIDE=FQ","FILING_STATUS=MR","SCALING_FORMAT=MLN","Sort=A","Dates=H","DateFormat=P","Fill=—","Direction=H","UseDPDF=Y")</f>
        <v>373.53609999999998</v>
      </c>
      <c r="Y21" s="22">
        <v>329.457199537039</v>
      </c>
      <c r="Z21" s="19"/>
      <c r="AA21" s="19"/>
    </row>
    <row r="22" spans="1:27" x14ac:dyDescent="0.25">
      <c r="A22" s="6" t="s">
        <v>185</v>
      </c>
      <c r="B22" s="6" t="s">
        <v>186</v>
      </c>
      <c r="C22" s="20">
        <f>_xll.BDH("BLUE US Equity","EV_TO_SH_OUT","FQ3 2019","FQ3 2019","Currency=USD","Period=FQ","BEST_FPERIOD_OVERRIDE=FQ","FILING_STATUS=MR","Sort=A","Dates=H","DateFormat=P","Fill=—","Direction=H","UseDPDF=Y")</f>
        <v>1398.9704999999999</v>
      </c>
      <c r="D22" s="20">
        <f>_xll.BDH("BLUE US Equity","EV_TO_SH_OUT","FQ4 2019","FQ4 2019","Currency=USD","Period=FQ","BEST_FPERIOD_OVERRIDE=FQ","FILING_STATUS=MR","Sort=A","Dates=H","DateFormat=P","Fill=—","Direction=H","UseDPDF=Y")</f>
        <v>1376.8108</v>
      </c>
      <c r="E22" s="20">
        <f>_xll.BDH("BLUE US Equity","EV_TO_SH_OUT","FQ1 2020","FQ1 2020","Currency=USD","Period=FQ","BEST_FPERIOD_OVERRIDE=FQ","FILING_STATUS=MR","Sort=A","Dates=H","DateFormat=P","Fill=—","Direction=H","UseDPDF=Y")</f>
        <v>625.05579999999998</v>
      </c>
      <c r="F22" s="20">
        <f>_xll.BDH("BLUE US Equity","EV_TO_SH_OUT","FQ2 2020","FQ2 2020","Currency=USD","Period=FQ","BEST_FPERIOD_OVERRIDE=FQ","FILING_STATUS=MR","Sort=A","Dates=H","DateFormat=P","Fill=—","Direction=H","UseDPDF=Y")</f>
        <v>796.82449999999994</v>
      </c>
      <c r="G22" s="20">
        <f>_xll.BDH("BLUE US Equity","EV_TO_SH_OUT","FQ3 2020","FQ3 2020","Currency=USD","Period=FQ","BEST_FPERIOD_OVERRIDE=FQ","FILING_STATUS=MR","Sort=A","Dates=H","DateFormat=P","Fill=—","Direction=H","UseDPDF=Y")</f>
        <v>704.38570000000004</v>
      </c>
      <c r="H22" s="20">
        <f>_xll.BDH("BLUE US Equity","EV_TO_SH_OUT","FQ4 2020","FQ4 2020","Currency=USD","Period=FQ","BEST_FPERIOD_OVERRIDE=FQ","FILING_STATUS=MR","Sort=A","Dates=H","DateFormat=P","Fill=—","Direction=H","UseDPDF=Y")</f>
        <v>661.80690000000004</v>
      </c>
      <c r="I22" s="20">
        <f>_xll.BDH("BLUE US Equity","EV_TO_SH_OUT","FQ1 2021","FQ1 2021","Currency=USD","Period=FQ","BEST_FPERIOD_OVERRIDE=FQ","FILING_STATUS=MR","Sort=A","Dates=H","DateFormat=P","Fill=—","Direction=H","UseDPDF=Y")</f>
        <v>339.64800000000002</v>
      </c>
      <c r="J22" s="20">
        <f>_xll.BDH("BLUE US Equity","EV_TO_SH_OUT","FQ2 2021","FQ2 2021","Currency=USD","Period=FQ","BEST_FPERIOD_OVERRIDE=FQ","FILING_STATUS=MR","Sort=A","Dates=H","DateFormat=P","Fill=—","Direction=H","UseDPDF=Y")</f>
        <v>419.61040000000003</v>
      </c>
      <c r="K22" s="20">
        <f>_xll.BDH("BLUE US Equity","EV_TO_SH_OUT","FQ3 2021","FQ3 2021","Currency=USD","Period=FQ","BEST_FPERIOD_OVERRIDE=FQ","FILING_STATUS=MR","Sort=A","Dates=H","DateFormat=P","Fill=—","Direction=H","UseDPDF=Y")</f>
        <v>157.0369</v>
      </c>
      <c r="L22" s="20">
        <f>_xll.BDH("BLUE US Equity","EV_TO_SH_OUT","FQ4 2021","FQ4 2021","Currency=USD","Period=FQ","BEST_FPERIOD_OVERRIDE=FQ","FILING_STATUS=MR","Sort=A","Dates=H","DateFormat=P","Fill=—","Direction=H","UseDPDF=Y")</f>
        <v>113.4517</v>
      </c>
      <c r="M22" s="20">
        <f>_xll.BDH("BLUE US Equity","EV_TO_SH_OUT","FQ1 2022","FQ1 2022","Currency=USD","Period=FQ","BEST_FPERIOD_OVERRIDE=FQ","FILING_STATUS=MR","Sort=A","Dates=H","DateFormat=P","Fill=—","Direction=H","UseDPDF=Y")</f>
        <v>53.242100000000001</v>
      </c>
      <c r="N22" s="20">
        <f>_xll.BDH("BLUE US Equity","EV_TO_SH_OUT","FQ2 2022","FQ2 2022","Currency=USD","Period=FQ","BEST_FPERIOD_OVERRIDE=FQ","FILING_STATUS=MR","Sort=A","Dates=H","DateFormat=P","Fill=—","Direction=H","UseDPDF=Y")</f>
        <v>115.3809</v>
      </c>
      <c r="O22" s="20">
        <f>_xll.BDH("BLUE US Equity","EV_TO_SH_OUT","FQ3 2022","FQ3 2022","Currency=USD","Period=FQ","BEST_FPERIOD_OVERRIDE=FQ","FILING_STATUS=MR","Sort=A","Dates=H","DateFormat=P","Fill=—","Direction=H","UseDPDF=Y")</f>
        <v>159.70160000000001</v>
      </c>
      <c r="P22" s="20">
        <f>_xll.BDH("BLUE US Equity","EV_TO_SH_OUT","FQ4 2022","FQ4 2022","Currency=USD","Period=FQ","BEST_FPERIOD_OVERRIDE=FQ","FILING_STATUS=MR","Sort=A","Dates=H","DateFormat=P","Fill=—","Direction=H","UseDPDF=Y")</f>
        <v>183.09620000000001</v>
      </c>
      <c r="Q22" s="20">
        <f>_xll.BDH("BLUE US Equity","EV_TO_SH_OUT","FQ1 2023","FQ1 2023","Currency=USD","Period=FQ","BEST_FPERIOD_OVERRIDE=FQ","FILING_STATUS=MR","Sort=A","Dates=H","DateFormat=P","Fill=—","Direction=H","UseDPDF=Y")</f>
        <v>55.161200000000001</v>
      </c>
      <c r="R22" s="20">
        <f>_xll.BDH("BLUE US Equity","EV_TO_SH_OUT","FQ2 2023","FQ2 2023","Currency=USD","Period=FQ","BEST_FPERIOD_OVERRIDE=FQ","FILING_STATUS=MR","Sort=A","Dates=H","DateFormat=P","Fill=—","Direction=H","UseDPDF=Y")</f>
        <v>77.364400000000003</v>
      </c>
      <c r="S22" s="20">
        <f>_xll.BDH("BLUE US Equity","EV_TO_SH_OUT","FQ3 2023","FQ3 2023","Currency=USD","Period=FQ","BEST_FPERIOD_OVERRIDE=FQ","FILING_STATUS=MR","Sort=A","Dates=H","DateFormat=P","Fill=—","Direction=H","UseDPDF=Y")</f>
        <v>84.9846</v>
      </c>
      <c r="T22" s="20">
        <f>_xll.BDH("BLUE US Equity","EV_TO_SH_OUT","FQ4 2023","FQ4 2023","Currency=USD","Period=FQ","BEST_FPERIOD_OVERRIDE=FQ","FILING_STATUS=MR","Sort=A","Dates=H","DateFormat=P","Fill=—","Direction=H","UseDPDF=Y")</f>
        <v>38.864199999999997</v>
      </c>
      <c r="U22" s="20">
        <f>_xll.BDH("BLUE US Equity","EV_TO_SH_OUT","FQ1 2024","FQ1 2024","Currency=USD","Period=FQ","BEST_FPERIOD_OVERRIDE=FQ","FILING_STATUS=MR","Sort=A","Dates=H","DateFormat=P","Fill=—","Direction=H","UseDPDF=Y")</f>
        <v>46.500100000000003</v>
      </c>
      <c r="V22" s="20">
        <f>_xll.BDH("BLUE US Equity","EV_TO_SH_OUT","FQ2 2024","FQ2 2024","Currency=USD","Period=FQ","BEST_FPERIOD_OVERRIDE=FQ","FILING_STATUS=MR","Sort=A","Dates=H","DateFormat=P","Fill=—","Direction=H","UseDPDF=Y")</f>
        <v>45.100099999999998</v>
      </c>
      <c r="W22" s="20">
        <f>_xll.BDH("BLUE US Equity","EV_TO_SH_OUT","FQ3 2024","FQ3 2024","Currency=USD","Period=FQ","BEST_FPERIOD_OVERRIDE=FQ","FILING_STATUS=MR","Sort=A","Dates=H","DateFormat=P","Fill=—","Direction=H","UseDPDF=Y")</f>
        <v>40.750599999999999</v>
      </c>
      <c r="X22" s="20">
        <f>_xll.BDH("BLUE US Equity","EV_TO_SH_OUT","FQ4 2024","FQ4 2024","Currency=USD","Period=FQ","BEST_FPERIOD_OVERRIDE=FQ","FILING_STATUS=MR","Sort=A","Dates=H","DateFormat=P","Fill=—","Direction=H","UseDPDF=Y")</f>
        <v>38.414299999999997</v>
      </c>
      <c r="Y22" s="23">
        <v>38.414321546052598</v>
      </c>
      <c r="Z22" s="20"/>
      <c r="AA22" s="20"/>
    </row>
    <row r="23" spans="1:27" x14ac:dyDescent="0.25">
      <c r="A23" s="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1"/>
      <c r="Z23" s="18"/>
      <c r="AA23" s="18"/>
    </row>
    <row r="24" spans="1:27" x14ac:dyDescent="0.25">
      <c r="A24" s="6" t="s">
        <v>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21"/>
      <c r="Z24" s="18"/>
      <c r="AA24" s="18"/>
    </row>
    <row r="25" spans="1:27" x14ac:dyDescent="0.25">
      <c r="A25" s="11" t="s">
        <v>187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7"/>
      <c r="Z25" s="24"/>
      <c r="AA25" s="24"/>
    </row>
    <row r="26" spans="1:27" x14ac:dyDescent="0.25">
      <c r="A26" s="10" t="s">
        <v>188</v>
      </c>
      <c r="B26" s="10" t="s">
        <v>189</v>
      </c>
      <c r="C26" s="12" t="s">
        <v>190</v>
      </c>
      <c r="D26" s="12" t="s">
        <v>190</v>
      </c>
      <c r="E26" s="12" t="s">
        <v>190</v>
      </c>
      <c r="F26" s="12" t="s">
        <v>190</v>
      </c>
      <c r="G26" s="12" t="s">
        <v>190</v>
      </c>
      <c r="H26" s="12" t="s">
        <v>190</v>
      </c>
      <c r="I26" s="12" t="s">
        <v>190</v>
      </c>
      <c r="J26" s="12" t="s">
        <v>190</v>
      </c>
      <c r="K26" s="12" t="s">
        <v>190</v>
      </c>
      <c r="L26" s="12" t="s">
        <v>190</v>
      </c>
      <c r="M26" s="12" t="s">
        <v>190</v>
      </c>
      <c r="N26" s="12" t="s">
        <v>190</v>
      </c>
      <c r="O26" s="12" t="s">
        <v>190</v>
      </c>
      <c r="P26" s="12" t="s">
        <v>190</v>
      </c>
      <c r="Q26" s="12" t="s">
        <v>190</v>
      </c>
      <c r="R26" s="12" t="s">
        <v>190</v>
      </c>
      <c r="S26" s="12" t="s">
        <v>190</v>
      </c>
      <c r="T26" s="12" t="s">
        <v>190</v>
      </c>
      <c r="U26" s="12" t="s">
        <v>190</v>
      </c>
      <c r="V26" s="12" t="s">
        <v>190</v>
      </c>
      <c r="W26" s="12" t="s">
        <v>190</v>
      </c>
      <c r="X26" s="12" t="s">
        <v>190</v>
      </c>
      <c r="Y26" s="15" t="s">
        <v>190</v>
      </c>
      <c r="Z26" s="12"/>
      <c r="AA26" s="12"/>
    </row>
    <row r="27" spans="1:27" x14ac:dyDescent="0.25">
      <c r="A27" s="10" t="s">
        <v>191</v>
      </c>
      <c r="B27" s="10" t="s">
        <v>192</v>
      </c>
      <c r="C27" s="13">
        <f>_xll.BDH("BLUE US Equity","TRAIL_12M_NET_SALES","FQ3 2019","FQ3 2019","Currency=USD","Period=FQ","BEST_FPERIOD_OVERRIDE=FQ","FILING_STATUS=MR","SCALING_FORMAT=MLN","FA_ADJUSTED=GAAP","Sort=A","Dates=H","DateFormat=P","Fill=—","Direction=H","UseDPDF=Y")</f>
        <v>53.92</v>
      </c>
      <c r="D27" s="13">
        <f>_xll.BDH("BLUE US Equity","TRAIL_12M_NET_SALES","FQ4 2019","FQ4 2019","Currency=USD","Period=FQ","BEST_FPERIOD_OVERRIDE=FQ","FILING_STATUS=MR","SCALING_FORMAT=MLN","FA_ADJUSTED=GAAP","Sort=A","Dates=H","DateFormat=P","Fill=—","Direction=H","UseDPDF=Y")</f>
        <v>44.673999999999999</v>
      </c>
      <c r="E27" s="13">
        <f>_xll.BDH("BLUE US Equity","TRAIL_12M_NET_SALES","FQ1 2020","FQ1 2020","Currency=USD","Period=FQ","BEST_FPERIOD_OVERRIDE=FQ","FILING_STATUS=MR","SCALING_FORMAT=MLN","FA_ADJUSTED=GAAP","Sort=A","Dates=H","DateFormat=P","Fill=—","Direction=H","UseDPDF=Y")</f>
        <v>54.066000000000003</v>
      </c>
      <c r="F27" s="13">
        <f>_xll.BDH("BLUE US Equity","TRAIL_12M_NET_SALES","FQ2 2020","FQ2 2020","Currency=USD","Period=FQ","BEST_FPERIOD_OVERRIDE=FQ","FILING_STATUS=MR","SCALING_FORMAT=MLN","FA_ADJUSTED=GAAP","Sort=A","Dates=H","DateFormat=P","Fill=—","Direction=H","UseDPDF=Y")</f>
        <v>239.66</v>
      </c>
      <c r="G27" s="13">
        <f>_xll.BDH("BLUE US Equity","TRAIL_12M_NET_SALES","FQ3 2020","FQ3 2020","Currency=USD","Period=FQ","BEST_FPERIOD_OVERRIDE=FQ","FILING_STATUS=MR","SCALING_FORMAT=MLN","FA_ADJUSTED=GAAP","Sort=A","Dates=H","DateFormat=P","Fill=—","Direction=H","UseDPDF=Y")</f>
        <v>250.023</v>
      </c>
      <c r="H27" s="13">
        <f>_xll.BDH("BLUE US Equity","TRAIL_12M_NET_SALES","FQ4 2020","FQ4 2020","Currency=USD","Period=FQ","BEST_FPERIOD_OVERRIDE=FQ","FILING_STATUS=MR","SCALING_FORMAT=MLN","FA_ADJUSTED=GAAP","Sort=A","Dates=H","DateFormat=P","Fill=—","Direction=H","UseDPDF=Y")</f>
        <v>240.02600000000001</v>
      </c>
      <c r="I27" s="13">
        <f>_xll.BDH("BLUE US Equity","TRAIL_12M_NET_SALES","FQ1 2021","FQ1 2021","Currency=USD","Period=FQ","BEST_FPERIOD_OVERRIDE=FQ","FILING_STATUS=MR","SCALING_FORMAT=MLN","FA_ADJUSTED=GAAP","Sort=A","Dates=H","DateFormat=P","Fill=—","Direction=H","UseDPDF=Y")</f>
        <v>219.05699999999999</v>
      </c>
      <c r="J27" s="13">
        <f>_xll.BDH("BLUE US Equity","TRAIL_12M_NET_SALES","FQ2 2021","FQ2 2021","Currency=USD","Period=FQ","BEST_FPERIOD_OVERRIDE=FQ","FILING_STATUS=MR","SCALING_FORMAT=MLN","FA_ADJUSTED=GAAP","Sort=A","Dates=H","DateFormat=P","Fill=—","Direction=H","UseDPDF=Y")</f>
        <v>27.638999999999999</v>
      </c>
      <c r="K27" s="13">
        <f>_xll.BDH("BLUE US Equity","TRAIL_12M_NET_SALES","FQ3 2021","FQ3 2021","Currency=USD","Period=FQ","BEST_FPERIOD_OVERRIDE=FQ","FILING_STATUS=MR","SCALING_FORMAT=MLN","FA_ADJUSTED=GAAP","Sort=A","Dates=H","DateFormat=P","Fill=—","Direction=H","UseDPDF=Y")</f>
        <v>9.3849999999999998</v>
      </c>
      <c r="L27" s="13">
        <f>_xll.BDH("BLUE US Equity","TRAIL_12M_NET_SALES","FQ4 2021","FQ4 2021","Currency=USD","Period=FQ","BEST_FPERIOD_OVERRIDE=FQ","FILING_STATUS=MR","SCALING_FORMAT=MLN","FA_ADJUSTED=GAAP","Sort=A","Dates=H","DateFormat=P","Fill=—","Direction=H","UseDPDF=Y")</f>
        <v>10.991</v>
      </c>
      <c r="M27" s="13">
        <f>_xll.BDH("BLUE US Equity","TRAIL_12M_NET_SALES","FQ1 2022","FQ1 2022","Currency=USD","Period=FQ","BEST_FPERIOD_OVERRIDE=FQ","FILING_STATUS=MR","SCALING_FORMAT=MLN","FA_ADJUSTED=GAAP","Sort=A","Dates=H","DateFormat=P","Fill=—","Direction=H","UseDPDF=Y")</f>
        <v>12.042</v>
      </c>
      <c r="N27" s="13">
        <f>_xll.BDH("BLUE US Equity","TRAIL_12M_NET_SALES","FQ2 2022","FQ2 2022","Currency=USD","Period=FQ","BEST_FPERIOD_OVERRIDE=FQ","FILING_STATUS=MR","SCALING_FORMAT=MLN","FA_ADJUSTED=GAAP","Sort=A","Dates=H","DateFormat=P","Fill=—","Direction=H","UseDPDF=Y")</f>
        <v>6.0890000000000004</v>
      </c>
      <c r="O27" s="13">
        <f>_xll.BDH("BLUE US Equity","TRAIL_12M_NET_SALES","FQ3 2022","FQ3 2022","Currency=USD","Period=FQ","BEST_FPERIOD_OVERRIDE=FQ","FILING_STATUS=MR","SCALING_FORMAT=MLN","FA_ADJUSTED=GAAP","Sort=A","Dates=H","DateFormat=P","Fill=—","Direction=H","UseDPDF=Y")</f>
        <v>5.141</v>
      </c>
      <c r="P27" s="13">
        <f>_xll.BDH("BLUE US Equity","TRAIL_12M_NET_SALES","FQ4 2022","FQ4 2022","Currency=USD","Period=FQ","BEST_FPERIOD_OVERRIDE=FQ","FILING_STATUS=MR","SCALING_FORMAT=MLN","FA_ADJUSTED=GAAP","Sort=A","Dates=H","DateFormat=P","Fill=—","Direction=H","UseDPDF=Y")</f>
        <v>3.597</v>
      </c>
      <c r="Q27" s="13">
        <f>_xll.BDH("BLUE US Equity","TRAIL_12M_NET_SALES","FQ1 2023","FQ1 2023","Currency=USD","Period=FQ","BEST_FPERIOD_OVERRIDE=FQ","FILING_STATUS=MR","SCALING_FORMAT=MLN","FA_ADJUSTED=GAAP","Sort=A","Dates=H","DateFormat=P","Fill=—","Direction=H","UseDPDF=Y")</f>
        <v>4.0330000000000004</v>
      </c>
      <c r="R27" s="13">
        <f>_xll.BDH("BLUE US Equity","TRAIL_12M_NET_SALES","FQ2 2023","FQ2 2023","Currency=USD","Period=FQ","BEST_FPERIOD_OVERRIDE=FQ","FILING_STATUS=MR","SCALING_FORMAT=MLN","FA_ADJUSTED=GAAP","Sort=A","Dates=H","DateFormat=P","Fill=—","Direction=H","UseDPDF=Y")</f>
        <v>9.4039999999999999</v>
      </c>
      <c r="S27" s="13">
        <f>_xll.BDH("BLUE US Equity","TRAIL_12M_NET_SALES","FQ3 2023","FQ3 2023","Currency=USD","Period=FQ","BEST_FPERIOD_OVERRIDE=FQ","FILING_STATUS=MR","SCALING_FORMAT=MLN","FA_ADJUSTED=GAAP","Sort=A","Dates=H","DateFormat=P","Fill=—","Direction=H","UseDPDF=Y")</f>
        <v>21.725000000000001</v>
      </c>
      <c r="T27" s="13">
        <f>_xll.BDH("BLUE US Equity","TRAIL_12M_NET_SALES","FQ4 2023","FQ4 2023","Currency=USD","Period=FQ","BEST_FPERIOD_OVERRIDE=FQ","FILING_STATUS=MR","SCALING_FORMAT=MLN","FA_ADJUSTED=GAAP","Sort=A","Dates=H","DateFormat=P","Fill=—","Direction=H","UseDPDF=Y")</f>
        <v>29.497</v>
      </c>
      <c r="U27" s="13">
        <f>_xll.BDH("BLUE US Equity","TRAIL_12M_NET_SALES","FQ1 2024","FQ1 2024","Currency=USD","Period=FQ","BEST_FPERIOD_OVERRIDE=FQ","FILING_STATUS=MR","SCALING_FORMAT=MLN","FA_ADJUSTED=GAAP","Sort=A","Dates=H","DateFormat=P","Fill=—","Direction=H","UseDPDF=Y")</f>
        <v>45.689</v>
      </c>
      <c r="V27" s="13">
        <f>_xll.BDH("BLUE US Equity","TRAIL_12M_NET_SALES","FQ2 2024","FQ2 2024","Currency=USD","Period=FQ","BEST_FPERIOD_OVERRIDE=FQ","FILING_STATUS=MR","SCALING_FORMAT=MLN","FA_ADJUSTED=GAAP","Sort=A","Dates=H","DateFormat=P","Fill=—","Direction=H","UseDPDF=Y")</f>
        <v>54.9</v>
      </c>
      <c r="W27" s="13">
        <f>_xll.BDH("BLUE US Equity","TRAIL_12M_NET_SALES","FQ3 2024","FQ3 2024","Currency=USD","Period=FQ","BEST_FPERIOD_OVERRIDE=FQ","FILING_STATUS=MR","SCALING_FORMAT=MLN","FA_ADJUSTED=GAAP","Sort=A","Dates=H","DateFormat=P","Fill=—","Direction=H","UseDPDF=Y")</f>
        <v>53.12</v>
      </c>
      <c r="X27" s="13">
        <f>_xll.BDH("BLUE US Equity","TRAIL_12M_NET_SALES","FQ4 2024","FQ4 2024","Currency=USD","Period=FQ","BEST_FPERIOD_OVERRIDE=FQ","FILING_STATUS=MR","SCALING_FORMAT=MLN","FA_ADJUSTED=GAAP","Sort=A","Dates=H","DateFormat=P","Fill=—","Direction=H","UseDPDF=Y")</f>
        <v>83.807000000000002</v>
      </c>
      <c r="Y27" s="16">
        <v>83.807000000000002</v>
      </c>
      <c r="Z27" s="13">
        <v>256</v>
      </c>
      <c r="AA27" s="13">
        <v>338.88299999999998</v>
      </c>
    </row>
    <row r="28" spans="1:27" x14ac:dyDescent="0.25">
      <c r="A28" s="10" t="s">
        <v>78</v>
      </c>
      <c r="B28" s="10" t="s">
        <v>193</v>
      </c>
      <c r="C28" s="13">
        <f>_xll.BDH("BLUE US Equity","TRAIL_12M_EBITDA","FQ3 2019","FQ3 2019","Currency=USD","Period=FQ","BEST_FPERIOD_OVERRIDE=FQ","FILING_STATUS=MR","SCALING_FORMAT=MLN","FA_ADJUSTED=GAAP","Sort=A","Dates=H","DateFormat=P","Fill=—","Direction=H","UseDPDF=Y")</f>
        <v>-698.08699999999999</v>
      </c>
      <c r="D28" s="13">
        <f>_xll.BDH("BLUE US Equity","TRAIL_12M_EBITDA","FQ4 2019","FQ4 2019","Currency=USD","Period=FQ","BEST_FPERIOD_OVERRIDE=FQ","FILING_STATUS=MR","SCALING_FORMAT=MLN","FA_ADJUSTED=GAAP","Sort=A","Dates=H","DateFormat=P","Fill=—","Direction=H","UseDPDF=Y")</f>
        <v>-762.04700000000003</v>
      </c>
      <c r="E28" s="13">
        <f>_xll.BDH("BLUE US Equity","TRAIL_12M_EBITDA","FQ1 2020","FQ1 2020","Currency=USD","Period=FQ","BEST_FPERIOD_OVERRIDE=FQ","FILING_STATUS=MR","SCALING_FORMAT=MLN","FA_ADJUSTED=GAAP","Sort=A","Dates=H","DateFormat=P","Fill=—","Direction=H","UseDPDF=Y")</f>
        <v>-801.68399999999997</v>
      </c>
      <c r="F28" s="13">
        <f>_xll.BDH("BLUE US Equity","TRAIL_12M_EBITDA","FQ2 2020","FQ2 2020","Currency=USD","Period=FQ","BEST_FPERIOD_OVERRIDE=FQ","FILING_STATUS=MR","SCALING_FORMAT=MLN","FA_ADJUSTED=GAAP","Sort=A","Dates=H","DateFormat=P","Fill=—","Direction=H","UseDPDF=Y")</f>
        <v>-633.34199999999998</v>
      </c>
      <c r="G28" s="13">
        <f>_xll.BDH("BLUE US Equity","TRAIL_12M_EBITDA","FQ3 2020","FQ3 2020","Currency=USD","Period=FQ","BEST_FPERIOD_OVERRIDE=FQ","FILING_STATUS=MR","SCALING_FORMAT=MLN","FA_ADJUSTED=GAAP","Sort=A","Dates=H","DateFormat=P","Fill=—","Direction=H","UseDPDF=Y")</f>
        <v>-621.06200000000001</v>
      </c>
      <c r="H28" s="13">
        <f>_xll.BDH("BLUE US Equity","TRAIL_12M_EBITDA","FQ4 2020","FQ4 2020","Currency=USD","Period=FQ","BEST_FPERIOD_OVERRIDE=FQ","FILING_STATUS=MR","SCALING_FORMAT=MLN","FA_ADJUSTED=GAAP","Sort=A","Dates=H","DateFormat=P","Fill=—","Direction=H","UseDPDF=Y")</f>
        <v>-539.09500000000003</v>
      </c>
      <c r="I28" s="13">
        <f>_xll.BDH("BLUE US Equity","TRAIL_12M_EBITDA","FQ1 2021","FQ1 2021","Currency=USD","Period=FQ","BEST_FPERIOD_OVERRIDE=FQ","FILING_STATUS=MR","SCALING_FORMAT=MLN","FA_ADJUSTED=GAAP","Sort=A","Dates=H","DateFormat=P","Fill=—","Direction=H","UseDPDF=Y")</f>
        <v>-481.28399999999999</v>
      </c>
      <c r="J28" s="13">
        <f>_xll.BDH("BLUE US Equity","TRAIL_12M_EBITDA","FQ2 2021","FQ2 2021","Currency=USD","Period=FQ","BEST_FPERIOD_OVERRIDE=FQ","FILING_STATUS=MR","SCALING_FORMAT=MLN","FA_ADJUSTED=GAAP","Sort=A","Dates=H","DateFormat=P","Fill=—","Direction=H","UseDPDF=Y")</f>
        <v>-694.73400000000004</v>
      </c>
      <c r="K28" s="13">
        <f>_xll.BDH("BLUE US Equity","TRAIL_12M_EBITDA","FQ3 2021","FQ3 2021","Currency=USD","Period=FQ","BEST_FPERIOD_OVERRIDE=FQ","FILING_STATUS=MR","SCALING_FORMAT=MLN","FA_ADJUSTED=GAAP","Sort=A","Dates=H","DateFormat=P","Fill=—","Direction=H","UseDPDF=Y")</f>
        <v>-658.45500000000004</v>
      </c>
      <c r="L28" s="13">
        <f>_xll.BDH("BLUE US Equity","TRAIL_12M_EBITDA","FQ4 2021","FQ4 2021","Currency=USD","Period=FQ","BEST_FPERIOD_OVERRIDE=FQ","FILING_STATUS=MR","SCALING_FORMAT=MLN","FA_ADJUSTED=GAAP","Sort=A","Dates=H","DateFormat=P","Fill=—","Direction=H","UseDPDF=Y")</f>
        <v>-657.399</v>
      </c>
      <c r="M28" s="13">
        <f>_xll.BDH("BLUE US Equity","TRAIL_12M_EBITDA","FQ1 2022","FQ1 2022","Currency=USD","Period=FQ","BEST_FPERIOD_OVERRIDE=FQ","FILING_STATUS=MR","SCALING_FORMAT=MLN","FA_ADJUSTED=GAAP","Sort=A","Dates=H","DateFormat=P","Fill=—","Direction=H","UseDPDF=Y")</f>
        <v>-635.99699999999996</v>
      </c>
      <c r="N28" s="13">
        <f>_xll.BDH("BLUE US Equity","TRAIL_12M_EBITDA","FQ2 2022","FQ2 2022","Currency=USD","Period=FQ","BEST_FPERIOD_OVERRIDE=FQ","FILING_STATUS=MR","SCALING_FORMAT=MLN","FA_ADJUSTED=GAAP","Sort=A","Dates=H","DateFormat=P","Fill=—","Direction=H","UseDPDF=Y")</f>
        <v>-507.20800000000003</v>
      </c>
      <c r="O28" s="13">
        <f>_xll.BDH("BLUE US Equity","TRAIL_12M_EBITDA","FQ3 2022","FQ3 2022","Currency=USD","Period=FQ","BEST_FPERIOD_OVERRIDE=FQ","FILING_STATUS=MR","SCALING_FORMAT=MLN","FA_ADJUSTED=GAAP","Sort=A","Dates=H","DateFormat=P","Fill=—","Direction=H","UseDPDF=Y")</f>
        <v>-442.13499999999999</v>
      </c>
      <c r="P28" s="13">
        <f>_xll.BDH("BLUE US Equity","TRAIL_12M_EBITDA","FQ4 2022","FQ4 2022","Currency=USD","Period=FQ","BEST_FPERIOD_OVERRIDE=FQ","FILING_STATUS=MR","SCALING_FORMAT=MLN","FA_ADJUSTED=GAAP","Sort=A","Dates=H","DateFormat=P","Fill=—","Direction=H","UseDPDF=Y")</f>
        <v>-241.84100000000001</v>
      </c>
      <c r="Q28" s="13">
        <f>_xll.BDH("BLUE US Equity","TRAIL_12M_EBITDA","FQ1 2023","FQ1 2023","Currency=USD","Period=FQ","BEST_FPERIOD_OVERRIDE=FQ","FILING_STATUS=MR","SCALING_FORMAT=MLN","FA_ADJUSTED=GAAP","Sort=A","Dates=H","DateFormat=P","Fill=—","Direction=H","UseDPDF=Y")</f>
        <v>-104.23</v>
      </c>
      <c r="R28" s="13">
        <f>_xll.BDH("BLUE US Equity","TRAIL_12M_EBITDA","FQ2 2023","FQ2 2023","Currency=USD","Period=FQ","BEST_FPERIOD_OVERRIDE=FQ","FILING_STATUS=MR","SCALING_FORMAT=MLN","FA_ADJUSTED=GAAP","Sort=A","Dates=H","DateFormat=P","Fill=—","Direction=H","UseDPDF=Y")</f>
        <v>-62.716000000000001</v>
      </c>
      <c r="S28" s="13">
        <f>_xll.BDH("BLUE US Equity","TRAIL_12M_EBITDA","FQ3 2023","FQ3 2023","Currency=USD","Period=FQ","BEST_FPERIOD_OVERRIDE=FQ","FILING_STATUS=MR","SCALING_FORMAT=MLN","FA_ADJUSTED=GAAP","Sort=A","Dates=H","DateFormat=P","Fill=—","Direction=H","UseDPDF=Y")</f>
        <v>-66.19</v>
      </c>
      <c r="T28" s="13">
        <f>_xll.BDH("BLUE US Equity","TRAIL_12M_EBITDA","FQ4 2023","FQ4 2023","Currency=USD","Period=FQ","BEST_FPERIOD_OVERRIDE=FQ","FILING_STATUS=MR","SCALING_FORMAT=MLN","FA_ADJUSTED=GAAP","Sort=A","Dates=H","DateFormat=P","Fill=—","Direction=H","UseDPDF=Y")</f>
        <v>-190.40299999999999</v>
      </c>
      <c r="U28" s="13">
        <f>_xll.BDH("BLUE US Equity","TRAIL_12M_EBITDA","FQ1 2024","FQ1 2024","Currency=USD","Period=FQ","BEST_FPERIOD_OVERRIDE=FQ","FILING_STATUS=MR","SCALING_FORMAT=MLN","FA_ADJUSTED=GAAP","Sort=A","Dates=H","DateFormat=P","Fill=—","Direction=H","UseDPDF=Y")</f>
        <v>-272.76499999999999</v>
      </c>
      <c r="V28" s="13">
        <f>_xll.BDH("BLUE US Equity","TRAIL_12M_EBITDA","FQ2 2024","FQ2 2024","Currency=USD","Period=FQ","BEST_FPERIOD_OVERRIDE=FQ","FILING_STATUS=MR","SCALING_FORMAT=MLN","FA_ADJUSTED=GAAP","Sort=A","Dates=H","DateFormat=P","Fill=—","Direction=H","UseDPDF=Y")</f>
        <v>-280.863</v>
      </c>
      <c r="W28" s="13">
        <f>_xll.BDH("BLUE US Equity","TRAIL_12M_EBITDA","FQ3 2024","FQ3 2024","Currency=USD","Period=FQ","BEST_FPERIOD_OVERRIDE=FQ","FILING_STATUS=MR","SCALING_FORMAT=MLN","FA_ADJUSTED=GAAP","Sort=A","Dates=H","DateFormat=P","Fill=—","Direction=H","UseDPDF=Y")</f>
        <v>-245.57</v>
      </c>
      <c r="X28" s="13">
        <f>_xll.BDH("BLUE US Equity","TRAIL_12M_EBITDA","FQ4 2024","FQ4 2024","Currency=USD","Period=FQ","BEST_FPERIOD_OVERRIDE=FQ","FILING_STATUS=MR","SCALING_FORMAT=MLN","FA_ADJUSTED=GAAP","Sort=A","Dates=H","DateFormat=P","Fill=—","Direction=H","UseDPDF=Y")</f>
        <v>-217.69499999999999</v>
      </c>
      <c r="Y28" s="16">
        <v>-217.69499999999999</v>
      </c>
      <c r="Z28" s="13"/>
      <c r="AA28" s="13"/>
    </row>
    <row r="29" spans="1:27" x14ac:dyDescent="0.25">
      <c r="A29" s="10" t="s">
        <v>141</v>
      </c>
      <c r="B29" s="10" t="s">
        <v>194</v>
      </c>
      <c r="C29" s="13">
        <f>_xll.BDH("BLUE US Equity","TRAIL_12M_OPER_INC","FQ3 2019","FQ3 2019","Currency=USD","Period=FQ","BEST_FPERIOD_OVERRIDE=FQ","FILING_STATUS=MR","SCALING_FORMAT=MLN","FA_ADJUSTED=GAAP","Sort=A","Dates=H","DateFormat=P","Fill=—","Direction=H","UseDPDF=Y")</f>
        <v>-741.25300000000004</v>
      </c>
      <c r="D29" s="13">
        <f>_xll.BDH("BLUE US Equity","TRAIL_12M_OPER_INC","FQ4 2019","FQ4 2019","Currency=USD","Period=FQ","BEST_FPERIOD_OVERRIDE=FQ","FILING_STATUS=MR","SCALING_FORMAT=MLN","FA_ADJUSTED=GAAP","Sort=A","Dates=H","DateFormat=P","Fill=—","Direction=H","UseDPDF=Y")</f>
        <v>-814.82600000000002</v>
      </c>
      <c r="E29" s="13">
        <f>_xll.BDH("BLUE US Equity","TRAIL_12M_OPER_INC","FQ1 2020","FQ1 2020","Currency=USD","Period=FQ","BEST_FPERIOD_OVERRIDE=FQ","FILING_STATUS=MR","SCALING_FORMAT=MLN","FA_ADJUSTED=GAAP","Sort=A","Dates=H","DateFormat=P","Fill=—","Direction=H","UseDPDF=Y")</f>
        <v>-847.077</v>
      </c>
      <c r="F29" s="13">
        <f>_xll.BDH("BLUE US Equity","TRAIL_12M_OPER_INC","FQ2 2020","FQ2 2020","Currency=USD","Period=FQ","BEST_FPERIOD_OVERRIDE=FQ","FILING_STATUS=MR","SCALING_FORMAT=MLN","FA_ADJUSTED=GAAP","Sort=A","Dates=H","DateFormat=P","Fill=—","Direction=H","UseDPDF=Y")</f>
        <v>-670.32</v>
      </c>
      <c r="G29" s="13">
        <f>_xll.BDH("BLUE US Equity","TRAIL_12M_OPER_INC","FQ3 2020","FQ3 2020","Currency=USD","Period=FQ","BEST_FPERIOD_OVERRIDE=FQ","FILING_STATUS=MR","SCALING_FORMAT=MLN","FA_ADJUSTED=GAAP","Sort=A","Dates=H","DateFormat=P","Fill=—","Direction=H","UseDPDF=Y")</f>
        <v>-649.59799999999996</v>
      </c>
      <c r="H29" s="13">
        <f>_xll.BDH("BLUE US Equity","TRAIL_12M_OPER_INC","FQ4 2020","FQ4 2020","Currency=USD","Period=FQ","BEST_FPERIOD_OVERRIDE=FQ","FILING_STATUS=MR","SCALING_FORMAT=MLN","FA_ADJUSTED=GAAP","Sort=A","Dates=H","DateFormat=P","Fill=—","Direction=H","UseDPDF=Y")</f>
        <v>-558.45100000000002</v>
      </c>
      <c r="I29" s="13">
        <f>_xll.BDH("BLUE US Equity","TRAIL_12M_OPER_INC","FQ1 2021","FQ1 2021","Currency=USD","Period=FQ","BEST_FPERIOD_OVERRIDE=FQ","FILING_STATUS=MR","SCALING_FORMAT=MLN","FA_ADJUSTED=GAAP","Sort=A","Dates=H","DateFormat=P","Fill=—","Direction=H","UseDPDF=Y")</f>
        <v>-501.12</v>
      </c>
      <c r="J29" s="13">
        <f>_xll.BDH("BLUE US Equity","TRAIL_12M_OPER_INC","FQ2 2021","FQ2 2021","Currency=USD","Period=FQ","BEST_FPERIOD_OVERRIDE=FQ","FILING_STATUS=MR","SCALING_FORMAT=MLN","FA_ADJUSTED=GAAP","Sort=A","Dates=H","DateFormat=P","Fill=—","Direction=H","UseDPDF=Y")</f>
        <v>-716.01300000000003</v>
      </c>
      <c r="K29" s="13">
        <f>_xll.BDH("BLUE US Equity","TRAIL_12M_OPER_INC","FQ3 2021","FQ3 2021","Currency=USD","Period=FQ","BEST_FPERIOD_OVERRIDE=FQ","FILING_STATUS=MR","SCALING_FORMAT=MLN","FA_ADJUSTED=GAAP","Sort=A","Dates=H","DateFormat=P","Fill=—","Direction=H","UseDPDF=Y")</f>
        <v>-680.76800000000003</v>
      </c>
      <c r="L29" s="13">
        <f>_xll.BDH("BLUE US Equity","TRAIL_12M_OPER_INC","FQ4 2021","FQ4 2021","Currency=USD","Period=FQ","BEST_FPERIOD_OVERRIDE=FQ","FILING_STATUS=MR","SCALING_FORMAT=MLN","FA_ADJUSTED=GAAP","Sort=A","Dates=H","DateFormat=P","Fill=—","Direction=H","UseDPDF=Y")</f>
        <v>-677.048</v>
      </c>
      <c r="M29" s="13">
        <f>_xll.BDH("BLUE US Equity","TRAIL_12M_OPER_INC","FQ1 2022","FQ1 2022","Currency=USD","Period=FQ","BEST_FPERIOD_OVERRIDE=FQ","FILING_STATUS=MR","SCALING_FORMAT=MLN","FA_ADJUSTED=GAAP","Sort=A","Dates=H","DateFormat=P","Fill=—","Direction=H","UseDPDF=Y")</f>
        <v>-651.29999999999995</v>
      </c>
      <c r="N29" s="13">
        <f>_xll.BDH("BLUE US Equity","TRAIL_12M_OPER_INC","FQ2 2022","FQ2 2022","Currency=USD","Period=FQ","BEST_FPERIOD_OVERRIDE=FQ","FILING_STATUS=MR","SCALING_FORMAT=MLN","FA_ADJUSTED=GAAP","Sort=A","Dates=H","DateFormat=P","Fill=—","Direction=H","UseDPDF=Y")</f>
        <v>-517.86199999999997</v>
      </c>
      <c r="O29" s="13">
        <f>_xll.BDH("BLUE US Equity","TRAIL_12M_OPER_INC","FQ3 2022","FQ3 2022","Currency=USD","Period=FQ","BEST_FPERIOD_OVERRIDE=FQ","FILING_STATUS=MR","SCALING_FORMAT=MLN","FA_ADJUSTED=GAAP","Sort=A","Dates=H","DateFormat=P","Fill=—","Direction=H","UseDPDF=Y")</f>
        <v>-448.19400000000002</v>
      </c>
      <c r="P29" s="13">
        <f>_xll.BDH("BLUE US Equity","TRAIL_12M_OPER_INC","FQ4 2022","FQ4 2022","Currency=USD","Period=FQ","BEST_FPERIOD_OVERRIDE=FQ","FILING_STATUS=MR","SCALING_FORMAT=MLN","FA_ADJUSTED=GAAP","Sort=A","Dates=H","DateFormat=P","Fill=—","Direction=H","UseDPDF=Y")</f>
        <v>-250.185</v>
      </c>
      <c r="Q29" s="13">
        <f>_xll.BDH("BLUE US Equity","TRAIL_12M_OPER_INC","FQ1 2023","FQ1 2023","Currency=USD","Period=FQ","BEST_FPERIOD_OVERRIDE=FQ","FILING_STATUS=MR","SCALING_FORMAT=MLN","FA_ADJUSTED=GAAP","Sort=A","Dates=H","DateFormat=P","Fill=—","Direction=H","UseDPDF=Y")</f>
        <v>-119.09399999999999</v>
      </c>
      <c r="R29" s="13">
        <f>_xll.BDH("BLUE US Equity","TRAIL_12M_OPER_INC","FQ2 2023","FQ2 2023","Currency=USD","Period=FQ","BEST_FPERIOD_OVERRIDE=FQ","FILING_STATUS=MR","SCALING_FORMAT=MLN","FA_ADJUSTED=GAAP","Sort=A","Dates=H","DateFormat=P","Fill=—","Direction=H","UseDPDF=Y")</f>
        <v>-83.411000000000001</v>
      </c>
      <c r="S29" s="13">
        <f>_xll.BDH("BLUE US Equity","TRAIL_12M_OPER_INC","FQ3 2023","FQ3 2023","Currency=USD","Period=FQ","BEST_FPERIOD_OVERRIDE=FQ","FILING_STATUS=MR","SCALING_FORMAT=MLN","FA_ADJUSTED=GAAP","Sort=A","Dates=H","DateFormat=P","Fill=—","Direction=H","UseDPDF=Y")</f>
        <v>-94.635999999999996</v>
      </c>
      <c r="T29" s="13">
        <f>_xll.BDH("BLUE US Equity","TRAIL_12M_OPER_INC","FQ4 2023","FQ4 2023","Currency=USD","Period=FQ","BEST_FPERIOD_OVERRIDE=FQ","FILING_STATUS=MR","SCALING_FORMAT=MLN","FA_ADJUSTED=GAAP","Sort=A","Dates=H","DateFormat=P","Fill=—","Direction=H","UseDPDF=Y")</f>
        <v>-239.65100000000001</v>
      </c>
      <c r="U29" s="13">
        <f>_xll.BDH("BLUE US Equity","TRAIL_12M_OPER_INC","FQ1 2024","FQ1 2024","Currency=USD","Period=FQ","BEST_FPERIOD_OVERRIDE=FQ","FILING_STATUS=MR","SCALING_FORMAT=MLN","FA_ADJUSTED=GAAP","Sort=A","Dates=H","DateFormat=P","Fill=—","Direction=H","UseDPDF=Y")</f>
        <v>-329.08800000000002</v>
      </c>
      <c r="V29" s="13">
        <f>_xll.BDH("BLUE US Equity","TRAIL_12M_OPER_INC","FQ2 2024","FQ2 2024","Currency=USD","Period=FQ","BEST_FPERIOD_OVERRIDE=FQ","FILING_STATUS=MR","SCALING_FORMAT=MLN","FA_ADJUSTED=GAAP","Sort=A","Dates=H","DateFormat=P","Fill=—","Direction=H","UseDPDF=Y")</f>
        <v>-345.76299999999998</v>
      </c>
      <c r="W29" s="13">
        <f>_xll.BDH("BLUE US Equity","TRAIL_12M_OPER_INC","FQ3 2024","FQ3 2024","Currency=USD","Period=FQ","BEST_FPERIOD_OVERRIDE=FQ","FILING_STATUS=MR","SCALING_FORMAT=MLN","FA_ADJUSTED=GAAP","Sort=A","Dates=H","DateFormat=P","Fill=—","Direction=H","UseDPDF=Y")</f>
        <v>-316.67599999999999</v>
      </c>
      <c r="X29" s="13">
        <f>_xll.BDH("BLUE US Equity","TRAIL_12M_OPER_INC","FQ4 2024","FQ4 2024","Currency=USD","Period=FQ","BEST_FPERIOD_OVERRIDE=FQ","FILING_STATUS=MR","SCALING_FORMAT=MLN","FA_ADJUSTED=GAAP","Sort=A","Dates=H","DateFormat=P","Fill=—","Direction=H","UseDPDF=Y")</f>
        <v>-270.46100000000001</v>
      </c>
      <c r="Y29" s="16">
        <v>-270.46100000000001</v>
      </c>
      <c r="Z29" s="13">
        <v>-82.625</v>
      </c>
      <c r="AA29" s="13">
        <v>-15.109</v>
      </c>
    </row>
    <row r="30" spans="1:27" x14ac:dyDescent="0.25">
      <c r="A30" s="7" t="s">
        <v>90</v>
      </c>
      <c r="B30" s="7"/>
      <c r="C30" s="7" t="s">
        <v>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195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163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164</v>
      </c>
      <c r="Z5" s="5" t="s">
        <v>57</v>
      </c>
      <c r="AA5" s="5" t="s">
        <v>58</v>
      </c>
    </row>
    <row r="6" spans="1:27" x14ac:dyDescent="0.25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21"/>
      <c r="Z6" s="18"/>
      <c r="AA6" s="18"/>
    </row>
    <row r="7" spans="1:27" x14ac:dyDescent="0.25">
      <c r="A7" s="6" t="s">
        <v>196</v>
      </c>
      <c r="B7" s="6" t="s">
        <v>197</v>
      </c>
      <c r="C7" s="20">
        <f>_xll.BDH("BLUE US Equity","PX_TO_BOOK_RATIO","FQ3 2019","FQ3 2019","Currency=USD","Period=FQ","BEST_FPERIOD_OVERRIDE=FQ","FILING_STATUS=MR","Sort=A","Dates=H","DateFormat=P","Fill=—","Direction=H","UseDPDF=Y")</f>
        <v>3.4514</v>
      </c>
      <c r="D7" s="20">
        <f>_xll.BDH("BLUE US Equity","PX_TO_BOOK_RATIO","FQ4 2019","FQ4 2019","Currency=USD","Period=FQ","BEST_FPERIOD_OVERRIDE=FQ","FILING_STATUS=MR","Sort=A","Dates=H","DateFormat=P","Fill=—","Direction=H","UseDPDF=Y")</f>
        <v>3.7810000000000001</v>
      </c>
      <c r="E7" s="20">
        <f>_xll.BDH("BLUE US Equity","PX_TO_BOOK_RATIO","FQ1 2020","FQ1 2020","Currency=USD","Period=FQ","BEST_FPERIOD_OVERRIDE=FQ","FILING_STATUS=MR","Sort=A","Dates=H","DateFormat=P","Fill=—","Direction=H","UseDPDF=Y")</f>
        <v>2.2814999999999999</v>
      </c>
      <c r="F7" s="20">
        <f>_xll.BDH("BLUE US Equity","PX_TO_BOOK_RATIO","FQ2 2020","FQ2 2020","Currency=USD","Period=FQ","BEST_FPERIOD_OVERRIDE=FQ","FILING_STATUS=MR","Sort=A","Dates=H","DateFormat=P","Fill=—","Direction=H","UseDPDF=Y")</f>
        <v>2.4022000000000001</v>
      </c>
      <c r="G7" s="20">
        <f>_xll.BDH("BLUE US Equity","PX_TO_BOOK_RATIO","FQ3 2020","FQ3 2020","Currency=USD","Period=FQ","BEST_FPERIOD_OVERRIDE=FQ","FILING_STATUS=MR","Sort=A","Dates=H","DateFormat=P","Fill=—","Direction=H","UseDPDF=Y")</f>
        <v>2.3498999999999999</v>
      </c>
      <c r="H7" s="20">
        <f>_xll.BDH("BLUE US Equity","PX_TO_BOOK_RATIO","FQ4 2020","FQ4 2020","Currency=USD","Period=FQ","BEST_FPERIOD_OVERRIDE=FQ","FILING_STATUS=MR","Sort=A","Dates=H","DateFormat=P","Fill=—","Direction=H","UseDPDF=Y")</f>
        <v>2.1213000000000002</v>
      </c>
      <c r="I7" s="20">
        <f>_xll.BDH("BLUE US Equity","PX_TO_BOOK_RATIO","FQ1 2021","FQ1 2021","Currency=USD","Period=FQ","BEST_FPERIOD_OVERRIDE=FQ","FILING_STATUS=MR","Sort=A","Dates=H","DateFormat=P","Fill=—","Direction=H","UseDPDF=Y")</f>
        <v>1.6935</v>
      </c>
      <c r="J7" s="20">
        <f>_xll.BDH("BLUE US Equity","PX_TO_BOOK_RATIO","FQ2 2021","FQ2 2021","Currency=USD","Period=FQ","BEST_FPERIOD_OVERRIDE=FQ","FILING_STATUS=MR","Sort=A","Dates=H","DateFormat=P","Fill=—","Direction=H","UseDPDF=Y")</f>
        <v>2.1941999999999999</v>
      </c>
      <c r="K7" s="20">
        <f>_xll.BDH("BLUE US Equity","PX_TO_BOOK_RATIO","FQ3 2021","FQ3 2021","Currency=USD","Period=FQ","BEST_FPERIOD_OVERRIDE=FQ","FILING_STATUS=MR","Sort=A","Dates=H","DateFormat=P","Fill=—","Direction=H","UseDPDF=Y")</f>
        <v>1.5387999999999999</v>
      </c>
      <c r="L7" s="20">
        <f>_xll.BDH("BLUE US Equity","PX_TO_BOOK_RATIO","FQ4 2021","FQ4 2021","Currency=USD","Period=FQ","BEST_FPERIOD_OVERRIDE=FQ","FILING_STATUS=MR","Sort=A","Dates=H","DateFormat=P","Fill=—","Direction=H","UseDPDF=Y")</f>
        <v>1.8982000000000001</v>
      </c>
      <c r="M7" s="20">
        <f>_xll.BDH("BLUE US Equity","PX_TO_BOOK_RATIO","FQ1 2022","FQ1 2022","Currency=USD","Period=FQ","BEST_FPERIOD_OVERRIDE=FQ","FILING_STATUS=MR","Sort=A","Dates=H","DateFormat=P","Fill=—","Direction=H","UseDPDF=Y")</f>
        <v>1.3161</v>
      </c>
      <c r="N7" s="20">
        <f>_xll.BDH("BLUE US Equity","PX_TO_BOOK_RATIO","FQ2 2022","FQ2 2022","Currency=USD","Period=FQ","BEST_FPERIOD_OVERRIDE=FQ","FILING_STATUS=MR","Sort=A","Dates=H","DateFormat=P","Fill=—","Direction=H","UseDPDF=Y")</f>
        <v>1.6906000000000001</v>
      </c>
      <c r="O7" s="20">
        <f>_xll.BDH("BLUE US Equity","PX_TO_BOOK_RATIO","FQ3 2022","FQ3 2022","Currency=USD","Period=FQ","BEST_FPERIOD_OVERRIDE=FQ","FILING_STATUS=MR","Sort=A","Dates=H","DateFormat=P","Fill=—","Direction=H","UseDPDF=Y")</f>
        <v>3.3025000000000002</v>
      </c>
      <c r="P7" s="20">
        <f>_xll.BDH("BLUE US Equity","PX_TO_BOOK_RATIO","FQ4 2022","FQ4 2022","Currency=USD","Period=FQ","BEST_FPERIOD_OVERRIDE=FQ","FILING_STATUS=MR","Sort=A","Dates=H","DateFormat=P","Fill=—","Direction=H","UseDPDF=Y")</f>
        <v>4.2717000000000001</v>
      </c>
      <c r="Q7" s="20">
        <f>_xll.BDH("BLUE US Equity","PX_TO_BOOK_RATIO","FQ1 2023","FQ1 2023","Currency=USD","Period=FQ","BEST_FPERIOD_OVERRIDE=FQ","FILING_STATUS=MR","Sort=A","Dates=H","DateFormat=P","Fill=—","Direction=H","UseDPDF=Y")</f>
        <v>0.95350000000000001</v>
      </c>
      <c r="R7" s="20">
        <f>_xll.BDH("BLUE US Equity","PX_TO_BOOK_RATIO","FQ2 2023","FQ2 2023","Currency=USD","Period=FQ","BEST_FPERIOD_OVERRIDE=FQ","FILING_STATUS=MR","Sort=A","Dates=H","DateFormat=P","Fill=—","Direction=H","UseDPDF=Y")</f>
        <v>1.2118</v>
      </c>
      <c r="S7" s="20">
        <f>_xll.BDH("BLUE US Equity","PX_TO_BOOK_RATIO","FQ3 2023","FQ3 2023","Currency=USD","Period=FQ","BEST_FPERIOD_OVERRIDE=FQ","FILING_STATUS=MR","Sort=A","Dates=H","DateFormat=P","Fill=—","Direction=H","UseDPDF=Y")</f>
        <v>1.462</v>
      </c>
      <c r="T7" s="20">
        <f>_xll.BDH("BLUE US Equity","PX_TO_BOOK_RATIO","FQ4 2023","FQ4 2023","Currency=USD","Period=FQ","BEST_FPERIOD_OVERRIDE=FQ","FILING_STATUS=MR","Sort=A","Dates=H","DateFormat=P","Fill=—","Direction=H","UseDPDF=Y")</f>
        <v>1.3674999999999999</v>
      </c>
      <c r="U7" s="20">
        <f>_xll.BDH("BLUE US Equity","PX_TO_BOOK_RATIO","FQ1 2024","FQ1 2024","Currency=USD","Period=FQ","BEST_FPERIOD_OVERRIDE=FQ","FILING_STATUS=MR","Sort=A","Dates=H","DateFormat=P","Fill=—","Direction=H","UseDPDF=Y")</f>
        <v>1.8908</v>
      </c>
      <c r="V7" s="20">
        <f>_xll.BDH("BLUE US Equity","PX_TO_BOOK_RATIO","FQ2 2024","FQ2 2024","Currency=USD","Period=FQ","BEST_FPERIOD_OVERRIDE=FQ","FILING_STATUS=MR","Sort=A","Dates=H","DateFormat=P","Fill=—","Direction=H","UseDPDF=Y")</f>
        <v>3.6012</v>
      </c>
      <c r="W7" s="20" t="str">
        <f>_xll.BDH("BLUE US Equity","PX_TO_BOOK_RATIO","FQ3 2024","FQ3 2024","Currency=USD","Period=FQ","BEST_FPERIOD_OVERRIDE=FQ","FILING_STATUS=MR","Sort=A","Dates=H","DateFormat=P","Fill=—","Direction=H","UseDPDF=Y")</f>
        <v>—</v>
      </c>
      <c r="X7" s="20" t="str">
        <f>_xll.BDH("BLUE US Equity","PX_TO_BOOK_RATIO","FQ4 2024","FQ4 2024","Currency=USD","Period=FQ","BEST_FPERIOD_OVERRIDE=FQ","FILING_STATUS=MR","Sort=A","Dates=H","DateFormat=P","Fill=—","Direction=H","UseDPDF=Y")</f>
        <v>—</v>
      </c>
      <c r="Y7" s="23"/>
      <c r="Z7" s="20"/>
      <c r="AA7" s="20"/>
    </row>
    <row r="8" spans="1:27" x14ac:dyDescent="0.25">
      <c r="A8" s="10" t="s">
        <v>198</v>
      </c>
      <c r="B8" s="10" t="s">
        <v>199</v>
      </c>
      <c r="C8" s="14">
        <f>_xll.BDH("BLUE US Equity","AVERAGE_PRICE_TO_BOOK_RATIO","FQ3 2019","FQ3 2019","Currency=USD","Period=FQ","BEST_FPERIOD_OVERRIDE=FQ","FILING_STATUS=MR","Sort=A","Dates=H","DateFormat=P","Fill=—","Direction=H","UseDPDF=Y")</f>
        <v>2.5792999999999999</v>
      </c>
      <c r="D8" s="14">
        <f>_xll.BDH("BLUE US Equity","AVERAGE_PRICE_TO_BOOK_RATIO","FQ4 2019","FQ4 2019","Currency=USD","Period=FQ","BEST_FPERIOD_OVERRIDE=FQ","FILING_STATUS=MR","Sort=A","Dates=H","DateFormat=P","Fill=—","Direction=H","UseDPDF=Y")</f>
        <v>2.0468999999999999</v>
      </c>
      <c r="E8" s="14">
        <f>_xll.BDH("BLUE US Equity","AVERAGE_PRICE_TO_BOOK_RATIO","FQ1 2020","FQ1 2020","Currency=USD","Period=FQ","BEST_FPERIOD_OVERRIDE=FQ","FILING_STATUS=MR","Sort=A","Dates=H","DateFormat=P","Fill=—","Direction=H","UseDPDF=Y")</f>
        <v>2.1017000000000001</v>
      </c>
      <c r="F8" s="14">
        <f>_xll.BDH("BLUE US Equity","AVERAGE_PRICE_TO_BOOK_RATIO","FQ2 2020","FQ2 2020","Currency=USD","Period=FQ","BEST_FPERIOD_OVERRIDE=FQ","FILING_STATUS=MR","Sort=A","Dates=H","DateFormat=P","Fill=—","Direction=H","UseDPDF=Y")</f>
        <v>1.8643000000000001</v>
      </c>
      <c r="G8" s="14">
        <f>_xll.BDH("BLUE US Equity","AVERAGE_PRICE_TO_BOOK_RATIO","FQ3 2020","FQ3 2020","Currency=USD","Period=FQ","BEST_FPERIOD_OVERRIDE=FQ","FILING_STATUS=MR","Sort=A","Dates=H","DateFormat=P","Fill=—","Direction=H","UseDPDF=Y")</f>
        <v>1.5361</v>
      </c>
      <c r="H8" s="14">
        <f>_xll.BDH("BLUE US Equity","AVERAGE_PRICE_TO_BOOK_RATIO","FQ4 2020","FQ4 2020","Currency=USD","Period=FQ","BEST_FPERIOD_OVERRIDE=FQ","FILING_STATUS=MR","Sort=A","Dates=H","DateFormat=P","Fill=—","Direction=H","UseDPDF=Y")</f>
        <v>1.3818999999999999</v>
      </c>
      <c r="I8" s="14">
        <f>_xll.BDH("BLUE US Equity","AVERAGE_PRICE_TO_BOOK_RATIO","FQ1 2021","FQ1 2021","Currency=USD","Period=FQ","BEST_FPERIOD_OVERRIDE=FQ","FILING_STATUS=MR","Sort=A","Dates=H","DateFormat=P","Fill=—","Direction=H","UseDPDF=Y")</f>
        <v>1.2087000000000001</v>
      </c>
      <c r="J8" s="14">
        <f>_xll.BDH("BLUE US Equity","AVERAGE_PRICE_TO_BOOK_RATIO","FQ2 2021","FQ2 2021","Currency=USD","Period=FQ","BEST_FPERIOD_OVERRIDE=FQ","FILING_STATUS=MR","Sort=A","Dates=H","DateFormat=P","Fill=—","Direction=H","UseDPDF=Y")</f>
        <v>1.1162000000000001</v>
      </c>
      <c r="K8" s="14">
        <f>_xll.BDH("BLUE US Equity","AVERAGE_PRICE_TO_BOOK_RATIO","FQ3 2021","FQ3 2021","Currency=USD","Period=FQ","BEST_FPERIOD_OVERRIDE=FQ","FILING_STATUS=MR","Sort=A","Dates=H","DateFormat=P","Fill=—","Direction=H","UseDPDF=Y")</f>
        <v>0.98250000000000004</v>
      </c>
      <c r="L8" s="14">
        <f>_xll.BDH("BLUE US Equity","AVERAGE_PRICE_TO_BOOK_RATIO","FQ4 2021","FQ4 2021","Currency=USD","Period=FQ","BEST_FPERIOD_OVERRIDE=FQ","FILING_STATUS=MR","Sort=A","Dates=H","DateFormat=P","Fill=—","Direction=H","UseDPDF=Y")</f>
        <v>0.96689999999999998</v>
      </c>
      <c r="M8" s="14">
        <f>_xll.BDH("BLUE US Equity","AVERAGE_PRICE_TO_BOOK_RATIO","FQ1 2022","FQ1 2022","Currency=USD","Period=FQ","BEST_FPERIOD_OVERRIDE=FQ","FILING_STATUS=MR","Sort=A","Dates=H","DateFormat=P","Fill=—","Direction=H","UseDPDF=Y")</f>
        <v>1.26</v>
      </c>
      <c r="N8" s="14">
        <f>_xll.BDH("BLUE US Equity","AVERAGE_PRICE_TO_BOOK_RATIO","FQ2 2022","FQ2 2022","Currency=USD","Period=FQ","BEST_FPERIOD_OVERRIDE=FQ","FILING_STATUS=MR","Sort=A","Dates=H","DateFormat=P","Fill=—","Direction=H","UseDPDF=Y")</f>
        <v>1.0617000000000001</v>
      </c>
      <c r="O8" s="14">
        <f>_xll.BDH("BLUE US Equity","AVERAGE_PRICE_TO_BOOK_RATIO","FQ3 2022","FQ3 2022","Currency=USD","Period=FQ","BEST_FPERIOD_OVERRIDE=FQ","FILING_STATUS=MR","Sort=A","Dates=H","DateFormat=P","Fill=—","Direction=H","UseDPDF=Y")</f>
        <v>2.3212000000000002</v>
      </c>
      <c r="P8" s="14">
        <f>_xll.BDH("BLUE US Equity","AVERAGE_PRICE_TO_BOOK_RATIO","FQ4 2022","FQ4 2022","Currency=USD","Period=FQ","BEST_FPERIOD_OVERRIDE=FQ","FILING_STATUS=MR","Sort=A","Dates=H","DateFormat=P","Fill=—","Direction=H","UseDPDF=Y")</f>
        <v>3.6857000000000002</v>
      </c>
      <c r="Q8" s="14">
        <f>_xll.BDH("BLUE US Equity","AVERAGE_PRICE_TO_BOOK_RATIO","FQ1 2023","FQ1 2023","Currency=USD","Period=FQ","BEST_FPERIOD_OVERRIDE=FQ","FILING_STATUS=MR","Sort=A","Dates=H","DateFormat=P","Fill=—","Direction=H","UseDPDF=Y")</f>
        <v>3.5084</v>
      </c>
      <c r="R8" s="14">
        <f>_xll.BDH("BLUE US Equity","AVERAGE_PRICE_TO_BOOK_RATIO","FQ2 2023","FQ2 2023","Currency=USD","Period=FQ","BEST_FPERIOD_OVERRIDE=FQ","FILING_STATUS=MR","Sort=A","Dates=H","DateFormat=P","Fill=—","Direction=H","UseDPDF=Y")</f>
        <v>1.1005</v>
      </c>
      <c r="S8" s="14">
        <f>_xll.BDH("BLUE US Equity","AVERAGE_PRICE_TO_BOOK_RATIO","FQ3 2023","FQ3 2023","Currency=USD","Period=FQ","BEST_FPERIOD_OVERRIDE=FQ","FILING_STATUS=MR","Sort=A","Dates=H","DateFormat=P","Fill=—","Direction=H","UseDPDF=Y")</f>
        <v>1.2989999999999999</v>
      </c>
      <c r="T8" s="14">
        <f>_xll.BDH("BLUE US Equity","AVERAGE_PRICE_TO_BOOK_RATIO","FQ4 2023","FQ4 2023","Currency=USD","Period=FQ","BEST_FPERIOD_OVERRIDE=FQ","FILING_STATUS=MR","Sort=A","Dates=H","DateFormat=P","Fill=—","Direction=H","UseDPDF=Y")</f>
        <v>1.4771000000000001</v>
      </c>
      <c r="U8" s="14">
        <f>_xll.BDH("BLUE US Equity","AVERAGE_PRICE_TO_BOOK_RATIO","FQ1 2024","FQ1 2024","Currency=USD","Period=FQ","BEST_FPERIOD_OVERRIDE=FQ","FILING_STATUS=MR","Sort=A","Dates=H","DateFormat=P","Fill=—","Direction=H","UseDPDF=Y")</f>
        <v>1.2798</v>
      </c>
      <c r="V8" s="14">
        <f>_xll.BDH("BLUE US Equity","AVERAGE_PRICE_TO_BOOK_RATIO","FQ2 2024","FQ2 2024","Currency=USD","Period=FQ","BEST_FPERIOD_OVERRIDE=FQ","FILING_STATUS=MR","Sort=A","Dates=H","DateFormat=P","Fill=—","Direction=H","UseDPDF=Y")</f>
        <v>1.5137</v>
      </c>
      <c r="W8" s="14">
        <f>_xll.BDH("BLUE US Equity","AVERAGE_PRICE_TO_BOOK_RATIO","FQ3 2024","FQ3 2024","Currency=USD","Period=FQ","BEST_FPERIOD_OVERRIDE=FQ","FILING_STATUS=MR","Sort=A","Dates=H","DateFormat=P","Fill=—","Direction=H","UseDPDF=Y")</f>
        <v>3.0594999999999999</v>
      </c>
      <c r="X8" s="14" t="str">
        <f>_xll.BDH("BLUE US Equity","AVERAGE_PRICE_TO_BOOK_RATIO","FQ4 2024","FQ4 2024","Currency=USD","Period=FQ","BEST_FPERIOD_OVERRIDE=FQ","FILING_STATUS=MR","Sort=A","Dates=H","DateFormat=P","Fill=—","Direction=H","UseDPDF=Y")</f>
        <v>—</v>
      </c>
      <c r="Y8" s="17"/>
      <c r="Z8" s="14"/>
      <c r="AA8" s="14"/>
    </row>
    <row r="9" spans="1:27" x14ac:dyDescent="0.25">
      <c r="A9" s="10" t="s">
        <v>200</v>
      </c>
      <c r="B9" s="10" t="s">
        <v>201</v>
      </c>
      <c r="C9" s="14">
        <f>_xll.BDH("BLUE US Equity","HIGH_CLOSING_PRICE_TO_BOOK_RATIO","FQ3 2019","FQ3 2019","Currency=USD","Period=FQ","BEST_FPERIOD_OVERRIDE=FQ","FILING_STATUS=MR","Sort=A","Dates=H","DateFormat=P","Fill=—","Direction=H","UseDPDF=Y")</f>
        <v>3.1404000000000001</v>
      </c>
      <c r="D9" s="14">
        <f>_xll.BDH("BLUE US Equity","HIGH_CLOSING_PRICE_TO_BOOK_RATIO","FQ4 2019","FQ4 2019","Currency=USD","Period=FQ","BEST_FPERIOD_OVERRIDE=FQ","FILING_STATUS=MR","Sort=A","Dates=H","DateFormat=P","Fill=—","Direction=H","UseDPDF=Y")</f>
        <v>2.4476</v>
      </c>
      <c r="E9" s="14">
        <f>_xll.BDH("BLUE US Equity","HIGH_CLOSING_PRICE_TO_BOOK_RATIO","FQ1 2020","FQ1 2020","Currency=USD","Period=FQ","BEST_FPERIOD_OVERRIDE=FQ","FILING_STATUS=MR","Sort=A","Dates=H","DateFormat=P","Fill=—","Direction=H","UseDPDF=Y")</f>
        <v>2.7345999999999999</v>
      </c>
      <c r="F9" s="14">
        <f>_xll.BDH("BLUE US Equity","HIGH_CLOSING_PRICE_TO_BOOK_RATIO","FQ2 2020","FQ2 2020","Currency=USD","Period=FQ","BEST_FPERIOD_OVERRIDE=FQ","FILING_STATUS=MR","Sort=A","Dates=H","DateFormat=P","Fill=—","Direction=H","UseDPDF=Y")</f>
        <v>2.2810000000000001</v>
      </c>
      <c r="G9" s="14">
        <f>_xll.BDH("BLUE US Equity","HIGH_CLOSING_PRICE_TO_BOOK_RATIO","FQ3 2020","FQ3 2020","Currency=USD","Period=FQ","BEST_FPERIOD_OVERRIDE=FQ","FILING_STATUS=MR","Sort=A","Dates=H","DateFormat=P","Fill=—","Direction=H","UseDPDF=Y")</f>
        <v>1.7209000000000001</v>
      </c>
      <c r="H9" s="14">
        <f>_xll.BDH("BLUE US Equity","HIGH_CLOSING_PRICE_TO_BOOK_RATIO","FQ4 2020","FQ4 2020","Currency=USD","Period=FQ","BEST_FPERIOD_OVERRIDE=FQ","FILING_STATUS=MR","Sort=A","Dates=H","DateFormat=P","Fill=—","Direction=H","UseDPDF=Y")</f>
        <v>1.6509</v>
      </c>
      <c r="I9" s="14">
        <f>_xll.BDH("BLUE US Equity","HIGH_CLOSING_PRICE_TO_BOOK_RATIO","FQ1 2021","FQ1 2021","Currency=USD","Period=FQ","BEST_FPERIOD_OVERRIDE=FQ","FILING_STATUS=MR","Sort=A","Dates=H","DateFormat=P","Fill=—","Direction=H","UseDPDF=Y")</f>
        <v>1.6608000000000001</v>
      </c>
      <c r="J9" s="14">
        <f>_xll.BDH("BLUE US Equity","HIGH_CLOSING_PRICE_TO_BOOK_RATIO","FQ2 2021","FQ2 2021","Currency=USD","Period=FQ","BEST_FPERIOD_OVERRIDE=FQ","FILING_STATUS=MR","Sort=A","Dates=H","DateFormat=P","Fill=—","Direction=H","UseDPDF=Y")</f>
        <v>1.4204000000000001</v>
      </c>
      <c r="K9" s="14">
        <f>_xll.BDH("BLUE US Equity","HIGH_CLOSING_PRICE_TO_BOOK_RATIO","FQ3 2021","FQ3 2021","Currency=USD","Period=FQ","BEST_FPERIOD_OVERRIDE=FQ","FILING_STATUS=MR","Sort=A","Dates=H","DateFormat=P","Fill=—","Direction=H","UseDPDF=Y")</f>
        <v>1.4399</v>
      </c>
      <c r="L9" s="14">
        <f>_xll.BDH("BLUE US Equity","HIGH_CLOSING_PRICE_TO_BOOK_RATIO","FQ4 2021","FQ4 2021","Currency=USD","Period=FQ","BEST_FPERIOD_OVERRIDE=FQ","FILING_STATUS=MR","Sort=A","Dates=H","DateFormat=P","Fill=—","Direction=H","UseDPDF=Y")</f>
        <v>1.8982000000000001</v>
      </c>
      <c r="M9" s="14">
        <f>_xll.BDH("BLUE US Equity","HIGH_CLOSING_PRICE_TO_BOOK_RATIO","FQ1 2022","FQ1 2022","Currency=USD","Period=FQ","BEST_FPERIOD_OVERRIDE=FQ","FILING_STATUS=MR","Sort=A","Dates=H","DateFormat=P","Fill=—","Direction=H","UseDPDF=Y")</f>
        <v>2.0141</v>
      </c>
      <c r="N9" s="14">
        <f>_xll.BDH("BLUE US Equity","HIGH_CLOSING_PRICE_TO_BOOK_RATIO","FQ2 2022","FQ2 2022","Currency=USD","Period=FQ","BEST_FPERIOD_OVERRIDE=FQ","FILING_STATUS=MR","Sort=A","Dates=H","DateFormat=P","Fill=—","Direction=H","UseDPDF=Y")</f>
        <v>1.6906000000000001</v>
      </c>
      <c r="O9" s="14">
        <f>_xll.BDH("BLUE US Equity","HIGH_CLOSING_PRICE_TO_BOOK_RATIO","FQ3 2022","FQ3 2022","Currency=USD","Period=FQ","BEST_FPERIOD_OVERRIDE=FQ","FILING_STATUS=MR","Sort=A","Dates=H","DateFormat=P","Fill=—","Direction=H","UseDPDF=Y")</f>
        <v>3.3025000000000002</v>
      </c>
      <c r="P9" s="14">
        <f>_xll.BDH("BLUE US Equity","HIGH_CLOSING_PRICE_TO_BOOK_RATIO","FQ4 2022","FQ4 2022","Currency=USD","Period=FQ","BEST_FPERIOD_OVERRIDE=FQ","FILING_STATUS=MR","Sort=A","Dates=H","DateFormat=P","Fill=—","Direction=H","UseDPDF=Y")</f>
        <v>4.4295</v>
      </c>
      <c r="Q9" s="14">
        <f>_xll.BDH("BLUE US Equity","HIGH_CLOSING_PRICE_TO_BOOK_RATIO","FQ1 2023","FQ1 2023","Currency=USD","Period=FQ","BEST_FPERIOD_OVERRIDE=FQ","FILING_STATUS=MR","Sort=A","Dates=H","DateFormat=P","Fill=—","Direction=H","UseDPDF=Y")</f>
        <v>5.0742000000000003</v>
      </c>
      <c r="R9" s="14">
        <f>_xll.BDH("BLUE US Equity","HIGH_CLOSING_PRICE_TO_BOOK_RATIO","FQ2 2023","FQ2 2023","Currency=USD","Period=FQ","BEST_FPERIOD_OVERRIDE=FQ","FILING_STATUS=MR","Sort=A","Dates=H","DateFormat=P","Fill=—","Direction=H","UseDPDF=Y")</f>
        <v>1.5083</v>
      </c>
      <c r="S9" s="14">
        <f>_xll.BDH("BLUE US Equity","HIGH_CLOSING_PRICE_TO_BOOK_RATIO","FQ3 2023","FQ3 2023","Currency=USD","Period=FQ","BEST_FPERIOD_OVERRIDE=FQ","FILING_STATUS=MR","Sort=A","Dates=H","DateFormat=P","Fill=—","Direction=H","UseDPDF=Y")</f>
        <v>1.4917</v>
      </c>
      <c r="T9" s="14">
        <f>_xll.BDH("BLUE US Equity","HIGH_CLOSING_PRICE_TO_BOOK_RATIO","FQ4 2023","FQ4 2023","Currency=USD","Period=FQ","BEST_FPERIOD_OVERRIDE=FQ","FILING_STATUS=MR","Sort=A","Dates=H","DateFormat=P","Fill=—","Direction=H","UseDPDF=Y")</f>
        <v>2.3228</v>
      </c>
      <c r="U9" s="14">
        <f>_xll.BDH("BLUE US Equity","HIGH_CLOSING_PRICE_TO_BOOK_RATIO","FQ1 2024","FQ1 2024","Currency=USD","Period=FQ","BEST_FPERIOD_OVERRIDE=FQ","FILING_STATUS=MR","Sort=A","Dates=H","DateFormat=P","Fill=—","Direction=H","UseDPDF=Y")</f>
        <v>1.8908</v>
      </c>
      <c r="V9" s="14">
        <f>_xll.BDH("BLUE US Equity","HIGH_CLOSING_PRICE_TO_BOOK_RATIO","FQ2 2024","FQ2 2024","Currency=USD","Period=FQ","BEST_FPERIOD_OVERRIDE=FQ","FILING_STATUS=MR","Sort=A","Dates=H","DateFormat=P","Fill=—","Direction=H","UseDPDF=Y")</f>
        <v>3.6012</v>
      </c>
      <c r="W9" s="14">
        <f>_xll.BDH("BLUE US Equity","HIGH_CLOSING_PRICE_TO_BOOK_RATIO","FQ3 2024","FQ3 2024","Currency=USD","Period=FQ","BEST_FPERIOD_OVERRIDE=FQ","FILING_STATUS=MR","Sort=A","Dates=H","DateFormat=P","Fill=—","Direction=H","UseDPDF=Y")</f>
        <v>4.9396000000000004</v>
      </c>
      <c r="X9" s="14" t="str">
        <f>_xll.BDH("BLUE US Equity","HIGH_CLOSING_PRICE_TO_BOOK_RATIO","FQ4 2024","FQ4 2024","Currency=USD","Period=FQ","BEST_FPERIOD_OVERRIDE=FQ","FILING_STATUS=MR","Sort=A","Dates=H","DateFormat=P","Fill=—","Direction=H","UseDPDF=Y")</f>
        <v>—</v>
      </c>
      <c r="Y9" s="17"/>
      <c r="Z9" s="14"/>
      <c r="AA9" s="14"/>
    </row>
    <row r="10" spans="1:27" x14ac:dyDescent="0.25">
      <c r="A10" s="10" t="s">
        <v>202</v>
      </c>
      <c r="B10" s="10" t="s">
        <v>203</v>
      </c>
      <c r="C10" s="14">
        <f>_xll.BDH("BLUE US Equity","LOW_CLOSING_PRICE_TO_BOOK_RATIO","FQ3 2019","FQ3 2019","Currency=USD","Period=FQ","BEST_FPERIOD_OVERRIDE=FQ","FILING_STATUS=MR","Sort=A","Dates=H","DateFormat=P","Fill=—","Direction=H","UseDPDF=Y")</f>
        <v>2.0276999999999998</v>
      </c>
      <c r="D10" s="14">
        <f>_xll.BDH("BLUE US Equity","LOW_CLOSING_PRICE_TO_BOOK_RATIO","FQ4 2019","FQ4 2019","Currency=USD","Period=FQ","BEST_FPERIOD_OVERRIDE=FQ","FILING_STATUS=MR","Sort=A","Dates=H","DateFormat=P","Fill=—","Direction=H","UseDPDF=Y")</f>
        <v>1.7641</v>
      </c>
      <c r="E10" s="14">
        <f>_xll.BDH("BLUE US Equity","LOW_CLOSING_PRICE_TO_BOOK_RATIO","FQ1 2020","FQ1 2020","Currency=USD","Period=FQ","BEST_FPERIOD_OVERRIDE=FQ","FILING_STATUS=MR","Sort=A","Dates=H","DateFormat=P","Fill=—","Direction=H","UseDPDF=Y")</f>
        <v>1.1266</v>
      </c>
      <c r="F10" s="14">
        <f>_xll.BDH("BLUE US Equity","LOW_CLOSING_PRICE_TO_BOOK_RATIO","FQ2 2020","FQ2 2020","Currency=USD","Period=FQ","BEST_FPERIOD_OVERRIDE=FQ","FILING_STATUS=MR","Sort=A","Dates=H","DateFormat=P","Fill=—","Direction=H","UseDPDF=Y")</f>
        <v>1.3458000000000001</v>
      </c>
      <c r="G10" s="14">
        <f>_xll.BDH("BLUE US Equity","LOW_CLOSING_PRICE_TO_BOOK_RATIO","FQ3 2020","FQ3 2020","Currency=USD","Period=FQ","BEST_FPERIOD_OVERRIDE=FQ","FILING_STATUS=MR","Sort=A","Dates=H","DateFormat=P","Fill=—","Direction=H","UseDPDF=Y")</f>
        <v>1.3548</v>
      </c>
      <c r="H10" s="14">
        <f>_xll.BDH("BLUE US Equity","LOW_CLOSING_PRICE_TO_BOOK_RATIO","FQ4 2020","FQ4 2020","Currency=USD","Period=FQ","BEST_FPERIOD_OVERRIDE=FQ","FILING_STATUS=MR","Sort=A","Dates=H","DateFormat=P","Fill=—","Direction=H","UseDPDF=Y")</f>
        <v>1.1972</v>
      </c>
      <c r="I10" s="14">
        <f>_xll.BDH("BLUE US Equity","LOW_CLOSING_PRICE_TO_BOOK_RATIO","FQ1 2021","FQ1 2021","Currency=USD","Period=FQ","BEST_FPERIOD_OVERRIDE=FQ","FILING_STATUS=MR","Sort=A","Dates=H","DateFormat=P","Fill=—","Direction=H","UseDPDF=Y")</f>
        <v>0.81310000000000004</v>
      </c>
      <c r="J10" s="14">
        <f>_xll.BDH("BLUE US Equity","LOW_CLOSING_PRICE_TO_BOOK_RATIO","FQ2 2021","FQ2 2021","Currency=USD","Period=FQ","BEST_FPERIOD_OVERRIDE=FQ","FILING_STATUS=MR","Sort=A","Dates=H","DateFormat=P","Fill=—","Direction=H","UseDPDF=Y")</f>
        <v>1.0129999999999999</v>
      </c>
      <c r="K10" s="14">
        <f>_xll.BDH("BLUE US Equity","LOW_CLOSING_PRICE_TO_BOOK_RATIO","FQ3 2021","FQ3 2021","Currency=USD","Period=FQ","BEST_FPERIOD_OVERRIDE=FQ","FILING_STATUS=MR","Sort=A","Dates=H","DateFormat=P","Fill=—","Direction=H","UseDPDF=Y")</f>
        <v>0.77100000000000002</v>
      </c>
      <c r="L10" s="14">
        <f>_xll.BDH("BLUE US Equity","LOW_CLOSING_PRICE_TO_BOOK_RATIO","FQ4 2021","FQ4 2021","Currency=USD","Period=FQ","BEST_FPERIOD_OVERRIDE=FQ","FILING_STATUS=MR","Sort=A","Dates=H","DateFormat=P","Fill=—","Direction=H","UseDPDF=Y")</f>
        <v>0.72150000000000003</v>
      </c>
      <c r="M10" s="14">
        <f>_xll.BDH("BLUE US Equity","LOW_CLOSING_PRICE_TO_BOOK_RATIO","FQ1 2022","FQ1 2022","Currency=USD","Period=FQ","BEST_FPERIOD_OVERRIDE=FQ","FILING_STATUS=MR","Sort=A","Dates=H","DateFormat=P","Fill=—","Direction=H","UseDPDF=Y")</f>
        <v>0.77329999999999999</v>
      </c>
      <c r="N10" s="14">
        <f>_xll.BDH("BLUE US Equity","LOW_CLOSING_PRICE_TO_BOOK_RATIO","FQ2 2022","FQ2 2022","Currency=USD","Period=FQ","BEST_FPERIOD_OVERRIDE=FQ","FILING_STATUS=MR","Sort=A","Dates=H","DateFormat=P","Fill=—","Direction=H","UseDPDF=Y")</f>
        <v>0.79779999999999995</v>
      </c>
      <c r="O10" s="14">
        <f>_xll.BDH("BLUE US Equity","LOW_CLOSING_PRICE_TO_BOOK_RATIO","FQ3 2022","FQ3 2022","Currency=USD","Period=FQ","BEST_FPERIOD_OVERRIDE=FQ","FILING_STATUS=MR","Sort=A","Dates=H","DateFormat=P","Fill=—","Direction=H","UseDPDF=Y")</f>
        <v>1.5313000000000001</v>
      </c>
      <c r="P10" s="14">
        <f>_xll.BDH("BLUE US Equity","LOW_CLOSING_PRICE_TO_BOOK_RATIO","FQ4 2022","FQ4 2022","Currency=USD","Period=FQ","BEST_FPERIOD_OVERRIDE=FQ","FILING_STATUS=MR","Sort=A","Dates=H","DateFormat=P","Fill=—","Direction=H","UseDPDF=Y")</f>
        <v>3.0104000000000002</v>
      </c>
      <c r="Q10" s="14">
        <f>_xll.BDH("BLUE US Equity","LOW_CLOSING_PRICE_TO_BOOK_RATIO","FQ1 2023","FQ1 2023","Currency=USD","Period=FQ","BEST_FPERIOD_OVERRIDE=FQ","FILING_STATUS=MR","Sort=A","Dates=H","DateFormat=P","Fill=—","Direction=H","UseDPDF=Y")</f>
        <v>0.95350000000000001</v>
      </c>
      <c r="R10" s="14">
        <f>_xll.BDH("BLUE US Equity","LOW_CLOSING_PRICE_TO_BOOK_RATIO","FQ2 2023","FQ2 2023","Currency=USD","Period=FQ","BEST_FPERIOD_OVERRIDE=FQ","FILING_STATUS=MR","Sort=A","Dates=H","DateFormat=P","Fill=—","Direction=H","UseDPDF=Y")</f>
        <v>0.83660000000000001</v>
      </c>
      <c r="S10" s="14">
        <f>_xll.BDH("BLUE US Equity","LOW_CLOSING_PRICE_TO_BOOK_RATIO","FQ3 2023","FQ3 2023","Currency=USD","Period=FQ","BEST_FPERIOD_OVERRIDE=FQ","FILING_STATUS=MR","Sort=A","Dates=H","DateFormat=P","Fill=—","Direction=H","UseDPDF=Y")</f>
        <v>1.1124000000000001</v>
      </c>
      <c r="T10" s="14">
        <f>_xll.BDH("BLUE US Equity","LOW_CLOSING_PRICE_TO_BOOK_RATIO","FQ4 2023","FQ4 2023","Currency=USD","Period=FQ","BEST_FPERIOD_OVERRIDE=FQ","FILING_STATUS=MR","Sort=A","Dates=H","DateFormat=P","Fill=—","Direction=H","UseDPDF=Y")</f>
        <v>0.63480000000000003</v>
      </c>
      <c r="U10" s="14">
        <f>_xll.BDH("BLUE US Equity","LOW_CLOSING_PRICE_TO_BOOK_RATIO","FQ1 2024","FQ1 2024","Currency=USD","Period=FQ","BEST_FPERIOD_OVERRIDE=FQ","FILING_STATUS=MR","Sort=A","Dates=H","DateFormat=P","Fill=—","Direction=H","UseDPDF=Y")</f>
        <v>0.89700000000000002</v>
      </c>
      <c r="V10" s="14">
        <f>_xll.BDH("BLUE US Equity","LOW_CLOSING_PRICE_TO_BOOK_RATIO","FQ2 2024","FQ2 2024","Currency=USD","Period=FQ","BEST_FPERIOD_OVERRIDE=FQ","FILING_STATUS=MR","Sort=A","Dates=H","DateFormat=P","Fill=—","Direction=H","UseDPDF=Y")</f>
        <v>1.2611000000000001</v>
      </c>
      <c r="W10" s="14">
        <f>_xll.BDH("BLUE US Equity","LOW_CLOSING_PRICE_TO_BOOK_RATIO","FQ3 2024","FQ3 2024","Currency=USD","Period=FQ","BEST_FPERIOD_OVERRIDE=FQ","FILING_STATUS=MR","Sort=A","Dates=H","DateFormat=P","Fill=—","Direction=H","UseDPDF=Y")</f>
        <v>1.7203999999999999</v>
      </c>
      <c r="X10" s="14" t="str">
        <f>_xll.BDH("BLUE US Equity","LOW_CLOSING_PRICE_TO_BOOK_RATIO","FQ4 2024","FQ4 2024","Currency=USD","Period=FQ","BEST_FPERIOD_OVERRIDE=FQ","FILING_STATUS=MR","Sort=A","Dates=H","DateFormat=P","Fill=—","Direction=H","UseDPDF=Y")</f>
        <v>—</v>
      </c>
      <c r="Y10" s="17"/>
      <c r="Z10" s="14"/>
      <c r="AA10" s="14"/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1"/>
      <c r="Z11" s="18"/>
      <c r="AA11" s="18"/>
    </row>
    <row r="12" spans="1:27" x14ac:dyDescent="0.25">
      <c r="A12" s="6" t="s">
        <v>204</v>
      </c>
      <c r="B12" s="6" t="s">
        <v>205</v>
      </c>
      <c r="C12" s="20">
        <f>_xll.BDH("BLUE US Equity","PX_TO_TANG_BV_PER_SH","FQ3 2019","FQ3 2019","Currency=USD","Period=FQ","BEST_FPERIOD_OVERRIDE=FQ","FILING_STATUS=MR","Sort=A","Dates=H","DateFormat=P","Fill=—","Direction=H","UseDPDF=Y")</f>
        <v>3.5196000000000001</v>
      </c>
      <c r="D12" s="20">
        <f>_xll.BDH("BLUE US Equity","PX_TO_TANG_BV_PER_SH","FQ4 2019","FQ4 2019","Currency=USD","Period=FQ","BEST_FPERIOD_OVERRIDE=FQ","FILING_STATUS=MR","Sort=A","Dates=H","DateFormat=P","Fill=—","Direction=H","UseDPDF=Y")</f>
        <v>3.8635000000000002</v>
      </c>
      <c r="E12" s="20">
        <f>_xll.BDH("BLUE US Equity","PX_TO_TANG_BV_PER_SH","FQ1 2020","FQ1 2020","Currency=USD","Period=FQ","BEST_FPERIOD_OVERRIDE=FQ","FILING_STATUS=MR","Sort=A","Dates=H","DateFormat=P","Fill=—","Direction=H","UseDPDF=Y")</f>
        <v>2.3365</v>
      </c>
      <c r="F12" s="20">
        <f>_xll.BDH("BLUE US Equity","PX_TO_TANG_BV_PER_SH","FQ2 2020","FQ2 2020","Currency=USD","Period=FQ","BEST_FPERIOD_OVERRIDE=FQ","FILING_STATUS=MR","Sort=A","Dates=H","DateFormat=P","Fill=—","Direction=H","UseDPDF=Y")</f>
        <v>2.4388999999999998</v>
      </c>
      <c r="G12" s="20">
        <f>_xll.BDH("BLUE US Equity","PX_TO_TANG_BV_PER_SH","FQ3 2020","FQ3 2020","Currency=USD","Period=FQ","BEST_FPERIOD_OVERRIDE=FQ","FILING_STATUS=MR","Sort=A","Dates=H","DateFormat=P","Fill=—","Direction=H","UseDPDF=Y")</f>
        <v>2.3879000000000001</v>
      </c>
      <c r="H12" s="20">
        <f>_xll.BDH("BLUE US Equity","PX_TO_TANG_BV_PER_SH","FQ4 2020","FQ4 2020","Currency=USD","Period=FQ","BEST_FPERIOD_OVERRIDE=FQ","FILING_STATUS=MR","Sort=A","Dates=H","DateFormat=P","Fill=—","Direction=H","UseDPDF=Y")</f>
        <v>2.1372</v>
      </c>
      <c r="I12" s="20">
        <f>_xll.BDH("BLUE US Equity","PX_TO_TANG_BV_PER_SH","FQ1 2021","FQ1 2021","Currency=USD","Period=FQ","BEST_FPERIOD_OVERRIDE=FQ","FILING_STATUS=MR","Sort=A","Dates=H","DateFormat=P","Fill=—","Direction=H","UseDPDF=Y")</f>
        <v>1.7289000000000001</v>
      </c>
      <c r="J12" s="20">
        <f>_xll.BDH("BLUE US Equity","PX_TO_TANG_BV_PER_SH","FQ2 2021","FQ2 2021","Currency=USD","Period=FQ","BEST_FPERIOD_OVERRIDE=FQ","FILING_STATUS=MR","Sort=A","Dates=H","DateFormat=P","Fill=—","Direction=H","UseDPDF=Y")</f>
        <v>2.2616999999999998</v>
      </c>
      <c r="K12" s="20">
        <f>_xll.BDH("BLUE US Equity","PX_TO_TANG_BV_PER_SH","FQ3 2021","FQ3 2021","Currency=USD","Period=FQ","BEST_FPERIOD_OVERRIDE=FQ","FILING_STATUS=MR","Sort=A","Dates=H","DateFormat=P","Fill=—","Direction=H","UseDPDF=Y")</f>
        <v>1.5807</v>
      </c>
      <c r="L12" s="20">
        <f>_xll.BDH("BLUE US Equity","PX_TO_TANG_BV_PER_SH","FQ4 2021","FQ4 2021","Currency=USD","Period=FQ","BEST_FPERIOD_OVERRIDE=FQ","FILING_STATUS=MR","Sort=A","Dates=H","DateFormat=P","Fill=—","Direction=H","UseDPDF=Y")</f>
        <v>1.9272</v>
      </c>
      <c r="M12" s="20">
        <f>_xll.BDH("BLUE US Equity","PX_TO_TANG_BV_PER_SH","FQ1 2022","FQ1 2022","Currency=USD","Period=FQ","BEST_FPERIOD_OVERRIDE=FQ","FILING_STATUS=MR","Sort=A","Dates=H","DateFormat=P","Fill=—","Direction=H","UseDPDF=Y")</f>
        <v>1.3449</v>
      </c>
      <c r="N12" s="20">
        <f>_xll.BDH("BLUE US Equity","PX_TO_TANG_BV_PER_SH","FQ2 2022","FQ2 2022","Currency=USD","Period=FQ","BEST_FPERIOD_OVERRIDE=FQ","FILING_STATUS=MR","Sort=A","Dates=H","DateFormat=P","Fill=—","Direction=H","UseDPDF=Y")</f>
        <v>1.7453000000000001</v>
      </c>
      <c r="O12" s="20">
        <f>_xll.BDH("BLUE US Equity","PX_TO_TANG_BV_PER_SH","FQ3 2022","FQ3 2022","Currency=USD","Period=FQ","BEST_FPERIOD_OVERRIDE=FQ","FILING_STATUS=MR","Sort=A","Dates=H","DateFormat=P","Fill=—","Direction=H","UseDPDF=Y")</f>
        <v>3.4241999999999999</v>
      </c>
      <c r="P12" s="20">
        <f>_xll.BDH("BLUE US Equity","PX_TO_TANG_BV_PER_SH","FQ4 2022","FQ4 2022","Currency=USD","Period=FQ","BEST_FPERIOD_OVERRIDE=FQ","FILING_STATUS=MR","Sort=A","Dates=H","DateFormat=P","Fill=—","Direction=H","UseDPDF=Y")</f>
        <v>4.6344000000000003</v>
      </c>
      <c r="Q12" s="20">
        <f>_xll.BDH("BLUE US Equity","PX_TO_TANG_BV_PER_SH","FQ1 2023","FQ1 2023","Currency=USD","Period=FQ","BEST_FPERIOD_OVERRIDE=FQ","FILING_STATUS=MR","Sort=A","Dates=H","DateFormat=P","Fill=—","Direction=H","UseDPDF=Y")</f>
        <v>0.98480000000000001</v>
      </c>
      <c r="R12" s="20">
        <f>_xll.BDH("BLUE US Equity","PX_TO_TANG_BV_PER_SH","FQ2 2023","FQ2 2023","Currency=USD","Period=FQ","BEST_FPERIOD_OVERRIDE=FQ","FILING_STATUS=MR","Sort=A","Dates=H","DateFormat=P","Fill=—","Direction=H","UseDPDF=Y")</f>
        <v>1.2604</v>
      </c>
      <c r="S12" s="20">
        <f>_xll.BDH("BLUE US Equity","PX_TO_TANG_BV_PER_SH","FQ3 2023","FQ3 2023","Currency=USD","Period=FQ","BEST_FPERIOD_OVERRIDE=FQ","FILING_STATUS=MR","Sort=A","Dates=H","DateFormat=P","Fill=—","Direction=H","UseDPDF=Y")</f>
        <v>1.5381</v>
      </c>
      <c r="T12" s="20">
        <f>_xll.BDH("BLUE US Equity","PX_TO_TANG_BV_PER_SH","FQ4 2023","FQ4 2023","Currency=USD","Period=FQ","BEST_FPERIOD_OVERRIDE=FQ","FILING_STATUS=MR","Sort=A","Dates=H","DateFormat=P","Fill=—","Direction=H","UseDPDF=Y")</f>
        <v>1.4906999999999999</v>
      </c>
      <c r="U12" s="20">
        <f>_xll.BDH("BLUE US Equity","PX_TO_TANG_BV_PER_SH","FQ1 2024","FQ1 2024","Currency=USD","Period=FQ","BEST_FPERIOD_OVERRIDE=FQ","FILING_STATUS=MR","Sort=A","Dates=H","DateFormat=P","Fill=—","Direction=H","UseDPDF=Y")</f>
        <v>2.1516999999999999</v>
      </c>
      <c r="V12" s="20">
        <f>_xll.BDH("BLUE US Equity","PX_TO_TANG_BV_PER_SH","FQ2 2024","FQ2 2024","Currency=USD","Period=FQ","BEST_FPERIOD_OVERRIDE=FQ","FILING_STATUS=MR","Sort=A","Dates=H","DateFormat=P","Fill=—","Direction=H","UseDPDF=Y")</f>
        <v>5.1119000000000003</v>
      </c>
      <c r="W12" s="20" t="str">
        <f>_xll.BDH("BLUE US Equity","PX_TO_TANG_BV_PER_SH","FQ3 2024","FQ3 2024","Currency=USD","Period=FQ","BEST_FPERIOD_OVERRIDE=FQ","FILING_STATUS=MR","Sort=A","Dates=H","DateFormat=P","Fill=—","Direction=H","UseDPDF=Y")</f>
        <v>—</v>
      </c>
      <c r="X12" s="20" t="str">
        <f>_xll.BDH("BLUE US Equity","PX_TO_TANG_BV_PER_SH","FQ4 2024","FQ4 2024","Currency=USD","Period=FQ","BEST_FPERIOD_OVERRIDE=FQ","FILING_STATUS=MR","Sort=A","Dates=H","DateFormat=P","Fill=—","Direction=H","UseDPDF=Y")</f>
        <v>—</v>
      </c>
      <c r="Y12" s="23"/>
      <c r="Z12" s="20"/>
      <c r="AA12" s="20"/>
    </row>
    <row r="13" spans="1:27" x14ac:dyDescent="0.25">
      <c r="A13" s="10" t="s">
        <v>198</v>
      </c>
      <c r="B13" s="10" t="s">
        <v>206</v>
      </c>
      <c r="C13" s="14">
        <f>_xll.BDH("BLUE US Equity","AVERAGE_PRICE_TO_TANGIBLE_BPS","FQ3 2019","FQ3 2019","Currency=USD","Period=FQ","BEST_FPERIOD_OVERRIDE=FQ","FILING_STATUS=MR","Sort=A","Dates=H","DateFormat=P","Fill=—","Direction=H","UseDPDF=Y")</f>
        <v>2.6269</v>
      </c>
      <c r="D13" s="14">
        <f>_xll.BDH("BLUE US Equity","AVERAGE_PRICE_TO_TANGIBLE_BPS","FQ4 2019","FQ4 2019","Currency=USD","Period=FQ","BEST_FPERIOD_OVERRIDE=FQ","FILING_STATUS=MR","Sort=A","Dates=H","DateFormat=P","Fill=—","Direction=H","UseDPDF=Y")</f>
        <v>2.0874000000000001</v>
      </c>
      <c r="E13" s="14">
        <f>_xll.BDH("BLUE US Equity","AVERAGE_PRICE_TO_TANGIBLE_BPS","FQ1 2020","FQ1 2020","Currency=USD","Period=FQ","BEST_FPERIOD_OVERRIDE=FQ","FILING_STATUS=MR","Sort=A","Dates=H","DateFormat=P","Fill=—","Direction=H","UseDPDF=Y")</f>
        <v>2.1476000000000002</v>
      </c>
      <c r="F13" s="14">
        <f>_xll.BDH("BLUE US Equity","AVERAGE_PRICE_TO_TANGIBLE_BPS","FQ2 2020","FQ2 2020","Currency=USD","Period=FQ","BEST_FPERIOD_OVERRIDE=FQ","FILING_STATUS=MR","Sort=A","Dates=H","DateFormat=P","Fill=—","Direction=H","UseDPDF=Y")</f>
        <v>1.909</v>
      </c>
      <c r="G13" s="14">
        <f>_xll.BDH("BLUE US Equity","AVERAGE_PRICE_TO_TANGIBLE_BPS","FQ3 2020","FQ3 2020","Currency=USD","Period=FQ","BEST_FPERIOD_OVERRIDE=FQ","FILING_STATUS=MR","Sort=A","Dates=H","DateFormat=P","Fill=—","Direction=H","UseDPDF=Y")</f>
        <v>1.5596000000000001</v>
      </c>
      <c r="H13" s="14">
        <f>_xll.BDH("BLUE US Equity","AVERAGE_PRICE_TO_TANGIBLE_BPS","FQ4 2020","FQ4 2020","Currency=USD","Period=FQ","BEST_FPERIOD_OVERRIDE=FQ","FILING_STATUS=MR","Sort=A","Dates=H","DateFormat=P","Fill=—","Direction=H","UseDPDF=Y")</f>
        <v>1.4040999999999999</v>
      </c>
      <c r="I13" s="14">
        <f>_xll.BDH("BLUE US Equity","AVERAGE_PRICE_TO_TANGIBLE_BPS","FQ1 2021","FQ1 2021","Currency=USD","Period=FQ","BEST_FPERIOD_OVERRIDE=FQ","FILING_STATUS=MR","Sort=A","Dates=H","DateFormat=P","Fill=—","Direction=H","UseDPDF=Y")</f>
        <v>1.218</v>
      </c>
      <c r="J13" s="14">
        <f>_xll.BDH("BLUE US Equity","AVERAGE_PRICE_TO_TANGIBLE_BPS","FQ2 2021","FQ2 2021","Currency=USD","Period=FQ","BEST_FPERIOD_OVERRIDE=FQ","FILING_STATUS=MR","Sort=A","Dates=H","DateFormat=P","Fill=—","Direction=H","UseDPDF=Y")</f>
        <v>1.1396999999999999</v>
      </c>
      <c r="K13" s="14">
        <f>_xll.BDH("BLUE US Equity","AVERAGE_PRICE_TO_TANGIBLE_BPS","FQ3 2021","FQ3 2021","Currency=USD","Period=FQ","BEST_FPERIOD_OVERRIDE=FQ","FILING_STATUS=MR","Sort=A","Dates=H","DateFormat=P","Fill=—","Direction=H","UseDPDF=Y")</f>
        <v>1.0126999999999999</v>
      </c>
      <c r="L13" s="14">
        <f>_xll.BDH("BLUE US Equity","AVERAGE_PRICE_TO_TANGIBLE_BPS","FQ4 2021","FQ4 2021","Currency=USD","Period=FQ","BEST_FPERIOD_OVERRIDE=FQ","FILING_STATUS=MR","Sort=A","Dates=H","DateFormat=P","Fill=—","Direction=H","UseDPDF=Y")</f>
        <v>0.9929</v>
      </c>
      <c r="M13" s="14">
        <f>_xll.BDH("BLUE US Equity","AVERAGE_PRICE_TO_TANGIBLE_BPS","FQ1 2022","FQ1 2022","Currency=USD","Period=FQ","BEST_FPERIOD_OVERRIDE=FQ","FILING_STATUS=MR","Sort=A","Dates=H","DateFormat=P","Fill=—","Direction=H","UseDPDF=Y")</f>
        <v>1.2795000000000001</v>
      </c>
      <c r="N13" s="14">
        <f>_xll.BDH("BLUE US Equity","AVERAGE_PRICE_TO_TANGIBLE_BPS","FQ2 2022","FQ2 2022","Currency=USD","Period=FQ","BEST_FPERIOD_OVERRIDE=FQ","FILING_STATUS=MR","Sort=A","Dates=H","DateFormat=P","Fill=—","Direction=H","UseDPDF=Y")</f>
        <v>1.0851999999999999</v>
      </c>
      <c r="O13" s="14">
        <f>_xll.BDH("BLUE US Equity","AVERAGE_PRICE_TO_TANGIBLE_BPS","FQ3 2022","FQ3 2022","Currency=USD","Period=FQ","BEST_FPERIOD_OVERRIDE=FQ","FILING_STATUS=MR","Sort=A","Dates=H","DateFormat=P","Fill=—","Direction=H","UseDPDF=Y")</f>
        <v>2.3965999999999998</v>
      </c>
      <c r="P13" s="14">
        <f>_xll.BDH("BLUE US Equity","AVERAGE_PRICE_TO_TANGIBLE_BPS","FQ4 2022","FQ4 2022","Currency=USD","Period=FQ","BEST_FPERIOD_OVERRIDE=FQ","FILING_STATUS=MR","Sort=A","Dates=H","DateFormat=P","Fill=—","Direction=H","UseDPDF=Y")</f>
        <v>3.8248000000000002</v>
      </c>
      <c r="Q13" s="14">
        <f>_xll.BDH("BLUE US Equity","AVERAGE_PRICE_TO_TANGIBLE_BPS","FQ1 2023","FQ1 2023","Currency=USD","Period=FQ","BEST_FPERIOD_OVERRIDE=FQ","FILING_STATUS=MR","Sort=A","Dates=H","DateFormat=P","Fill=—","Direction=H","UseDPDF=Y")</f>
        <v>3.8054999999999999</v>
      </c>
      <c r="R13" s="14">
        <f>_xll.BDH("BLUE US Equity","AVERAGE_PRICE_TO_TANGIBLE_BPS","FQ2 2023","FQ2 2023","Currency=USD","Period=FQ","BEST_FPERIOD_OVERRIDE=FQ","FILING_STATUS=MR","Sort=A","Dates=H","DateFormat=P","Fill=—","Direction=H","UseDPDF=Y")</f>
        <v>1.1367</v>
      </c>
      <c r="S13" s="14">
        <f>_xll.BDH("BLUE US Equity","AVERAGE_PRICE_TO_TANGIBLE_BPS","FQ3 2023","FQ3 2023","Currency=USD","Period=FQ","BEST_FPERIOD_OVERRIDE=FQ","FILING_STATUS=MR","Sort=A","Dates=H","DateFormat=P","Fill=—","Direction=H","UseDPDF=Y")</f>
        <v>1.3513999999999999</v>
      </c>
      <c r="T13" s="14">
        <f>_xll.BDH("BLUE US Equity","AVERAGE_PRICE_TO_TANGIBLE_BPS","FQ4 2023","FQ4 2023","Currency=USD","Period=FQ","BEST_FPERIOD_OVERRIDE=FQ","FILING_STATUS=MR","Sort=A","Dates=H","DateFormat=P","Fill=—","Direction=H","UseDPDF=Y")</f>
        <v>1.5548999999999999</v>
      </c>
      <c r="U13" s="14">
        <f>_xll.BDH("BLUE US Equity","AVERAGE_PRICE_TO_TANGIBLE_BPS","FQ1 2024","FQ1 2024","Currency=USD","Period=FQ","BEST_FPERIOD_OVERRIDE=FQ","FILING_STATUS=MR","Sort=A","Dates=H","DateFormat=P","Fill=—","Direction=H","UseDPDF=Y")</f>
        <v>1.3966000000000001</v>
      </c>
      <c r="V13" s="14">
        <f>_xll.BDH("BLUE US Equity","AVERAGE_PRICE_TO_TANGIBLE_BPS","FQ2 2024","FQ2 2024","Currency=USD","Period=FQ","BEST_FPERIOD_OVERRIDE=FQ","FILING_STATUS=MR","Sort=A","Dates=H","DateFormat=P","Fill=—","Direction=H","UseDPDF=Y")</f>
        <v>1.7386999999999999</v>
      </c>
      <c r="W13" s="14">
        <f>_xll.BDH("BLUE US Equity","AVERAGE_PRICE_TO_TANGIBLE_BPS","FQ3 2024","FQ3 2024","Currency=USD","Period=FQ","BEST_FPERIOD_OVERRIDE=FQ","FILING_STATUS=MR","Sort=A","Dates=H","DateFormat=P","Fill=—","Direction=H","UseDPDF=Y")</f>
        <v>4.343</v>
      </c>
      <c r="X13" s="14" t="str">
        <f>_xll.BDH("BLUE US Equity","AVERAGE_PRICE_TO_TANGIBLE_BPS","FQ4 2024","FQ4 2024","Currency=USD","Period=FQ","BEST_FPERIOD_OVERRIDE=FQ","FILING_STATUS=MR","Sort=A","Dates=H","DateFormat=P","Fill=—","Direction=H","UseDPDF=Y")</f>
        <v>—</v>
      </c>
      <c r="Y13" s="17"/>
      <c r="Z13" s="14"/>
      <c r="AA13" s="14"/>
    </row>
    <row r="14" spans="1:27" x14ac:dyDescent="0.25">
      <c r="A14" s="10" t="s">
        <v>200</v>
      </c>
      <c r="B14" s="10" t="s">
        <v>207</v>
      </c>
      <c r="C14" s="14">
        <f>_xll.BDH("BLUE US Equity","HIGH_PRICE_TO_TANGIBLE_BPS","FQ3 2019","FQ3 2019","Currency=USD","Period=FQ","BEST_FPERIOD_OVERRIDE=FQ","FILING_STATUS=MR","Sort=A","Dates=H","DateFormat=P","Fill=—","Direction=H","UseDPDF=Y")</f>
        <v>3.1983000000000001</v>
      </c>
      <c r="D14" s="14">
        <f>_xll.BDH("BLUE US Equity","HIGH_PRICE_TO_TANGIBLE_BPS","FQ4 2019","FQ4 2019","Currency=USD","Period=FQ","BEST_FPERIOD_OVERRIDE=FQ","FILING_STATUS=MR","Sort=A","Dates=H","DateFormat=P","Fill=—","Direction=H","UseDPDF=Y")</f>
        <v>2.5009999999999999</v>
      </c>
      <c r="E14" s="14">
        <f>_xll.BDH("BLUE US Equity","HIGH_PRICE_TO_TANGIBLE_BPS","FQ1 2020","FQ1 2020","Currency=USD","Period=FQ","BEST_FPERIOD_OVERRIDE=FQ","FILING_STATUS=MR","Sort=A","Dates=H","DateFormat=P","Fill=—","Direction=H","UseDPDF=Y")</f>
        <v>2.7942999999999998</v>
      </c>
      <c r="F14" s="14">
        <f>_xll.BDH("BLUE US Equity","HIGH_PRICE_TO_TANGIBLE_BPS","FQ2 2020","FQ2 2020","Currency=USD","Period=FQ","BEST_FPERIOD_OVERRIDE=FQ","FILING_STATUS=MR","Sort=A","Dates=H","DateFormat=P","Fill=—","Direction=H","UseDPDF=Y")</f>
        <v>2.3359999999999999</v>
      </c>
      <c r="G14" s="14">
        <f>_xll.BDH("BLUE US Equity","HIGH_PRICE_TO_TANGIBLE_BPS","FQ3 2020","FQ3 2020","Currency=USD","Period=FQ","BEST_FPERIOD_OVERRIDE=FQ","FILING_STATUS=MR","Sort=A","Dates=H","DateFormat=P","Fill=—","Direction=H","UseDPDF=Y")</f>
        <v>1.7472000000000001</v>
      </c>
      <c r="H14" s="14">
        <f>_xll.BDH("BLUE US Equity","HIGH_PRICE_TO_TANGIBLE_BPS","FQ4 2020","FQ4 2020","Currency=USD","Period=FQ","BEST_FPERIOD_OVERRIDE=FQ","FILING_STATUS=MR","Sort=A","Dates=H","DateFormat=P","Fill=—","Direction=H","UseDPDF=Y")</f>
        <v>1.6776</v>
      </c>
      <c r="I14" s="14">
        <f>_xll.BDH("BLUE US Equity","HIGH_PRICE_TO_TANGIBLE_BPS","FQ1 2021","FQ1 2021","Currency=USD","Period=FQ","BEST_FPERIOD_OVERRIDE=FQ","FILING_STATUS=MR","Sort=A","Dates=H","DateFormat=P","Fill=—","Direction=H","UseDPDF=Y")</f>
        <v>1.6732</v>
      </c>
      <c r="J14" s="14">
        <f>_xll.BDH("BLUE US Equity","HIGH_PRICE_TO_TANGIBLE_BPS","FQ2 2021","FQ2 2021","Currency=USD","Period=FQ","BEST_FPERIOD_OVERRIDE=FQ","FILING_STATUS=MR","Sort=A","Dates=H","DateFormat=P","Fill=—","Direction=H","UseDPDF=Y")</f>
        <v>1.4641</v>
      </c>
      <c r="K14" s="14">
        <f>_xll.BDH("BLUE US Equity","HIGH_PRICE_TO_TANGIBLE_BPS","FQ3 2021","FQ3 2021","Currency=USD","Period=FQ","BEST_FPERIOD_OVERRIDE=FQ","FILING_STATUS=MR","Sort=A","Dates=H","DateFormat=P","Fill=—","Direction=H","UseDPDF=Y")</f>
        <v>1.4842</v>
      </c>
      <c r="L14" s="14">
        <f>_xll.BDH("BLUE US Equity","HIGH_PRICE_TO_TANGIBLE_BPS","FQ4 2021","FQ4 2021","Currency=USD","Period=FQ","BEST_FPERIOD_OVERRIDE=FQ","FILING_STATUS=MR","Sort=A","Dates=H","DateFormat=P","Fill=—","Direction=H","UseDPDF=Y")</f>
        <v>1.9272</v>
      </c>
      <c r="M14" s="14">
        <f>_xll.BDH("BLUE US Equity","HIGH_PRICE_TO_TANGIBLE_BPS","FQ1 2022","FQ1 2022","Currency=USD","Period=FQ","BEST_FPERIOD_OVERRIDE=FQ","FILING_STATUS=MR","Sort=A","Dates=H","DateFormat=P","Fill=—","Direction=H","UseDPDF=Y")</f>
        <v>2.0449000000000002</v>
      </c>
      <c r="N14" s="14">
        <f>_xll.BDH("BLUE US Equity","HIGH_PRICE_TO_TANGIBLE_BPS","FQ2 2022","FQ2 2022","Currency=USD","Period=FQ","BEST_FPERIOD_OVERRIDE=FQ","FILING_STATUS=MR","Sort=A","Dates=H","DateFormat=P","Fill=—","Direction=H","UseDPDF=Y")</f>
        <v>1.7453000000000001</v>
      </c>
      <c r="O14" s="14">
        <f>_xll.BDH("BLUE US Equity","HIGH_PRICE_TO_TANGIBLE_BPS","FQ3 2022","FQ3 2022","Currency=USD","Period=FQ","BEST_FPERIOD_OVERRIDE=FQ","FILING_STATUS=MR","Sort=A","Dates=H","DateFormat=P","Fill=—","Direction=H","UseDPDF=Y")</f>
        <v>3.4241999999999999</v>
      </c>
      <c r="P14" s="14">
        <f>_xll.BDH("BLUE US Equity","HIGH_PRICE_TO_TANGIBLE_BPS","FQ4 2022","FQ4 2022","Currency=USD","Period=FQ","BEST_FPERIOD_OVERRIDE=FQ","FILING_STATUS=MR","Sort=A","Dates=H","DateFormat=P","Fill=—","Direction=H","UseDPDF=Y")</f>
        <v>4.6344000000000003</v>
      </c>
      <c r="Q14" s="14">
        <f>_xll.BDH("BLUE US Equity","HIGH_PRICE_TO_TANGIBLE_BPS","FQ1 2023","FQ1 2023","Currency=USD","Period=FQ","BEST_FPERIOD_OVERRIDE=FQ","FILING_STATUS=MR","Sort=A","Dates=H","DateFormat=P","Fill=—","Direction=H","UseDPDF=Y")</f>
        <v>5.5049999999999999</v>
      </c>
      <c r="R14" s="14">
        <f>_xll.BDH("BLUE US Equity","HIGH_PRICE_TO_TANGIBLE_BPS","FQ2 2023","FQ2 2023","Currency=USD","Period=FQ","BEST_FPERIOD_OVERRIDE=FQ","FILING_STATUS=MR","Sort=A","Dates=H","DateFormat=P","Fill=—","Direction=H","UseDPDF=Y")</f>
        <v>1.5577000000000001</v>
      </c>
      <c r="S14" s="14">
        <f>_xll.BDH("BLUE US Equity","HIGH_PRICE_TO_TANGIBLE_BPS","FQ3 2023","FQ3 2023","Currency=USD","Period=FQ","BEST_FPERIOD_OVERRIDE=FQ","FILING_STATUS=MR","Sort=A","Dates=H","DateFormat=P","Fill=—","Direction=H","UseDPDF=Y")</f>
        <v>1.5515000000000001</v>
      </c>
      <c r="T14" s="14">
        <f>_xll.BDH("BLUE US Equity","HIGH_PRICE_TO_TANGIBLE_BPS","FQ4 2023","FQ4 2023","Currency=USD","Period=FQ","BEST_FPERIOD_OVERRIDE=FQ","FILING_STATUS=MR","Sort=A","Dates=H","DateFormat=P","Fill=—","Direction=H","UseDPDF=Y")</f>
        <v>2.4438</v>
      </c>
      <c r="U14" s="14">
        <f>_xll.BDH("BLUE US Equity","HIGH_PRICE_TO_TANGIBLE_BPS","FQ1 2024","FQ1 2024","Currency=USD","Period=FQ","BEST_FPERIOD_OVERRIDE=FQ","FILING_STATUS=MR","Sort=A","Dates=H","DateFormat=P","Fill=—","Direction=H","UseDPDF=Y")</f>
        <v>2.1516999999999999</v>
      </c>
      <c r="V14" s="14">
        <f>_xll.BDH("BLUE US Equity","HIGH_PRICE_TO_TANGIBLE_BPS","FQ2 2024","FQ2 2024","Currency=USD","Period=FQ","BEST_FPERIOD_OVERRIDE=FQ","FILING_STATUS=MR","Sort=A","Dates=H","DateFormat=P","Fill=—","Direction=H","UseDPDF=Y")</f>
        <v>5.1119000000000003</v>
      </c>
      <c r="W14" s="14">
        <f>_xll.BDH("BLUE US Equity","HIGH_PRICE_TO_TANGIBLE_BPS","FQ3 2024","FQ3 2024","Currency=USD","Period=FQ","BEST_FPERIOD_OVERRIDE=FQ","FILING_STATUS=MR","Sort=A","Dates=H","DateFormat=P","Fill=—","Direction=H","UseDPDF=Y")</f>
        <v>7.0118999999999998</v>
      </c>
      <c r="X14" s="14" t="str">
        <f>_xll.BDH("BLUE US Equity","HIGH_PRICE_TO_TANGIBLE_BPS","FQ4 2024","FQ4 2024","Currency=USD","Period=FQ","BEST_FPERIOD_OVERRIDE=FQ","FILING_STATUS=MR","Sort=A","Dates=H","DateFormat=P","Fill=—","Direction=H","UseDPDF=Y")</f>
        <v>—</v>
      </c>
      <c r="Y14" s="17"/>
      <c r="Z14" s="14"/>
      <c r="AA14" s="14"/>
    </row>
    <row r="15" spans="1:27" x14ac:dyDescent="0.25">
      <c r="A15" s="10" t="s">
        <v>202</v>
      </c>
      <c r="B15" s="10" t="s">
        <v>208</v>
      </c>
      <c r="C15" s="14">
        <f>_xll.BDH("BLUE US Equity","LOW_PRICE_TO_TANGIBLE_BPS","FQ3 2019","FQ3 2019","Currency=USD","Period=FQ","BEST_FPERIOD_OVERRIDE=FQ","FILING_STATUS=MR","Sort=A","Dates=H","DateFormat=P","Fill=—","Direction=H","UseDPDF=Y")</f>
        <v>2.0651000000000002</v>
      </c>
      <c r="D15" s="14">
        <f>_xll.BDH("BLUE US Equity","LOW_PRICE_TO_TANGIBLE_BPS","FQ4 2019","FQ4 2019","Currency=USD","Period=FQ","BEST_FPERIOD_OVERRIDE=FQ","FILING_STATUS=MR","Sort=A","Dates=H","DateFormat=P","Fill=—","Direction=H","UseDPDF=Y")</f>
        <v>1.7989999999999999</v>
      </c>
      <c r="E15" s="14">
        <f>_xll.BDH("BLUE US Equity","LOW_PRICE_TO_TANGIBLE_BPS","FQ1 2020","FQ1 2020","Currency=USD","Period=FQ","BEST_FPERIOD_OVERRIDE=FQ","FILING_STATUS=MR","Sort=A","Dates=H","DateFormat=P","Fill=—","Direction=H","UseDPDF=Y")</f>
        <v>1.1512</v>
      </c>
      <c r="F15" s="14">
        <f>_xll.BDH("BLUE US Equity","LOW_PRICE_TO_TANGIBLE_BPS","FQ2 2020","FQ2 2020","Currency=USD","Period=FQ","BEST_FPERIOD_OVERRIDE=FQ","FILING_STATUS=MR","Sort=A","Dates=H","DateFormat=P","Fill=—","Direction=H","UseDPDF=Y")</f>
        <v>1.3783000000000001</v>
      </c>
      <c r="G15" s="14">
        <f>_xll.BDH("BLUE US Equity","LOW_PRICE_TO_TANGIBLE_BPS","FQ3 2020","FQ3 2020","Currency=USD","Period=FQ","BEST_FPERIOD_OVERRIDE=FQ","FILING_STATUS=MR","Sort=A","Dates=H","DateFormat=P","Fill=—","Direction=H","UseDPDF=Y")</f>
        <v>1.3754999999999999</v>
      </c>
      <c r="H15" s="14">
        <f>_xll.BDH("BLUE US Equity","LOW_PRICE_TO_TANGIBLE_BPS","FQ4 2020","FQ4 2020","Currency=USD","Period=FQ","BEST_FPERIOD_OVERRIDE=FQ","FILING_STATUS=MR","Sort=A","Dates=H","DateFormat=P","Fill=—","Direction=H","UseDPDF=Y")</f>
        <v>1.2165999999999999</v>
      </c>
      <c r="I15" s="14">
        <f>_xll.BDH("BLUE US Equity","LOW_PRICE_TO_TANGIBLE_BPS","FQ1 2021","FQ1 2021","Currency=USD","Period=FQ","BEST_FPERIOD_OVERRIDE=FQ","FILING_STATUS=MR","Sort=A","Dates=H","DateFormat=P","Fill=—","Direction=H","UseDPDF=Y")</f>
        <v>0.81920000000000004</v>
      </c>
      <c r="J15" s="14">
        <f>_xll.BDH("BLUE US Equity","LOW_PRICE_TO_TANGIBLE_BPS","FQ2 2021","FQ2 2021","Currency=USD","Period=FQ","BEST_FPERIOD_OVERRIDE=FQ","FILING_STATUS=MR","Sort=A","Dates=H","DateFormat=P","Fill=—","Direction=H","UseDPDF=Y")</f>
        <v>1.0342</v>
      </c>
      <c r="K15" s="14">
        <f>_xll.BDH("BLUE US Equity","LOW_PRICE_TO_TANGIBLE_BPS","FQ3 2021","FQ3 2021","Currency=USD","Period=FQ","BEST_FPERIOD_OVERRIDE=FQ","FILING_STATUS=MR","Sort=A","Dates=H","DateFormat=P","Fill=—","Direction=H","UseDPDF=Y")</f>
        <v>0.79479999999999995</v>
      </c>
      <c r="L15" s="14">
        <f>_xll.BDH("BLUE US Equity","LOW_PRICE_TO_TANGIBLE_BPS","FQ4 2021","FQ4 2021","Currency=USD","Period=FQ","BEST_FPERIOD_OVERRIDE=FQ","FILING_STATUS=MR","Sort=A","Dates=H","DateFormat=P","Fill=—","Direction=H","UseDPDF=Y")</f>
        <v>0.74109999999999998</v>
      </c>
      <c r="M15" s="14">
        <f>_xll.BDH("BLUE US Equity","LOW_PRICE_TO_TANGIBLE_BPS","FQ1 2022","FQ1 2022","Currency=USD","Period=FQ","BEST_FPERIOD_OVERRIDE=FQ","FILING_STATUS=MR","Sort=A","Dates=H","DateFormat=P","Fill=—","Direction=H","UseDPDF=Y")</f>
        <v>0.78520000000000001</v>
      </c>
      <c r="N15" s="14">
        <f>_xll.BDH("BLUE US Equity","LOW_PRICE_TO_TANGIBLE_BPS","FQ2 2022","FQ2 2022","Currency=USD","Period=FQ","BEST_FPERIOD_OVERRIDE=FQ","FILING_STATUS=MR","Sort=A","Dates=H","DateFormat=P","Fill=—","Direction=H","UseDPDF=Y")</f>
        <v>0.81530000000000002</v>
      </c>
      <c r="O15" s="14">
        <f>_xll.BDH("BLUE US Equity","LOW_PRICE_TO_TANGIBLE_BPS","FQ3 2022","FQ3 2022","Currency=USD","Period=FQ","BEST_FPERIOD_OVERRIDE=FQ","FILING_STATUS=MR","Sort=A","Dates=H","DateFormat=P","Fill=—","Direction=H","UseDPDF=Y")</f>
        <v>1.5809</v>
      </c>
      <c r="P15" s="14">
        <f>_xll.BDH("BLUE US Equity","LOW_PRICE_TO_TANGIBLE_BPS","FQ4 2022","FQ4 2022","Currency=USD","Period=FQ","BEST_FPERIOD_OVERRIDE=FQ","FILING_STATUS=MR","Sort=A","Dates=H","DateFormat=P","Fill=—","Direction=H","UseDPDF=Y")</f>
        <v>3.1213000000000002</v>
      </c>
      <c r="Q15" s="14">
        <f>_xll.BDH("BLUE US Equity","LOW_PRICE_TO_TANGIBLE_BPS","FQ1 2023","FQ1 2023","Currency=USD","Period=FQ","BEST_FPERIOD_OVERRIDE=FQ","FILING_STATUS=MR","Sort=A","Dates=H","DateFormat=P","Fill=—","Direction=H","UseDPDF=Y")</f>
        <v>0.98480000000000001</v>
      </c>
      <c r="R15" s="14">
        <f>_xll.BDH("BLUE US Equity","LOW_PRICE_TO_TANGIBLE_BPS","FQ2 2023","FQ2 2023","Currency=USD","Period=FQ","BEST_FPERIOD_OVERRIDE=FQ","FILING_STATUS=MR","Sort=A","Dates=H","DateFormat=P","Fill=—","Direction=H","UseDPDF=Y")</f>
        <v>0.86399999999999999</v>
      </c>
      <c r="S15" s="14">
        <f>_xll.BDH("BLUE US Equity","LOW_PRICE_TO_TANGIBLE_BPS","FQ3 2023","FQ3 2023","Currency=USD","Period=FQ","BEST_FPERIOD_OVERRIDE=FQ","FILING_STATUS=MR","Sort=A","Dates=H","DateFormat=P","Fill=—","Direction=H","UseDPDF=Y")</f>
        <v>1.1569</v>
      </c>
      <c r="T15" s="14">
        <f>_xll.BDH("BLUE US Equity","LOW_PRICE_TO_TANGIBLE_BPS","FQ4 2023","FQ4 2023","Currency=USD","Period=FQ","BEST_FPERIOD_OVERRIDE=FQ","FILING_STATUS=MR","Sort=A","Dates=H","DateFormat=P","Fill=—","Direction=H","UseDPDF=Y")</f>
        <v>0.66790000000000005</v>
      </c>
      <c r="U15" s="14">
        <f>_xll.BDH("BLUE US Equity","LOW_PRICE_TO_TANGIBLE_BPS","FQ1 2024","FQ1 2024","Currency=USD","Period=FQ","BEST_FPERIOD_OVERRIDE=FQ","FILING_STATUS=MR","Sort=A","Dates=H","DateFormat=P","Fill=—","Direction=H","UseDPDF=Y")</f>
        <v>0.9778</v>
      </c>
      <c r="V15" s="14">
        <f>_xll.BDH("BLUE US Equity","LOW_PRICE_TO_TANGIBLE_BPS","FQ2 2024","FQ2 2024","Currency=USD","Period=FQ","BEST_FPERIOD_OVERRIDE=FQ","FILING_STATUS=MR","Sort=A","Dates=H","DateFormat=P","Fill=—","Direction=H","UseDPDF=Y")</f>
        <v>1.4351</v>
      </c>
      <c r="W15" s="14">
        <f>_xll.BDH("BLUE US Equity","LOW_PRICE_TO_TANGIBLE_BPS","FQ3 2024","FQ3 2024","Currency=USD","Period=FQ","BEST_FPERIOD_OVERRIDE=FQ","FILING_STATUS=MR","Sort=A","Dates=H","DateFormat=P","Fill=—","Direction=H","UseDPDF=Y")</f>
        <v>2.4422000000000001</v>
      </c>
      <c r="X15" s="14" t="str">
        <f>_xll.BDH("BLUE US Equity","LOW_PRICE_TO_TANGIBLE_BPS","FQ4 2024","FQ4 2024","Currency=USD","Period=FQ","BEST_FPERIOD_OVERRIDE=FQ","FILING_STATUS=MR","Sort=A","Dates=H","DateFormat=P","Fill=—","Direction=H","UseDPDF=Y")</f>
        <v>—</v>
      </c>
      <c r="Y15" s="17"/>
      <c r="Z15" s="14"/>
      <c r="AA15" s="14"/>
    </row>
    <row r="16" spans="1:27" x14ac:dyDescent="0.25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1"/>
      <c r="Z16" s="18"/>
      <c r="AA16" s="18"/>
    </row>
    <row r="17" spans="1:27" x14ac:dyDescent="0.25">
      <c r="A17" s="6" t="s">
        <v>209</v>
      </c>
      <c r="B17" s="6" t="s">
        <v>210</v>
      </c>
      <c r="C17" s="20">
        <f>_xll.BDH("BLUE US Equity","PX_TO_SALES_RATIO","FQ3 2019","FQ3 2019","Currency=USD","Period=FQ","BEST_FPERIOD_OVERRIDE=FQ","FILING_STATUS=MR","FA_ADJUSTED=GAAP","Sort=A","Dates=H","DateFormat=P","Fill=—","Direction=H","UseDPDF=Y")</f>
        <v>93.616399999999999</v>
      </c>
      <c r="D17" s="20">
        <f>_xll.BDH("BLUE US Equity","PX_TO_SALES_RATIO","FQ4 2019","FQ4 2019","Currency=USD","Period=FQ","BEST_FPERIOD_OVERRIDE=FQ","FILING_STATUS=MR","FA_ADJUSTED=GAAP","Sort=A","Dates=H","DateFormat=P","Fill=—","Direction=H","UseDPDF=Y")</f>
        <v>108.3703</v>
      </c>
      <c r="E17" s="20">
        <f>_xll.BDH("BLUE US Equity","PX_TO_SALES_RATIO","FQ1 2020","FQ1 2020","Currency=USD","Period=FQ","BEST_FPERIOD_OVERRIDE=FQ","FILING_STATUS=MR","FA_ADJUSTED=GAAP","Sort=A","Dates=H","DateFormat=P","Fill=—","Direction=H","UseDPDF=Y")</f>
        <v>47.085799999999999</v>
      </c>
      <c r="F17" s="20">
        <f>_xll.BDH("BLUE US Equity","PX_TO_SALES_RATIO","FQ2 2020","FQ2 2020","Currency=USD","Period=FQ","BEST_FPERIOD_OVERRIDE=FQ","FILING_STATUS=MR","FA_ADJUSTED=GAAP","Sort=A","Dates=H","DateFormat=P","Fill=—","Direction=H","UseDPDF=Y")</f>
        <v>15.1508</v>
      </c>
      <c r="G17" s="20">
        <f>_xll.BDH("BLUE US Equity","PX_TO_SALES_RATIO","FQ3 2020","FQ3 2020","Currency=USD","Period=FQ","BEST_FPERIOD_OVERRIDE=FQ","FILING_STATUS=MR","FA_ADJUSTED=GAAP","Sort=A","Dates=H","DateFormat=P","Fill=—","Direction=H","UseDPDF=Y")</f>
        <v>12.9732</v>
      </c>
      <c r="H17" s="20">
        <f>_xll.BDH("BLUE US Equity","PX_TO_SALES_RATIO","FQ4 2020","FQ4 2020","Currency=USD","Period=FQ","BEST_FPERIOD_OVERRIDE=FQ","FILING_STATUS=MR","FA_ADJUSTED=GAAP","Sort=A","Dates=H","DateFormat=P","Fill=—","Direction=H","UseDPDF=Y")</f>
        <v>10.8775</v>
      </c>
      <c r="I17" s="20">
        <f>_xll.BDH("BLUE US Equity","PX_TO_SALES_RATIO","FQ1 2021","FQ1 2021","Currency=USD","Period=FQ","BEST_FPERIOD_OVERRIDE=FQ","FILING_STATUS=MR","FA_ADJUSTED=GAAP","Sort=A","Dates=H","DateFormat=P","Fill=—","Direction=H","UseDPDF=Y")</f>
        <v>8.3795999999999999</v>
      </c>
      <c r="J17" s="20">
        <f>_xll.BDH("BLUE US Equity","PX_TO_SALES_RATIO","FQ2 2021","FQ2 2021","Currency=USD","Period=FQ","BEST_FPERIOD_OVERRIDE=FQ","FILING_STATUS=MR","FA_ADJUSTED=GAAP","Sort=A","Dates=H","DateFormat=P","Fill=—","Direction=H","UseDPDF=Y")</f>
        <v>77.064999999999998</v>
      </c>
      <c r="K17" s="20">
        <f>_xll.BDH("BLUE US Equity","PX_TO_SALES_RATIO","FQ3 2021","FQ3 2021","Currency=USD","Period=FQ","BEST_FPERIOD_OVERRIDE=FQ","FILING_STATUS=MR","FA_ADJUSTED=GAAP","Sort=A","Dates=H","DateFormat=P","Fill=—","Direction=H","UseDPDF=Y")</f>
        <v>137.5658</v>
      </c>
      <c r="L17" s="20">
        <f>_xll.BDH("BLUE US Equity","PX_TO_SALES_RATIO","FQ4 2021","FQ4 2021","Currency=USD","Period=FQ","BEST_FPERIOD_OVERRIDE=FQ","FILING_STATUS=MR","FA_ADJUSTED=GAAP","Sort=A","Dates=H","DateFormat=P","Fill=—","Direction=H","UseDPDF=Y")</f>
        <v>62.023600000000002</v>
      </c>
      <c r="M17" s="20">
        <f>_xll.BDH("BLUE US Equity","PX_TO_SALES_RATIO","FQ1 2022","FQ1 2022","Currency=USD","Period=FQ","BEST_FPERIOD_OVERRIDE=FQ","FILING_STATUS=MR","FA_ADJUSTED=GAAP","Sort=A","Dates=H","DateFormat=P","Fill=—","Direction=H","UseDPDF=Y")</f>
        <v>27.8552</v>
      </c>
      <c r="N17" s="20">
        <f>_xll.BDH("BLUE US Equity","PX_TO_SALES_RATIO","FQ2 2022","FQ2 2022","Currency=USD","Period=FQ","BEST_FPERIOD_OVERRIDE=FQ","FILING_STATUS=MR","FA_ADJUSTED=GAAP","Sort=A","Dates=H","DateFormat=P","Fill=—","Direction=H","UseDPDF=Y")</f>
        <v>49.292200000000001</v>
      </c>
      <c r="O17" s="20">
        <f>_xll.BDH("BLUE US Equity","PX_TO_SALES_RATIO","FQ3 2022","FQ3 2022","Currency=USD","Period=FQ","BEST_FPERIOD_OVERRIDE=FQ","FILING_STATUS=MR","FA_ADJUSTED=GAAP","Sort=A","Dates=H","DateFormat=P","Fill=—","Direction=H","UseDPDF=Y")</f>
        <v>90.415700000000001</v>
      </c>
      <c r="P17" s="20">
        <f>_xll.BDH("BLUE US Equity","PX_TO_SALES_RATIO","FQ4 2022","FQ4 2022","Currency=USD","Period=FQ","BEST_FPERIOD_OVERRIDE=FQ","FILING_STATUS=MR","FA_ADJUSTED=GAAP","Sort=A","Dates=H","DateFormat=P","Fill=—","Direction=H","UseDPDF=Y")</f>
        <v>142.4333</v>
      </c>
      <c r="Q17" s="20">
        <f>_xll.BDH("BLUE US Equity","PX_TO_SALES_RATIO","FQ1 2023","FQ1 2023","Currency=USD","Period=FQ","BEST_FPERIOD_OVERRIDE=FQ","FILING_STATUS=MR","FA_ADJUSTED=GAAP","Sort=A","Dates=H","DateFormat=P","Fill=—","Direction=H","UseDPDF=Y")</f>
        <v>70.162199999999999</v>
      </c>
      <c r="R17" s="20">
        <f>_xll.BDH("BLUE US Equity","PX_TO_SALES_RATIO","FQ2 2023","FQ2 2023","Currency=USD","Period=FQ","BEST_FPERIOD_OVERRIDE=FQ","FILING_STATUS=MR","FA_ADJUSTED=GAAP","Sort=A","Dates=H","DateFormat=P","Fill=—","Direction=H","UseDPDF=Y")</f>
        <v>37.332999999999998</v>
      </c>
      <c r="S17" s="20">
        <f>_xll.BDH("BLUE US Equity","PX_TO_SALES_RATIO","FQ3 2023","FQ3 2023","Currency=USD","Period=FQ","BEST_FPERIOD_OVERRIDE=FQ","FILING_STATUS=MR","FA_ADJUSTED=GAAP","Sort=A","Dates=H","DateFormat=P","Fill=—","Direction=H","UseDPDF=Y")</f>
        <v>15.1363</v>
      </c>
      <c r="T17" s="20">
        <f>_xll.BDH("BLUE US Equity","PX_TO_SALES_RATIO","FQ4 2023","FQ4 2023","Currency=USD","Period=FQ","BEST_FPERIOD_OVERRIDE=FQ","FILING_STATUS=MR","FA_ADJUSTED=GAAP","Sort=A","Dates=H","DateFormat=P","Fill=—","Direction=H","UseDPDF=Y")</f>
        <v>5.1847000000000003</v>
      </c>
      <c r="U17" s="20">
        <f>_xll.BDH("BLUE US Equity","PX_TO_SALES_RATIO","FQ1 2024","FQ1 2024","Currency=USD","Period=FQ","BEST_FPERIOD_OVERRIDE=FQ","FILING_STATUS=MR","FA_ADJUSTED=GAAP","Sort=A","Dates=H","DateFormat=P","Fill=—","Direction=H","UseDPDF=Y")</f>
        <v>3.7736999999999998</v>
      </c>
      <c r="V17" s="20">
        <f>_xll.BDH("BLUE US Equity","PX_TO_SALES_RATIO","FQ2 2024","FQ2 2024","Currency=USD","Period=FQ","BEST_FPERIOD_OVERRIDE=FQ","FILING_STATUS=MR","FA_ADJUSTED=GAAP","Sort=A","Dates=H","DateFormat=P","Fill=—","Direction=H","UseDPDF=Y")</f>
        <v>2.7421000000000002</v>
      </c>
      <c r="W17" s="20">
        <f>_xll.BDH("BLUE US Equity","PX_TO_SALES_RATIO","FQ3 2024","FQ3 2024","Currency=USD","Period=FQ","BEST_FPERIOD_OVERRIDE=FQ","FILING_STATUS=MR","FA_ADJUSTED=GAAP","Sort=A","Dates=H","DateFormat=P","Fill=—","Direction=H","UseDPDF=Y")</f>
        <v>1.7313000000000001</v>
      </c>
      <c r="X17" s="20">
        <f>_xll.BDH("BLUE US Equity","PX_TO_SALES_RATIO","FQ4 2024","FQ4 2024","Currency=USD","Period=FQ","BEST_FPERIOD_OVERRIDE=FQ","FILING_STATUS=MR","FA_ADJUSTED=GAAP","Sort=A","Dates=H","DateFormat=P","Fill=—","Direction=H","UseDPDF=Y")</f>
        <v>0.96440000000000003</v>
      </c>
      <c r="Y17" s="23">
        <v>0.43711199819101898</v>
      </c>
      <c r="Z17" s="20">
        <v>0.1445546875</v>
      </c>
      <c r="AA17" s="20">
        <v>0.109199930359446</v>
      </c>
    </row>
    <row r="18" spans="1:27" x14ac:dyDescent="0.25">
      <c r="A18" s="10" t="s">
        <v>198</v>
      </c>
      <c r="B18" s="10" t="s">
        <v>211</v>
      </c>
      <c r="C18" s="14">
        <f>_xll.BDH("BLUE US Equity","AVERAGE_PRICE_TO_SALES_RATIO","FQ3 2019","FQ3 2019","Currency=USD","Period=FQ","BEST_FPERIOD_OVERRIDE=FQ","FILING_STATUS=MR","FA_ADJUSTED=GAAP","Sort=A","Dates=H","DateFormat=P","Fill=—","Direction=H","UseDPDF=Y")</f>
        <v>73.712900000000005</v>
      </c>
      <c r="D18" s="14">
        <f>_xll.BDH("BLUE US Equity","AVERAGE_PRICE_TO_SALES_RATIO","FQ4 2019","FQ4 2019","Currency=USD","Period=FQ","BEST_FPERIOD_OVERRIDE=FQ","FILING_STATUS=MR","FA_ADJUSTED=GAAP","Sort=A","Dates=H","DateFormat=P","Fill=—","Direction=H","UseDPDF=Y")</f>
        <v>55.578699999999998</v>
      </c>
      <c r="E18" s="14">
        <f>_xll.BDH("BLUE US Equity","AVERAGE_PRICE_TO_SALES_RATIO","FQ1 2020","FQ1 2020","Currency=USD","Period=FQ","BEST_FPERIOD_OVERRIDE=FQ","FILING_STATUS=MR","FA_ADJUSTED=GAAP","Sort=A","Dates=H","DateFormat=P","Fill=—","Direction=H","UseDPDF=Y")</f>
        <v>60.046700000000001</v>
      </c>
      <c r="F18" s="14">
        <f>_xll.BDH("BLUE US Equity","AVERAGE_PRICE_TO_SALES_RATIO","FQ2 2020","FQ2 2020","Currency=USD","Period=FQ","BEST_FPERIOD_OVERRIDE=FQ","FILING_STATUS=MR","FA_ADJUSTED=GAAP","Sort=A","Dates=H","DateFormat=P","Fill=—","Direction=H","UseDPDF=Y")</f>
        <v>38.121499999999997</v>
      </c>
      <c r="G18" s="14">
        <f>_xll.BDH("BLUE US Equity","AVERAGE_PRICE_TO_SALES_RATIO","FQ3 2020","FQ3 2020","Currency=USD","Period=FQ","BEST_FPERIOD_OVERRIDE=FQ","FILING_STATUS=MR","FA_ADJUSTED=GAAP","Sort=A","Dates=H","DateFormat=P","Fill=—","Direction=H","UseDPDF=Y")</f>
        <v>9.6697000000000006</v>
      </c>
      <c r="H18" s="14">
        <f>_xll.BDH("BLUE US Equity","AVERAGE_PRICE_TO_SALES_RATIO","FQ4 2020","FQ4 2020","Currency=USD","Period=FQ","BEST_FPERIOD_OVERRIDE=FQ","FILING_STATUS=MR","FA_ADJUSTED=GAAP","Sort=A","Dates=H","DateFormat=P","Fill=—","Direction=H","UseDPDF=Y")</f>
        <v>7.6208</v>
      </c>
      <c r="I18" s="14">
        <f>_xll.BDH("BLUE US Equity","AVERAGE_PRICE_TO_SALES_RATIO","FQ1 2021","FQ1 2021","Currency=USD","Period=FQ","BEST_FPERIOD_OVERRIDE=FQ","FILING_STATUS=MR","FA_ADJUSTED=GAAP","Sort=A","Dates=H","DateFormat=P","Fill=—","Direction=H","UseDPDF=Y")</f>
        <v>6.1947999999999999</v>
      </c>
      <c r="J18" s="14">
        <f>_xll.BDH("BLUE US Equity","AVERAGE_PRICE_TO_SALES_RATIO","FQ2 2021","FQ2 2021","Currency=USD","Period=FQ","BEST_FPERIOD_OVERRIDE=FQ","FILING_STATUS=MR","FA_ADJUSTED=GAAP","Sort=A","Dates=H","DateFormat=P","Fill=—","Direction=H","UseDPDF=Y")</f>
        <v>6.2031000000000001</v>
      </c>
      <c r="K18" s="14">
        <f>_xll.BDH("BLUE US Equity","AVERAGE_PRICE_TO_SALES_RATIO","FQ3 2021","FQ3 2021","Currency=USD","Period=FQ","BEST_FPERIOD_OVERRIDE=FQ","FILING_STATUS=MR","FA_ADJUSTED=GAAP","Sort=A","Dates=H","DateFormat=P","Fill=—","Direction=H","UseDPDF=Y")</f>
        <v>35.352699999999999</v>
      </c>
      <c r="L18" s="14">
        <f>_xll.BDH("BLUE US Equity","AVERAGE_PRICE_TO_SALES_RATIO","FQ4 2021","FQ4 2021","Currency=USD","Period=FQ","BEST_FPERIOD_OVERRIDE=FQ","FILING_STATUS=MR","FA_ADJUSTED=GAAP","Sort=A","Dates=H","DateFormat=P","Fill=—","Direction=H","UseDPDF=Y")</f>
        <v>84.761799999999994</v>
      </c>
      <c r="M18" s="14">
        <f>_xll.BDH("BLUE US Equity","AVERAGE_PRICE_TO_SALES_RATIO","FQ1 2022","FQ1 2022","Currency=USD","Period=FQ","BEST_FPERIOD_OVERRIDE=FQ","FILING_STATUS=MR","FA_ADJUSTED=GAAP","Sort=A","Dates=H","DateFormat=P","Fill=—","Direction=H","UseDPDF=Y")</f>
        <v>40.928100000000001</v>
      </c>
      <c r="N18" s="14">
        <f>_xll.BDH("BLUE US Equity","AVERAGE_PRICE_TO_SALES_RATIO","FQ2 2022","FQ2 2022","Currency=USD","Period=FQ","BEST_FPERIOD_OVERRIDE=FQ","FILING_STATUS=MR","FA_ADJUSTED=GAAP","Sort=A","Dates=H","DateFormat=P","Fill=—","Direction=H","UseDPDF=Y")</f>
        <v>22.695</v>
      </c>
      <c r="O18" s="14">
        <f>_xll.BDH("BLUE US Equity","AVERAGE_PRICE_TO_SALES_RATIO","FQ3 2022","FQ3 2022","Currency=USD","Period=FQ","BEST_FPERIOD_OVERRIDE=FQ","FILING_STATUS=MR","FA_ADJUSTED=GAAP","Sort=A","Dates=H","DateFormat=P","Fill=—","Direction=H","UseDPDF=Y")</f>
        <v>67.587699999999998</v>
      </c>
      <c r="P18" s="14">
        <f>_xll.BDH("BLUE US Equity","AVERAGE_PRICE_TO_SALES_RATIO","FQ4 2022","FQ4 2022","Currency=USD","Period=FQ","BEST_FPERIOD_OVERRIDE=FQ","FILING_STATUS=MR","FA_ADJUSTED=GAAP","Sort=A","Dates=H","DateFormat=P","Fill=—","Direction=H","UseDPDF=Y")</f>
        <v>101.31019999999999</v>
      </c>
      <c r="Q18" s="14">
        <f>_xll.BDH("BLUE US Equity","AVERAGE_PRICE_TO_SALES_RATIO","FQ1 2023","FQ1 2023","Currency=USD","Period=FQ","BEST_FPERIOD_OVERRIDE=FQ","FILING_STATUS=MR","FA_ADJUSTED=GAAP","Sort=A","Dates=H","DateFormat=P","Fill=—","Direction=H","UseDPDF=Y")</f>
        <v>117.6024</v>
      </c>
      <c r="R18" s="14">
        <f>_xll.BDH("BLUE US Equity","AVERAGE_PRICE_TO_SALES_RATIO","FQ2 2023","FQ2 2023","Currency=USD","Period=FQ","BEST_FPERIOD_OVERRIDE=FQ","FILING_STATUS=MR","FA_ADJUSTED=GAAP","Sort=A","Dates=H","DateFormat=P","Fill=—","Direction=H","UseDPDF=Y")</f>
        <v>80.137799999999999</v>
      </c>
      <c r="S18" s="14">
        <f>_xll.BDH("BLUE US Equity","AVERAGE_PRICE_TO_SALES_RATIO","FQ3 2023","FQ3 2023","Currency=USD","Period=FQ","BEST_FPERIOD_OVERRIDE=FQ","FILING_STATUS=MR","FA_ADJUSTED=GAAP","Sort=A","Dates=H","DateFormat=P","Fill=—","Direction=H","UseDPDF=Y")</f>
        <v>39.545499999999997</v>
      </c>
      <c r="T18" s="14">
        <f>_xll.BDH("BLUE US Equity","AVERAGE_PRICE_TO_SALES_RATIO","FQ4 2023","FQ4 2023","Currency=USD","Period=FQ","BEST_FPERIOD_OVERRIDE=FQ","FILING_STATUS=MR","FA_ADJUSTED=GAAP","Sort=A","Dates=H","DateFormat=P","Fill=—","Direction=H","UseDPDF=Y")</f>
        <v>15.150700000000001</v>
      </c>
      <c r="U18" s="14">
        <f>_xll.BDH("BLUE US Equity","AVERAGE_PRICE_TO_SALES_RATIO","FQ1 2024","FQ1 2024","Currency=USD","Period=FQ","BEST_FPERIOD_OVERRIDE=FQ","FILING_STATUS=MR","FA_ADJUSTED=GAAP","Sort=A","Dates=H","DateFormat=P","Fill=—","Direction=H","UseDPDF=Y")</f>
        <v>4.7965</v>
      </c>
      <c r="V18" s="14">
        <f>_xll.BDH("BLUE US Equity","AVERAGE_PRICE_TO_SALES_RATIO","FQ2 2024","FQ2 2024","Currency=USD","Period=FQ","BEST_FPERIOD_OVERRIDE=FQ","FILING_STATUS=MR","FA_ADJUSTED=GAAP","Sort=A","Dates=H","DateFormat=P","Fill=—","Direction=H","UseDPDF=Y")</f>
        <v>2.9504999999999999</v>
      </c>
      <c r="W18" s="14">
        <f>_xll.BDH("BLUE US Equity","AVERAGE_PRICE_TO_SALES_RATIO","FQ3 2024","FQ3 2024","Currency=USD","Period=FQ","BEST_FPERIOD_OVERRIDE=FQ","FILING_STATUS=MR","FA_ADJUSTED=GAAP","Sort=A","Dates=H","DateFormat=P","Fill=—","Direction=H","UseDPDF=Y")</f>
        <v>2.3203</v>
      </c>
      <c r="X18" s="14">
        <f>_xll.BDH("BLUE US Equity","AVERAGE_PRICE_TO_SALES_RATIO","FQ4 2024","FQ4 2024","Currency=USD","Period=FQ","BEST_FPERIOD_OVERRIDE=FQ","FILING_STATUS=MR","FA_ADJUSTED=GAAP","Sort=A","Dates=H","DateFormat=P","Fill=—","Direction=H","UseDPDF=Y")</f>
        <v>1.4497</v>
      </c>
      <c r="Y18" s="17"/>
      <c r="Z18" s="14"/>
      <c r="AA18" s="14"/>
    </row>
    <row r="19" spans="1:27" x14ac:dyDescent="0.25">
      <c r="A19" s="10" t="s">
        <v>200</v>
      </c>
      <c r="B19" s="10" t="s">
        <v>212</v>
      </c>
      <c r="C19" s="14">
        <f>_xll.BDH("BLUE US Equity","HIGH_PX_TO_SALES_RATIO","FQ3 2019","FQ3 2019","Currency=USD","Period=FQ","BEST_FPERIOD_OVERRIDE=FQ","FILING_STATUS=MR","FA_ADJUSTED=GAAP","Sort=A","Dates=H","DateFormat=P","Fill=—","Direction=H","UseDPDF=Y")</f>
        <v>89.962400000000002</v>
      </c>
      <c r="D19" s="14">
        <f>_xll.BDH("BLUE US Equity","HIGH_PX_TO_SALES_RATIO","FQ4 2019","FQ4 2019","Currency=USD","Period=FQ","BEST_FPERIOD_OVERRIDE=FQ","FILING_STATUS=MR","FA_ADJUSTED=GAAP","Sort=A","Dates=H","DateFormat=P","Fill=—","Direction=H","UseDPDF=Y")</f>
        <v>71.816100000000006</v>
      </c>
      <c r="E19" s="14">
        <f>_xll.BDH("BLUE US Equity","HIGH_PX_TO_SALES_RATIO","FQ1 2020","FQ1 2020","Currency=USD","Period=FQ","BEST_FPERIOD_OVERRIDE=FQ","FILING_STATUS=MR","FA_ADJUSTED=GAAP","Sort=A","Dates=H","DateFormat=P","Fill=—","Direction=H","UseDPDF=Y")</f>
        <v>79.435000000000002</v>
      </c>
      <c r="F19" s="14">
        <f>_xll.BDH("BLUE US Equity","HIGH_PX_TO_SALES_RATIO","FQ2 2020","FQ2 2020","Currency=USD","Period=FQ","BEST_FPERIOD_OVERRIDE=FQ","FILING_STATUS=MR","FA_ADJUSTED=GAAP","Sort=A","Dates=H","DateFormat=P","Fill=—","Direction=H","UseDPDF=Y")</f>
        <v>48.085599999999999</v>
      </c>
      <c r="G19" s="14">
        <f>_xll.BDH("BLUE US Equity","HIGH_PX_TO_SALES_RATIO","FQ3 2020","FQ3 2020","Currency=USD","Period=FQ","BEST_FPERIOD_OVERRIDE=FQ","FILING_STATUS=MR","FA_ADJUSTED=GAAP","Sort=A","Dates=H","DateFormat=P","Fill=—","Direction=H","UseDPDF=Y")</f>
        <v>10.988799999999999</v>
      </c>
      <c r="H19" s="14">
        <f>_xll.BDH("BLUE US Equity","HIGH_PX_TO_SALES_RATIO","FQ4 2020","FQ4 2020","Currency=USD","Period=FQ","BEST_FPERIOD_OVERRIDE=FQ","FILING_STATUS=MR","FA_ADJUSTED=GAAP","Sort=A","Dates=H","DateFormat=P","Fill=—","Direction=H","UseDPDF=Y")</f>
        <v>9.2340999999999998</v>
      </c>
      <c r="I19" s="14">
        <f>_xll.BDH("BLUE US Equity","HIGH_PX_TO_SALES_RATIO","FQ1 2021","FQ1 2021","Currency=USD","Period=FQ","BEST_FPERIOD_OVERRIDE=FQ","FILING_STATUS=MR","FA_ADJUSTED=GAAP","Sort=A","Dates=H","DateFormat=P","Fill=—","Direction=H","UseDPDF=Y")</f>
        <v>8.7355</v>
      </c>
      <c r="J19" s="14">
        <f>_xll.BDH("BLUE US Equity","HIGH_PX_TO_SALES_RATIO","FQ2 2021","FQ2 2021","Currency=USD","Period=FQ","BEST_FPERIOD_OVERRIDE=FQ","FILING_STATUS=MR","FA_ADJUSTED=GAAP","Sort=A","Dates=H","DateFormat=P","Fill=—","Direction=H","UseDPDF=Y")</f>
        <v>50.469299999999997</v>
      </c>
      <c r="K19" s="14">
        <f>_xll.BDH("BLUE US Equity","HIGH_PX_TO_SALES_RATIO","FQ3 2021","FQ3 2021","Currency=USD","Period=FQ","BEST_FPERIOD_OVERRIDE=FQ","FILING_STATUS=MR","FA_ADJUSTED=GAAP","Sort=A","Dates=H","DateFormat=P","Fill=—","Direction=H","UseDPDF=Y")</f>
        <v>89.751800000000003</v>
      </c>
      <c r="L19" s="14">
        <f>_xll.BDH("BLUE US Equity","HIGH_PX_TO_SALES_RATIO","FQ4 2021","FQ4 2021","Currency=USD","Period=FQ","BEST_FPERIOD_OVERRIDE=FQ","FILING_STATUS=MR","FA_ADJUSTED=GAAP","Sort=A","Dates=H","DateFormat=P","Fill=—","Direction=H","UseDPDF=Y")</f>
        <v>128.49549999999999</v>
      </c>
      <c r="M19" s="14">
        <f>_xll.BDH("BLUE US Equity","HIGH_PX_TO_SALES_RATIO","FQ1 2022","FQ1 2022","Currency=USD","Period=FQ","BEST_FPERIOD_OVERRIDE=FQ","FILING_STATUS=MR","FA_ADJUSTED=GAAP","Sort=A","Dates=H","DateFormat=P","Fill=—","Direction=H","UseDPDF=Y")</f>
        <v>66.680000000000007</v>
      </c>
      <c r="N19" s="14">
        <f>_xll.BDH("BLUE US Equity","HIGH_PX_TO_SALES_RATIO","FQ2 2022","FQ2 2022","Currency=USD","Period=FQ","BEST_FPERIOD_OVERRIDE=FQ","FILING_STATUS=MR","FA_ADJUSTED=GAAP","Sort=A","Dates=H","DateFormat=P","Fill=—","Direction=H","UseDPDF=Y")</f>
        <v>54.054699999999997</v>
      </c>
      <c r="O19" s="14">
        <f>_xll.BDH("BLUE US Equity","HIGH_PX_TO_SALES_RATIO","FQ3 2022","FQ3 2022","Currency=USD","Period=FQ","BEST_FPERIOD_OVERRIDE=FQ","FILING_STATUS=MR","FA_ADJUSTED=GAAP","Sort=A","Dates=H","DateFormat=P","Fill=—","Direction=H","UseDPDF=Y")</f>
        <v>97.393799999999999</v>
      </c>
      <c r="P19" s="14">
        <f>_xll.BDH("BLUE US Equity","HIGH_PX_TO_SALES_RATIO","FQ4 2022","FQ4 2022","Currency=USD","Period=FQ","BEST_FPERIOD_OVERRIDE=FQ","FILING_STATUS=MR","FA_ADJUSTED=GAAP","Sort=A","Dates=H","DateFormat=P","Fill=—","Direction=H","UseDPDF=Y")</f>
        <v>142.63919999999999</v>
      </c>
      <c r="Q19" s="14">
        <f>_xll.BDH("BLUE US Equity","HIGH_PX_TO_SALES_RATIO","FQ1 2023","FQ1 2023","Currency=USD","Period=FQ","BEST_FPERIOD_OVERRIDE=FQ","FILING_STATUS=MR","FA_ADJUSTED=GAAP","Sort=A","Dates=H","DateFormat=P","Fill=—","Direction=H","UseDPDF=Y")</f>
        <v>175.36590000000001</v>
      </c>
      <c r="R19" s="14">
        <f>_xll.BDH("BLUE US Equity","HIGH_PX_TO_SALES_RATIO","FQ2 2023","FQ2 2023","Currency=USD","Period=FQ","BEST_FPERIOD_OVERRIDE=FQ","FILING_STATUS=MR","FA_ADJUSTED=GAAP","Sort=A","Dates=H","DateFormat=P","Fill=—","Direction=H","UseDPDF=Y")</f>
        <v>114.7307</v>
      </c>
      <c r="S19" s="14">
        <f>_xll.BDH("BLUE US Equity","HIGH_PX_TO_SALES_RATIO","FQ3 2023","FQ3 2023","Currency=USD","Period=FQ","BEST_FPERIOD_OVERRIDE=FQ","FILING_STATUS=MR","FA_ADJUSTED=GAAP","Sort=A","Dates=H","DateFormat=P","Fill=—","Direction=H","UseDPDF=Y")</f>
        <v>49.701599999999999</v>
      </c>
      <c r="T19" s="14">
        <f>_xll.BDH("BLUE US Equity","HIGH_PX_TO_SALES_RATIO","FQ4 2023","FQ4 2023","Currency=USD","Period=FQ","BEST_FPERIOD_OVERRIDE=FQ","FILING_STATUS=MR","FA_ADJUSTED=GAAP","Sort=A","Dates=H","DateFormat=P","Fill=—","Direction=H","UseDPDF=Y")</f>
        <v>27.534199999999998</v>
      </c>
      <c r="U19" s="14">
        <f>_xll.BDH("BLUE US Equity","HIGH_PX_TO_SALES_RATIO","FQ1 2024","FQ1 2024","Currency=USD","Period=FQ","BEST_FPERIOD_OVERRIDE=FQ","FILING_STATUS=MR","FA_ADJUSTED=GAAP","Sort=A","Dates=H","DateFormat=P","Fill=—","Direction=H","UseDPDF=Y")</f>
        <v>7.2134</v>
      </c>
      <c r="V19" s="14">
        <f>_xll.BDH("BLUE US Equity","HIGH_PX_TO_SALES_RATIO","FQ2 2024","FQ2 2024","Currency=USD","Period=FQ","BEST_FPERIOD_OVERRIDE=FQ","FILING_STATUS=MR","FA_ADJUSTED=GAAP","Sort=A","Dates=H","DateFormat=P","Fill=—","Direction=H","UseDPDF=Y")</f>
        <v>3.8325999999999998</v>
      </c>
      <c r="W19" s="14">
        <f>_xll.BDH("BLUE US Equity","HIGH_PX_TO_SALES_RATIO","FQ3 2024","FQ3 2024","Currency=USD","Period=FQ","BEST_FPERIOD_OVERRIDE=FQ","FILING_STATUS=MR","FA_ADJUSTED=GAAP","Sort=A","Dates=H","DateFormat=P","Fill=—","Direction=H","UseDPDF=Y")</f>
        <v>3.9842</v>
      </c>
      <c r="X19" s="14">
        <f>_xll.BDH("BLUE US Equity","HIGH_PX_TO_SALES_RATIO","FQ4 2024","FQ4 2024","Currency=USD","Period=FQ","BEST_FPERIOD_OVERRIDE=FQ","FILING_STATUS=MR","FA_ADJUSTED=GAAP","Sort=A","Dates=H","DateFormat=P","Fill=—","Direction=H","UseDPDF=Y")</f>
        <v>2.5661</v>
      </c>
      <c r="Y19" s="17"/>
      <c r="Z19" s="14"/>
      <c r="AA19" s="14"/>
    </row>
    <row r="20" spans="1:27" x14ac:dyDescent="0.25">
      <c r="A20" s="10" t="s">
        <v>202</v>
      </c>
      <c r="B20" s="10" t="s">
        <v>213</v>
      </c>
      <c r="C20" s="14">
        <f>_xll.BDH("BLUE US Equity","LOW_PX_TO_SALES_RATIO","FQ3 2019","FQ3 2019","Currency=USD","Period=FQ","BEST_FPERIOD_OVERRIDE=FQ","FILING_STATUS=MR","FA_ADJUSTED=GAAP","Sort=A","Dates=H","DateFormat=P","Fill=—","Direction=H","UseDPDF=Y")</f>
        <v>57.421500000000002</v>
      </c>
      <c r="D20" s="14">
        <f>_xll.BDH("BLUE US Equity","LOW_PX_TO_SALES_RATIO","FQ4 2019","FQ4 2019","Currency=USD","Period=FQ","BEST_FPERIOD_OVERRIDE=FQ","FILING_STATUS=MR","FA_ADJUSTED=GAAP","Sort=A","Dates=H","DateFormat=P","Fill=—","Direction=H","UseDPDF=Y")</f>
        <v>47.138100000000001</v>
      </c>
      <c r="E20" s="14">
        <f>_xll.BDH("BLUE US Equity","LOW_PX_TO_SALES_RATIO","FQ1 2020","FQ1 2020","Currency=USD","Period=FQ","BEST_FPERIOD_OVERRIDE=FQ","FILING_STATUS=MR","FA_ADJUSTED=GAAP","Sort=A","Dates=H","DateFormat=P","Fill=—","Direction=H","UseDPDF=Y")</f>
        <v>30.162500000000001</v>
      </c>
      <c r="F20" s="14">
        <f>_xll.BDH("BLUE US Equity","LOW_PX_TO_SALES_RATIO","FQ2 2020","FQ2 2020","Currency=USD","Period=FQ","BEST_FPERIOD_OVERRIDE=FQ","FILING_STATUS=MR","FA_ADJUSTED=GAAP","Sort=A","Dates=H","DateFormat=P","Fill=—","Direction=H","UseDPDF=Y")</f>
        <v>9.5458999999999996</v>
      </c>
      <c r="G20" s="14">
        <f>_xll.BDH("BLUE US Equity","LOW_PX_TO_SALES_RATIO","FQ3 2020","FQ3 2020","Currency=USD","Period=FQ","BEST_FPERIOD_OVERRIDE=FQ","FILING_STATUS=MR","FA_ADJUSTED=GAAP","Sort=A","Dates=H","DateFormat=P","Fill=—","Direction=H","UseDPDF=Y")</f>
        <v>8.3795000000000002</v>
      </c>
      <c r="H20" s="14">
        <f>_xll.BDH("BLUE US Equity","LOW_PX_TO_SALES_RATIO","FQ4 2020","FQ4 2020","Currency=USD","Period=FQ","BEST_FPERIOD_OVERRIDE=FQ","FILING_STATUS=MR","FA_ADJUSTED=GAAP","Sort=A","Dates=H","DateFormat=P","Fill=—","Direction=H","UseDPDF=Y")</f>
        <v>6.4600999999999997</v>
      </c>
      <c r="I20" s="14">
        <f>_xll.BDH("BLUE US Equity","LOW_PX_TO_SALES_RATIO","FQ1 2021","FQ1 2021","Currency=USD","Period=FQ","BEST_FPERIOD_OVERRIDE=FQ","FILING_STATUS=MR","FA_ADJUSTED=GAAP","Sort=A","Dates=H","DateFormat=P","Fill=—","Direction=H","UseDPDF=Y")</f>
        <v>3.9447000000000001</v>
      </c>
      <c r="J20" s="14">
        <f>_xll.BDH("BLUE US Equity","LOW_PX_TO_SALES_RATIO","FQ2 2021","FQ2 2021","Currency=USD","Period=FQ","BEST_FPERIOD_OVERRIDE=FQ","FILING_STATUS=MR","FA_ADJUSTED=GAAP","Sort=A","Dates=H","DateFormat=P","Fill=—","Direction=H","UseDPDF=Y")</f>
        <v>4.8109999999999999</v>
      </c>
      <c r="K20" s="14">
        <f>_xll.BDH("BLUE US Equity","LOW_PX_TO_SALES_RATIO","FQ3 2021","FQ3 2021","Currency=USD","Period=FQ","BEST_FPERIOD_OVERRIDE=FQ","FILING_STATUS=MR","FA_ADJUSTED=GAAP","Sort=A","Dates=H","DateFormat=P","Fill=—","Direction=H","UseDPDF=Y")</f>
        <v>26.7379</v>
      </c>
      <c r="L20" s="14">
        <f>_xll.BDH("BLUE US Equity","LOW_PX_TO_SALES_RATIO","FQ4 2021","FQ4 2021","Currency=USD","Period=FQ","BEST_FPERIOD_OVERRIDE=FQ","FILING_STATUS=MR","FA_ADJUSTED=GAAP","Sort=A","Dates=H","DateFormat=P","Fill=—","Direction=H","UseDPDF=Y")</f>
        <v>58.4529</v>
      </c>
      <c r="M20" s="14">
        <f>_xll.BDH("BLUE US Equity","LOW_PX_TO_SALES_RATIO","FQ1 2022","FQ1 2022","Currency=USD","Period=FQ","BEST_FPERIOD_OVERRIDE=FQ","FILING_STATUS=MR","FA_ADJUSTED=GAAP","Sort=A","Dates=H","DateFormat=P","Fill=—","Direction=H","UseDPDF=Y")</f>
        <v>25.082599999999999</v>
      </c>
      <c r="N20" s="14">
        <f>_xll.BDH("BLUE US Equity","LOW_PX_TO_SALES_RATIO","FQ2 2022","FQ2 2022","Currency=USD","Period=FQ","BEST_FPERIOD_OVERRIDE=FQ","FILING_STATUS=MR","FA_ADJUSTED=GAAP","Sort=A","Dates=H","DateFormat=P","Fill=—","Direction=H","UseDPDF=Y")</f>
        <v>16.454699999999999</v>
      </c>
      <c r="O20" s="14">
        <f>_xll.BDH("BLUE US Equity","LOW_PX_TO_SALES_RATIO","FQ3 2022","FQ3 2022","Currency=USD","Period=FQ","BEST_FPERIOD_OVERRIDE=FQ","FILING_STATUS=MR","FA_ADJUSTED=GAAP","Sort=A","Dates=H","DateFormat=P","Fill=—","Direction=H","UseDPDF=Y")</f>
        <v>44.529699999999998</v>
      </c>
      <c r="P20" s="14">
        <f>_xll.BDH("BLUE US Equity","LOW_PX_TO_SALES_RATIO","FQ4 2022","FQ4 2022","Currency=USD","Period=FQ","BEST_FPERIOD_OVERRIDE=FQ","FILING_STATUS=MR","FA_ADJUSTED=GAAP","Sort=A","Dates=H","DateFormat=P","Fill=—","Direction=H","UseDPDF=Y")</f>
        <v>79.2744</v>
      </c>
      <c r="Q20" s="14">
        <f>_xll.BDH("BLUE US Equity","LOW_PX_TO_SALES_RATIO","FQ1 2023","FQ1 2023","Currency=USD","Period=FQ","BEST_FPERIOD_OVERRIDE=FQ","FILING_STATUS=MR","FA_ADJUSTED=GAAP","Sort=A","Dates=H","DateFormat=P","Fill=—","Direction=H","UseDPDF=Y")</f>
        <v>60.7194</v>
      </c>
      <c r="R20" s="14">
        <f>_xll.BDH("BLUE US Equity","LOW_PX_TO_SALES_RATIO","FQ2 2023","FQ2 2023","Currency=USD","Period=FQ","BEST_FPERIOD_OVERRIDE=FQ","FILING_STATUS=MR","FA_ADJUSTED=GAAP","Sort=A","Dates=H","DateFormat=P","Fill=—","Direction=H","UseDPDF=Y")</f>
        <v>36.425199999999997</v>
      </c>
      <c r="S20" s="14">
        <f>_xll.BDH("BLUE US Equity","LOW_PX_TO_SALES_RATIO","FQ3 2023","FQ3 2023","Currency=USD","Period=FQ","BEST_FPERIOD_OVERRIDE=FQ","FILING_STATUS=MR","FA_ADJUSTED=GAAP","Sort=A","Dates=H","DateFormat=P","Fill=—","Direction=H","UseDPDF=Y")</f>
        <v>14.787800000000001</v>
      </c>
      <c r="T20" s="14">
        <f>_xll.BDH("BLUE US Equity","LOW_PX_TO_SALES_RATIO","FQ4 2023","FQ4 2023","Currency=USD","Period=FQ","BEST_FPERIOD_OVERRIDE=FQ","FILING_STATUS=MR","FA_ADJUSTED=GAAP","Sort=A","Dates=H","DateFormat=P","Fill=—","Direction=H","UseDPDF=Y")</f>
        <v>5.1847000000000003</v>
      </c>
      <c r="U20" s="14">
        <f>_xll.BDH("BLUE US Equity","LOW_PX_TO_SALES_RATIO","FQ1 2024","FQ1 2024","Currency=USD","Period=FQ","BEST_FPERIOD_OVERRIDE=FQ","FILING_STATUS=MR","FA_ADJUSTED=GAAP","Sort=A","Dates=H","DateFormat=P","Fill=—","Direction=H","UseDPDF=Y")</f>
        <v>3.3024</v>
      </c>
      <c r="V20" s="14">
        <f>_xll.BDH("BLUE US Equity","LOW_PX_TO_SALES_RATIO","FQ2 2024","FQ2 2024","Currency=USD","Period=FQ","BEST_FPERIOD_OVERRIDE=FQ","FILING_STATUS=MR","FA_ADJUSTED=GAAP","Sort=A","Dates=H","DateFormat=P","Fill=—","Direction=H","UseDPDF=Y")</f>
        <v>2.4912000000000001</v>
      </c>
      <c r="W20" s="14">
        <f>_xll.BDH("BLUE US Equity","LOW_PX_TO_SALES_RATIO","FQ3 2024","FQ3 2024","Currency=USD","Period=FQ","BEST_FPERIOD_OVERRIDE=FQ","FILING_STATUS=MR","FA_ADJUSTED=GAAP","Sort=A","Dates=H","DateFormat=P","Fill=—","Direction=H","UseDPDF=Y")</f>
        <v>1.2746999999999999</v>
      </c>
      <c r="X20" s="14">
        <f>_xll.BDH("BLUE US Equity","LOW_PX_TO_SALES_RATIO","FQ4 2024","FQ4 2024","Currency=USD","Period=FQ","BEST_FPERIOD_OVERRIDE=FQ","FILING_STATUS=MR","FA_ADJUSTED=GAAP","Sort=A","Dates=H","DateFormat=P","Fill=—","Direction=H","UseDPDF=Y")</f>
        <v>0.90539999999999998</v>
      </c>
      <c r="Y20" s="17"/>
      <c r="Z20" s="14"/>
      <c r="AA20" s="14"/>
    </row>
    <row r="21" spans="1:27" x14ac:dyDescent="0.25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21"/>
      <c r="Z21" s="18"/>
      <c r="AA21" s="18"/>
    </row>
    <row r="22" spans="1:27" x14ac:dyDescent="0.25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1"/>
      <c r="Z22" s="18"/>
      <c r="AA22" s="18"/>
    </row>
    <row r="23" spans="1:27" x14ac:dyDescent="0.25">
      <c r="A23" s="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1"/>
      <c r="Z23" s="18"/>
      <c r="AA23" s="18"/>
    </row>
    <row r="24" spans="1:27" x14ac:dyDescent="0.25">
      <c r="A24" s="6" t="s">
        <v>177</v>
      </c>
      <c r="B24" s="6" t="s">
        <v>178</v>
      </c>
      <c r="C24" s="20">
        <f>_xll.BDH("BLUE US Equity","EV_TO_T12M_SALES","FQ3 2019","FQ3 2019","Currency=USD","Period=FQ","BEST_FPERIOD_OVERRIDE=FQ","FILING_STATUS=MR","FA_ADJUSTED=GAAP","Sort=A","Dates=H","DateFormat=P","Fill=—","Direction=H","UseDPDF=Y")</f>
        <v>71.764700000000005</v>
      </c>
      <c r="D24" s="20">
        <f>_xll.BDH("BLUE US Equity","EV_TO_T12M_SALES","FQ4 2019","FQ4 2019","Currency=USD","Period=FQ","BEST_FPERIOD_OVERRIDE=FQ","FILING_STATUS=MR","FA_ADJUSTED=GAAP","Sort=A","Dates=H","DateFormat=P","Fill=—","Direction=H","UseDPDF=Y")</f>
        <v>85.319500000000005</v>
      </c>
      <c r="E24" s="20">
        <f>_xll.BDH("BLUE US Equity","EV_TO_T12M_SALES","FQ1 2020","FQ1 2020","Currency=USD","Period=FQ","BEST_FPERIOD_OVERRIDE=FQ","FILING_STATUS=MR","FA_ADJUSTED=GAAP","Sort=A","Dates=H","DateFormat=P","Fill=—","Direction=H","UseDPDF=Y")</f>
        <v>32.1511</v>
      </c>
      <c r="F24" s="20">
        <f>_xll.BDH("BLUE US Equity","EV_TO_T12M_SALES","FQ2 2020","FQ2 2020","Currency=USD","Period=FQ","BEST_FPERIOD_OVERRIDE=FQ","FILING_STATUS=MR","FA_ADJUSTED=GAAP","Sort=A","Dates=H","DateFormat=P","Fill=—","Direction=H","UseDPDF=Y")</f>
        <v>11.0045</v>
      </c>
      <c r="G24" s="20">
        <f>_xll.BDH("BLUE US Equity","EV_TO_T12M_SALES","FQ3 2020","FQ3 2020","Currency=USD","Period=FQ","BEST_FPERIOD_OVERRIDE=FQ","FILING_STATUS=MR","FA_ADJUSTED=GAAP","Sort=A","Dates=H","DateFormat=P","Fill=—","Direction=H","UseDPDF=Y")</f>
        <v>9.3447999999999993</v>
      </c>
      <c r="H24" s="20">
        <f>_xll.BDH("BLUE US Equity","EV_TO_T12M_SALES","FQ4 2020","FQ4 2020","Currency=USD","Period=FQ","BEST_FPERIOD_OVERRIDE=FQ","FILING_STATUS=MR","FA_ADJUSTED=GAAP","Sort=A","Dates=H","DateFormat=P","Fill=—","Direction=H","UseDPDF=Y")</f>
        <v>9.1584000000000003</v>
      </c>
      <c r="I24" s="20">
        <f>_xll.BDH("BLUE US Equity","EV_TO_T12M_SALES","FQ1 2021","FQ1 2021","Currency=USD","Period=FQ","BEST_FPERIOD_OVERRIDE=FQ","FILING_STATUS=MR","FA_ADJUSTED=GAAP","Sort=A","Dates=H","DateFormat=P","Fill=—","Direction=H","UseDPDF=Y")</f>
        <v>5.2268999999999997</v>
      </c>
      <c r="J24" s="20">
        <f>_xll.BDH("BLUE US Equity","EV_TO_T12M_SALES","FQ2 2021","FQ2 2021","Currency=USD","Period=FQ","BEST_FPERIOD_OVERRIDE=FQ","FILING_STATUS=MR","FA_ADJUSTED=GAAP","Sort=A","Dates=H","DateFormat=P","Fill=—","Direction=H","UseDPDF=Y")</f>
        <v>51.2774</v>
      </c>
      <c r="K24" s="20">
        <f>_xll.BDH("BLUE US Equity","EV_TO_T12M_SALES","FQ3 2021","FQ3 2021","Currency=USD","Period=FQ","BEST_FPERIOD_OVERRIDE=FQ","FILING_STATUS=MR","FA_ADJUSTED=GAAP","Sort=A","Dates=H","DateFormat=P","Fill=—","Direction=H","UseDPDF=Y")</f>
        <v>58.645800000000001</v>
      </c>
      <c r="L24" s="20">
        <f>_xll.BDH("BLUE US Equity","EV_TO_T12M_SALES","FQ4 2021","FQ4 2021","Currency=USD","Period=FQ","BEST_FPERIOD_OVERRIDE=FQ","FILING_STATUS=MR","FA_ADJUSTED=GAAP","Sort=A","Dates=H","DateFormat=P","Fill=—","Direction=H","UseDPDF=Y")</f>
        <v>36.703299999999999</v>
      </c>
      <c r="M24" s="20">
        <f>_xll.BDH("BLUE US Equity","EV_TO_T12M_SALES","FQ1 2022","FQ1 2022","Currency=USD","Period=FQ","BEST_FPERIOD_OVERRIDE=FQ","FILING_STATUS=MR","FA_ADJUSTED=GAAP","Sort=A","Dates=H","DateFormat=P","Fill=—","Direction=H","UseDPDF=Y")</f>
        <v>15.7927</v>
      </c>
      <c r="N24" s="20">
        <f>_xll.BDH("BLUE US Equity","EV_TO_T12M_SALES","FQ2 2022","FQ2 2022","Currency=USD","Period=FQ","BEST_FPERIOD_OVERRIDE=FQ","FILING_STATUS=MR","FA_ADJUSTED=GAAP","Sort=A","Dates=H","DateFormat=P","Fill=—","Direction=H","UseDPDF=Y")</f>
        <v>69.686199999999999</v>
      </c>
      <c r="O24" s="20">
        <f>_xll.BDH("BLUE US Equity","EV_TO_T12M_SALES","FQ3 2022","FQ3 2022","Currency=USD","Period=FQ","BEST_FPERIOD_OVERRIDE=FQ","FILING_STATUS=MR","FA_ADJUSTED=GAAP","Sort=A","Dates=H","DateFormat=P","Fill=—","Direction=H","UseDPDF=Y")</f>
        <v>128.73050000000001</v>
      </c>
      <c r="P24" s="20">
        <f>_xll.BDH("BLUE US Equity","EV_TO_T12M_SALES","FQ4 2022","FQ4 2022","Currency=USD","Period=FQ","BEST_FPERIOD_OVERRIDE=FQ","FILING_STATUS=MR","FA_ADJUSTED=GAAP","Sort=A","Dates=H","DateFormat=P","Fill=—","Direction=H","UseDPDF=Y")</f>
        <v>211.04929999999999</v>
      </c>
      <c r="Q24" s="20">
        <f>_xll.BDH("BLUE US Equity","EV_TO_T12M_SALES","FQ1 2023","FQ1 2023","Currency=USD","Period=FQ","BEST_FPERIOD_OVERRIDE=FQ","FILING_STATUS=MR","FA_ADJUSTED=GAAP","Sort=A","Dates=H","DateFormat=P","Fill=—","Direction=H","UseDPDF=Y")</f>
        <v>72.743499999999997</v>
      </c>
      <c r="R24" s="20">
        <f>_xll.BDH("BLUE US Equity","EV_TO_T12M_SALES","FQ2 2023","FQ2 2023","Currency=USD","Period=FQ","BEST_FPERIOD_OVERRIDE=FQ","FILING_STATUS=MR","FA_ADJUSTED=GAAP","Sort=A","Dates=H","DateFormat=P","Fill=—","Direction=H","UseDPDF=Y")</f>
        <v>43.788600000000002</v>
      </c>
      <c r="S24" s="20">
        <f>_xll.BDH("BLUE US Equity","EV_TO_T12M_SALES","FQ3 2023","FQ3 2023","Currency=USD","Period=FQ","BEST_FPERIOD_OVERRIDE=FQ","FILING_STATUS=MR","FA_ADJUSTED=GAAP","Sort=A","Dates=H","DateFormat=P","Fill=—","Direction=H","UseDPDF=Y")</f>
        <v>20.932600000000001</v>
      </c>
      <c r="T24" s="20">
        <f>_xll.BDH("BLUE US Equity","EV_TO_T12M_SALES","FQ4 2023","FQ4 2023","Currency=USD","Period=FQ","BEST_FPERIOD_OVERRIDE=FQ","FILING_STATUS=MR","FA_ADJUSTED=GAAP","Sort=A","Dates=H","DateFormat=P","Fill=—","Direction=H","UseDPDF=Y")</f>
        <v>12.6995</v>
      </c>
      <c r="U24" s="20">
        <f>_xll.BDH("BLUE US Equity","EV_TO_T12M_SALES","FQ1 2024","FQ1 2024","Currency=USD","Period=FQ","BEST_FPERIOD_OVERRIDE=FQ","FILING_STATUS=MR","FA_ADJUSTED=GAAP","Sort=A","Dates=H","DateFormat=P","Fill=—","Direction=H","UseDPDF=Y")</f>
        <v>9.8510000000000009</v>
      </c>
      <c r="V24" s="20">
        <f>_xll.BDH("BLUE US Equity","EV_TO_T12M_SALES","FQ2 2024","FQ2 2024","Currency=USD","Period=FQ","BEST_FPERIOD_OVERRIDE=FQ","FILING_STATUS=MR","FA_ADJUSTED=GAAP","Sort=A","Dates=H","DateFormat=P","Fill=—","Direction=H","UseDPDF=Y")</f>
        <v>7.9626000000000001</v>
      </c>
      <c r="W24" s="20">
        <f>_xll.BDH("BLUE US Equity","EV_TO_T12M_SALES","FQ3 2024","FQ3 2024","Currency=USD","Period=FQ","BEST_FPERIOD_OVERRIDE=FQ","FILING_STATUS=MR","FA_ADJUSTED=GAAP","Sort=A","Dates=H","DateFormat=P","Fill=—","Direction=H","UseDPDF=Y")</f>
        <v>7.4381000000000004</v>
      </c>
      <c r="X24" s="20">
        <f>_xll.BDH("BLUE US Equity","EV_TO_T12M_SALES","FQ4 2024","FQ4 2024","Currency=USD","Period=FQ","BEST_FPERIOD_OVERRIDE=FQ","FILING_STATUS=MR","FA_ADJUSTED=GAAP","Sort=A","Dates=H","DateFormat=P","Fill=—","Direction=H","UseDPDF=Y")</f>
        <v>4.4589999999999996</v>
      </c>
      <c r="Y24" s="23">
        <v>3.93248135119978</v>
      </c>
      <c r="Z24" s="20">
        <v>1.2881455703125</v>
      </c>
      <c r="AA24" s="20">
        <v>0.97309474361357795</v>
      </c>
    </row>
    <row r="25" spans="1:27" x14ac:dyDescent="0.25">
      <c r="A25" s="10" t="s">
        <v>198</v>
      </c>
      <c r="B25" s="10" t="s">
        <v>214</v>
      </c>
      <c r="C25" s="14">
        <f>_xll.BDH("BLUE US Equity","AVERAGE_EV_TO_T12M_SALES","FQ3 2019","FQ3 2019","Currency=USD","Period=FQ","BEST_FPERIOD_OVERRIDE=FQ","FILING_STATUS=MR","FA_ADJUSTED=GAAP","Sort=A","Dates=H","DateFormat=P","Fill=—","Direction=H","UseDPDF=Y")</f>
        <v>91.377300000000005</v>
      </c>
      <c r="D25" s="14">
        <f>_xll.BDH("BLUE US Equity","AVERAGE_EV_TO_T12M_SALES","FQ4 2019","FQ4 2019","Currency=USD","Period=FQ","BEST_FPERIOD_OVERRIDE=FQ","FILING_STATUS=MR","FA_ADJUSTED=GAAP","Sort=A","Dates=H","DateFormat=P","Fill=—","Direction=H","UseDPDF=Y")</f>
        <v>63.915300000000002</v>
      </c>
      <c r="E25" s="14">
        <f>_xll.BDH("BLUE US Equity","AVERAGE_EV_TO_T12M_SALES","FQ1 2020","FQ1 2020","Currency=USD","Period=FQ","BEST_FPERIOD_OVERRIDE=FQ","FILING_STATUS=MR","FA_ADJUSTED=GAAP","Sort=A","Dates=H","DateFormat=P","Fill=—","Direction=H","UseDPDF=Y")</f>
        <v>69.911600000000007</v>
      </c>
      <c r="F25" s="14">
        <f>_xll.BDH("BLUE US Equity","AVERAGE_EV_TO_T12M_SALES","FQ2 2020","FQ2 2020","Currency=USD","Period=FQ","BEST_FPERIOD_OVERRIDE=FQ","FILING_STATUS=MR","FA_ADJUSTED=GAAP","Sort=A","Dates=H","DateFormat=P","Fill=—","Direction=H","UseDPDF=Y")</f>
        <v>49.886600000000001</v>
      </c>
      <c r="G25" s="14">
        <f>_xll.BDH("BLUE US Equity","AVERAGE_EV_TO_T12M_SALES","FQ3 2020","FQ3 2020","Currency=USD","Period=FQ","BEST_FPERIOD_OVERRIDE=FQ","FILING_STATUS=MR","FA_ADJUSTED=GAAP","Sort=A","Dates=H","DateFormat=P","Fill=—","Direction=H","UseDPDF=Y")</f>
        <v>10.7704</v>
      </c>
      <c r="H25" s="14">
        <f>_xll.BDH("BLUE US Equity","AVERAGE_EV_TO_T12M_SALES","FQ4 2020","FQ4 2020","Currency=USD","Period=FQ","BEST_FPERIOD_OVERRIDE=FQ","FILING_STATUS=MR","FA_ADJUSTED=GAAP","Sort=A","Dates=H","DateFormat=P","Fill=—","Direction=H","UseDPDF=Y")</f>
        <v>8.0472000000000001</v>
      </c>
      <c r="I25" s="14">
        <f>_xll.BDH("BLUE US Equity","AVERAGE_EV_TO_T12M_SALES","FQ1 2021","FQ1 2021","Currency=USD","Period=FQ","BEST_FPERIOD_OVERRIDE=FQ","FILING_STATUS=MR","FA_ADJUSTED=GAAP","Sort=A","Dates=H","DateFormat=P","Fill=—","Direction=H","UseDPDF=Y")</f>
        <v>7.73</v>
      </c>
      <c r="J25" s="14">
        <f>_xll.BDH("BLUE US Equity","AVERAGE_EV_TO_T12M_SALES","FQ2 2021","FQ2 2021","Currency=USD","Period=FQ","BEST_FPERIOD_OVERRIDE=FQ","FILING_STATUS=MR","FA_ADJUSTED=GAAP","Sort=A","Dates=H","DateFormat=P","Fill=—","Direction=H","UseDPDF=Y")</f>
        <v>6.0711000000000004</v>
      </c>
      <c r="K25" s="14">
        <f>_xll.BDH("BLUE US Equity","AVERAGE_EV_TO_T12M_SALES","FQ3 2021","FQ3 2021","Currency=USD","Period=FQ","BEST_FPERIOD_OVERRIDE=FQ","FILING_STATUS=MR","FA_ADJUSTED=GAAP","Sort=A","Dates=H","DateFormat=P","Fill=—","Direction=H","UseDPDF=Y")</f>
        <v>27.549600000000002</v>
      </c>
      <c r="L25" s="14">
        <f>_xll.BDH("BLUE US Equity","AVERAGE_EV_TO_T12M_SALES","FQ4 2021","FQ4 2021","Currency=USD","Period=FQ","BEST_FPERIOD_OVERRIDE=FQ","FILING_STATUS=MR","FA_ADJUSTED=GAAP","Sort=A","Dates=H","DateFormat=P","Fill=—","Direction=H","UseDPDF=Y")</f>
        <v>50.551499999999997</v>
      </c>
      <c r="M25" s="14">
        <f>_xll.BDH("BLUE US Equity","AVERAGE_EV_TO_T12M_SALES","FQ1 2022","FQ1 2022","Currency=USD","Period=FQ","BEST_FPERIOD_OVERRIDE=FQ","FILING_STATUS=MR","FA_ADJUSTED=GAAP","Sort=A","Dates=H","DateFormat=P","Fill=—","Direction=H","UseDPDF=Y")</f>
        <v>14.797499999999999</v>
      </c>
      <c r="N25" s="14">
        <f>_xll.BDH("BLUE US Equity","AVERAGE_EV_TO_T12M_SALES","FQ2 2022","FQ2 2022","Currency=USD","Period=FQ","BEST_FPERIOD_OVERRIDE=FQ","FILING_STATUS=MR","FA_ADJUSTED=GAAP","Sort=A","Dates=H","DateFormat=P","Fill=—","Direction=H","UseDPDF=Y")</f>
        <v>10.911799999999999</v>
      </c>
      <c r="O25" s="14">
        <f>_xll.BDH("BLUE US Equity","AVERAGE_EV_TO_T12M_SALES","FQ3 2022","FQ3 2022","Currency=USD","Period=FQ","BEST_FPERIOD_OVERRIDE=FQ","FILING_STATUS=MR","FA_ADJUSTED=GAAP","Sort=A","Dates=H","DateFormat=P","Fill=—","Direction=H","UseDPDF=Y")</f>
        <v>90.107299999999995</v>
      </c>
      <c r="P25" s="14">
        <f>_xll.BDH("BLUE US Equity","AVERAGE_EV_TO_T12M_SALES","FQ4 2022","FQ4 2022","Currency=USD","Period=FQ","BEST_FPERIOD_OVERRIDE=FQ","FILING_STATUS=MR","FA_ADJUSTED=GAAP","Sort=A","Dates=H","DateFormat=P","Fill=—","Direction=H","UseDPDF=Y")</f>
        <v>138.5633</v>
      </c>
      <c r="Q25" s="14">
        <f>_xll.BDH("BLUE US Equity","AVERAGE_EV_TO_T12M_SALES","FQ1 2023","FQ1 2023","Currency=USD","Period=FQ","BEST_FPERIOD_OVERRIDE=FQ","FILING_STATUS=MR","FA_ADJUSTED=GAAP","Sort=A","Dates=H","DateFormat=P","Fill=—","Direction=H","UseDPDF=Y")</f>
        <v>209.77619999999999</v>
      </c>
      <c r="R25" s="14">
        <f>_xll.BDH("BLUE US Equity","AVERAGE_EV_TO_T12M_SALES","FQ2 2023","FQ2 2023","Currency=USD","Period=FQ","BEST_FPERIOD_OVERRIDE=FQ","FILING_STATUS=MR","FA_ADJUSTED=GAAP","Sort=A","Dates=H","DateFormat=P","Fill=—","Direction=H","UseDPDF=Y")</f>
        <v>84.859899999999996</v>
      </c>
      <c r="S25" s="14">
        <f>_xll.BDH("BLUE US Equity","AVERAGE_EV_TO_T12M_SALES","FQ3 2023","FQ3 2023","Currency=USD","Period=FQ","BEST_FPERIOD_OVERRIDE=FQ","FILING_STATUS=MR","FA_ADJUSTED=GAAP","Sort=A","Dates=H","DateFormat=P","Fill=—","Direction=H","UseDPDF=Y")</f>
        <v>46.085700000000003</v>
      </c>
      <c r="T25" s="14">
        <f>_xll.BDH("BLUE US Equity","AVERAGE_EV_TO_T12M_SALES","FQ4 2023","FQ4 2023","Currency=USD","Period=FQ","BEST_FPERIOD_OVERRIDE=FQ","FILING_STATUS=MR","FA_ADJUSTED=GAAP","Sort=A","Dates=H","DateFormat=P","Fill=—","Direction=H","UseDPDF=Y")</f>
        <v>21.648700000000002</v>
      </c>
      <c r="U25" s="14">
        <f>_xll.BDH("BLUE US Equity","AVERAGE_EV_TO_T12M_SALES","FQ1 2024","FQ1 2024","Currency=USD","Period=FQ","BEST_FPERIOD_OVERRIDE=FQ","FILING_STATUS=MR","FA_ADJUSTED=GAAP","Sort=A","Dates=H","DateFormat=P","Fill=—","Direction=H","UseDPDF=Y")</f>
        <v>11.9131</v>
      </c>
      <c r="V25" s="14">
        <f>_xll.BDH("BLUE US Equity","AVERAGE_EV_TO_T12M_SALES","FQ2 2024","FQ2 2024","Currency=USD","Period=FQ","BEST_FPERIOD_OVERRIDE=FQ","FILING_STATUS=MR","FA_ADJUSTED=GAAP","Sort=A","Dates=H","DateFormat=P","Fill=—","Direction=H","UseDPDF=Y")</f>
        <v>8.5908999999999995</v>
      </c>
      <c r="W25" s="14">
        <f>_xll.BDH("BLUE US Equity","AVERAGE_EV_TO_T12M_SALES","FQ3 2024","FQ3 2024","Currency=USD","Period=FQ","BEST_FPERIOD_OVERRIDE=FQ","FILING_STATUS=MR","FA_ADJUSTED=GAAP","Sort=A","Dates=H","DateFormat=P","Fill=—","Direction=H","UseDPDF=Y")</f>
        <v>7.3929999999999998</v>
      </c>
      <c r="X25" s="14">
        <f>_xll.BDH("BLUE US Equity","AVERAGE_EV_TO_T12M_SALES","FQ4 2024","FQ4 2024","Currency=USD","Period=FQ","BEST_FPERIOD_OVERRIDE=FQ","FILING_STATUS=MR","FA_ADJUSTED=GAAP","Sort=A","Dates=H","DateFormat=P","Fill=—","Direction=H","UseDPDF=Y")</f>
        <v>7.0980999999999996</v>
      </c>
      <c r="Y25" s="17"/>
      <c r="Z25" s="14"/>
      <c r="AA25" s="14"/>
    </row>
    <row r="26" spans="1:27" x14ac:dyDescent="0.25">
      <c r="A26" s="10" t="s">
        <v>200</v>
      </c>
      <c r="B26" s="10" t="s">
        <v>215</v>
      </c>
      <c r="C26" s="14">
        <f>_xll.BDH("BLUE US Equity","HIGH_EV_TO_T12M_SALES","FQ3 2019","FQ3 2019","Currency=USD","Period=FQ","BEST_FPERIOD_OVERRIDE=FQ","FILING_STATUS=MR","FA_ADJUSTED=GAAP","Sort=A","Dates=H","DateFormat=P","Fill=—","Direction=H","UseDPDF=Y")</f>
        <v>116.3083</v>
      </c>
      <c r="D26" s="14">
        <f>_xll.BDH("BLUE US Equity","HIGH_EV_TO_T12M_SALES","FQ4 2019","FQ4 2019","Currency=USD","Period=FQ","BEST_FPERIOD_OVERRIDE=FQ","FILING_STATUS=MR","FA_ADJUSTED=GAAP","Sort=A","Dates=H","DateFormat=P","Fill=—","Direction=H","UseDPDF=Y")</f>
        <v>85.246799999999993</v>
      </c>
      <c r="E26" s="14">
        <f>_xll.BDH("BLUE US Equity","HIGH_EV_TO_T12M_SALES","FQ1 2020","FQ1 2020","Currency=USD","Period=FQ","BEST_FPERIOD_OVERRIDE=FQ","FILING_STATUS=MR","FA_ADJUSTED=GAAP","Sort=A","Dates=H","DateFormat=P","Fill=—","Direction=H","UseDPDF=Y")</f>
        <v>97.991500000000002</v>
      </c>
      <c r="F26" s="14">
        <f>_xll.BDH("BLUE US Equity","HIGH_EV_TO_T12M_SALES","FQ2 2020","FQ2 2020","Currency=USD","Period=FQ","BEST_FPERIOD_OVERRIDE=FQ","FILING_STATUS=MR","FA_ADJUSTED=GAAP","Sort=A","Dates=H","DateFormat=P","Fill=—","Direction=H","UseDPDF=Y")</f>
        <v>71.615300000000005</v>
      </c>
      <c r="G26" s="14">
        <f>_xll.BDH("BLUE US Equity","HIGH_EV_TO_T12M_SALES","FQ3 2020","FQ3 2020","Currency=USD","Period=FQ","BEST_FPERIOD_OVERRIDE=FQ","FILING_STATUS=MR","FA_ADJUSTED=GAAP","Sort=A","Dates=H","DateFormat=P","Fill=—","Direction=H","UseDPDF=Y")</f>
        <v>12.7683</v>
      </c>
      <c r="H26" s="14">
        <f>_xll.BDH("BLUE US Equity","HIGH_EV_TO_T12M_SALES","FQ4 2020","FQ4 2020","Currency=USD","Period=FQ","BEST_FPERIOD_OVERRIDE=FQ","FILING_STATUS=MR","FA_ADJUSTED=GAAP","Sort=A","Dates=H","DateFormat=P","Fill=—","Direction=H","UseDPDF=Y")</f>
        <v>10.573399999999999</v>
      </c>
      <c r="I26" s="14">
        <f>_xll.BDH("BLUE US Equity","HIGH_EV_TO_T12M_SALES","FQ1 2021","FQ1 2021","Currency=USD","Period=FQ","BEST_FPERIOD_OVERRIDE=FQ","FILING_STATUS=MR","FA_ADJUSTED=GAAP","Sort=A","Dates=H","DateFormat=P","Fill=—","Direction=H","UseDPDF=Y")</f>
        <v>11.6532</v>
      </c>
      <c r="J26" s="14">
        <f>_xll.BDH("BLUE US Equity","HIGH_EV_TO_T12M_SALES","FQ2 2021","FQ2 2021","Currency=USD","Period=FQ","BEST_FPERIOD_OVERRIDE=FQ","FILING_STATUS=MR","FA_ADJUSTED=GAAP","Sort=A","Dates=H","DateFormat=P","Fill=—","Direction=H","UseDPDF=Y")</f>
        <v>51.157699999999998</v>
      </c>
      <c r="K26" s="14">
        <f>_xll.BDH("BLUE US Equity","HIGH_EV_TO_T12M_SALES","FQ3 2021","FQ3 2021","Currency=USD","Period=FQ","BEST_FPERIOD_OVERRIDE=FQ","FILING_STATUS=MR","FA_ADJUSTED=GAAP","Sort=A","Dates=H","DateFormat=P","Fill=—","Direction=H","UseDPDF=Y")</f>
        <v>53.517600000000002</v>
      </c>
      <c r="L26" s="14">
        <f>_xll.BDH("BLUE US Equity","HIGH_EV_TO_T12M_SALES","FQ4 2021","FQ4 2021","Currency=USD","Period=FQ","BEST_FPERIOD_OVERRIDE=FQ","FILING_STATUS=MR","FA_ADJUSTED=GAAP","Sort=A","Dates=H","DateFormat=P","Fill=—","Direction=H","UseDPDF=Y")</f>
        <v>97.297899999999998</v>
      </c>
      <c r="M26" s="14">
        <f>_xll.BDH("BLUE US Equity","HIGH_EV_TO_T12M_SALES","FQ1 2022","FQ1 2022","Currency=USD","Period=FQ","BEST_FPERIOD_OVERRIDE=FQ","FILING_STATUS=MR","FA_ADJUSTED=GAAP","Sort=A","Dates=H","DateFormat=P","Fill=—","Direction=H","UseDPDF=Y")</f>
        <v>39.6783</v>
      </c>
      <c r="N26" s="14">
        <f>_xll.BDH("BLUE US Equity","HIGH_EV_TO_T12M_SALES","FQ2 2022","FQ2 2022","Currency=USD","Period=FQ","BEST_FPERIOD_OVERRIDE=FQ","FILING_STATUS=MR","FA_ADJUSTED=GAAP","Sort=A","Dates=H","DateFormat=P","Fill=—","Direction=H","UseDPDF=Y")</f>
        <v>68.260199999999998</v>
      </c>
      <c r="O26" s="14">
        <f>_xll.BDH("BLUE US Equity","HIGH_EV_TO_T12M_SALES","FQ3 2022","FQ3 2022","Currency=USD","Period=FQ","BEST_FPERIOD_OVERRIDE=FQ","FILING_STATUS=MR","FA_ADJUSTED=GAAP","Sort=A","Dates=H","DateFormat=P","Fill=—","Direction=H","UseDPDF=Y")</f>
        <v>121.6405</v>
      </c>
      <c r="P26" s="14">
        <f>_xll.BDH("BLUE US Equity","HIGH_EV_TO_T12M_SALES","FQ4 2022","FQ4 2022","Currency=USD","Period=FQ","BEST_FPERIOD_OVERRIDE=FQ","FILING_STATUS=MR","FA_ADJUSTED=GAAP","Sort=A","Dates=H","DateFormat=P","Fill=—","Direction=H","UseDPDF=Y")</f>
        <v>211.02420000000001</v>
      </c>
      <c r="Q26" s="14">
        <f>_xll.BDH("BLUE US Equity","HIGH_EV_TO_T12M_SALES","FQ1 2023","FQ1 2023","Currency=USD","Period=FQ","BEST_FPERIOD_OVERRIDE=FQ","FILING_STATUS=MR","FA_ADJUSTED=GAAP","Sort=A","Dates=H","DateFormat=P","Fill=—","Direction=H","UseDPDF=Y")</f>
        <v>248.5248</v>
      </c>
      <c r="R26" s="14">
        <f>_xll.BDH("BLUE US Equity","HIGH_EV_TO_T12M_SALES","FQ2 2023","FQ2 2023","Currency=USD","Period=FQ","BEST_FPERIOD_OVERRIDE=FQ","FILING_STATUS=MR","FA_ADJUSTED=GAAP","Sort=A","Dates=H","DateFormat=P","Fill=—","Direction=H","UseDPDF=Y")</f>
        <v>121.5895</v>
      </c>
      <c r="S26" s="14">
        <f>_xll.BDH("BLUE US Equity","HIGH_EV_TO_T12M_SALES","FQ3 2023","FQ3 2023","Currency=USD","Period=FQ","BEST_FPERIOD_OVERRIDE=FQ","FILING_STATUS=MR","FA_ADJUSTED=GAAP","Sort=A","Dates=H","DateFormat=P","Fill=—","Direction=H","UseDPDF=Y")</f>
        <v>52.373699999999999</v>
      </c>
      <c r="T26" s="14">
        <f>_xll.BDH("BLUE US Equity","HIGH_EV_TO_T12M_SALES","FQ4 2023","FQ4 2023","Currency=USD","Period=FQ","BEST_FPERIOD_OVERRIDE=FQ","FILING_STATUS=MR","FA_ADJUSTED=GAAP","Sort=A","Dates=H","DateFormat=P","Fill=—","Direction=H","UseDPDF=Y")</f>
        <v>30.265000000000001</v>
      </c>
      <c r="U26" s="14">
        <f>_xll.BDH("BLUE US Equity","HIGH_EV_TO_T12M_SALES","FQ1 2024","FQ1 2024","Currency=USD","Period=FQ","BEST_FPERIOD_OVERRIDE=FQ","FILING_STATUS=MR","FA_ADJUSTED=GAAP","Sort=A","Dates=H","DateFormat=P","Fill=—","Direction=H","UseDPDF=Y")</f>
        <v>14.9742</v>
      </c>
      <c r="V26" s="14">
        <f>_xll.BDH("BLUE US Equity","HIGH_EV_TO_T12M_SALES","FQ2 2024","FQ2 2024","Currency=USD","Period=FQ","BEST_FPERIOD_OVERRIDE=FQ","FILING_STATUS=MR","FA_ADJUSTED=GAAP","Sort=A","Dates=H","DateFormat=P","Fill=—","Direction=H","UseDPDF=Y")</f>
        <v>9.6771999999999991</v>
      </c>
      <c r="W26" s="14">
        <f>_xll.BDH("BLUE US Equity","HIGH_EV_TO_T12M_SALES","FQ3 2024","FQ3 2024","Currency=USD","Period=FQ","BEST_FPERIOD_OVERRIDE=FQ","FILING_STATUS=MR","FA_ADJUSTED=GAAP","Sort=A","Dates=H","DateFormat=P","Fill=—","Direction=H","UseDPDF=Y")</f>
        <v>9.1682000000000006</v>
      </c>
      <c r="X26" s="14">
        <f>_xll.BDH("BLUE US Equity","HIGH_EV_TO_T12M_SALES","FQ4 2024","FQ4 2024","Currency=USD","Period=FQ","BEST_FPERIOD_OVERRIDE=FQ","FILING_STATUS=MR","FA_ADJUSTED=GAAP","Sort=A","Dates=H","DateFormat=P","Fill=—","Direction=H","UseDPDF=Y")</f>
        <v>8.2368000000000006</v>
      </c>
      <c r="Y26" s="17"/>
      <c r="Z26" s="14"/>
      <c r="AA26" s="14"/>
    </row>
    <row r="27" spans="1:27" x14ac:dyDescent="0.25">
      <c r="A27" s="10" t="s">
        <v>202</v>
      </c>
      <c r="B27" s="10" t="s">
        <v>216</v>
      </c>
      <c r="C27" s="14">
        <f>_xll.BDH("BLUE US Equity","LOW_EV_TO_T12M_SALES","FQ3 2019","FQ3 2019","Currency=USD","Period=FQ","BEST_FPERIOD_OVERRIDE=FQ","FILING_STATUS=MR","FA_ADJUSTED=GAAP","Sort=A","Dates=H","DateFormat=P","Fill=—","Direction=H","UseDPDF=Y")</f>
        <v>66.892300000000006</v>
      </c>
      <c r="D27" s="14">
        <f>_xll.BDH("BLUE US Equity","LOW_EV_TO_T12M_SALES","FQ4 2019","FQ4 2019","Currency=USD","Period=FQ","BEST_FPERIOD_OVERRIDE=FQ","FILING_STATUS=MR","FA_ADJUSTED=GAAP","Sort=A","Dates=H","DateFormat=P","Fill=—","Direction=H","UseDPDF=Y")</f>
        <v>51.957900000000002</v>
      </c>
      <c r="E27" s="14">
        <f>_xll.BDH("BLUE US Equity","LOW_EV_TO_T12M_SALES","FQ1 2020","FQ1 2020","Currency=USD","Period=FQ","BEST_FPERIOD_OVERRIDE=FQ","FILING_STATUS=MR","FA_ADJUSTED=GAAP","Sort=A","Dates=H","DateFormat=P","Fill=—","Direction=H","UseDPDF=Y")</f>
        <v>26.842700000000001</v>
      </c>
      <c r="F27" s="14">
        <f>_xll.BDH("BLUE US Equity","LOW_EV_TO_T12M_SALES","FQ2 2020","FQ2 2020","Currency=USD","Period=FQ","BEST_FPERIOD_OVERRIDE=FQ","FILING_STATUS=MR","FA_ADJUSTED=GAAP","Sort=A","Dates=H","DateFormat=P","Fill=—","Direction=H","UseDPDF=Y")</f>
        <v>10.9735</v>
      </c>
      <c r="G27" s="14">
        <f>_xll.BDH("BLUE US Equity","LOW_EV_TO_T12M_SALES","FQ3 2020","FQ3 2020","Currency=USD","Period=FQ","BEST_FPERIOD_OVERRIDE=FQ","FILING_STATUS=MR","FA_ADJUSTED=GAAP","Sort=A","Dates=H","DateFormat=P","Fill=—","Direction=H","UseDPDF=Y")</f>
        <v>8.8394999999999992</v>
      </c>
      <c r="H27" s="14">
        <f>_xll.BDH("BLUE US Equity","LOW_EV_TO_T12M_SALES","FQ4 2020","FQ4 2020","Currency=USD","Period=FQ","BEST_FPERIOD_OVERRIDE=FQ","FILING_STATUS=MR","FA_ADJUSTED=GAAP","Sort=A","Dates=H","DateFormat=P","Fill=—","Direction=H","UseDPDF=Y")</f>
        <v>6.3019999999999996</v>
      </c>
      <c r="I27" s="14">
        <f>_xll.BDH("BLUE US Equity","LOW_EV_TO_T12M_SALES","FQ1 2021","FQ1 2021","Currency=USD","Period=FQ","BEST_FPERIOD_OVERRIDE=FQ","FILING_STATUS=MR","FA_ADJUSTED=GAAP","Sort=A","Dates=H","DateFormat=P","Fill=—","Direction=H","UseDPDF=Y")</f>
        <v>4.3491</v>
      </c>
      <c r="J27" s="14">
        <f>_xll.BDH("BLUE US Equity","LOW_EV_TO_T12M_SALES","FQ2 2021","FQ2 2021","Currency=USD","Period=FQ","BEST_FPERIOD_OVERRIDE=FQ","FILING_STATUS=MR","FA_ADJUSTED=GAAP","Sort=A","Dates=H","DateFormat=P","Fill=—","Direction=H","UseDPDF=Y")</f>
        <v>4.4863</v>
      </c>
      <c r="K27" s="14">
        <f>_xll.BDH("BLUE US Equity","LOW_EV_TO_T12M_SALES","FQ3 2021","FQ3 2021","Currency=USD","Period=FQ","BEST_FPERIOD_OVERRIDE=FQ","FILING_STATUS=MR","FA_ADJUSTED=GAAP","Sort=A","Dates=H","DateFormat=P","Fill=—","Direction=H","UseDPDF=Y")</f>
        <v>15.5627</v>
      </c>
      <c r="L27" s="14">
        <f>_xll.BDH("BLUE US Equity","LOW_EV_TO_T12M_SALES","FQ4 2021","FQ4 2021","Currency=USD","Period=FQ","BEST_FPERIOD_OVERRIDE=FQ","FILING_STATUS=MR","FA_ADJUSTED=GAAP","Sort=A","Dates=H","DateFormat=P","Fill=—","Direction=H","UseDPDF=Y")</f>
        <v>0.39960000000000001</v>
      </c>
      <c r="M27" s="14">
        <f>_xll.BDH("BLUE US Equity","LOW_EV_TO_T12M_SALES","FQ1 2022","FQ1 2022","Currency=USD","Period=FQ","BEST_FPERIOD_OVERRIDE=FQ","FILING_STATUS=MR","FA_ADJUSTED=GAAP","Sort=A","Dates=H","DateFormat=P","Fill=—","Direction=H","UseDPDF=Y")</f>
        <v>0.53180000000000005</v>
      </c>
      <c r="N27" s="14">
        <f>_xll.BDH("BLUE US Equity","LOW_EV_TO_T12M_SALES","FQ2 2022","FQ2 2022","Currency=USD","Period=FQ","BEST_FPERIOD_OVERRIDE=FQ","FILING_STATUS=MR","FA_ADJUSTED=GAAP","Sort=A","Dates=H","DateFormat=P","Fill=—","Direction=H","UseDPDF=Y")</f>
        <v>4.4656000000000002</v>
      </c>
      <c r="O27" s="14">
        <f>_xll.BDH("BLUE US Equity","LOW_EV_TO_T12M_SALES","FQ3 2022","FQ3 2022","Currency=USD","Period=FQ","BEST_FPERIOD_OVERRIDE=FQ","FILING_STATUS=MR","FA_ADJUSTED=GAAP","Sort=A","Dates=H","DateFormat=P","Fill=—","Direction=H","UseDPDF=Y")</f>
        <v>63.683599999999998</v>
      </c>
      <c r="P27" s="14">
        <f>_xll.BDH("BLUE US Equity","LOW_EV_TO_T12M_SALES","FQ4 2022","FQ4 2022","Currency=USD","Period=FQ","BEST_FPERIOD_OVERRIDE=FQ","FILING_STATUS=MR","FA_ADJUSTED=GAAP","Sort=A","Dates=H","DateFormat=P","Fill=—","Direction=H","UseDPDF=Y")</f>
        <v>113.2397</v>
      </c>
      <c r="Q27" s="14">
        <f>_xll.BDH("BLUE US Equity","LOW_EV_TO_T12M_SALES","FQ1 2023","FQ1 2023","Currency=USD","Period=FQ","BEST_FPERIOD_OVERRIDE=FQ","FILING_STATUS=MR","FA_ADJUSTED=GAAP","Sort=A","Dates=H","DateFormat=P","Fill=—","Direction=H","UseDPDF=Y")</f>
        <v>72.743700000000004</v>
      </c>
      <c r="R27" s="14">
        <f>_xll.BDH("BLUE US Equity","LOW_EV_TO_T12M_SALES","FQ2 2023","FQ2 2023","Currency=USD","Period=FQ","BEST_FPERIOD_OVERRIDE=FQ","FILING_STATUS=MR","FA_ADJUSTED=GAAP","Sort=A","Dates=H","DateFormat=P","Fill=—","Direction=H","UseDPDF=Y")</f>
        <v>43.773899999999998</v>
      </c>
      <c r="S27" s="14">
        <f>_xll.BDH("BLUE US Equity","LOW_EV_TO_T12M_SALES","FQ3 2023","FQ3 2023","Currency=USD","Period=FQ","BEST_FPERIOD_OVERRIDE=FQ","FILING_STATUS=MR","FA_ADJUSTED=GAAP","Sort=A","Dates=H","DateFormat=P","Fill=—","Direction=H","UseDPDF=Y")</f>
        <v>20.922899999999998</v>
      </c>
      <c r="T27" s="14">
        <f>_xll.BDH("BLUE US Equity","LOW_EV_TO_T12M_SALES","FQ4 2023","FQ4 2023","Currency=USD","Period=FQ","BEST_FPERIOD_OVERRIDE=FQ","FILING_STATUS=MR","FA_ADJUSTED=GAAP","Sort=A","Dates=H","DateFormat=P","Fill=—","Direction=H","UseDPDF=Y")</f>
        <v>12.586399999999999</v>
      </c>
      <c r="U27" s="14">
        <f>_xll.BDH("BLUE US Equity","LOW_EV_TO_T12M_SALES","FQ1 2024","FQ1 2024","Currency=USD","Period=FQ","BEST_FPERIOD_OVERRIDE=FQ","FILING_STATUS=MR","FA_ADJUSTED=GAAP","Sort=A","Dates=H","DateFormat=P","Fill=—","Direction=H","UseDPDF=Y")</f>
        <v>9.5223999999999993</v>
      </c>
      <c r="V27" s="14">
        <f>_xll.BDH("BLUE US Equity","LOW_EV_TO_T12M_SALES","FQ2 2024","FQ2 2024","Currency=USD","Period=FQ","BEST_FPERIOD_OVERRIDE=FQ","FILING_STATUS=MR","FA_ADJUSTED=GAAP","Sort=A","Dates=H","DateFormat=P","Fill=—","Direction=H","UseDPDF=Y")</f>
        <v>7.8997999999999999</v>
      </c>
      <c r="W27" s="14">
        <f>_xll.BDH("BLUE US Equity","LOW_EV_TO_T12M_SALES","FQ3 2024","FQ3 2024","Currency=USD","Period=FQ","BEST_FPERIOD_OVERRIDE=FQ","FILING_STATUS=MR","FA_ADJUSTED=GAAP","Sort=A","Dates=H","DateFormat=P","Fill=—","Direction=H","UseDPDF=Y")</f>
        <v>6.1481000000000003</v>
      </c>
      <c r="X27" s="14">
        <f>_xll.BDH("BLUE US Equity","LOW_EV_TO_T12M_SALES","FQ4 2024","FQ4 2024","Currency=USD","Period=FQ","BEST_FPERIOD_OVERRIDE=FQ","FILING_STATUS=MR","FA_ADJUSTED=GAAP","Sort=A","Dates=H","DateFormat=P","Fill=—","Direction=H","UseDPDF=Y")</f>
        <v>4.4584000000000001</v>
      </c>
      <c r="Y27" s="17"/>
      <c r="Z27" s="14"/>
      <c r="AA27" s="14"/>
    </row>
    <row r="28" spans="1:27" x14ac:dyDescent="0.25">
      <c r="A28" s="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1"/>
      <c r="Z28" s="18"/>
      <c r="AA28" s="18"/>
    </row>
    <row r="29" spans="1:27" x14ac:dyDescent="0.25">
      <c r="A29" s="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1"/>
      <c r="Z29" s="18"/>
      <c r="AA29" s="18"/>
    </row>
    <row r="30" spans="1:27" x14ac:dyDescent="0.25">
      <c r="A30" s="6" t="s">
        <v>179</v>
      </c>
      <c r="B30" s="6" t="s">
        <v>180</v>
      </c>
      <c r="C30" s="20" t="str">
        <f>_xll.BDH("BLUE US Equity","EV_TO_T12M_EBIT","FQ3 2019","FQ3 2019","Currency=USD","Period=FQ","BEST_FPERIOD_OVERRIDE=FQ","FILING_STATUS=MR","FA_ADJUSTED=GAAP","Sort=A","Dates=H","DateFormat=P","Fill=—","Direction=H","UseDPDF=Y")</f>
        <v>—</v>
      </c>
      <c r="D30" s="20" t="str">
        <f>_xll.BDH("BLUE US Equity","EV_TO_T12M_EBIT","FQ4 2019","FQ4 2019","Currency=USD","Period=FQ","BEST_FPERIOD_OVERRIDE=FQ","FILING_STATUS=MR","FA_ADJUSTED=GAAP","Sort=A","Dates=H","DateFormat=P","Fill=—","Direction=H","UseDPDF=Y")</f>
        <v>—</v>
      </c>
      <c r="E30" s="20" t="str">
        <f>_xll.BDH("BLUE US Equity","EV_TO_T12M_EBIT","FQ1 2020","FQ1 2020","Currency=USD","Period=FQ","BEST_FPERIOD_OVERRIDE=FQ","FILING_STATUS=MR","FA_ADJUSTED=GAAP","Sort=A","Dates=H","DateFormat=P","Fill=—","Direction=H","UseDPDF=Y")</f>
        <v>—</v>
      </c>
      <c r="F30" s="20" t="str">
        <f>_xll.BDH("BLUE US Equity","EV_TO_T12M_EBIT","FQ2 2020","FQ2 2020","Currency=USD","Period=FQ","BEST_FPERIOD_OVERRIDE=FQ","FILING_STATUS=MR","FA_ADJUSTED=GAAP","Sort=A","Dates=H","DateFormat=P","Fill=—","Direction=H","UseDPDF=Y")</f>
        <v>—</v>
      </c>
      <c r="G30" s="20" t="str">
        <f>_xll.BDH("BLUE US Equity","EV_TO_T12M_EBIT","FQ3 2020","FQ3 2020","Currency=USD","Period=FQ","BEST_FPERIOD_OVERRIDE=FQ","FILING_STATUS=MR","FA_ADJUSTED=GAAP","Sort=A","Dates=H","DateFormat=P","Fill=—","Direction=H","UseDPDF=Y")</f>
        <v>—</v>
      </c>
      <c r="H30" s="20" t="str">
        <f>_xll.BDH("BLUE US Equity","EV_TO_T12M_EBIT","FQ4 2020","FQ4 2020","Currency=USD","Period=FQ","BEST_FPERIOD_OVERRIDE=FQ","FILING_STATUS=MR","FA_ADJUSTED=GAAP","Sort=A","Dates=H","DateFormat=P","Fill=—","Direction=H","UseDPDF=Y")</f>
        <v>—</v>
      </c>
      <c r="I30" s="20" t="str">
        <f>_xll.BDH("BLUE US Equity","EV_TO_T12M_EBIT","FQ1 2021","FQ1 2021","Currency=USD","Period=FQ","BEST_FPERIOD_OVERRIDE=FQ","FILING_STATUS=MR","FA_ADJUSTED=GAAP","Sort=A","Dates=H","DateFormat=P","Fill=—","Direction=H","UseDPDF=Y")</f>
        <v>—</v>
      </c>
      <c r="J30" s="20" t="str">
        <f>_xll.BDH("BLUE US Equity","EV_TO_T12M_EBIT","FQ2 2021","FQ2 2021","Currency=USD","Period=FQ","BEST_FPERIOD_OVERRIDE=FQ","FILING_STATUS=MR","FA_ADJUSTED=GAAP","Sort=A","Dates=H","DateFormat=P","Fill=—","Direction=H","UseDPDF=Y")</f>
        <v>—</v>
      </c>
      <c r="K30" s="20" t="str">
        <f>_xll.BDH("BLUE US Equity","EV_TO_T12M_EBIT","FQ3 2021","FQ3 2021","Currency=USD","Period=FQ","BEST_FPERIOD_OVERRIDE=FQ","FILING_STATUS=MR","FA_ADJUSTED=GAAP","Sort=A","Dates=H","DateFormat=P","Fill=—","Direction=H","UseDPDF=Y")</f>
        <v>—</v>
      </c>
      <c r="L30" s="20" t="str">
        <f>_xll.BDH("BLUE US Equity","EV_TO_T12M_EBIT","FQ4 2021","FQ4 2021","Currency=USD","Period=FQ","BEST_FPERIOD_OVERRIDE=FQ","FILING_STATUS=MR","FA_ADJUSTED=GAAP","Sort=A","Dates=H","DateFormat=P","Fill=—","Direction=H","UseDPDF=Y")</f>
        <v>—</v>
      </c>
      <c r="M30" s="20" t="str">
        <f>_xll.BDH("BLUE US Equity","EV_TO_T12M_EBIT","FQ1 2022","FQ1 2022","Currency=USD","Period=FQ","BEST_FPERIOD_OVERRIDE=FQ","FILING_STATUS=MR","FA_ADJUSTED=GAAP","Sort=A","Dates=H","DateFormat=P","Fill=—","Direction=H","UseDPDF=Y")</f>
        <v>—</v>
      </c>
      <c r="N30" s="20" t="str">
        <f>_xll.BDH("BLUE US Equity","EV_TO_T12M_EBIT","FQ2 2022","FQ2 2022","Currency=USD","Period=FQ","BEST_FPERIOD_OVERRIDE=FQ","FILING_STATUS=MR","FA_ADJUSTED=GAAP","Sort=A","Dates=H","DateFormat=P","Fill=—","Direction=H","UseDPDF=Y")</f>
        <v>—</v>
      </c>
      <c r="O30" s="20" t="str">
        <f>_xll.BDH("BLUE US Equity","EV_TO_T12M_EBIT","FQ3 2022","FQ3 2022","Currency=USD","Period=FQ","BEST_FPERIOD_OVERRIDE=FQ","FILING_STATUS=MR","FA_ADJUSTED=GAAP","Sort=A","Dates=H","DateFormat=P","Fill=—","Direction=H","UseDPDF=Y")</f>
        <v>—</v>
      </c>
      <c r="P30" s="20" t="str">
        <f>_xll.BDH("BLUE US Equity","EV_TO_T12M_EBIT","FQ4 2022","FQ4 2022","Currency=USD","Period=FQ","BEST_FPERIOD_OVERRIDE=FQ","FILING_STATUS=MR","FA_ADJUSTED=GAAP","Sort=A","Dates=H","DateFormat=P","Fill=—","Direction=H","UseDPDF=Y")</f>
        <v>—</v>
      </c>
      <c r="Q30" s="20" t="str">
        <f>_xll.BDH("BLUE US Equity","EV_TO_T12M_EBIT","FQ1 2023","FQ1 2023","Currency=USD","Period=FQ","BEST_FPERIOD_OVERRIDE=FQ","FILING_STATUS=MR","FA_ADJUSTED=GAAP","Sort=A","Dates=H","DateFormat=P","Fill=—","Direction=H","UseDPDF=Y")</f>
        <v>—</v>
      </c>
      <c r="R30" s="20" t="str">
        <f>_xll.BDH("BLUE US Equity","EV_TO_T12M_EBIT","FQ2 2023","FQ2 2023","Currency=USD","Period=FQ","BEST_FPERIOD_OVERRIDE=FQ","FILING_STATUS=MR","FA_ADJUSTED=GAAP","Sort=A","Dates=H","DateFormat=P","Fill=—","Direction=H","UseDPDF=Y")</f>
        <v>—</v>
      </c>
      <c r="S30" s="20" t="str">
        <f>_xll.BDH("BLUE US Equity","EV_TO_T12M_EBIT","FQ3 2023","FQ3 2023","Currency=USD","Period=FQ","BEST_FPERIOD_OVERRIDE=FQ","FILING_STATUS=MR","FA_ADJUSTED=GAAP","Sort=A","Dates=H","DateFormat=P","Fill=—","Direction=H","UseDPDF=Y")</f>
        <v>—</v>
      </c>
      <c r="T30" s="20" t="str">
        <f>_xll.BDH("BLUE US Equity","EV_TO_T12M_EBIT","FQ4 2023","FQ4 2023","Currency=USD","Period=FQ","BEST_FPERIOD_OVERRIDE=FQ","FILING_STATUS=MR","FA_ADJUSTED=GAAP","Sort=A","Dates=H","DateFormat=P","Fill=—","Direction=H","UseDPDF=Y")</f>
        <v>—</v>
      </c>
      <c r="U30" s="20" t="str">
        <f>_xll.BDH("BLUE US Equity","EV_TO_T12M_EBIT","FQ1 2024","FQ1 2024","Currency=USD","Period=FQ","BEST_FPERIOD_OVERRIDE=FQ","FILING_STATUS=MR","FA_ADJUSTED=GAAP","Sort=A","Dates=H","DateFormat=P","Fill=—","Direction=H","UseDPDF=Y")</f>
        <v>—</v>
      </c>
      <c r="V30" s="20" t="str">
        <f>_xll.BDH("BLUE US Equity","EV_TO_T12M_EBIT","FQ2 2024","FQ2 2024","Currency=USD","Period=FQ","BEST_FPERIOD_OVERRIDE=FQ","FILING_STATUS=MR","FA_ADJUSTED=GAAP","Sort=A","Dates=H","DateFormat=P","Fill=—","Direction=H","UseDPDF=Y")</f>
        <v>—</v>
      </c>
      <c r="W30" s="20" t="str">
        <f>_xll.BDH("BLUE US Equity","EV_TO_T12M_EBIT","FQ3 2024","FQ3 2024","Currency=USD","Period=FQ","BEST_FPERIOD_OVERRIDE=FQ","FILING_STATUS=MR","FA_ADJUSTED=GAAP","Sort=A","Dates=H","DateFormat=P","Fill=—","Direction=H","UseDPDF=Y")</f>
        <v>—</v>
      </c>
      <c r="X30" s="20" t="str">
        <f>_xll.BDH("BLUE US Equity","EV_TO_T12M_EBIT","FQ4 2024","FQ4 2024","Currency=USD","Period=FQ","BEST_FPERIOD_OVERRIDE=FQ","FILING_STATUS=MR","FA_ADJUSTED=GAAP","Sort=A","Dates=H","DateFormat=P","Fill=—","Direction=H","UseDPDF=Y")</f>
        <v>—</v>
      </c>
      <c r="Y30" s="23"/>
      <c r="Z30" s="20">
        <v>-3.99110760665658</v>
      </c>
      <c r="AA30" s="20">
        <v>-21.825750612217899</v>
      </c>
    </row>
    <row r="31" spans="1:27" x14ac:dyDescent="0.25">
      <c r="A31" s="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21"/>
      <c r="Z31" s="18"/>
      <c r="AA31" s="18"/>
    </row>
    <row r="32" spans="1:27" x14ac:dyDescent="0.25">
      <c r="A32" s="6" t="s">
        <v>217</v>
      </c>
      <c r="B32" s="6" t="s">
        <v>218</v>
      </c>
      <c r="C32" s="20">
        <f>_xll.BDH("BLUE US Equity","PX_LAST","FQ3 2019","FQ3 2019","Currency=USD","Period=FQ","BEST_FPERIOD_OVERRIDE=FQ","FILING_STATUS=MR","Sort=A","Dates=H","DateFormat=P","Fill=—","Direction=H","UseDPDF=Y")</f>
        <v>1188.788</v>
      </c>
      <c r="D32" s="20">
        <f>_xll.BDH("BLUE US Equity","PX_LAST","FQ4 2019","FQ4 2019","Currency=USD","Period=FQ","BEST_FPERIOD_OVERRIDE=FQ","FILING_STATUS=MR","Sort=A","Dates=H","DateFormat=P","Fill=—","Direction=H","UseDPDF=Y")</f>
        <v>1136.0940000000001</v>
      </c>
      <c r="E32" s="20">
        <f>_xll.BDH("BLUE US Equity","PX_LAST","FQ1 2020","FQ1 2020","Currency=USD","Period=FQ","BEST_FPERIOD_OVERRIDE=FQ","FILING_STATUS=MR","Sort=A","Dates=H","DateFormat=P","Fill=—","Direction=H","UseDPDF=Y")</f>
        <v>595.04139999999995</v>
      </c>
      <c r="F32" s="20">
        <f>_xll.BDH("BLUE US Equity","PX_LAST","FQ2 2020","FQ2 2020","Currency=USD","Period=FQ","BEST_FPERIOD_OVERRIDE=FQ","FILING_STATUS=MR","Sort=A","Dates=H","DateFormat=P","Fill=—","Direction=H","UseDPDF=Y")</f>
        <v>790.28120000000001</v>
      </c>
      <c r="G32" s="20">
        <f>_xll.BDH("BLUE US Equity","PX_LAST","FQ3 2020","FQ3 2020","Currency=USD","Period=FQ","BEST_FPERIOD_OVERRIDE=FQ","FILING_STATUS=MR","Sort=A","Dates=H","DateFormat=P","Fill=—","Direction=H","UseDPDF=Y")</f>
        <v>698.48739999999998</v>
      </c>
      <c r="H32" s="20">
        <f>_xll.BDH("BLUE US Equity","PX_LAST","FQ4 2020","FQ4 2020","Currency=USD","Period=FQ","BEST_FPERIOD_OVERRIDE=FQ","FILING_STATUS=MR","Sort=A","Dates=H","DateFormat=P","Fill=—","Direction=H","UseDPDF=Y")</f>
        <v>560.21410000000003</v>
      </c>
      <c r="I32" s="20">
        <f>_xll.BDH("BLUE US Equity","PX_LAST","FQ1 2021","FQ1 2021","Currency=USD","Period=FQ","BEST_FPERIOD_OVERRIDE=FQ","FILING_STATUS=MR","Sort=A","Dates=H","DateFormat=P","Fill=—","Direction=H","UseDPDF=Y")</f>
        <v>390.35019999999997</v>
      </c>
      <c r="J32" s="20">
        <f>_xll.BDH("BLUE US Equity","PX_LAST","FQ2 2021","FQ2 2021","Currency=USD","Period=FQ","BEST_FPERIOD_OVERRIDE=FQ","FILING_STATUS=MR","Sort=A","Dates=H","DateFormat=P","Fill=—","Direction=H","UseDPDF=Y")</f>
        <v>414.04309999999998</v>
      </c>
      <c r="K32" s="20">
        <f>_xll.BDH("BLUE US Equity","PX_LAST","FQ3 2021","FQ3 2021","Currency=USD","Period=FQ","BEST_FPERIOD_OVERRIDE=FQ","FILING_STATUS=MR","Sort=A","Dates=H","DateFormat=P","Fill=—","Direction=H","UseDPDF=Y")</f>
        <v>247.416</v>
      </c>
      <c r="L32" s="20">
        <f>_xll.BDH("BLUE US Equity","PX_LAST","FQ4 2021","FQ4 2021","Currency=USD","Period=FQ","BEST_FPERIOD_OVERRIDE=FQ","FILING_STATUS=MR","Sort=A","Dates=H","DateFormat=P","Fill=—","Direction=H","UseDPDF=Y")</f>
        <v>199.8</v>
      </c>
      <c r="M32" s="20">
        <f>_xll.BDH("BLUE US Equity","PX_LAST","FQ1 2022","FQ1 2022","Currency=USD","Period=FQ","BEST_FPERIOD_OVERRIDE=FQ","FILING_STATUS=MR","Sort=A","Dates=H","DateFormat=P","Fill=—","Direction=H","UseDPDF=Y")</f>
        <v>97</v>
      </c>
      <c r="N32" s="20">
        <f>_xll.BDH("BLUE US Equity","PX_LAST","FQ2 2022","FQ2 2022","Currency=USD","Period=FQ","BEST_FPERIOD_OVERRIDE=FQ","FILING_STATUS=MR","Sort=A","Dates=H","DateFormat=P","Fill=—","Direction=H","UseDPDF=Y")</f>
        <v>82.8</v>
      </c>
      <c r="O32" s="20">
        <f>_xll.BDH("BLUE US Equity","PX_LAST","FQ3 2022","FQ3 2022","Currency=USD","Period=FQ","BEST_FPERIOD_OVERRIDE=FQ","FILING_STATUS=MR","Sort=A","Dates=H","DateFormat=P","Fill=—","Direction=H","UseDPDF=Y")</f>
        <v>126.6</v>
      </c>
      <c r="P32" s="20">
        <f>_xll.BDH("BLUE US Equity","PX_LAST","FQ4 2022","FQ4 2022","Currency=USD","Period=FQ","BEST_FPERIOD_OVERRIDE=FQ","FILING_STATUS=MR","Sort=A","Dates=H","DateFormat=P","Fill=—","Direction=H","UseDPDF=Y")</f>
        <v>138.4</v>
      </c>
      <c r="Q32" s="20">
        <f>_xll.BDH("BLUE US Equity","PX_LAST","FQ1 2023","FQ1 2023","Currency=USD","Period=FQ","BEST_FPERIOD_OVERRIDE=FQ","FILING_STATUS=MR","Sort=A","Dates=H","DateFormat=P","Fill=—","Direction=H","UseDPDF=Y")</f>
        <v>63.6</v>
      </c>
      <c r="R32" s="20">
        <f>_xll.BDH("BLUE US Equity","PX_LAST","FQ2 2023","FQ2 2023","Currency=USD","Period=FQ","BEST_FPERIOD_OVERRIDE=FQ","FILING_STATUS=MR","Sort=A","Dates=H","DateFormat=P","Fill=—","Direction=H","UseDPDF=Y")</f>
        <v>65.8</v>
      </c>
      <c r="S32" s="20">
        <f>_xll.BDH("BLUE US Equity","PX_LAST","FQ3 2023","FQ3 2023","Currency=USD","Period=FQ","BEST_FPERIOD_OVERRIDE=FQ","FILING_STATUS=MR","Sort=A","Dates=H","DateFormat=P","Fill=—","Direction=H","UseDPDF=Y")</f>
        <v>60.8</v>
      </c>
      <c r="T32" s="20">
        <f>_xll.BDH("BLUE US Equity","PX_LAST","FQ4 2023","FQ4 2023","Currency=USD","Period=FQ","BEST_FPERIOD_OVERRIDE=FQ","FILING_STATUS=MR","Sort=A","Dates=H","DateFormat=P","Fill=—","Direction=H","UseDPDF=Y")</f>
        <v>27.6</v>
      </c>
      <c r="U32" s="20">
        <f>_xll.BDH("BLUE US Equity","PX_LAST","FQ1 2024","FQ1 2024","Currency=USD","Period=FQ","BEST_FPERIOD_OVERRIDE=FQ","FILING_STATUS=MR","Sort=A","Dates=H","DateFormat=P","Fill=—","Direction=H","UseDPDF=Y")</f>
        <v>25.6</v>
      </c>
      <c r="V32" s="20">
        <f>_xll.BDH("BLUE US Equity","PX_LAST","FQ2 2024","FQ2 2024","Currency=USD","Period=FQ","BEST_FPERIOD_OVERRIDE=FQ","FILING_STATUS=MR","Sort=A","Dates=H","DateFormat=P","Fill=—","Direction=H","UseDPDF=Y")</f>
        <v>19.684000000000001</v>
      </c>
      <c r="W32" s="20">
        <f>_xll.BDH("BLUE US Equity","PX_LAST","FQ3 2024","FQ3 2024","Currency=USD","Period=FQ","BEST_FPERIOD_OVERRIDE=FQ","FILING_STATUS=MR","Sort=A","Dates=H","DateFormat=P","Fill=—","Direction=H","UseDPDF=Y")</f>
        <v>10.39</v>
      </c>
      <c r="X32" s="20">
        <f>_xll.BDH("BLUE US Equity","PX_LAST","FQ4 2024","FQ4 2024","Currency=USD","Period=FQ","BEST_FPERIOD_OVERRIDE=FQ","FILING_STATUS=MR","Sort=A","Dates=H","DateFormat=P","Fill=—","Direction=H","UseDPDF=Y")</f>
        <v>8.34</v>
      </c>
      <c r="Y32" s="23">
        <v>3.7799999713897701</v>
      </c>
      <c r="Z32" s="20"/>
      <c r="AA32" s="20"/>
    </row>
    <row r="33" spans="1:27" x14ac:dyDescent="0.25">
      <c r="A33" s="10" t="s">
        <v>200</v>
      </c>
      <c r="B33" s="10" t="s">
        <v>219</v>
      </c>
      <c r="C33" s="14">
        <f>_xll.BDH("BLUE US Equity","PX_HIGH","FQ3 2019","FQ3 2019","Currency=USD","Period=FQ","BEST_FPERIOD_OVERRIDE=FQ","FILING_STATUS=MR","Sort=A","Dates=H","DateFormat=P","Fill=—","Direction=H","UseDPDF=Y")</f>
        <v>1864.1004</v>
      </c>
      <c r="D33" s="14">
        <f>_xll.BDH("BLUE US Equity","PX_HIGH","FQ4 2019","FQ4 2019","Currency=USD","Period=FQ","BEST_FPERIOD_OVERRIDE=FQ","FILING_STATUS=MR","Sort=A","Dates=H","DateFormat=P","Fill=—","Direction=H","UseDPDF=Y")</f>
        <v>1240.1874</v>
      </c>
      <c r="E33" s="14">
        <f>_xll.BDH("BLUE US Equity","PX_HIGH","FQ1 2020","FQ1 2020","Currency=USD","Period=FQ","BEST_FPERIOD_OVERRIDE=FQ","FILING_STATUS=MR","Sort=A","Dates=H","DateFormat=P","Fill=—","Direction=H","UseDPDF=Y")</f>
        <v>1286.4079999999999</v>
      </c>
      <c r="F33" s="14">
        <f>_xll.BDH("BLUE US Equity","PX_HIGH","FQ2 2020","FQ2 2020","Currency=USD","Period=FQ","BEST_FPERIOD_OVERRIDE=FQ","FILING_STATUS=MR","Sort=A","Dates=H","DateFormat=P","Fill=—","Direction=H","UseDPDF=Y")</f>
        <v>938.71789999999999</v>
      </c>
      <c r="G33" s="14">
        <f>_xll.BDH("BLUE US Equity","PX_HIGH","FQ3 2020","FQ3 2020","Currency=USD","Period=FQ","BEST_FPERIOD_OVERRIDE=FQ","FILING_STATUS=MR","Sort=A","Dates=H","DateFormat=P","Fill=—","Direction=H","UseDPDF=Y")</f>
        <v>885.44119999999998</v>
      </c>
      <c r="H33" s="14">
        <f>_xll.BDH("BLUE US Equity","PX_HIGH","FQ4 2020","FQ4 2020","Currency=USD","Period=FQ","BEST_FPERIOD_OVERRIDE=FQ","FILING_STATUS=MR","Sort=A","Dates=H","DateFormat=P","Fill=—","Direction=H","UseDPDF=Y")</f>
        <v>768.01250000000005</v>
      </c>
      <c r="I33" s="14">
        <f>_xll.BDH("BLUE US Equity","PX_HIGH","FQ1 2021","FQ1 2021","Currency=USD","Period=FQ","BEST_FPERIOD_OVERRIDE=FQ","FILING_STATUS=MR","Sort=A","Dates=H","DateFormat=P","Fill=—","Direction=H","UseDPDF=Y")</f>
        <v>694.99170000000004</v>
      </c>
      <c r="J33" s="14">
        <f>_xll.BDH("BLUE US Equity","PX_HIGH","FQ2 2021","FQ2 2021","Currency=USD","Period=FQ","BEST_FPERIOD_OVERRIDE=FQ","FILING_STATUS=MR","Sort=A","Dates=H","DateFormat=P","Fill=—","Direction=H","UseDPDF=Y")</f>
        <v>460.75959999999998</v>
      </c>
      <c r="K33" s="14">
        <f>_xll.BDH("BLUE US Equity","PX_HIGH","FQ3 2021","FQ3 2021","Currency=USD","Period=FQ","BEST_FPERIOD_OVERRIDE=FQ","FILING_STATUS=MR","Sort=A","Dates=H","DateFormat=P","Fill=—","Direction=H","UseDPDF=Y")</f>
        <v>423.10599999999999</v>
      </c>
      <c r="L33" s="14">
        <f>_xll.BDH("BLUE US Equity","PX_HIGH","FQ4 2021","FQ4 2021","Currency=USD","Period=FQ","BEST_FPERIOD_OVERRIDE=FQ","FILING_STATUS=MR","Sort=A","Dates=H","DateFormat=P","Fill=—","Direction=H","UseDPDF=Y")</f>
        <v>357</v>
      </c>
      <c r="M33" s="14">
        <f>_xll.BDH("BLUE US Equity","PX_HIGH","FQ1 2022","FQ1 2022","Currency=USD","Period=FQ","BEST_FPERIOD_OVERRIDE=FQ","FILING_STATUS=MR","Sort=A","Dates=H","DateFormat=P","Fill=—","Direction=H","UseDPDF=Y")</f>
        <v>214.8</v>
      </c>
      <c r="N33" s="14">
        <f>_xll.BDH("BLUE US Equity","PX_HIGH","FQ2 2022","FQ2 2022","Currency=USD","Period=FQ","BEST_FPERIOD_OVERRIDE=FQ","FILING_STATUS=MR","Sort=A","Dates=H","DateFormat=P","Fill=—","Direction=H","UseDPDF=Y")</f>
        <v>123.346</v>
      </c>
      <c r="O33" s="14">
        <f>_xll.BDH("BLUE US Equity","PX_HIGH","FQ3 2022","FQ3 2022","Currency=USD","Period=FQ","BEST_FPERIOD_OVERRIDE=FQ","FILING_STATUS=MR","Sort=A","Dates=H","DateFormat=P","Fill=—","Direction=H","UseDPDF=Y")</f>
        <v>163.6</v>
      </c>
      <c r="P33" s="14">
        <f>_xll.BDH("BLUE US Equity","PX_HIGH","FQ4 2022","FQ4 2022","Currency=USD","Period=FQ","BEST_FPERIOD_OVERRIDE=FQ","FILING_STATUS=MR","Sort=A","Dates=H","DateFormat=P","Fill=—","Direction=H","UseDPDF=Y")</f>
        <v>171.6</v>
      </c>
      <c r="Q33" s="14">
        <f>_xll.BDH("BLUE US Equity","PX_HIGH","FQ1 2023","FQ1 2023","Currency=USD","Period=FQ","BEST_FPERIOD_OVERRIDE=FQ","FILING_STATUS=MR","Sort=A","Dates=H","DateFormat=P","Fill=—","Direction=H","UseDPDF=Y")</f>
        <v>170.4</v>
      </c>
      <c r="R33" s="14">
        <f>_xll.BDH("BLUE US Equity","PX_HIGH","FQ2 2023","FQ2 2023","Currency=USD","Period=FQ","BEST_FPERIOD_OVERRIDE=FQ","FILING_STATUS=MR","Sort=A","Dates=H","DateFormat=P","Fill=—","Direction=H","UseDPDF=Y")</f>
        <v>104</v>
      </c>
      <c r="S33" s="14">
        <f>_xll.BDH("BLUE US Equity","PX_HIGH","FQ3 2023","FQ3 2023","Currency=USD","Period=FQ","BEST_FPERIOD_OVERRIDE=FQ","FILING_STATUS=MR","Sort=A","Dates=H","DateFormat=P","Fill=—","Direction=H","UseDPDF=Y")</f>
        <v>87.6</v>
      </c>
      <c r="T33" s="14">
        <f>_xll.BDH("BLUE US Equity","PX_HIGH","FQ4 2023","FQ4 2023","Currency=USD","Period=FQ","BEST_FPERIOD_OVERRIDE=FQ","FILING_STATUS=MR","Sort=A","Dates=H","DateFormat=P","Fill=—","Direction=H","UseDPDF=Y")</f>
        <v>110.6</v>
      </c>
      <c r="U33" s="14">
        <f>_xll.BDH("BLUE US Equity","PX_HIGH","FQ1 2024","FQ1 2024","Currency=USD","Period=FQ","BEST_FPERIOD_OVERRIDE=FQ","FILING_STATUS=MR","Sort=A","Dates=H","DateFormat=P","Fill=—","Direction=H","UseDPDF=Y")</f>
        <v>38.4</v>
      </c>
      <c r="V33" s="14">
        <f>_xll.BDH("BLUE US Equity","PX_HIGH","FQ2 2024","FQ2 2024","Currency=USD","Period=FQ","BEST_FPERIOD_OVERRIDE=FQ","FILING_STATUS=MR","Sort=A","Dates=H","DateFormat=P","Fill=—","Direction=H","UseDPDF=Y")</f>
        <v>26</v>
      </c>
      <c r="W33" s="14">
        <f>_xll.BDH("BLUE US Equity","PX_HIGH","FQ3 2024","FQ3 2024","Currency=USD","Period=FQ","BEST_FPERIOD_OVERRIDE=FQ","FILING_STATUS=MR","Sort=A","Dates=H","DateFormat=P","Fill=—","Direction=H","UseDPDF=Y")</f>
        <v>28.6</v>
      </c>
      <c r="X33" s="14">
        <f>_xll.BDH("BLUE US Equity","PX_HIGH","FQ4 2024","FQ4 2024","Currency=USD","Period=FQ","BEST_FPERIOD_OVERRIDE=FQ","FILING_STATUS=MR","Sort=A","Dates=H","DateFormat=P","Fill=—","Direction=H","UseDPDF=Y")</f>
        <v>15.4</v>
      </c>
      <c r="Y33" s="17">
        <v>3.8800001144409202</v>
      </c>
      <c r="Z33" s="14"/>
      <c r="AA33" s="14"/>
    </row>
    <row r="34" spans="1:27" x14ac:dyDescent="0.25">
      <c r="A34" s="10" t="s">
        <v>202</v>
      </c>
      <c r="B34" s="10" t="s">
        <v>220</v>
      </c>
      <c r="C34" s="14">
        <f>_xll.BDH("BLUE US Equity","PX_LOW","FQ3 2019","FQ3 2019","Currency=USD","Period=FQ","BEST_FPERIOD_OVERRIDE=FQ","FILING_STATUS=MR","Sort=A","Dates=H","DateFormat=P","Fill=—","Direction=H","UseDPDF=Y")</f>
        <v>1171.6981000000001</v>
      </c>
      <c r="D34" s="14">
        <f>_xll.BDH("BLUE US Equity","PX_LOW","FQ4 2019","FQ4 2019","Currency=USD","Period=FQ","BEST_FPERIOD_OVERRIDE=FQ","FILING_STATUS=MR","Sort=A","Dates=H","DateFormat=P","Fill=—","Direction=H","UseDPDF=Y")</f>
        <v>924.67049999999995</v>
      </c>
      <c r="E34" s="14">
        <f>_xll.BDH("BLUE US Equity","PX_LOW","FQ1 2020","FQ1 2020","Currency=USD","Period=FQ","BEST_FPERIOD_OVERRIDE=FQ","FILING_STATUS=MR","Sort=A","Dates=H","DateFormat=P","Fill=—","Direction=H","UseDPDF=Y")</f>
        <v>504.2833</v>
      </c>
      <c r="F34" s="14">
        <f>_xll.BDH("BLUE US Equity","PX_LOW","FQ2 2020","FQ2 2020","Currency=USD","Period=FQ","BEST_FPERIOD_OVERRIDE=FQ","FILING_STATUS=MR","Sort=A","Dates=H","DateFormat=P","Fill=—","Direction=H","UseDPDF=Y")</f>
        <v>535.57870000000003</v>
      </c>
      <c r="G34" s="14">
        <f>_xll.BDH("BLUE US Equity","PX_LOW","FQ3 2020","FQ3 2020","Currency=USD","Period=FQ","BEST_FPERIOD_OVERRIDE=FQ","FILING_STATUS=MR","Sort=A","Dates=H","DateFormat=P","Fill=—","Direction=H","UseDPDF=Y")</f>
        <v>683.85739999999998</v>
      </c>
      <c r="H34" s="14">
        <f>_xll.BDH("BLUE US Equity","PX_LOW","FQ4 2020","FQ4 2020","Currency=USD","Period=FQ","BEST_FPERIOD_OVERRIDE=FQ","FILING_STATUS=MR","Sort=A","Dates=H","DateFormat=P","Fill=—","Direction=H","UseDPDF=Y")</f>
        <v>537.298</v>
      </c>
      <c r="I34" s="14">
        <f>_xll.BDH("BLUE US Equity","PX_LOW","FQ1 2021","FQ1 2021","Currency=USD","Period=FQ","BEST_FPERIOD_OVERRIDE=FQ","FILING_STATUS=MR","Sort=A","Dates=H","DateFormat=P","Fill=—","Direction=H","UseDPDF=Y")</f>
        <v>313.8338</v>
      </c>
      <c r="J34" s="14">
        <f>_xll.BDH("BLUE US Equity","PX_LOW","FQ2 2021","FQ2 2021","Currency=USD","Period=FQ","BEST_FPERIOD_OVERRIDE=FQ","FILING_STATUS=MR","Sort=A","Dates=H","DateFormat=P","Fill=—","Direction=H","UseDPDF=Y")</f>
        <v>346.20119999999997</v>
      </c>
      <c r="K34" s="14">
        <f>_xll.BDH("BLUE US Equity","PX_LOW","FQ3 2021","FQ3 2021","Currency=USD","Period=FQ","BEST_FPERIOD_OVERRIDE=FQ","FILING_STATUS=MR","Sort=A","Dates=H","DateFormat=P","Fill=—","Direction=H","UseDPDF=Y")</f>
        <v>221.91059999999999</v>
      </c>
      <c r="L34" s="14">
        <f>_xll.BDH("BLUE US Equity","PX_LOW","FQ4 2021","FQ4 2021","Currency=USD","Period=FQ","BEST_FPERIOD_OVERRIDE=FQ","FILING_STATUS=MR","Sort=A","Dates=H","DateFormat=P","Fill=—","Direction=H","UseDPDF=Y")</f>
        <v>162.4</v>
      </c>
      <c r="M34" s="14">
        <f>_xll.BDH("BLUE US Equity","PX_LOW","FQ1 2022","FQ1 2022","Currency=USD","Period=FQ","BEST_FPERIOD_OVERRIDE=FQ","FILING_STATUS=MR","Sort=A","Dates=H","DateFormat=P","Fill=—","Direction=H","UseDPDF=Y")</f>
        <v>80.8</v>
      </c>
      <c r="N34" s="14">
        <f>_xll.BDH("BLUE US Equity","PX_LOW","FQ2 2022","FQ2 2022","Currency=USD","Period=FQ","BEST_FPERIOD_OVERRIDE=FQ","FILING_STATUS=MR","Sort=A","Dates=H","DateFormat=P","Fill=—","Direction=H","UseDPDF=Y")</f>
        <v>57.3</v>
      </c>
      <c r="O34" s="14">
        <f>_xll.BDH("BLUE US Equity","PX_LOW","FQ3 2022","FQ3 2022","Currency=USD","Period=FQ","BEST_FPERIOD_OVERRIDE=FQ","FILING_STATUS=MR","Sort=A","Dates=H","DateFormat=P","Fill=—","Direction=H","UseDPDF=Y")</f>
        <v>74.8</v>
      </c>
      <c r="P34" s="14">
        <f>_xll.BDH("BLUE US Equity","PX_LOW","FQ4 2022","FQ4 2022","Currency=USD","Period=FQ","BEST_FPERIOD_OVERRIDE=FQ","FILING_STATUS=MR","Sort=A","Dates=H","DateFormat=P","Fill=—","Direction=H","UseDPDF=Y")</f>
        <v>111</v>
      </c>
      <c r="Q34" s="14">
        <f>_xll.BDH("BLUE US Equity","PX_LOW","FQ1 2023","FQ1 2023","Currency=USD","Period=FQ","BEST_FPERIOD_OVERRIDE=FQ","FILING_STATUS=MR","Sort=A","Dates=H","DateFormat=P","Fill=—","Direction=H","UseDPDF=Y")</f>
        <v>59</v>
      </c>
      <c r="R34" s="14">
        <f>_xll.BDH("BLUE US Equity","PX_LOW","FQ2 2023","FQ2 2023","Currency=USD","Period=FQ","BEST_FPERIOD_OVERRIDE=FQ","FILING_STATUS=MR","Sort=A","Dates=H","DateFormat=P","Fill=—","Direction=H","UseDPDF=Y")</f>
        <v>55.6</v>
      </c>
      <c r="S34" s="14">
        <f>_xll.BDH("BLUE US Equity","PX_LOW","FQ3 2023","FQ3 2023","Currency=USD","Period=FQ","BEST_FPERIOD_OVERRIDE=FQ","FILING_STATUS=MR","Sort=A","Dates=H","DateFormat=P","Fill=—","Direction=H","UseDPDF=Y")</f>
        <v>58.4</v>
      </c>
      <c r="T34" s="14">
        <f>_xll.BDH("BLUE US Equity","PX_LOW","FQ4 2023","FQ4 2023","Currency=USD","Period=FQ","BEST_FPERIOD_OVERRIDE=FQ","FILING_STATUS=MR","Sort=A","Dates=H","DateFormat=P","Fill=—","Direction=H","UseDPDF=Y")</f>
        <v>25.2</v>
      </c>
      <c r="U34" s="14">
        <f>_xll.BDH("BLUE US Equity","PX_LOW","FQ1 2024","FQ1 2024","Currency=USD","Period=FQ","BEST_FPERIOD_OVERRIDE=FQ","FILING_STATUS=MR","Sort=A","Dates=H","DateFormat=P","Fill=—","Direction=H","UseDPDF=Y")</f>
        <v>17.579999999999998</v>
      </c>
      <c r="V34" s="14">
        <f>_xll.BDH("BLUE US Equity","PX_LOW","FQ2 2024","FQ2 2024","Currency=USD","Period=FQ","BEST_FPERIOD_OVERRIDE=FQ","FILING_STATUS=MR","Sort=A","Dates=H","DateFormat=P","Fill=—","Direction=H","UseDPDF=Y")</f>
        <v>16.899999999999999</v>
      </c>
      <c r="W34" s="14">
        <f>_xll.BDH("BLUE US Equity","PX_LOW","FQ3 2024","FQ3 2024","Currency=USD","Period=FQ","BEST_FPERIOD_OVERRIDE=FQ","FILING_STATUS=MR","Sort=A","Dates=H","DateFormat=P","Fill=—","Direction=H","UseDPDF=Y")</f>
        <v>9.15</v>
      </c>
      <c r="X34" s="14">
        <f>_xll.BDH("BLUE US Equity","PX_LOW","FQ4 2024","FQ4 2024","Currency=USD","Period=FQ","BEST_FPERIOD_OVERRIDE=FQ","FILING_STATUS=MR","Sort=A","Dates=H","DateFormat=P","Fill=—","Direction=H","UseDPDF=Y")</f>
        <v>5.8</v>
      </c>
      <c r="Y34" s="17">
        <v>3.71000003814697</v>
      </c>
      <c r="Z34" s="14"/>
      <c r="AA34" s="14"/>
    </row>
    <row r="35" spans="1:27" x14ac:dyDescent="0.25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21"/>
      <c r="Z35" s="18"/>
      <c r="AA35" s="18"/>
    </row>
    <row r="36" spans="1:27" x14ac:dyDescent="0.25">
      <c r="A36" s="6" t="s">
        <v>67</v>
      </c>
      <c r="B36" s="6" t="s">
        <v>68</v>
      </c>
      <c r="C36" s="19">
        <f>_xll.BDH("BLUE US Equity","ENTERPRISE_VALUE","FQ3 2019","FQ3 2019","Currency=USD","Period=FQ","BEST_FPERIOD_OVERRIDE=FQ","FILING_STATUS=MR","SCALING_FORMAT=MLN","Sort=A","Dates=H","DateFormat=P","Fill=—","Direction=H","UseDPDF=Y")</f>
        <v>3869.5524</v>
      </c>
      <c r="D36" s="19">
        <f>_xll.BDH("BLUE US Equity","ENTERPRISE_VALUE","FQ4 2019","FQ4 2019","Currency=USD","Period=FQ","BEST_FPERIOD_OVERRIDE=FQ","FILING_STATUS=MR","SCALING_FORMAT=MLN","Sort=A","Dates=H","DateFormat=P","Fill=—","Direction=H","UseDPDF=Y")</f>
        <v>3811.5630000000001</v>
      </c>
      <c r="E36" s="19">
        <f>_xll.BDH("BLUE US Equity","ENTERPRISE_VALUE","FQ1 2020","FQ1 2020","Currency=USD","Period=FQ","BEST_FPERIOD_OVERRIDE=FQ","FILING_STATUS=MR","SCALING_FORMAT=MLN","Sort=A","Dates=H","DateFormat=P","Fill=—","Direction=H","UseDPDF=Y")</f>
        <v>1738.2801999999999</v>
      </c>
      <c r="F36" s="19">
        <f>_xll.BDH("BLUE US Equity","ENTERPRISE_VALUE","FQ2 2020","FQ2 2020","Currency=USD","Period=FQ","BEST_FPERIOD_OVERRIDE=FQ","FILING_STATUS=MR","SCALING_FORMAT=MLN","Sort=A","Dates=H","DateFormat=P","Fill=—","Direction=H","UseDPDF=Y")</f>
        <v>2637.3298</v>
      </c>
      <c r="G36" s="19">
        <f>_xll.BDH("BLUE US Equity","ENTERPRISE_VALUE","FQ3 2020","FQ3 2020","Currency=USD","Period=FQ","BEST_FPERIOD_OVERRIDE=FQ","FILING_STATUS=MR","SCALING_FORMAT=MLN","Sort=A","Dates=H","DateFormat=P","Fill=—","Direction=H","UseDPDF=Y")</f>
        <v>2336.4121</v>
      </c>
      <c r="H36" s="19">
        <f>_xll.BDH("BLUE US Equity","ENTERPRISE_VALUE","FQ4 2020","FQ4 2020","Currency=USD","Period=FQ","BEST_FPERIOD_OVERRIDE=FQ","FILING_STATUS=MR","SCALING_FORMAT=MLN","Sort=A","Dates=H","DateFormat=P","Fill=—","Direction=H","UseDPDF=Y")</f>
        <v>2198.2575999999999</v>
      </c>
      <c r="I36" s="19">
        <f>_xll.BDH("BLUE US Equity","ENTERPRISE_VALUE","FQ1 2021","FQ1 2021","Currency=USD","Period=FQ","BEST_FPERIOD_OVERRIDE=FQ","FILING_STATUS=MR","SCALING_FORMAT=MLN","Sort=A","Dates=H","DateFormat=P","Fill=—","Direction=H","UseDPDF=Y")</f>
        <v>1144.9873</v>
      </c>
      <c r="J36" s="19">
        <f>_xll.BDH("BLUE US Equity","ENTERPRISE_VALUE","FQ2 2021","FQ2 2021","Currency=USD","Period=FQ","BEST_FPERIOD_OVERRIDE=FQ","FILING_STATUS=MR","SCALING_FORMAT=MLN","Sort=A","Dates=H","DateFormat=P","Fill=—","Direction=H","UseDPDF=Y")</f>
        <v>1417.2550000000001</v>
      </c>
      <c r="K36" s="19">
        <f>_xll.BDH("BLUE US Equity","ENTERPRISE_VALUE","FQ3 2021","FQ3 2021","Currency=USD","Period=FQ","BEST_FPERIOD_OVERRIDE=FQ","FILING_STATUS=MR","SCALING_FORMAT=MLN","Sort=A","Dates=H","DateFormat=P","Fill=—","Direction=H","UseDPDF=Y")</f>
        <v>550.39070000000004</v>
      </c>
      <c r="L36" s="19">
        <f>_xll.BDH("BLUE US Equity","ENTERPRISE_VALUE","FQ4 2021","FQ4 2021","Currency=USD","Period=FQ","BEST_FPERIOD_OVERRIDE=FQ","FILING_STATUS=MR","SCALING_FORMAT=MLN","Sort=A","Dates=H","DateFormat=P","Fill=—","Direction=H","UseDPDF=Y")</f>
        <v>403.40589999999997</v>
      </c>
      <c r="M36" s="19">
        <f>_xll.BDH("BLUE US Equity","ENTERPRISE_VALUE","FQ1 2022","FQ1 2022","Currency=USD","Period=FQ","BEST_FPERIOD_OVERRIDE=FQ","FILING_STATUS=MR","SCALING_FORMAT=MLN","Sort=A","Dates=H","DateFormat=P","Fill=—","Direction=H","UseDPDF=Y")</f>
        <v>190.17529999999999</v>
      </c>
      <c r="N36" s="19">
        <f>_xll.BDH("BLUE US Equity","ENTERPRISE_VALUE","FQ2 2022","FQ2 2022","Currency=USD","Period=FQ","BEST_FPERIOD_OVERRIDE=FQ","FILING_STATUS=MR","SCALING_FORMAT=MLN","Sort=A","Dates=H","DateFormat=P","Fill=—","Direction=H","UseDPDF=Y")</f>
        <v>424.31909999999999</v>
      </c>
      <c r="O36" s="19">
        <f>_xll.BDH("BLUE US Equity","ENTERPRISE_VALUE","FQ3 2022","FQ3 2022","Currency=USD","Period=FQ","BEST_FPERIOD_OVERRIDE=FQ","FILING_STATUS=MR","SCALING_FORMAT=MLN","Sort=A","Dates=H","DateFormat=P","Fill=—","Direction=H","UseDPDF=Y")</f>
        <v>661.80340000000001</v>
      </c>
      <c r="P36" s="19">
        <f>_xll.BDH("BLUE US Equity","ENTERPRISE_VALUE","FQ4 2022","FQ4 2022","Currency=USD","Period=FQ","BEST_FPERIOD_OVERRIDE=FQ","FILING_STATUS=MR","SCALING_FORMAT=MLN","Sort=A","Dates=H","DateFormat=P","Fill=—","Direction=H","UseDPDF=Y")</f>
        <v>759.14419999999996</v>
      </c>
      <c r="Q36" s="19">
        <f>_xll.BDH("BLUE US Equity","ENTERPRISE_VALUE","FQ1 2023","FQ1 2023","Currency=USD","Period=FQ","BEST_FPERIOD_OVERRIDE=FQ","FILING_STATUS=MR","SCALING_FORMAT=MLN","Sort=A","Dates=H","DateFormat=P","Fill=—","Direction=H","UseDPDF=Y")</f>
        <v>293.37459999999999</v>
      </c>
      <c r="R36" s="19">
        <f>_xll.BDH("BLUE US Equity","ENTERPRISE_VALUE","FQ2 2023","FQ2 2023","Currency=USD","Period=FQ","BEST_FPERIOD_OVERRIDE=FQ","FILING_STATUS=MR","SCALING_FORMAT=MLN","Sort=A","Dates=H","DateFormat=P","Fill=—","Direction=H","UseDPDF=Y")</f>
        <v>411.78769999999997</v>
      </c>
      <c r="S36" s="19">
        <f>_xll.BDH("BLUE US Equity","ENTERPRISE_VALUE","FQ3 2023","FQ3 2023","Currency=USD","Period=FQ","BEST_FPERIOD_OVERRIDE=FQ","FILING_STATUS=MR","SCALING_FORMAT=MLN","Sort=A","Dates=H","DateFormat=P","Fill=—","Direction=H","UseDPDF=Y")</f>
        <v>454.76089999999999</v>
      </c>
      <c r="T36" s="19">
        <f>_xll.BDH("BLUE US Equity","ENTERPRISE_VALUE","FQ4 2023","FQ4 2023","Currency=USD","Period=FQ","BEST_FPERIOD_OVERRIDE=FQ","FILING_STATUS=MR","SCALING_FORMAT=MLN","Sort=A","Dates=H","DateFormat=P","Fill=—","Direction=H","UseDPDF=Y")</f>
        <v>374.59640000000002</v>
      </c>
      <c r="U36" s="19">
        <f>_xll.BDH("BLUE US Equity","ENTERPRISE_VALUE","FQ1 2024","FQ1 2024","Currency=USD","Period=FQ","BEST_FPERIOD_OVERRIDE=FQ","FILING_STATUS=MR","SCALING_FORMAT=MLN","Sort=A","Dates=H","DateFormat=P","Fill=—","Direction=H","UseDPDF=Y")</f>
        <v>450.08120000000002</v>
      </c>
      <c r="V36" s="19">
        <f>_xll.BDH("BLUE US Equity","ENTERPRISE_VALUE","FQ2 2024","FQ2 2024","Currency=USD","Period=FQ","BEST_FPERIOD_OVERRIDE=FQ","FILING_STATUS=MR","SCALING_FORMAT=MLN","Sort=A","Dates=H","DateFormat=P","Fill=—","Direction=H","UseDPDF=Y")</f>
        <v>437.14609999999999</v>
      </c>
      <c r="W36" s="19">
        <f>_xll.BDH("BLUE US Equity","ENTERPRISE_VALUE","FQ3 2024","FQ3 2024","Currency=USD","Period=FQ","BEST_FPERIOD_OVERRIDE=FQ","FILING_STATUS=MR","SCALING_FORMAT=MLN","Sort=A","Dates=H","DateFormat=P","Fill=—","Direction=H","UseDPDF=Y")</f>
        <v>395.11189999999999</v>
      </c>
      <c r="X36" s="19">
        <f>_xll.BDH("BLUE US Equity","ENTERPRISE_VALUE","FQ4 2024","FQ4 2024","Currency=USD","Period=FQ","BEST_FPERIOD_OVERRIDE=FQ","FILING_STATUS=MR","SCALING_FORMAT=MLN","Sort=A","Dates=H","DateFormat=P","Fill=—","Direction=H","UseDPDF=Y")</f>
        <v>373.69450000000001</v>
      </c>
      <c r="Y36" s="22">
        <v>329.5694646</v>
      </c>
      <c r="Z36" s="19"/>
      <c r="AA36" s="19"/>
    </row>
    <row r="37" spans="1:27" x14ac:dyDescent="0.25">
      <c r="A37" s="10" t="s">
        <v>198</v>
      </c>
      <c r="B37" s="10" t="s">
        <v>221</v>
      </c>
      <c r="C37" s="13">
        <f>_xll.BDH("BLUE US Equity","AVERAGE_ENTERPRISE_VALUE","FQ3 2019","FQ3 2019","Currency=USD","Period=FQ","BEST_FPERIOD_OVERRIDE=FQ","FILING_STATUS=MR","SCALING_FORMAT=MLN","Sort=A","Dates=H","DateFormat=P","Fill=—","Direction=H","UseDPDF=Y")</f>
        <v>5163.3581999999997</v>
      </c>
      <c r="D37" s="13">
        <f>_xll.BDH("BLUE US Equity","AVERAGE_ENTERPRISE_VALUE","FQ4 2019","FQ4 2019","Currency=USD","Period=FQ","BEST_FPERIOD_OVERRIDE=FQ","FILING_STATUS=MR","SCALING_FORMAT=MLN","Sort=A","Dates=H","DateFormat=P","Fill=—","Direction=H","UseDPDF=Y")</f>
        <v>3433.9976999999999</v>
      </c>
      <c r="E37" s="13">
        <f>_xll.BDH("BLUE US Equity","AVERAGE_ENTERPRISE_VALUE","FQ1 2020","FQ1 2020","Currency=USD","Period=FQ","BEST_FPERIOD_OVERRIDE=FQ","FILING_STATUS=MR","SCALING_FORMAT=MLN","Sort=A","Dates=H","DateFormat=P","Fill=—","Direction=H","UseDPDF=Y")</f>
        <v>3128.0981000000002</v>
      </c>
      <c r="F37" s="13">
        <f>_xll.BDH("BLUE US Equity","AVERAGE_ENTERPRISE_VALUE","FQ2 2020","FQ2 2020","Currency=USD","Period=FQ","BEST_FPERIOD_OVERRIDE=FQ","FILING_STATUS=MR","SCALING_FORMAT=MLN","Sort=A","Dates=H","DateFormat=P","Fill=—","Direction=H","UseDPDF=Y")</f>
        <v>2729.4946</v>
      </c>
      <c r="G37" s="13">
        <f>_xll.BDH("BLUE US Equity","AVERAGE_ENTERPRISE_VALUE","FQ3 2020","FQ3 2020","Currency=USD","Period=FQ","BEST_FPERIOD_OVERRIDE=FQ","FILING_STATUS=MR","SCALING_FORMAT=MLN","Sort=A","Dates=H","DateFormat=P","Fill=—","Direction=H","UseDPDF=Y")</f>
        <v>2582.7516000000001</v>
      </c>
      <c r="H37" s="13">
        <f>_xll.BDH("BLUE US Equity","AVERAGE_ENTERPRISE_VALUE","FQ4 2020","FQ4 2020","Currency=USD","Period=FQ","BEST_FPERIOD_OVERRIDE=FQ","FILING_STATUS=MR","SCALING_FORMAT=MLN","Sort=A","Dates=H","DateFormat=P","Fill=—","Direction=H","UseDPDF=Y")</f>
        <v>2010.5477000000001</v>
      </c>
      <c r="I37" s="13">
        <f>_xll.BDH("BLUE US Equity","AVERAGE_ENTERPRISE_VALUE","FQ1 2021","FQ1 2021","Currency=USD","Period=FQ","BEST_FPERIOD_OVERRIDE=FQ","FILING_STATUS=MR","SCALING_FORMAT=MLN","Sort=A","Dates=H","DateFormat=P","Fill=—","Direction=H","UseDPDF=Y")</f>
        <v>1853.6287</v>
      </c>
      <c r="J37" s="13">
        <f>_xll.BDH("BLUE US Equity","AVERAGE_ENTERPRISE_VALUE","FQ2 2021","FQ2 2021","Currency=USD","Period=FQ","BEST_FPERIOD_OVERRIDE=FQ","FILING_STATUS=MR","SCALING_FORMAT=MLN","Sort=A","Dates=H","DateFormat=P","Fill=—","Direction=H","UseDPDF=Y")</f>
        <v>1174.4861000000001</v>
      </c>
      <c r="K37" s="13">
        <f>_xll.BDH("BLUE US Equity","AVERAGE_ENTERPRISE_VALUE","FQ3 2021","FQ3 2021","Currency=USD","Period=FQ","BEST_FPERIOD_OVERRIDE=FQ","FILING_STATUS=MR","SCALING_FORMAT=MLN","Sort=A","Dates=H","DateFormat=P","Fill=—","Direction=H","UseDPDF=Y")</f>
        <v>746.17899999999997</v>
      </c>
      <c r="L37" s="13">
        <f>_xll.BDH("BLUE US Equity","AVERAGE_ENTERPRISE_VALUE","FQ4 2021","FQ4 2021","Currency=USD","Period=FQ","BEST_FPERIOD_OVERRIDE=FQ","FILING_STATUS=MR","SCALING_FORMAT=MLN","Sort=A","Dates=H","DateFormat=P","Fill=—","Direction=H","UseDPDF=Y")</f>
        <v>228.71510000000001</v>
      </c>
      <c r="M37" s="13">
        <f>_xll.BDH("BLUE US Equity","AVERAGE_ENTERPRISE_VALUE","FQ1 2022","FQ1 2022","Currency=USD","Period=FQ","BEST_FPERIOD_OVERRIDE=FQ","FILING_STATUS=MR","SCALING_FORMAT=MLN","Sort=A","Dates=H","DateFormat=P","Fill=—","Direction=H","UseDPDF=Y")</f>
        <v>160.0213</v>
      </c>
      <c r="N37" s="13">
        <f>_xll.BDH("BLUE US Equity","AVERAGE_ENTERPRISE_VALUE","FQ2 2022","FQ2 2022","Currency=USD","Period=FQ","BEST_FPERIOD_OVERRIDE=FQ","FILING_STATUS=MR","SCALING_FORMAT=MLN","Sort=A","Dates=H","DateFormat=P","Fill=—","Direction=H","UseDPDF=Y")</f>
        <v>124.84529999999999</v>
      </c>
      <c r="O37" s="13">
        <f>_xll.BDH("BLUE US Equity","AVERAGE_ENTERPRISE_VALUE","FQ3 2022","FQ3 2022","Currency=USD","Period=FQ","BEST_FPERIOD_OVERRIDE=FQ","FILING_STATUS=MR","SCALING_FORMAT=MLN","Sort=A","Dates=H","DateFormat=P","Fill=—","Direction=H","UseDPDF=Y")</f>
        <v>546.86159999999995</v>
      </c>
      <c r="P37" s="13">
        <f>_xll.BDH("BLUE US Equity","AVERAGE_ENTERPRISE_VALUE","FQ4 2022","FQ4 2022","Currency=USD","Period=FQ","BEST_FPERIOD_OVERRIDE=FQ","FILING_STATUS=MR","SCALING_FORMAT=MLN","Sort=A","Dates=H","DateFormat=P","Fill=—","Direction=H","UseDPDF=Y")</f>
        <v>707.18200000000002</v>
      </c>
      <c r="Q37" s="13">
        <f>_xll.BDH("BLUE US Equity","AVERAGE_ENTERPRISE_VALUE","FQ1 2023","FQ1 2023","Currency=USD","Period=FQ","BEST_FPERIOD_OVERRIDE=FQ","FILING_STATUS=MR","SCALING_FORMAT=MLN","Sort=A","Dates=H","DateFormat=P","Fill=—","Direction=H","UseDPDF=Y")</f>
        <v>755.07669999999996</v>
      </c>
      <c r="R37" s="13">
        <f>_xll.BDH("BLUE US Equity","AVERAGE_ENTERPRISE_VALUE","FQ2 2023","FQ2 2023","Currency=USD","Period=FQ","BEST_FPERIOD_OVERRIDE=FQ","FILING_STATUS=MR","SCALING_FORMAT=MLN","Sort=A","Dates=H","DateFormat=P","Fill=—","Direction=H","UseDPDF=Y")</f>
        <v>346.03190000000001</v>
      </c>
      <c r="S37" s="13">
        <f>_xll.BDH("BLUE US Equity","AVERAGE_ENTERPRISE_VALUE","FQ3 2023","FQ3 2023","Currency=USD","Period=FQ","BEST_FPERIOD_OVERRIDE=FQ","FILING_STATUS=MR","SCALING_FORMAT=MLN","Sort=A","Dates=H","DateFormat=P","Fill=—","Direction=H","UseDPDF=Y")</f>
        <v>437.48230000000001</v>
      </c>
      <c r="T37" s="13">
        <f>_xll.BDH("BLUE US Equity","AVERAGE_ENTERPRISE_VALUE","FQ4 2023","FQ4 2023","Currency=USD","Period=FQ","BEST_FPERIOD_OVERRIDE=FQ","FILING_STATUS=MR","SCALING_FORMAT=MLN","Sort=A","Dates=H","DateFormat=P","Fill=—","Direction=H","UseDPDF=Y")</f>
        <v>471.87049999999999</v>
      </c>
      <c r="U37" s="13">
        <f>_xll.BDH("BLUE US Equity","AVERAGE_ENTERPRISE_VALUE","FQ1 2024","FQ1 2024","Currency=USD","Period=FQ","BEST_FPERIOD_OVERRIDE=FQ","FILING_STATUS=MR","SCALING_FORMAT=MLN","Sort=A","Dates=H","DateFormat=P","Fill=—","Direction=H","UseDPDF=Y")</f>
        <v>353.99119999999999</v>
      </c>
      <c r="V37" s="13">
        <f>_xll.BDH("BLUE US Equity","AVERAGE_ENTERPRISE_VALUE","FQ2 2024","FQ2 2024","Currency=USD","Period=FQ","BEST_FPERIOD_OVERRIDE=FQ","FILING_STATUS=MR","SCALING_FORMAT=MLN","Sort=A","Dates=H","DateFormat=P","Fill=—","Direction=H","UseDPDF=Y")</f>
        <v>393.6628</v>
      </c>
      <c r="W37" s="13">
        <f>_xll.BDH("BLUE US Equity","AVERAGE_ENTERPRISE_VALUE","FQ3 2024","FQ3 2024","Currency=USD","Period=FQ","BEST_FPERIOD_OVERRIDE=FQ","FILING_STATUS=MR","SCALING_FORMAT=MLN","Sort=A","Dates=H","DateFormat=P","Fill=—","Direction=H","UseDPDF=Y")</f>
        <v>405.66840000000002</v>
      </c>
      <c r="X37" s="13">
        <f>_xll.BDH("BLUE US Equity","AVERAGE_ENTERPRISE_VALUE","FQ4 2024","FQ4 2024","Currency=USD","Period=FQ","BEST_FPERIOD_OVERRIDE=FQ","FILING_STATUS=MR","SCALING_FORMAT=MLN","Sort=A","Dates=H","DateFormat=P","Fill=—","Direction=H","UseDPDF=Y")</f>
        <v>379.18650000000002</v>
      </c>
      <c r="Y37" s="16"/>
      <c r="Z37" s="13"/>
      <c r="AA37" s="13"/>
    </row>
    <row r="38" spans="1:27" x14ac:dyDescent="0.25">
      <c r="A38" s="10" t="s">
        <v>200</v>
      </c>
      <c r="B38" s="10" t="s">
        <v>222</v>
      </c>
      <c r="C38" s="13">
        <f>_xll.BDH("BLUE US Equity","HIGH_ENTERPRISE_VALUE","FQ3 2019","FQ3 2019","Currency=USD","Period=FQ","BEST_FPERIOD_OVERRIDE=FQ","FILING_STATUS=MR","SCALING_FORMAT=MLN","Sort=A","Dates=H","DateFormat=P","Fill=—","Direction=H","UseDPDF=Y")</f>
        <v>6575.8368</v>
      </c>
      <c r="D38" s="13">
        <f>_xll.BDH("BLUE US Equity","HIGH_ENTERPRISE_VALUE","FQ4 2019","FQ4 2019","Currency=USD","Period=FQ","BEST_FPERIOD_OVERRIDE=FQ","FILING_STATUS=MR","SCALING_FORMAT=MLN","Sort=A","Dates=H","DateFormat=P","Fill=—","Direction=H","UseDPDF=Y")</f>
        <v>4058.6878000000002</v>
      </c>
      <c r="E38" s="13">
        <f>_xll.BDH("BLUE US Equity","HIGH_ENTERPRISE_VALUE","FQ1 2020","FQ1 2020","Currency=USD","Period=FQ","BEST_FPERIOD_OVERRIDE=FQ","FILING_STATUS=MR","SCALING_FORMAT=MLN","Sort=A","Dates=H","DateFormat=P","Fill=—","Direction=H","UseDPDF=Y")</f>
        <v>4377.6722</v>
      </c>
      <c r="F38" s="13">
        <f>_xll.BDH("BLUE US Equity","HIGH_ENTERPRISE_VALUE","FQ2 2020","FQ2 2020","Currency=USD","Period=FQ","BEST_FPERIOD_OVERRIDE=FQ","FILING_STATUS=MR","SCALING_FORMAT=MLN","Sort=A","Dates=H","DateFormat=P","Fill=—","Direction=H","UseDPDF=Y")</f>
        <v>3871.9513999999999</v>
      </c>
      <c r="G38" s="13">
        <f>_xll.BDH("BLUE US Equity","HIGH_ENTERPRISE_VALUE","FQ3 2020","FQ3 2020","Currency=USD","Period=FQ","BEST_FPERIOD_OVERRIDE=FQ","FILING_STATUS=MR","SCALING_FORMAT=MLN","Sort=A","Dates=H","DateFormat=P","Fill=—","Direction=H","UseDPDF=Y")</f>
        <v>3060.0569999999998</v>
      </c>
      <c r="H38" s="13">
        <f>_xll.BDH("BLUE US Equity","HIGH_ENTERPRISE_VALUE","FQ4 2020","FQ4 2020","Currency=USD","Period=FQ","BEST_FPERIOD_OVERRIDE=FQ","FILING_STATUS=MR","SCALING_FORMAT=MLN","Sort=A","Dates=H","DateFormat=P","Fill=—","Direction=H","UseDPDF=Y")</f>
        <v>2643.5808999999999</v>
      </c>
      <c r="I38" s="13">
        <f>_xll.BDH("BLUE US Equity","HIGH_ENTERPRISE_VALUE","FQ1 2021","FQ1 2021","Currency=USD","Period=FQ","BEST_FPERIOD_OVERRIDE=FQ","FILING_STATUS=MR","SCALING_FORMAT=MLN","Sort=A","Dates=H","DateFormat=P","Fill=—","Direction=H","UseDPDF=Y")</f>
        <v>2797.0608000000002</v>
      </c>
      <c r="J38" s="13">
        <f>_xll.BDH("BLUE US Equity","HIGH_ENTERPRISE_VALUE","FQ2 2021","FQ2 2021","Currency=USD","Period=FQ","BEST_FPERIOD_OVERRIDE=FQ","FILING_STATUS=MR","SCALING_FORMAT=MLN","Sort=A","Dates=H","DateFormat=P","Fill=—","Direction=H","UseDPDF=Y")</f>
        <v>1413.9466</v>
      </c>
      <c r="K38" s="13">
        <f>_xll.BDH("BLUE US Equity","HIGH_ENTERPRISE_VALUE","FQ3 2021","FQ3 2021","Currency=USD","Period=FQ","BEST_FPERIOD_OVERRIDE=FQ","FILING_STATUS=MR","SCALING_FORMAT=MLN","Sort=A","Dates=H","DateFormat=P","Fill=—","Direction=H","UseDPDF=Y")</f>
        <v>1443.6234999999999</v>
      </c>
      <c r="L38" s="13">
        <f>_xll.BDH("BLUE US Equity","HIGH_ENTERPRISE_VALUE","FQ4 2021","FQ4 2021","Currency=USD","Period=FQ","BEST_FPERIOD_OVERRIDE=FQ","FILING_STATUS=MR","SCALING_FORMAT=MLN","Sort=A","Dates=H","DateFormat=P","Fill=—","Direction=H","UseDPDF=Y")</f>
        <v>913.14059999999995</v>
      </c>
      <c r="M38" s="13">
        <f>_xll.BDH("BLUE US Equity","HIGH_ENTERPRISE_VALUE","FQ1 2022","FQ1 2022","Currency=USD","Period=FQ","BEST_FPERIOD_OVERRIDE=FQ","FILING_STATUS=MR","SCALING_FORMAT=MLN","Sort=A","Dates=H","DateFormat=P","Fill=—","Direction=H","UseDPDF=Y")</f>
        <v>436.10399999999998</v>
      </c>
      <c r="N38" s="13">
        <f>_xll.BDH("BLUE US Equity","HIGH_ENTERPRISE_VALUE","FQ2 2022","FQ2 2022","Currency=USD","Period=FQ","BEST_FPERIOD_OVERRIDE=FQ","FILING_STATUS=MR","SCALING_FORMAT=MLN","Sort=A","Dates=H","DateFormat=P","Fill=—","Direction=H","UseDPDF=Y")</f>
        <v>415.63650000000001</v>
      </c>
      <c r="O38" s="13">
        <f>_xll.BDH("BLUE US Equity","HIGH_ENTERPRISE_VALUE","FQ3 2022","FQ3 2022","Currency=USD","Period=FQ","BEST_FPERIOD_OVERRIDE=FQ","FILING_STATUS=MR","SCALING_FORMAT=MLN","Sort=A","Dates=H","DateFormat=P","Fill=—","Direction=H","UseDPDF=Y")</f>
        <v>683.57799999999997</v>
      </c>
      <c r="P38" s="13">
        <f>_xll.BDH("BLUE US Equity","HIGH_ENTERPRISE_VALUE","FQ4 2022","FQ4 2022","Currency=USD","Period=FQ","BEST_FPERIOD_OVERRIDE=FQ","FILING_STATUS=MR","SCALING_FORMAT=MLN","Sort=A","Dates=H","DateFormat=P","Fill=—","Direction=H","UseDPDF=Y")</f>
        <v>841.07870000000003</v>
      </c>
      <c r="Q38" s="13">
        <f>_xll.BDH("BLUE US Equity","HIGH_ENTERPRISE_VALUE","FQ1 2023","FQ1 2023","Currency=USD","Period=FQ","BEST_FPERIOD_OVERRIDE=FQ","FILING_STATUS=MR","SCALING_FORMAT=MLN","Sort=A","Dates=H","DateFormat=P","Fill=—","Direction=H","UseDPDF=Y")</f>
        <v>893.94389999999999</v>
      </c>
      <c r="R38" s="13">
        <f>_xll.BDH("BLUE US Equity","HIGH_ENTERPRISE_VALUE","FQ2 2023","FQ2 2023","Currency=USD","Period=FQ","BEST_FPERIOD_OVERRIDE=FQ","FILING_STATUS=MR","SCALING_FORMAT=MLN","Sort=A","Dates=H","DateFormat=P","Fill=—","Direction=H","UseDPDF=Y")</f>
        <v>490.37040000000002</v>
      </c>
      <c r="S38" s="13">
        <f>_xll.BDH("BLUE US Equity","HIGH_ENTERPRISE_VALUE","FQ3 2023","FQ3 2023","Currency=USD","Period=FQ","BEST_FPERIOD_OVERRIDE=FQ","FILING_STATUS=MR","SCALING_FORMAT=MLN","Sort=A","Dates=H","DateFormat=P","Fill=—","Direction=H","UseDPDF=Y")</f>
        <v>492.52260000000001</v>
      </c>
      <c r="T38" s="13">
        <f>_xll.BDH("BLUE US Equity","HIGH_ENTERPRISE_VALUE","FQ4 2023","FQ4 2023","Currency=USD","Period=FQ","BEST_FPERIOD_OVERRIDE=FQ","FILING_STATUS=MR","SCALING_FORMAT=MLN","Sort=A","Dates=H","DateFormat=P","Fill=—","Direction=H","UseDPDF=Y")</f>
        <v>657.50789999999995</v>
      </c>
      <c r="U38" s="13">
        <f>_xll.BDH("BLUE US Equity","HIGH_ENTERPRISE_VALUE","FQ1 2024","FQ1 2024","Currency=USD","Period=FQ","BEST_FPERIOD_OVERRIDE=FQ","FILING_STATUS=MR","SCALING_FORMAT=MLN","Sort=A","Dates=H","DateFormat=P","Fill=—","Direction=H","UseDPDF=Y")</f>
        <v>445.95</v>
      </c>
      <c r="V38" s="13">
        <f>_xll.BDH("BLUE US Equity","HIGH_ENTERPRISE_VALUE","FQ2 2024","FQ2 2024","Currency=USD","Period=FQ","BEST_FPERIOD_OVERRIDE=FQ","FILING_STATUS=MR","SCALING_FORMAT=MLN","Sort=A","Dates=H","DateFormat=P","Fill=—","Direction=H","UseDPDF=Y")</f>
        <v>442.1429</v>
      </c>
      <c r="W38" s="13">
        <f>_xll.BDH("BLUE US Equity","HIGH_ENTERPRISE_VALUE","FQ3 2024","FQ3 2024","Currency=USD","Period=FQ","BEST_FPERIOD_OVERRIDE=FQ","FILING_STATUS=MR","SCALING_FORMAT=MLN","Sort=A","Dates=H","DateFormat=P","Fill=—","Direction=H","UseDPDF=Y")</f>
        <v>503.3329</v>
      </c>
      <c r="X38" s="13">
        <f>_xll.BDH("BLUE US Equity","HIGH_ENTERPRISE_VALUE","FQ4 2024","FQ4 2024","Currency=USD","Period=FQ","BEST_FPERIOD_OVERRIDE=FQ","FILING_STATUS=MR","SCALING_FORMAT=MLN","Sort=A","Dates=H","DateFormat=P","Fill=—","Direction=H","UseDPDF=Y")</f>
        <v>437.54140000000001</v>
      </c>
      <c r="Y38" s="16"/>
      <c r="Z38" s="13"/>
      <c r="AA38" s="13"/>
    </row>
    <row r="39" spans="1:27" x14ac:dyDescent="0.25">
      <c r="A39" s="10" t="s">
        <v>202</v>
      </c>
      <c r="B39" s="10" t="s">
        <v>223</v>
      </c>
      <c r="C39" s="13">
        <f>_xll.BDH("BLUE US Equity","LOW_ENTERPRISE_VALUE","FQ3 2019","FQ3 2019","Currency=USD","Period=FQ","BEST_FPERIOD_OVERRIDE=FQ","FILING_STATUS=MR","SCALING_FORMAT=MLN","Sort=A","Dates=H","DateFormat=P","Fill=—","Direction=H","UseDPDF=Y")</f>
        <v>3781.9580999999998</v>
      </c>
      <c r="D39" s="13">
        <f>_xll.BDH("BLUE US Equity","LOW_ENTERPRISE_VALUE","FQ4 2019","FQ4 2019","Currency=USD","Period=FQ","BEST_FPERIOD_OVERRIDE=FQ","FILING_STATUS=MR","SCALING_FORMAT=MLN","Sort=A","Dates=H","DateFormat=P","Fill=—","Direction=H","UseDPDF=Y")</f>
        <v>2801.5675000000001</v>
      </c>
      <c r="E39" s="13">
        <f>_xll.BDH("BLUE US Equity","LOW_ENTERPRISE_VALUE","FQ1 2020","FQ1 2020","Currency=USD","Period=FQ","BEST_FPERIOD_OVERRIDE=FQ","FILING_STATUS=MR","SCALING_FORMAT=MLN","Sort=A","Dates=H","DateFormat=P","Fill=—","Direction=H","UseDPDF=Y")</f>
        <v>1199.1721</v>
      </c>
      <c r="F39" s="13">
        <f>_xll.BDH("BLUE US Equity","LOW_ENTERPRISE_VALUE","FQ2 2020","FQ2 2020","Currency=USD","Period=FQ","BEST_FPERIOD_OVERRIDE=FQ","FILING_STATUS=MR","SCALING_FORMAT=MLN","Sort=A","Dates=H","DateFormat=P","Fill=—","Direction=H","UseDPDF=Y")</f>
        <v>1510.9973</v>
      </c>
      <c r="G39" s="13">
        <f>_xll.BDH("BLUE US Equity","LOW_ENTERPRISE_VALUE","FQ3 2020","FQ3 2020","Currency=USD","Period=FQ","BEST_FPERIOD_OVERRIDE=FQ","FILING_STATUS=MR","SCALING_FORMAT=MLN","Sort=A","Dates=H","DateFormat=P","Fill=—","Direction=H","UseDPDF=Y")</f>
        <v>2118.4632999999999</v>
      </c>
      <c r="H39" s="13">
        <f>_xll.BDH("BLUE US Equity","LOW_ENTERPRISE_VALUE","FQ4 2020","FQ4 2020","Currency=USD","Period=FQ","BEST_FPERIOD_OVERRIDE=FQ","FILING_STATUS=MR","SCALING_FORMAT=MLN","Sort=A","Dates=H","DateFormat=P","Fill=—","Direction=H","UseDPDF=Y")</f>
        <v>1575.6342</v>
      </c>
      <c r="I39" s="13">
        <f>_xll.BDH("BLUE US Equity","LOW_ENTERPRISE_VALUE","FQ1 2021","FQ1 2021","Currency=USD","Period=FQ","BEST_FPERIOD_OVERRIDE=FQ","FILING_STATUS=MR","SCALING_FORMAT=MLN","Sort=A","Dates=H","DateFormat=P","Fill=—","Direction=H","UseDPDF=Y")</f>
        <v>1043.8985</v>
      </c>
      <c r="J39" s="13">
        <f>_xll.BDH("BLUE US Equity","LOW_ENTERPRISE_VALUE","FQ2 2021","FQ2 2021","Currency=USD","Period=FQ","BEST_FPERIOD_OVERRIDE=FQ","FILING_STATUS=MR","SCALING_FORMAT=MLN","Sort=A","Dates=H","DateFormat=P","Fill=—","Direction=H","UseDPDF=Y")</f>
        <v>982.76350000000002</v>
      </c>
      <c r="K39" s="13">
        <f>_xll.BDH("BLUE US Equity","LOW_ENTERPRISE_VALUE","FQ3 2021","FQ3 2021","Currency=USD","Period=FQ","BEST_FPERIOD_OVERRIDE=FQ","FILING_STATUS=MR","SCALING_FORMAT=MLN","Sort=A","Dates=H","DateFormat=P","Fill=—","Direction=H","UseDPDF=Y")</f>
        <v>430.13760000000002</v>
      </c>
      <c r="L39" s="13">
        <f>_xll.BDH("BLUE US Equity","LOW_ENTERPRISE_VALUE","FQ4 2021","FQ4 2021","Currency=USD","Period=FQ","BEST_FPERIOD_OVERRIDE=FQ","FILING_STATUS=MR","SCALING_FORMAT=MLN","Sort=A","Dates=H","DateFormat=P","Fill=—","Direction=H","UseDPDF=Y")</f>
        <v>-161.00190000000001</v>
      </c>
      <c r="M39" s="13">
        <f>_xll.BDH("BLUE US Equity","LOW_ENTERPRISE_VALUE","FQ1 2022","FQ1 2022","Currency=USD","Period=FQ","BEST_FPERIOD_OVERRIDE=FQ","FILING_STATUS=MR","SCALING_FORMAT=MLN","Sort=A","Dates=H","DateFormat=P","Fill=—","Direction=H","UseDPDF=Y")</f>
        <v>-16.299600000000002</v>
      </c>
      <c r="N39" s="13">
        <f>_xll.BDH("BLUE US Equity","LOW_ENTERPRISE_VALUE","FQ2 2022","FQ2 2022","Currency=USD","Period=FQ","BEST_FPERIOD_OVERRIDE=FQ","FILING_STATUS=MR","SCALING_FORMAT=MLN","Sort=A","Dates=H","DateFormat=P","Fill=—","Direction=H","UseDPDF=Y")</f>
        <v>53.774999999999999</v>
      </c>
      <c r="O39" s="13">
        <f>_xll.BDH("BLUE US Equity","LOW_ENTERPRISE_VALUE","FQ3 2022","FQ3 2022","Currency=USD","Period=FQ","BEST_FPERIOD_OVERRIDE=FQ","FILING_STATUS=MR","SCALING_FORMAT=MLN","Sort=A","Dates=H","DateFormat=P","Fill=—","Direction=H","UseDPDF=Y")</f>
        <v>387.76949999999999</v>
      </c>
      <c r="P39" s="13">
        <f>_xll.BDH("BLUE US Equity","LOW_ENTERPRISE_VALUE","FQ4 2022","FQ4 2022","Currency=USD","Period=FQ","BEST_FPERIOD_OVERRIDE=FQ","FILING_STATUS=MR","SCALING_FORMAT=MLN","Sort=A","Dates=H","DateFormat=P","Fill=—","Direction=H","UseDPDF=Y")</f>
        <v>582.16549999999995</v>
      </c>
      <c r="Q39" s="13">
        <f>_xll.BDH("BLUE US Equity","LOW_ENTERPRISE_VALUE","FQ1 2023","FQ1 2023","Currency=USD","Period=FQ","BEST_FPERIOD_OVERRIDE=FQ","FILING_STATUS=MR","SCALING_FORMAT=MLN","Sort=A","Dates=H","DateFormat=P","Fill=—","Direction=H","UseDPDF=Y")</f>
        <v>293.37540000000001</v>
      </c>
      <c r="R39" s="13">
        <f>_xll.BDH("BLUE US Equity","LOW_ENTERPRISE_VALUE","FQ2 2023","FQ2 2023","Currency=USD","Period=FQ","BEST_FPERIOD_OVERRIDE=FQ","FILING_STATUS=MR","SCALING_FORMAT=MLN","Sort=A","Dates=H","DateFormat=P","Fill=—","Direction=H","UseDPDF=Y")</f>
        <v>251.89099999999999</v>
      </c>
      <c r="S39" s="13">
        <f>_xll.BDH("BLUE US Equity","LOW_ENTERPRISE_VALUE","FQ3 2023","FQ3 2023","Currency=USD","Period=FQ","BEST_FPERIOD_OVERRIDE=FQ","FILING_STATUS=MR","SCALING_FORMAT=MLN","Sort=A","Dates=H","DateFormat=P","Fill=—","Direction=H","UseDPDF=Y")</f>
        <v>383.98239999999998</v>
      </c>
      <c r="T39" s="13">
        <f>_xll.BDH("BLUE US Equity","LOW_ENTERPRISE_VALUE","FQ4 2023","FQ4 2023","Currency=USD","Period=FQ","BEST_FPERIOD_OVERRIDE=FQ","FILING_STATUS=MR","SCALING_FORMAT=MLN","Sort=A","Dates=H","DateFormat=P","Fill=—","Direction=H","UseDPDF=Y")</f>
        <v>371.26150000000001</v>
      </c>
      <c r="U39" s="13">
        <f>_xll.BDH("BLUE US Equity","LOW_ENTERPRISE_VALUE","FQ1 2024","FQ1 2024","Currency=USD","Period=FQ","BEST_FPERIOD_OVERRIDE=FQ","FILING_STATUS=MR","SCALING_FORMAT=MLN","Sort=A","Dates=H","DateFormat=P","Fill=—","Direction=H","UseDPDF=Y")</f>
        <v>280.88080000000002</v>
      </c>
      <c r="V39" s="13">
        <f>_xll.BDH("BLUE US Equity","LOW_ENTERPRISE_VALUE","FQ2 2024","FQ2 2024","Currency=USD","Period=FQ","BEST_FPERIOD_OVERRIDE=FQ","FILING_STATUS=MR","SCALING_FORMAT=MLN","Sort=A","Dates=H","DateFormat=P","Fill=—","Direction=H","UseDPDF=Y")</f>
        <v>364.80149999999998</v>
      </c>
      <c r="W39" s="13">
        <f>_xll.BDH("BLUE US Equity","LOW_ENTERPRISE_VALUE","FQ3 2024","FQ3 2024","Currency=USD","Period=FQ","BEST_FPERIOD_OVERRIDE=FQ","FILING_STATUS=MR","SCALING_FORMAT=MLN","Sort=A","Dates=H","DateFormat=P","Fill=—","Direction=H","UseDPDF=Y")</f>
        <v>337.53120000000001</v>
      </c>
      <c r="X39" s="13">
        <f>_xll.BDH("BLUE US Equity","LOW_ENTERPRISE_VALUE","FQ4 2024","FQ4 2024","Currency=USD","Period=FQ","BEST_FPERIOD_OVERRIDE=FQ","FILING_STATUS=MR","SCALING_FORMAT=MLN","Sort=A","Dates=H","DateFormat=P","Fill=—","Direction=H","UseDPDF=Y")</f>
        <v>352.29700000000003</v>
      </c>
      <c r="Y39" s="16"/>
      <c r="Z39" s="13"/>
      <c r="AA39" s="13"/>
    </row>
    <row r="40" spans="1:27" x14ac:dyDescent="0.25">
      <c r="A40" s="7" t="s">
        <v>90</v>
      </c>
      <c r="B40" s="7"/>
      <c r="C40" s="7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224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10" t="s">
        <v>225</v>
      </c>
      <c r="B6" s="10" t="s">
        <v>121</v>
      </c>
      <c r="C6" s="13">
        <f>_xll.BDH("BLUE US Equity","BS_SH_OUT","FQ2 2019","FQ2 2019","Currency=USD","Period=FQ","BEST_FPERIOD_OVERRIDE=FQ","FILING_STATUS=MR","Sort=A","Dates=H","DateFormat=P","Fill=—","Direction=H","UseDPDF=Y")</f>
        <v>2.7614000000000001</v>
      </c>
      <c r="D6" s="13">
        <f>_xll.BDH("BLUE US Equity","BS_SH_OUT","FQ3 2019","FQ3 2019","Currency=USD","Period=FQ","BEST_FPERIOD_OVERRIDE=FQ","FILING_STATUS=MR","Sort=A","Dates=H","DateFormat=P","Fill=—","Direction=H","UseDPDF=Y")</f>
        <v>2.766</v>
      </c>
      <c r="E6" s="13">
        <f>_xll.BDH("BLUE US Equity","BS_SH_OUT","FQ4 2019","FQ4 2019","Currency=USD","Period=FQ","BEST_FPERIOD_OVERRIDE=FQ","FILING_STATUS=MR","Sort=A","Dates=H","DateFormat=P","Fill=—","Direction=H","UseDPDF=Y")</f>
        <v>2.7684000000000002</v>
      </c>
      <c r="F6" s="13">
        <f>_xll.BDH("BLUE US Equity","BS_SH_OUT","FQ1 2020","FQ1 2020","Currency=USD","Period=FQ","BEST_FPERIOD_OVERRIDE=FQ","FILING_STATUS=MR","Sort=A","Dates=H","DateFormat=P","Fill=—","Direction=H","UseDPDF=Y")</f>
        <v>2.7810000000000001</v>
      </c>
      <c r="G6" s="13">
        <f>_xll.BDH("BLUE US Equity","BS_SH_OUT","FQ2 2020","FQ2 2020","Currency=USD","Period=FQ","BEST_FPERIOD_OVERRIDE=FQ","FILING_STATUS=MR","Sort=A","Dates=H","DateFormat=P","Fill=—","Direction=H","UseDPDF=Y")</f>
        <v>3.3098000000000001</v>
      </c>
      <c r="H6" s="13">
        <f>_xll.BDH("BLUE US Equity","BS_SH_OUT","FQ3 2020","FQ3 2020","Currency=USD","Period=FQ","BEST_FPERIOD_OVERRIDE=FQ","FILING_STATUS=MR","Sort=A","Dates=H","DateFormat=P","Fill=—","Direction=H","UseDPDF=Y")</f>
        <v>3.3170000000000002</v>
      </c>
      <c r="I6" s="13">
        <f>_xll.BDH("BLUE US Equity","BS_SH_OUT","FQ4 2020","FQ4 2020","Currency=USD","Period=FQ","BEST_FPERIOD_OVERRIDE=FQ","FILING_STATUS=MR","Sort=A","Dates=H","DateFormat=P","Fill=—","Direction=H","UseDPDF=Y")</f>
        <v>3.3216000000000001</v>
      </c>
      <c r="J6" s="13">
        <f>_xll.BDH("BLUE US Equity","BS_SH_OUT","FQ1 2021","FQ1 2021","Currency=USD","Period=FQ","BEST_FPERIOD_OVERRIDE=FQ","FILING_STATUS=MR","Sort=A","Dates=H","DateFormat=P","Fill=—","Direction=H","UseDPDF=Y")</f>
        <v>3.3711000000000002</v>
      </c>
      <c r="K6" s="13">
        <f>_xll.BDH("BLUE US Equity","BS_SH_OUT","FQ2 2021","FQ2 2021","Currency=USD","Period=FQ","BEST_FPERIOD_OVERRIDE=FQ","FILING_STATUS=MR","Sort=A","Dates=H","DateFormat=P","Fill=—","Direction=H","UseDPDF=Y")</f>
        <v>3.3776000000000002</v>
      </c>
      <c r="L6" s="13">
        <f>_xll.BDH("BLUE US Equity","BS_SH_OUT","FQ3 2021","FQ3 2021","Currency=USD","Period=FQ","BEST_FPERIOD_OVERRIDE=FQ","FILING_STATUS=MR","Sort=A","Dates=H","DateFormat=P","Fill=—","Direction=H","UseDPDF=Y")</f>
        <v>3.5049000000000001</v>
      </c>
      <c r="M6" s="13">
        <f>_xll.BDH("BLUE US Equity","BS_SH_OUT","FQ4 2021","FQ4 2021","Currency=USD","Period=FQ","BEST_FPERIOD_OVERRIDE=FQ","FILING_STATUS=MR","Sort=A","Dates=H","DateFormat=P","Fill=—","Direction=H","UseDPDF=Y")</f>
        <v>3.5558000000000001</v>
      </c>
      <c r="N6" s="13">
        <f>_xll.BDH("BLUE US Equity","BS_SH_OUT","FQ1 2022","FQ1 2022","Currency=USD","Period=FQ","BEST_FPERIOD_OVERRIDE=FQ","FILING_STATUS=MR","Sort=A","Dates=H","DateFormat=P","Fill=—","Direction=H","UseDPDF=Y")</f>
        <v>3.5718999999999999</v>
      </c>
      <c r="O6" s="13">
        <f>_xll.BDH("BLUE US Equity","BS_SH_OUT","FQ2 2022","FQ2 2022","Currency=USD","Period=FQ","BEST_FPERIOD_OVERRIDE=FQ","FILING_STATUS=MR","Sort=A","Dates=H","DateFormat=P","Fill=—","Direction=H","UseDPDF=Y")</f>
        <v>3.6776</v>
      </c>
      <c r="P6" s="13">
        <f>_xll.BDH("BLUE US Equity","BS_SH_OUT","FQ3 2022","FQ3 2022","Currency=USD","Period=FQ","BEST_FPERIOD_OVERRIDE=FQ","FILING_STATUS=MR","Sort=A","Dates=H","DateFormat=P","Fill=—","Direction=H","UseDPDF=Y")</f>
        <v>4.1440000000000001</v>
      </c>
      <c r="Q6" s="13">
        <f>_xll.BDH("BLUE US Equity","BS_SH_OUT","FQ4 2022","FQ4 2022","Currency=USD","Period=FQ","BEST_FPERIOD_OVERRIDE=FQ","FILING_STATUS=MR","Sort=A","Dates=H","DateFormat=P","Fill=—","Direction=H","UseDPDF=Y")</f>
        <v>4.1462000000000003</v>
      </c>
      <c r="R6" s="13">
        <f>_xll.BDH("BLUE US Equity","BS_SH_OUT","FQ1 2023","FQ1 2023","Currency=USD","Period=FQ","BEST_FPERIOD_OVERRIDE=FQ","FILING_STATUS=MR","Sort=A","Dates=H","DateFormat=P","Fill=—","Direction=H","UseDPDF=Y")</f>
        <v>5.3185000000000002</v>
      </c>
      <c r="S6" s="13">
        <f>_xll.BDH("BLUE US Equity","BS_SH_OUT","FQ2 2023","FQ2 2023","Currency=USD","Period=FQ","BEST_FPERIOD_OVERRIDE=FQ","FILING_STATUS=MR","Sort=A","Dates=H","DateFormat=P","Fill=—","Direction=H","UseDPDF=Y")</f>
        <v>5.3227000000000002</v>
      </c>
      <c r="T6" s="13">
        <f>_xll.BDH("BLUE US Equity","BS_SH_OUT","FQ3 2023","FQ3 2023","Currency=USD","Period=FQ","BEST_FPERIOD_OVERRIDE=FQ","FILING_STATUS=MR","Sort=A","Dates=H","DateFormat=P","Fill=—","Direction=H","UseDPDF=Y")</f>
        <v>5.3510999999999997</v>
      </c>
      <c r="U6" s="13">
        <f>_xll.BDH("BLUE US Equity","BS_SH_OUT","FQ4 2023","FQ4 2023","Currency=USD","Period=FQ","BEST_FPERIOD_OVERRIDE=FQ","FILING_STATUS=MR","Sort=A","Dates=H","DateFormat=P","Fill=—","Direction=H","UseDPDF=Y")</f>
        <v>9.6386000000000003</v>
      </c>
      <c r="V6" s="13">
        <f>_xll.BDH("BLUE US Equity","BS_SH_OUT","FQ1 2024","FQ1 2024","Currency=USD","Period=FQ","BEST_FPERIOD_OVERRIDE=FQ","FILING_STATUS=MR","Sort=A","Dates=H","DateFormat=P","Fill=—","Direction=H","UseDPDF=Y")</f>
        <v>9.6791999999999998</v>
      </c>
      <c r="W6" s="13">
        <f>_xll.BDH("BLUE US Equity","BS_SH_OUT","FQ2 2024","FQ2 2024","Currency=USD","Period=FQ","BEST_FPERIOD_OVERRIDE=FQ","FILING_STATUS=MR","Sort=A","Dates=H","DateFormat=P","Fill=—","Direction=H","UseDPDF=Y")</f>
        <v>9.6928000000000001</v>
      </c>
      <c r="X6" s="13">
        <f>_xll.BDH("BLUE US Equity","BS_SH_OUT","FQ3 2024","FQ3 2024","Currency=USD","Period=FQ","BEST_FPERIOD_OVERRIDE=FQ","FILING_STATUS=MR","Sort=A","Dates=H","DateFormat=P","Fill=—","Direction=H","UseDPDF=Y")</f>
        <v>9.6959</v>
      </c>
      <c r="Y6" s="13">
        <f>_xll.BDH("BLUE US Equity","BS_SH_OUT","FQ4 2024","FQ4 2024","Currency=USD","Period=FQ","BEST_FPERIOD_OVERRIDE=FQ","FILING_STATUS=MR","Sort=A","Dates=H","DateFormat=P","Fill=—","Direction=H","UseDPDF=Y")</f>
        <v>9.7279999999999998</v>
      </c>
      <c r="Z6" s="13"/>
      <c r="AA6" s="13"/>
    </row>
    <row r="7" spans="1:27" x14ac:dyDescent="0.25">
      <c r="A7" s="10" t="s">
        <v>226</v>
      </c>
      <c r="B7" s="10" t="s">
        <v>108</v>
      </c>
      <c r="C7" s="13">
        <f>_xll.BDH("BLUE US Equity","IS_SH_FOR_DILUTED_EPS","FQ2 2019","FQ2 2019","Currency=USD","Period=FQ","BEST_FPERIOD_OVERRIDE=FQ","FILING_STATUS=MR","Sort=A","Dates=H","DateFormat=P","Fill=—","Direction=H","UseDPDF=Y")</f>
        <v>2.7583000000000002</v>
      </c>
      <c r="D7" s="13">
        <f>_xll.BDH("BLUE US Equity","IS_SH_FOR_DILUTED_EPS","FQ3 2019","FQ3 2019","Currency=USD","Period=FQ","BEST_FPERIOD_OVERRIDE=FQ","FILING_STATUS=MR","Sort=A","Dates=H","DateFormat=P","Fill=—","Direction=H","UseDPDF=Y")</f>
        <v>2.7646000000000002</v>
      </c>
      <c r="E7" s="13">
        <f>_xll.BDH("BLUE US Equity","IS_SH_FOR_DILUTED_EPS","FQ4 2019","FQ4 2019","Currency=USD","Period=FQ","BEST_FPERIOD_OVERRIDE=FQ","FILING_STATUS=MR","Sort=A","Dates=H","DateFormat=P","Fill=—","Direction=H","UseDPDF=Y")</f>
        <v>2.7671999999999999</v>
      </c>
      <c r="F7" s="13">
        <f>_xll.BDH("BLUE US Equity","IS_SH_FOR_DILUTED_EPS","FQ1 2020","FQ1 2020","Currency=USD","Period=FQ","BEST_FPERIOD_OVERRIDE=FQ","FILING_STATUS=MR","Sort=A","Dates=H","DateFormat=P","Fill=—","Direction=H","UseDPDF=Y")</f>
        <v>2.7795000000000001</v>
      </c>
      <c r="G7" s="13">
        <f>_xll.BDH("BLUE US Equity","IS_SH_FOR_DILUTED_EPS","FQ2 2020","FQ2 2020","Currency=USD","Period=FQ","BEST_FPERIOD_OVERRIDE=FQ","FILING_STATUS=MR","Sort=A","Dates=H","DateFormat=P","Fill=—","Direction=H","UseDPDF=Y")</f>
        <v>3.0192000000000001</v>
      </c>
      <c r="H7" s="13">
        <f>_xll.BDH("BLUE US Equity","IS_SH_FOR_DILUTED_EPS","FQ3 2020","FQ3 2020","Currency=USD","Period=FQ","BEST_FPERIOD_OVERRIDE=FQ","FILING_STATUS=MR","Sort=A","Dates=H","DateFormat=P","Fill=—","Direction=H","UseDPDF=Y")</f>
        <v>3.3126000000000002</v>
      </c>
      <c r="I7" s="13">
        <f>_xll.BDH("BLUE US Equity","IS_SH_FOR_DILUTED_EPS","FQ4 2020","FQ4 2020","Currency=USD","Period=FQ","BEST_FPERIOD_OVERRIDE=FQ","FILING_STATUS=MR","Sort=A","Dates=H","DateFormat=P","Fill=—","Direction=H","UseDPDF=Y")</f>
        <v>3.3197999999999999</v>
      </c>
      <c r="J7" s="13">
        <f>_xll.BDH("BLUE US Equity","IS_SH_FOR_DILUTED_EPS","FQ1 2021","FQ1 2021","Currency=USD","Period=FQ","BEST_FPERIOD_OVERRIDE=FQ","FILING_STATUS=MR","Sort=A","Dates=H","DateFormat=P","Fill=—","Direction=H","UseDPDF=Y")</f>
        <v>3.3488000000000002</v>
      </c>
      <c r="K7" s="13">
        <f>_xll.BDH("BLUE US Equity","IS_SH_FOR_DILUTED_EPS","FQ2 2021","FQ2 2021","Currency=USD","Period=FQ","BEST_FPERIOD_OVERRIDE=FQ","FILING_STATUS=MR","Sort=A","Dates=H","DateFormat=P","Fill=—","Direction=H","UseDPDF=Y")</f>
        <v>3.3744000000000001</v>
      </c>
      <c r="L7" s="13">
        <f>_xll.BDH("BLUE US Equity","IS_SH_FOR_DILUTED_EPS","FQ3 2021","FQ3 2021","Currency=USD","Period=FQ","BEST_FPERIOD_OVERRIDE=FQ","FILING_STATUS=MR","Sort=A","Dates=H","DateFormat=P","Fill=—","Direction=H","UseDPDF=Y")</f>
        <v>3.4310999999999998</v>
      </c>
      <c r="M7" s="13">
        <f>_xll.BDH("BLUE US Equity","IS_SH_FOR_DILUTED_EPS","FQ4 2021","FQ4 2021","Currency=USD","Period=FQ","BEST_FPERIOD_OVERRIDE=FQ","FILING_STATUS=MR","Sort=A","Dates=H","DateFormat=P","Fill=—","Direction=H","UseDPDF=Y")</f>
        <v>3.6248999999999998</v>
      </c>
      <c r="N7" s="13">
        <f>_xll.BDH("BLUE US Equity","IS_SH_FOR_DILUTED_EPS","FQ1 2022","FQ1 2022","Currency=USD","Period=FQ","BEST_FPERIOD_OVERRIDE=FQ","FILING_STATUS=MR","Sort=A","Dates=H","DateFormat=P","Fill=—","Direction=H","UseDPDF=Y")</f>
        <v>3.6844000000000001</v>
      </c>
      <c r="O7" s="13">
        <f>_xll.BDH("BLUE US Equity","IS_SH_FOR_DILUTED_EPS","FQ2 2022","FQ2 2022","Currency=USD","Period=FQ","BEST_FPERIOD_OVERRIDE=FQ","FILING_STATUS=MR","Sort=A","Dates=H","DateFormat=P","Fill=—","Direction=H","UseDPDF=Y")</f>
        <v>3.6884000000000001</v>
      </c>
      <c r="P7" s="13">
        <f>_xll.BDH("BLUE US Equity","IS_SH_FOR_DILUTED_EPS","FQ3 2022","FQ3 2022","Currency=USD","Period=FQ","BEST_FPERIOD_OVERRIDE=FQ","FILING_STATUS=MR","Sort=A","Dates=H","DateFormat=P","Fill=—","Direction=H","UseDPDF=Y")</f>
        <v>4.0772000000000004</v>
      </c>
      <c r="Q7" s="13">
        <f>_xll.BDH("BLUE US Equity","IS_SH_FOR_DILUTED_EPS","FQ4 2022","FQ4 2022","Currency=USD","Period=FQ","BEST_FPERIOD_OVERRIDE=FQ","FILING_STATUS=MR","Sort=A","Dates=H","DateFormat=P","Fill=—","Direction=H","UseDPDF=Y")</f>
        <v>4.2671000000000001</v>
      </c>
      <c r="R7" s="13">
        <f>_xll.BDH("BLUE US Equity","IS_SH_FOR_DILUTED_EPS","FQ1 2023","FQ1 2023","Currency=USD","Period=FQ","BEST_FPERIOD_OVERRIDE=FQ","FILING_STATUS=MR","Sort=A","Dates=H","DateFormat=P","Fill=—","Direction=H","UseDPDF=Y")</f>
        <v>5.1651999999999996</v>
      </c>
      <c r="S7" s="13">
        <f>_xll.BDH("BLUE US Equity","IS_SH_FOR_DILUTED_EPS","FQ2 2023","FQ2 2023","Currency=USD","Period=FQ","BEST_FPERIOD_OVERRIDE=FQ","FILING_STATUS=MR","Sort=A","Dates=H","DateFormat=P","Fill=—","Direction=H","UseDPDF=Y")</f>
        <v>5.4343000000000004</v>
      </c>
      <c r="T7" s="13">
        <f>_xll.BDH("BLUE US Equity","IS_SH_FOR_DILUTED_EPS","FQ3 2023","FQ3 2023","Currency=USD","Period=FQ","BEST_FPERIOD_OVERRIDE=FQ","FILING_STATUS=MR","Sort=A","Dates=H","DateFormat=P","Fill=—","Direction=H","UseDPDF=Y")</f>
        <v>5.4549000000000003</v>
      </c>
      <c r="U7" s="13">
        <f>_xll.BDH("BLUE US Equity","IS_SH_FOR_DILUTED_EPS","FQ4 2023","FQ4 2023","Currency=USD","Period=FQ","BEST_FPERIOD_OVERRIDE=FQ","FILING_STATUS=MR","Sort=A","Dates=H","DateFormat=P","Fill=—","Direction=H","UseDPDF=Y")</f>
        <v>5.9298999999999999</v>
      </c>
      <c r="V7" s="13">
        <f>_xll.BDH("BLUE US Equity","IS_SH_FOR_DILUTED_EPS","FQ1 2024","FQ1 2024","Currency=USD","Period=FQ","BEST_FPERIOD_OVERRIDE=FQ","FILING_STATUS=MR","Sort=A","Dates=H","DateFormat=P","Fill=—","Direction=H","UseDPDF=Y")</f>
        <v>9.6576000000000004</v>
      </c>
      <c r="W7" s="13">
        <f>_xll.BDH("BLUE US Equity","IS_SH_FOR_DILUTED_EPS","FQ2 2024","FQ2 2024","Currency=USD","Period=FQ","BEST_FPERIOD_OVERRIDE=FQ","FILING_STATUS=MR","Sort=A","Dates=H","DateFormat=P","Fill=—","Direction=H","UseDPDF=Y")</f>
        <v>9.6858000000000004</v>
      </c>
      <c r="X7" s="13">
        <f>_xll.BDH("BLUE US Equity","IS_SH_FOR_DILUTED_EPS","FQ3 2024","FQ3 2024","Currency=USD","Period=FQ","BEST_FPERIOD_OVERRIDE=FQ","FILING_STATUS=MR","Sort=A","Dates=H","DateFormat=P","Fill=—","Direction=H","UseDPDF=Y")</f>
        <v>9.6946999999999992</v>
      </c>
      <c r="Y7" s="13">
        <f>_xll.BDH("BLUE US Equity","IS_SH_FOR_DILUTED_EPS","FQ4 2024","FQ4 2024","Currency=USD","Period=FQ","BEST_FPERIOD_OVERRIDE=FQ","FILING_STATUS=MR","Sort=A","Dates=H","DateFormat=P","Fill=—","Direction=H","UseDPDF=Y")</f>
        <v>9.7089999999999996</v>
      </c>
      <c r="Z7" s="13"/>
      <c r="AA7" s="13"/>
    </row>
    <row r="8" spans="1:27" x14ac:dyDescent="0.25">
      <c r="A8" s="10" t="s">
        <v>227</v>
      </c>
      <c r="B8" s="10" t="s">
        <v>106</v>
      </c>
      <c r="C8" s="13">
        <f>_xll.BDH("BLUE US Equity","IS_AVG_NUM_SH_FOR_EPS","FQ2 2019","FQ2 2019","Currency=USD","Period=FQ","BEST_FPERIOD_OVERRIDE=FQ","FILING_STATUS=MR","Sort=A","Dates=H","DateFormat=P","Fill=—","Direction=H","UseDPDF=Y")</f>
        <v>2.7583000000000002</v>
      </c>
      <c r="D8" s="13">
        <f>_xll.BDH("BLUE US Equity","IS_AVG_NUM_SH_FOR_EPS","FQ3 2019","FQ3 2019","Currency=USD","Period=FQ","BEST_FPERIOD_OVERRIDE=FQ","FILING_STATUS=MR","Sort=A","Dates=H","DateFormat=P","Fill=—","Direction=H","UseDPDF=Y")</f>
        <v>2.7646000000000002</v>
      </c>
      <c r="E8" s="13">
        <f>_xll.BDH("BLUE US Equity","IS_AVG_NUM_SH_FOR_EPS","FQ4 2019","FQ4 2019","Currency=USD","Period=FQ","BEST_FPERIOD_OVERRIDE=FQ","FILING_STATUS=MR","Sort=A","Dates=H","DateFormat=P","Fill=—","Direction=H","UseDPDF=Y")</f>
        <v>2.7671999999999999</v>
      </c>
      <c r="F8" s="13">
        <f>_xll.BDH("BLUE US Equity","IS_AVG_NUM_SH_FOR_EPS","FQ1 2020","FQ1 2020","Currency=USD","Period=FQ","BEST_FPERIOD_OVERRIDE=FQ","FILING_STATUS=MR","Sort=A","Dates=H","DateFormat=P","Fill=—","Direction=H","UseDPDF=Y")</f>
        <v>2.7795000000000001</v>
      </c>
      <c r="G8" s="13">
        <f>_xll.BDH("BLUE US Equity","IS_AVG_NUM_SH_FOR_EPS","FQ2 2020","FQ2 2020","Currency=USD","Period=FQ","BEST_FPERIOD_OVERRIDE=FQ","FILING_STATUS=MR","Sort=A","Dates=H","DateFormat=P","Fill=—","Direction=H","UseDPDF=Y")</f>
        <v>3.0192000000000001</v>
      </c>
      <c r="H8" s="13">
        <f>_xll.BDH("BLUE US Equity","IS_AVG_NUM_SH_FOR_EPS","FQ3 2020","FQ3 2020","Currency=USD","Period=FQ","BEST_FPERIOD_OVERRIDE=FQ","FILING_STATUS=MR","Sort=A","Dates=H","DateFormat=P","Fill=—","Direction=H","UseDPDF=Y")</f>
        <v>3.3126000000000002</v>
      </c>
      <c r="I8" s="13">
        <f>_xll.BDH("BLUE US Equity","IS_AVG_NUM_SH_FOR_EPS","FQ4 2020","FQ4 2020","Currency=USD","Period=FQ","BEST_FPERIOD_OVERRIDE=FQ","FILING_STATUS=MR","Sort=A","Dates=H","DateFormat=P","Fill=—","Direction=H","UseDPDF=Y")</f>
        <v>3.3197999999999999</v>
      </c>
      <c r="J8" s="13">
        <f>_xll.BDH("BLUE US Equity","IS_AVG_NUM_SH_FOR_EPS","FQ1 2021","FQ1 2021","Currency=USD","Period=FQ","BEST_FPERIOD_OVERRIDE=FQ","FILING_STATUS=MR","Sort=A","Dates=H","DateFormat=P","Fill=—","Direction=H","UseDPDF=Y")</f>
        <v>3.3488000000000002</v>
      </c>
      <c r="K8" s="13">
        <f>_xll.BDH("BLUE US Equity","IS_AVG_NUM_SH_FOR_EPS","FQ2 2021","FQ2 2021","Currency=USD","Period=FQ","BEST_FPERIOD_OVERRIDE=FQ","FILING_STATUS=MR","Sort=A","Dates=H","DateFormat=P","Fill=—","Direction=H","UseDPDF=Y")</f>
        <v>3.3744000000000001</v>
      </c>
      <c r="L8" s="13">
        <f>_xll.BDH("BLUE US Equity","IS_AVG_NUM_SH_FOR_EPS","FQ3 2021","FQ3 2021","Currency=USD","Period=FQ","BEST_FPERIOD_OVERRIDE=FQ","FILING_STATUS=MR","Sort=A","Dates=H","DateFormat=P","Fill=—","Direction=H","UseDPDF=Y")</f>
        <v>3.4310999999999998</v>
      </c>
      <c r="M8" s="13">
        <f>_xll.BDH("BLUE US Equity","IS_AVG_NUM_SH_FOR_EPS","FQ4 2021","FQ4 2021","Currency=USD","Period=FQ","BEST_FPERIOD_OVERRIDE=FQ","FILING_STATUS=MR","Sort=A","Dates=H","DateFormat=P","Fill=—","Direction=H","UseDPDF=Y")</f>
        <v>3.6248999999999998</v>
      </c>
      <c r="N8" s="13">
        <f>_xll.BDH("BLUE US Equity","IS_AVG_NUM_SH_FOR_EPS","FQ1 2022","FQ1 2022","Currency=USD","Period=FQ","BEST_FPERIOD_OVERRIDE=FQ","FILING_STATUS=MR","Sort=A","Dates=H","DateFormat=P","Fill=—","Direction=H","UseDPDF=Y")</f>
        <v>3.6844000000000001</v>
      </c>
      <c r="O8" s="13">
        <f>_xll.BDH("BLUE US Equity","IS_AVG_NUM_SH_FOR_EPS","FQ2 2022","FQ2 2022","Currency=USD","Period=FQ","BEST_FPERIOD_OVERRIDE=FQ","FILING_STATUS=MR","Sort=A","Dates=H","DateFormat=P","Fill=—","Direction=H","UseDPDF=Y")</f>
        <v>3.6884000000000001</v>
      </c>
      <c r="P8" s="13">
        <f>_xll.BDH("BLUE US Equity","IS_AVG_NUM_SH_FOR_EPS","FQ3 2022","FQ3 2022","Currency=USD","Period=FQ","BEST_FPERIOD_OVERRIDE=FQ","FILING_STATUS=MR","Sort=A","Dates=H","DateFormat=P","Fill=—","Direction=H","UseDPDF=Y")</f>
        <v>4.0772000000000004</v>
      </c>
      <c r="Q8" s="13">
        <f>_xll.BDH("BLUE US Equity","IS_AVG_NUM_SH_FOR_EPS","FQ4 2022","FQ4 2022","Currency=USD","Period=FQ","BEST_FPERIOD_OVERRIDE=FQ","FILING_STATUS=MR","Sort=A","Dates=H","DateFormat=P","Fill=—","Direction=H","UseDPDF=Y")</f>
        <v>4.2671000000000001</v>
      </c>
      <c r="R8" s="13">
        <f>_xll.BDH("BLUE US Equity","IS_AVG_NUM_SH_FOR_EPS","FQ1 2023","FQ1 2023","Currency=USD","Period=FQ","BEST_FPERIOD_OVERRIDE=FQ","FILING_STATUS=MR","Sort=A","Dates=H","DateFormat=P","Fill=—","Direction=H","UseDPDF=Y")</f>
        <v>5.1459999999999999</v>
      </c>
      <c r="S8" s="13">
        <f>_xll.BDH("BLUE US Equity","IS_AVG_NUM_SH_FOR_EPS","FQ2 2023","FQ2 2023","Currency=USD","Period=FQ","BEST_FPERIOD_OVERRIDE=FQ","FILING_STATUS=MR","Sort=A","Dates=H","DateFormat=P","Fill=—","Direction=H","UseDPDF=Y")</f>
        <v>5.4343000000000004</v>
      </c>
      <c r="T8" s="13">
        <f>_xll.BDH("BLUE US Equity","IS_AVG_NUM_SH_FOR_EPS","FQ3 2023","FQ3 2023","Currency=USD","Period=FQ","BEST_FPERIOD_OVERRIDE=FQ","FILING_STATUS=MR","Sort=A","Dates=H","DateFormat=P","Fill=—","Direction=H","UseDPDF=Y")</f>
        <v>5.4549000000000003</v>
      </c>
      <c r="U8" s="13">
        <f>_xll.BDH("BLUE US Equity","IS_AVG_NUM_SH_FOR_EPS","FQ4 2023","FQ4 2023","Currency=USD","Period=FQ","BEST_FPERIOD_OVERRIDE=FQ","FILING_STATUS=MR","Sort=A","Dates=H","DateFormat=P","Fill=—","Direction=H","UseDPDF=Y")</f>
        <v>5.9298999999999999</v>
      </c>
      <c r="V8" s="13">
        <f>_xll.BDH("BLUE US Equity","IS_AVG_NUM_SH_FOR_EPS","FQ1 2024","FQ1 2024","Currency=USD","Period=FQ","BEST_FPERIOD_OVERRIDE=FQ","FILING_STATUS=MR","Sort=A","Dates=H","DateFormat=P","Fill=—","Direction=H","UseDPDF=Y")</f>
        <v>9.6576000000000004</v>
      </c>
      <c r="W8" s="13">
        <f>_xll.BDH("BLUE US Equity","IS_AVG_NUM_SH_FOR_EPS","FQ2 2024","FQ2 2024","Currency=USD","Period=FQ","BEST_FPERIOD_OVERRIDE=FQ","FILING_STATUS=MR","Sort=A","Dates=H","DateFormat=P","Fill=—","Direction=H","UseDPDF=Y")</f>
        <v>9.6858000000000004</v>
      </c>
      <c r="X8" s="13">
        <f>_xll.BDH("BLUE US Equity","IS_AVG_NUM_SH_FOR_EPS","FQ3 2024","FQ3 2024","Currency=USD","Period=FQ","BEST_FPERIOD_OVERRIDE=FQ","FILING_STATUS=MR","Sort=A","Dates=H","DateFormat=P","Fill=—","Direction=H","UseDPDF=Y")</f>
        <v>9.6946999999999992</v>
      </c>
      <c r="Y8" s="13">
        <f>_xll.BDH("BLUE US Equity","IS_AVG_NUM_SH_FOR_EPS","FQ4 2024","FQ4 2024","Currency=USD","Period=FQ","BEST_FPERIOD_OVERRIDE=FQ","FILING_STATUS=MR","Sort=A","Dates=H","DateFormat=P","Fill=—","Direction=H","UseDPDF=Y")</f>
        <v>9.7089999999999996</v>
      </c>
      <c r="Z8" s="13"/>
      <c r="AA8" s="13"/>
    </row>
    <row r="9" spans="1:27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 t="s">
        <v>228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x14ac:dyDescent="0.25">
      <c r="A11" s="10" t="s">
        <v>0</v>
      </c>
      <c r="B11" s="10" t="s">
        <v>229</v>
      </c>
      <c r="C11" s="14">
        <f>_xll.BDH("BLUE US Equity","REVENUE_PER_SH","FQ2 2019","FQ2 2019","Currency=USD","Period=FQ","BEST_FPERIOD_OVERRIDE=FQ","FILING_STATUS=MR","FA_ADJUSTED=GAAP","Sort=A","Dates=H","DateFormat=P","Fill=—","Direction=H","UseDPDF=Y")</f>
        <v>4.8204000000000002</v>
      </c>
      <c r="D11" s="14">
        <f>_xll.BDH("BLUE US Equity","REVENUE_PER_SH","FQ3 2019","FQ3 2019","Currency=USD","Period=FQ","BEST_FPERIOD_OVERRIDE=FQ","FILING_STATUS=MR","FA_ADJUSTED=GAAP","Sort=A","Dates=H","DateFormat=P","Fill=—","Direction=H","UseDPDF=Y")</f>
        <v>3.2229000000000001</v>
      </c>
      <c r="E11" s="14">
        <f>_xll.BDH("BLUE US Equity","REVENUE_PER_SH","FQ4 2019","FQ4 2019","Currency=USD","Period=FQ","BEST_FPERIOD_OVERRIDE=FQ","FILING_STATUS=MR","FA_ADJUSTED=GAAP","Sort=A","Dates=H","DateFormat=P","Fill=—","Direction=H","UseDPDF=Y")</f>
        <v>3.6126999999999998</v>
      </c>
      <c r="F11" s="14">
        <f>_xll.BDH("BLUE US Equity","REVENUE_PER_SH","FQ1 2020","FQ1 2020","Currency=USD","Period=FQ","BEST_FPERIOD_OVERRIDE=FQ","FILING_STATUS=MR","FA_ADJUSTED=GAAP","Sort=A","Dates=H","DateFormat=P","Fill=—","Direction=H","UseDPDF=Y")</f>
        <v>7.8658000000000001</v>
      </c>
      <c r="G11" s="14">
        <f>_xll.BDH("BLUE US Equity","REVENUE_PER_SH","FQ2 2020","FQ2 2020","Currency=USD","Period=FQ","BEST_FPERIOD_OVERRIDE=FQ","FILING_STATUS=MR","FA_ADJUSTED=GAAP","Sort=A","Dates=H","DateFormat=P","Fill=—","Direction=H","UseDPDF=Y")</f>
        <v>65.875100000000003</v>
      </c>
      <c r="H11" s="14">
        <f>_xll.BDH("BLUE US Equity","REVENUE_PER_SH","FQ3 2020","FQ3 2020","Currency=USD","Period=FQ","BEST_FPERIOD_OVERRIDE=FQ","FILING_STATUS=MR","FA_ADJUSTED=GAAP","Sort=A","Dates=H","DateFormat=P","Fill=—","Direction=H","UseDPDF=Y")</f>
        <v>5.8182</v>
      </c>
      <c r="I11" s="14">
        <f>_xll.BDH("BLUE US Equity","REVENUE_PER_SH","FQ4 2020","FQ4 2020","Currency=USD","Period=FQ","BEST_FPERIOD_OVERRIDE=FQ","FILING_STATUS=MR","FA_ADJUSTED=GAAP","Sort=A","Dates=H","DateFormat=P","Fill=—","Direction=H","UseDPDF=Y")</f>
        <v>0</v>
      </c>
      <c r="J11" s="14">
        <f>_xll.BDH("BLUE US Equity","REVENUE_PER_SH","FQ1 2021","FQ1 2021","Currency=USD","Period=FQ","BEST_FPERIOD_OVERRIDE=FQ","FILING_STATUS=MR","FA_ADJUSTED=GAAP","Sort=A","Dates=H","DateFormat=P","Fill=—","Direction=H","UseDPDF=Y")</f>
        <v>0.26700000000000002</v>
      </c>
      <c r="K11" s="14">
        <f>_xll.BDH("BLUE US Equity","REVENUE_PER_SH","FQ2 2021","FQ2 2021","Currency=USD","Period=FQ","BEST_FPERIOD_OVERRIDE=FQ","FILING_STATUS=MR","FA_ADJUSTED=GAAP","Sort=A","Dates=H","DateFormat=P","Fill=—","Direction=H","UseDPDF=Y")</f>
        <v>2.2143999999999999</v>
      </c>
      <c r="L11" s="14">
        <f>_xll.BDH("BLUE US Equity","REVENUE_PER_SH","FQ3 2021","FQ3 2021","Currency=USD","Period=FQ","BEST_FPERIOD_OVERRIDE=FQ","FILING_STATUS=MR","FA_ADJUSTED=GAAP","Sort=A","Dates=H","DateFormat=P","Fill=—","Direction=H","UseDPDF=Y")</f>
        <v>0.29699999999999999</v>
      </c>
      <c r="M11" s="14">
        <f>_xll.BDH("BLUE US Equity","REVENUE_PER_SH","FQ4 2021","FQ4 2021","Currency=USD","Period=FQ","BEST_FPERIOD_OVERRIDE=FQ","FILING_STATUS=MR","FA_ADJUSTED=GAAP","Sort=A","Dates=H","DateFormat=P","Fill=—","Direction=H","UseDPDF=Y")</f>
        <v>0.443</v>
      </c>
      <c r="N11" s="14">
        <f>_xll.BDH("BLUE US Equity","REVENUE_PER_SH","FQ1 2022","FQ1 2022","Currency=USD","Period=FQ","BEST_FPERIOD_OVERRIDE=FQ","FILING_STATUS=MR","FA_ADJUSTED=GAAP","Sort=A","Dates=H","DateFormat=P","Fill=—","Direction=H","UseDPDF=Y")</f>
        <v>0.52790000000000004</v>
      </c>
      <c r="O11" s="14">
        <f>_xll.BDH("BLUE US Equity","REVENUE_PER_SH","FQ2 2022","FQ2 2022","Currency=USD","Period=FQ","BEST_FPERIOD_OVERRIDE=FQ","FILING_STATUS=MR","FA_ADJUSTED=GAAP","Sort=A","Dates=H","DateFormat=P","Fill=—","Direction=H","UseDPDF=Y")</f>
        <v>0.4118</v>
      </c>
      <c r="P11" s="14">
        <f>_xll.BDH("BLUE US Equity","REVENUE_PER_SH","FQ3 2022","FQ3 2022","Currency=USD","Period=FQ","BEST_FPERIOD_OVERRIDE=FQ","FILING_STATUS=MR","FA_ADJUSTED=GAAP","Sort=A","Dates=H","DateFormat=P","Fill=—","Direction=H","UseDPDF=Y")</f>
        <v>1.7399999999999999E-2</v>
      </c>
      <c r="Q11" s="14">
        <f>_xll.BDH("BLUE US Equity","REVENUE_PER_SH","FQ4 2022","FQ4 2022","Currency=USD","Period=FQ","BEST_FPERIOD_OVERRIDE=FQ","FILING_STATUS=MR","FA_ADJUSTED=GAAP","Sort=A","Dates=H","DateFormat=P","Fill=—","Direction=H","UseDPDF=Y")</f>
        <v>1.4500000000000001E-2</v>
      </c>
      <c r="R11" s="14">
        <f>_xll.BDH("BLUE US Equity","REVENUE_PER_SH","FQ1 2023","FQ1 2023","Currency=USD","Period=FQ","BEST_FPERIOD_OVERRIDE=FQ","FILING_STATUS=MR","FA_ADJUSTED=GAAP","Sort=A","Dates=H","DateFormat=P","Fill=—","Direction=H","UseDPDF=Y")</f>
        <v>0.4627</v>
      </c>
      <c r="S11" s="14">
        <f>_xll.BDH("BLUE US Equity","REVENUE_PER_SH","FQ2 2023","FQ2 2023","Currency=USD","Period=FQ","BEST_FPERIOD_OVERRIDE=FQ","FILING_STATUS=MR","FA_ADJUSTED=GAAP","Sort=A","Dates=H","DateFormat=P","Fill=—","Direction=H","UseDPDF=Y")</f>
        <v>1.2679</v>
      </c>
      <c r="T11" s="14">
        <f>_xll.BDH("BLUE US Equity","REVENUE_PER_SH","FQ3 2023","FQ3 2023","Currency=USD","Period=FQ","BEST_FPERIOD_OVERRIDE=FQ","FILING_STATUS=MR","FA_ADJUSTED=GAAP","Sort=A","Dates=H","DateFormat=P","Fill=—","Direction=H","UseDPDF=Y")</f>
        <v>2.2717000000000001</v>
      </c>
      <c r="U11" s="14">
        <f>_xll.BDH("BLUE US Equity","REVENUE_PER_SH","FQ4 2023","FQ4 2023","Currency=USD","Period=FQ","BEST_FPERIOD_OVERRIDE=FQ","FILING_STATUS=MR","FA_ADJUSTED=GAAP","Sort=A","Dates=H","DateFormat=P","Fill=—","Direction=H","UseDPDF=Y")</f>
        <v>1.3210999999999999</v>
      </c>
      <c r="V11" s="14">
        <f>_xll.BDH("BLUE US Equity","REVENUE_PER_SH","FQ1 2024","FQ1 2024","Currency=USD","Period=FQ","BEST_FPERIOD_OVERRIDE=FQ","FILING_STATUS=MR","FA_ADJUSTED=GAAP","Sort=A","Dates=H","DateFormat=P","Fill=—","Direction=H","UseDPDF=Y")</f>
        <v>1.9232</v>
      </c>
      <c r="W11" s="14">
        <f>_xll.BDH("BLUE US Equity","REVENUE_PER_SH","FQ2 2024","FQ2 2024","Currency=USD","Period=FQ","BEST_FPERIOD_OVERRIDE=FQ","FILING_STATUS=MR","FA_ADJUSTED=GAAP","Sort=A","Dates=H","DateFormat=P","Fill=—","Direction=H","UseDPDF=Y")</f>
        <v>1.6623000000000001</v>
      </c>
      <c r="X11" s="14">
        <f>_xll.BDH("BLUE US Equity","REVENUE_PER_SH","FQ3 2024","FQ3 2024","Currency=USD","Period=FQ","BEST_FPERIOD_OVERRIDE=FQ","FILING_STATUS=MR","FA_ADJUSTED=GAAP","Sort=A","Dates=H","DateFormat=P","Fill=—","Direction=H","UseDPDF=Y")</f>
        <v>1.0946</v>
      </c>
      <c r="Y11" s="14">
        <f>_xll.BDH("BLUE US Equity","REVENUE_PER_SH","FQ4 2024","FQ4 2024","Currency=USD","Period=FQ","BEST_FPERIOD_OVERRIDE=FQ","FILING_STATUS=MR","FA_ADJUSTED=GAAP","Sort=A","Dates=H","DateFormat=P","Fill=—","Direction=H","UseDPDF=Y")</f>
        <v>3.9676</v>
      </c>
      <c r="Z11" s="14"/>
      <c r="AA11" s="14"/>
    </row>
    <row r="12" spans="1:27" x14ac:dyDescent="0.25">
      <c r="A12" s="10" t="s">
        <v>78</v>
      </c>
      <c r="B12" s="10" t="s">
        <v>230</v>
      </c>
      <c r="C12" s="14">
        <f>_xll.BDH("BLUE US Equity","EBITDA_PER_SH","FQ2 2019","FQ2 2019","Currency=USD","Period=FQ","BEST_FPERIOD_OVERRIDE=FQ","FILING_STATUS=MR","FA_ADJUSTED=GAAP","Sort=A","Dates=H","DateFormat=P","Fill=—","Direction=H","UseDPDF=Y")</f>
        <v>-68.788899999999998</v>
      </c>
      <c r="D12" s="14">
        <f>_xll.BDH("BLUE US Equity","EBITDA_PER_SH","FQ3 2019","FQ3 2019","Currency=USD","Period=FQ","BEST_FPERIOD_OVERRIDE=FQ","FILING_STATUS=MR","FA_ADJUSTED=GAAP","Sort=A","Dates=H","DateFormat=P","Fill=—","Direction=H","UseDPDF=Y")</f>
        <v>-71.267499999999998</v>
      </c>
      <c r="E12" s="14">
        <f>_xll.BDH("BLUE US Equity","EBITDA_PER_SH","FQ4 2019","FQ4 2019","Currency=USD","Period=FQ","BEST_FPERIOD_OVERRIDE=FQ","FILING_STATUS=MR","FA_ADJUSTED=GAAP","Sort=A","Dates=H","DateFormat=P","Fill=—","Direction=H","UseDPDF=Y")</f>
        <v>-78.193100000000001</v>
      </c>
      <c r="F12" s="14">
        <f>_xll.BDH("BLUE US Equity","EBITDA_PER_SH","FQ1 2020","FQ1 2020","Currency=USD","Period=FQ","BEST_FPERIOD_OVERRIDE=FQ","FILING_STATUS=MR","FA_ADJUSTED=GAAP","Sort=A","Dates=H","DateFormat=P","Fill=—","Direction=H","UseDPDF=Y")</f>
        <v>-71.431899999999999</v>
      </c>
      <c r="G12" s="14">
        <f>_xll.BDH("BLUE US Equity","EBITDA_PER_SH","FQ2 2020","FQ2 2020","Currency=USD","Period=FQ","BEST_FPERIOD_OVERRIDE=FQ","FILING_STATUS=MR","FA_ADJUSTED=GAAP","Sort=A","Dates=H","DateFormat=P","Fill=—","Direction=H","UseDPDF=Y")</f>
        <v>-7.0862999999999996</v>
      </c>
      <c r="H12" s="14">
        <f>_xll.BDH("BLUE US Equity","EBITDA_PER_SH","FQ3 2020","FQ3 2020","Currency=USD","Period=FQ","BEST_FPERIOD_OVERRIDE=FQ","FILING_STATUS=MR","FA_ADJUSTED=GAAP","Sort=A","Dates=H","DateFormat=P","Fill=—","Direction=H","UseDPDF=Y")</f>
        <v>-55.771500000000003</v>
      </c>
      <c r="I12" s="14">
        <f>_xll.BDH("BLUE US Equity","EBITDA_PER_SH","FQ4 2020","FQ4 2020","Currency=USD","Period=FQ","BEST_FPERIOD_OVERRIDE=FQ","FILING_STATUS=MR","FA_ADJUSTED=GAAP","Sort=A","Dates=H","DateFormat=P","Fill=—","Direction=H","UseDPDF=Y")</f>
        <v>-40.487699999999997</v>
      </c>
      <c r="J12" s="14">
        <f>_xll.BDH("BLUE US Equity","EBITDA_PER_SH","FQ1 2021","FQ1 2021","Currency=USD","Period=FQ","BEST_FPERIOD_OVERRIDE=FQ","FILING_STATUS=MR","FA_ADJUSTED=GAAP","Sort=A","Dates=H","DateFormat=P","Fill=—","Direction=H","UseDPDF=Y")</f>
        <v>-42.025199999999998</v>
      </c>
      <c r="K12" s="14">
        <f>_xll.BDH("BLUE US Equity","EBITDA_PER_SH","FQ2 2021","FQ2 2021","Currency=USD","Period=FQ","BEST_FPERIOD_OVERRIDE=FQ","FILING_STATUS=MR","FA_ADJUSTED=GAAP","Sort=A","Dates=H","DateFormat=P","Fill=—","Direction=H","UseDPDF=Y")</f>
        <v>-69.597099999999998</v>
      </c>
      <c r="L12" s="14">
        <f>_xll.BDH("BLUE US Equity","EBITDA_PER_SH","FQ3 2021","FQ3 2021","Currency=USD","Period=FQ","BEST_FPERIOD_OVERRIDE=FQ","FILING_STATUS=MR","FA_ADJUSTED=GAAP","Sort=A","Dates=H","DateFormat=P","Fill=—","Direction=H","UseDPDF=Y")</f>
        <v>-43.271599999999999</v>
      </c>
      <c r="M12" s="14">
        <f>_xll.BDH("BLUE US Equity","EBITDA_PER_SH","FQ4 2021","FQ4 2021","Currency=USD","Period=FQ","BEST_FPERIOD_OVERRIDE=FQ","FILING_STATUS=MR","FA_ADJUSTED=GAAP","Sort=A","Dates=H","DateFormat=P","Fill=—","Direction=H","UseDPDF=Y")</f>
        <v>-36.787999999999997</v>
      </c>
      <c r="N12" s="14">
        <f>_xll.BDH("BLUE US Equity","EBITDA_PER_SH","FQ1 2022","FQ1 2022","Currency=USD","Period=FQ","BEST_FPERIOD_OVERRIDE=FQ","FILING_STATUS=MR","FA_ADJUSTED=GAAP","Sort=A","Dates=H","DateFormat=P","Fill=—","Direction=H","UseDPDF=Y")</f>
        <v>-32.388399999999997</v>
      </c>
      <c r="O12" s="14">
        <f>_xll.BDH("BLUE US Equity","EBITDA_PER_SH","FQ2 2022","FQ2 2022","Currency=USD","Period=FQ","BEST_FPERIOD_OVERRIDE=FQ","FILING_STATUS=MR","FA_ADJUSTED=GAAP","Sort=A","Dates=H","DateFormat=P","Fill=—","Direction=H","UseDPDF=Y")</f>
        <v>-28.754300000000001</v>
      </c>
      <c r="P12" s="14">
        <f>_xll.BDH("BLUE US Equity","EBITDA_PER_SH","FQ3 2022","FQ3 2022","Currency=USD","Period=FQ","BEST_FPERIOD_OVERRIDE=FQ","FILING_STATUS=MR","FA_ADJUSTED=GAAP","Sort=A","Dates=H","DateFormat=P","Fill=—","Direction=H","UseDPDF=Y")</f>
        <v>-20.454000000000001</v>
      </c>
      <c r="Q12" s="14">
        <f>_xll.BDH("BLUE US Equity","EBITDA_PER_SH","FQ4 2022","FQ4 2022","Currency=USD","Period=FQ","BEST_FPERIOD_OVERRIDE=FQ","FILING_STATUS=MR","FA_ADJUSTED=GAAP","Sort=A","Dates=H","DateFormat=P","Fill=—","Direction=H","UseDPDF=Y")</f>
        <v>15.6877</v>
      </c>
      <c r="R12" s="14">
        <f>_xll.BDH("BLUE US Equity","EBITDA_PER_SH","FQ1 2023","FQ1 2023","Currency=USD","Period=FQ","BEST_FPERIOD_OVERRIDE=FQ","FILING_STATUS=MR","FA_ADJUSTED=GAAP","Sort=A","Dates=H","DateFormat=P","Fill=—","Direction=H","UseDPDF=Y")</f>
        <v>3.5520999999999998</v>
      </c>
      <c r="S12" s="14">
        <f>_xll.BDH("BLUE US Equity","EBITDA_PER_SH","FQ2 2023","FQ2 2023","Currency=USD","Period=FQ","BEST_FPERIOD_OVERRIDE=FQ","FILING_STATUS=MR","FA_ADJUSTED=GAAP","Sort=A","Dates=H","DateFormat=P","Fill=—","Direction=H","UseDPDF=Y")</f>
        <v>-11.876899999999999</v>
      </c>
      <c r="T12" s="14">
        <f>_xll.BDH("BLUE US Equity","EBITDA_PER_SH","FQ3 2023","FQ3 2023","Currency=USD","Period=FQ","BEST_FPERIOD_OVERRIDE=FQ","FILING_STATUS=MR","FA_ADJUSTED=GAAP","Sort=A","Dates=H","DateFormat=P","Fill=—","Direction=H","UseDPDF=Y")</f>
        <v>-15.924799999999999</v>
      </c>
      <c r="U12" s="14">
        <f>_xll.BDH("BLUE US Equity","EBITDA_PER_SH","FQ4 2023","FQ4 2023","Currency=USD","Period=FQ","BEST_FPERIOD_OVERRIDE=FQ","FILING_STATUS=MR","FA_ADJUSTED=GAAP","Sort=A","Dates=H","DateFormat=P","Fill=—","Direction=H","UseDPDF=Y")</f>
        <v>-9.6583000000000006</v>
      </c>
      <c r="V12" s="14">
        <f>_xll.BDH("BLUE US Equity","EBITDA_PER_SH","FQ1 2024","FQ1 2024","Currency=USD","Period=FQ","BEST_FPERIOD_OVERRIDE=FQ","FILING_STATUS=MR","FA_ADJUSTED=GAAP","Sort=A","Dates=H","DateFormat=P","Fill=—","Direction=H","UseDPDF=Y")</f>
        <v>-6.6355000000000004</v>
      </c>
      <c r="W12" s="14">
        <f>_xll.BDH("BLUE US Equity","EBITDA_PER_SH","FQ2 2024","FQ2 2024","Currency=USD","Period=FQ","BEST_FPERIOD_OVERRIDE=FQ","FILING_STATUS=MR","FA_ADJUSTED=GAAP","Sort=A","Dates=H","DateFormat=P","Fill=—","Direction=H","UseDPDF=Y")</f>
        <v>-7.4996</v>
      </c>
      <c r="X12" s="14">
        <f>_xll.BDH("BLUE US Equity","EBITDA_PER_SH","FQ3 2024","FQ3 2024","Currency=USD","Period=FQ","BEST_FPERIOD_OVERRIDE=FQ","FILING_STATUS=MR","FA_ADJUSTED=GAAP","Sort=A","Dates=H","DateFormat=P","Fill=—","Direction=H","UseDPDF=Y")</f>
        <v>-5.3198999999999996</v>
      </c>
      <c r="Y12" s="14">
        <f>_xll.BDH("BLUE US Equity","EBITDA_PER_SH","FQ4 2024","FQ4 2024","Currency=USD","Period=FQ","BEST_FPERIOD_OVERRIDE=FQ","FILING_STATUS=MR","FA_ADJUSTED=GAAP","Sort=A","Dates=H","DateFormat=P","Fill=—","Direction=H","UseDPDF=Y")</f>
        <v>-3.0278</v>
      </c>
      <c r="Z12" s="14"/>
      <c r="AA12" s="14"/>
    </row>
    <row r="13" spans="1:27" x14ac:dyDescent="0.25">
      <c r="A13" s="10" t="s">
        <v>98</v>
      </c>
      <c r="B13" s="10" t="s">
        <v>231</v>
      </c>
      <c r="C13" s="14">
        <f>_xll.BDH("BLUE US Equity","OPER_INC_PER_SH","FQ2 2019","FQ2 2019","Currency=USD","Period=FQ","BEST_FPERIOD_OVERRIDE=FQ","FILING_STATUS=MR","FA_ADJUSTED=GAAP","Sort=A","Dates=H","DateFormat=P","Fill=—","Direction=H","UseDPDF=Y")</f>
        <v>-73.489400000000003</v>
      </c>
      <c r="D13" s="14">
        <f>_xll.BDH("BLUE US Equity","OPER_INC_PER_SH","FQ3 2019","FQ3 2019","Currency=USD","Period=FQ","BEST_FPERIOD_OVERRIDE=FQ","FILING_STATUS=MR","FA_ADJUSTED=GAAP","Sort=A","Dates=H","DateFormat=P","Fill=—","Direction=H","UseDPDF=Y")</f>
        <v>-76.110799999999998</v>
      </c>
      <c r="E13" s="14">
        <f>_xll.BDH("BLUE US Equity","OPER_INC_PER_SH","FQ4 2019","FQ4 2019","Currency=USD","Period=FQ","BEST_FPERIOD_OVERRIDE=FQ","FILING_STATUS=MR","FA_ADJUSTED=GAAP","Sort=A","Dates=H","DateFormat=P","Fill=—","Direction=H","UseDPDF=Y")</f>
        <v>-83.3095</v>
      </c>
      <c r="F13" s="14">
        <f>_xll.BDH("BLUE US Equity","OPER_INC_PER_SH","FQ1 2020","FQ1 2020","Currency=USD","Period=FQ","BEST_FPERIOD_OVERRIDE=FQ","FILING_STATUS=MR","FA_ADJUSTED=GAAP","Sort=A","Dates=H","DateFormat=P","Fill=—","Direction=H","UseDPDF=Y")</f>
        <v>-73.187600000000003</v>
      </c>
      <c r="G13" s="14">
        <f>_xll.BDH("BLUE US Equity","OPER_INC_PER_SH","FQ2 2020","FQ2 2020","Currency=USD","Period=FQ","BEST_FPERIOD_OVERRIDE=FQ","FILING_STATUS=MR","FA_ADJUSTED=GAAP","Sort=A","Dates=H","DateFormat=P","Fill=—","Direction=H","UseDPDF=Y")</f>
        <v>-8.5932999999999993</v>
      </c>
      <c r="H13" s="14">
        <f>_xll.BDH("BLUE US Equity","OPER_INC_PER_SH","FQ3 2020","FQ3 2020","Currency=USD","Period=FQ","BEST_FPERIOD_OVERRIDE=FQ","FILING_STATUS=MR","FA_ADJUSTED=GAAP","Sort=A","Dates=H","DateFormat=P","Fill=—","Direction=H","UseDPDF=Y")</f>
        <v>-57.2652</v>
      </c>
      <c r="I13" s="14">
        <f>_xll.BDH("BLUE US Equity","OPER_INC_PER_SH","FQ4 2020","FQ4 2020","Currency=USD","Period=FQ","BEST_FPERIOD_OVERRIDE=FQ","FILING_STATUS=MR","FA_ADJUSTED=GAAP","Sort=A","Dates=H","DateFormat=P","Fill=—","Direction=H","UseDPDF=Y")</f>
        <v>-41.987200000000001</v>
      </c>
      <c r="J13" s="14">
        <f>_xll.BDH("BLUE US Equity","OPER_INC_PER_SH","FQ1 2021","FQ1 2021","Currency=USD","Period=FQ","BEST_FPERIOD_OVERRIDE=FQ","FILING_STATUS=MR","FA_ADJUSTED=GAAP","Sort=A","Dates=H","DateFormat=P","Fill=—","Direction=H","UseDPDF=Y")</f>
        <v>-43.625799999999998</v>
      </c>
      <c r="K13" s="14">
        <f>_xll.BDH("BLUE US Equity","OPER_INC_PER_SH","FQ2 2021","FQ2 2021","Currency=USD","Period=FQ","BEST_FPERIOD_OVERRIDE=FQ","FILING_STATUS=MR","FA_ADJUSTED=GAAP","Sort=A","Dates=H","DateFormat=P","Fill=—","Direction=H","UseDPDF=Y")</f>
        <v>-71.373199999999997</v>
      </c>
      <c r="L13" s="14">
        <f>_xll.BDH("BLUE US Equity","OPER_INC_PER_SH","FQ3 2021","FQ3 2021","Currency=USD","Period=FQ","BEST_FPERIOD_OVERRIDE=FQ","FILING_STATUS=MR","FA_ADJUSTED=GAAP","Sort=A","Dates=H","DateFormat=P","Fill=—","Direction=H","UseDPDF=Y")</f>
        <v>-45.015099999999997</v>
      </c>
      <c r="M13" s="14">
        <f>_xll.BDH("BLUE US Equity","OPER_INC_PER_SH","FQ4 2021","FQ4 2021","Currency=USD","Period=FQ","BEST_FPERIOD_OVERRIDE=FQ","FILING_STATUS=MR","FA_ADJUSTED=GAAP","Sort=A","Dates=H","DateFormat=P","Fill=—","Direction=H","UseDPDF=Y")</f>
        <v>-37.426400000000001</v>
      </c>
      <c r="N13" s="14">
        <f>_xll.BDH("BLUE US Equity","OPER_INC_PER_SH","FQ1 2022","FQ1 2022","Currency=USD","Period=FQ","BEST_FPERIOD_OVERRIDE=FQ","FILING_STATUS=MR","FA_ADJUSTED=GAAP","Sort=A","Dates=H","DateFormat=P","Fill=—","Direction=H","UseDPDF=Y")</f>
        <v>-32.663699999999999</v>
      </c>
      <c r="O13" s="14">
        <f>_xll.BDH("BLUE US Equity","OPER_INC_PER_SH","FQ2 2022","FQ2 2022","Currency=USD","Period=FQ","BEST_FPERIOD_OVERRIDE=FQ","FILING_STATUS=MR","FA_ADJUSTED=GAAP","Sort=A","Dates=H","DateFormat=P","Fill=—","Direction=H","UseDPDF=Y")</f>
        <v>-29.1187</v>
      </c>
      <c r="P13" s="14">
        <f>_xll.BDH("BLUE US Equity","OPER_INC_PER_SH","FQ3 2022","FQ3 2022","Currency=USD","Period=FQ","BEST_FPERIOD_OVERRIDE=FQ","FILING_STATUS=MR","FA_ADJUSTED=GAAP","Sort=A","Dates=H","DateFormat=P","Fill=—","Direction=H","UseDPDF=Y")</f>
        <v>-20.7942</v>
      </c>
      <c r="Q13" s="14">
        <f>_xll.BDH("BLUE US Equity","OPER_INC_PER_SH","FQ4 2022","FQ4 2022","Currency=USD","Period=FQ","BEST_FPERIOD_OVERRIDE=FQ","FILING_STATUS=MR","FA_ADJUSTED=GAAP","Sort=A","Dates=H","DateFormat=P","Fill=—","Direction=H","UseDPDF=Y")</f>
        <v>14.6099</v>
      </c>
      <c r="R13" s="14">
        <f>_xll.BDH("BLUE US Equity","OPER_INC_PER_SH","FQ1 2023","FQ1 2023","Currency=USD","Period=FQ","BEST_FPERIOD_OVERRIDE=FQ","FILING_STATUS=MR","FA_ADJUSTED=GAAP","Sort=A","Dates=H","DateFormat=P","Fill=—","Direction=H","UseDPDF=Y")</f>
        <v>2.0880000000000001</v>
      </c>
      <c r="S13" s="14">
        <f>_xll.BDH("BLUE US Equity","OPER_INC_PER_SH","FQ2 2023","FQ2 2023","Currency=USD","Period=FQ","BEST_FPERIOD_OVERRIDE=FQ","FILING_STATUS=MR","FA_ADJUSTED=GAAP","Sort=A","Dates=H","DateFormat=P","Fill=—","Direction=H","UseDPDF=Y")</f>
        <v>-13.1972</v>
      </c>
      <c r="T13" s="14">
        <f>_xll.BDH("BLUE US Equity","OPER_INC_PER_SH","FQ3 2023","FQ3 2023","Currency=USD","Period=FQ","BEST_FPERIOD_OVERRIDE=FQ","FILING_STATUS=MR","FA_ADJUSTED=GAAP","Sort=A","Dates=H","DateFormat=P","Fill=—","Direction=H","UseDPDF=Y")</f>
        <v>-17.600000000000001</v>
      </c>
      <c r="U13" s="14">
        <f>_xll.BDH("BLUE US Equity","OPER_INC_PER_SH","FQ4 2023","FQ4 2023","Currency=USD","Period=FQ","BEST_FPERIOD_OVERRIDE=FQ","FILING_STATUS=MR","FA_ADJUSTED=GAAP","Sort=A","Dates=H","DateFormat=P","Fill=—","Direction=H","UseDPDF=Y")</f>
        <v>-13.941800000000001</v>
      </c>
      <c r="V13" s="14">
        <f>_xll.BDH("BLUE US Equity","OPER_INC_PER_SH","FQ1 2024","FQ1 2024","Currency=USD","Period=FQ","BEST_FPERIOD_OVERRIDE=FQ","FILING_STATUS=MR","FA_ADJUSTED=GAAP","Sort=A","Dates=H","DateFormat=P","Fill=—","Direction=H","UseDPDF=Y")</f>
        <v>-8.1481999999999992</v>
      </c>
      <c r="W13" s="14">
        <f>_xll.BDH("BLUE US Equity","OPER_INC_PER_SH","FQ2 2024","FQ2 2024","Currency=USD","Period=FQ","BEST_FPERIOD_OVERRIDE=FQ","FILING_STATUS=MR","FA_ADJUSTED=GAAP","Sort=A","Dates=H","DateFormat=P","Fill=—","Direction=H","UseDPDF=Y")</f>
        <v>-9.1258999999999997</v>
      </c>
      <c r="X13" s="14">
        <f>_xll.BDH("BLUE US Equity","OPER_INC_PER_SH","FQ3 2024","FQ3 2024","Currency=USD","Period=FQ","BEST_FPERIOD_OVERRIDE=FQ","FILING_STATUS=MR","FA_ADJUSTED=GAAP","Sort=A","Dates=H","DateFormat=P","Fill=—","Direction=H","UseDPDF=Y")</f>
        <v>-6.9027000000000003</v>
      </c>
      <c r="Y13" s="14">
        <f>_xll.BDH("BLUE US Equity","OPER_INC_PER_SH","FQ4 2024","FQ4 2024","Currency=USD","Period=FQ","BEST_FPERIOD_OVERRIDE=FQ","FILING_STATUS=MR","FA_ADJUSTED=GAAP","Sort=A","Dates=H","DateFormat=P","Fill=—","Direction=H","UseDPDF=Y")</f>
        <v>-3.7551000000000001</v>
      </c>
      <c r="Z13" s="14"/>
      <c r="AA13" s="14"/>
    </row>
    <row r="14" spans="1:27" x14ac:dyDescent="0.25">
      <c r="A14" s="10" t="s">
        <v>232</v>
      </c>
      <c r="B14" s="10" t="s">
        <v>102</v>
      </c>
      <c r="C14" s="14">
        <f>_xll.BDH("BLUE US Equity","IS_EPS","FQ2 2019","FQ2 2019","Currency=USD","Period=FQ","BEST_FPERIOD_OVERRIDE=FQ","FILING_STATUS=MR","FA_ADJUSTED=GAAP","Sort=A","Dates=H","DateFormat=P","Fill=—","Direction=H","UseDPDF=Y")</f>
        <v>-71</v>
      </c>
      <c r="D14" s="14">
        <f>_xll.BDH("BLUE US Equity","IS_EPS","FQ3 2019","FQ3 2019","Currency=USD","Period=FQ","BEST_FPERIOD_OVERRIDE=FQ","FILING_STATUS=MR","FA_ADJUSTED=GAAP","Sort=A","Dates=H","DateFormat=P","Fill=—","Direction=H","UseDPDF=Y")</f>
        <v>-74.599999999999994</v>
      </c>
      <c r="E14" s="14">
        <f>_xll.BDH("BLUE US Equity","IS_EPS","FQ4 2019","FQ4 2019","Currency=USD","Period=FQ","BEST_FPERIOD_OVERRIDE=FQ","FILING_STATUS=MR","FA_ADJUSTED=GAAP","Sort=A","Dates=H","DateFormat=P","Fill=—","Direction=H","UseDPDF=Y")</f>
        <v>-80.8</v>
      </c>
      <c r="F14" s="14">
        <f>_xll.BDH("BLUE US Equity","IS_EPS","FQ1 2020","FQ1 2020","Currency=USD","Period=FQ","BEST_FPERIOD_OVERRIDE=FQ","FILING_STATUS=MR","FA_ADJUSTED=GAAP","Sort=A","Dates=H","DateFormat=P","Fill=—","Direction=H","UseDPDF=Y")</f>
        <v>-72.8</v>
      </c>
      <c r="G14" s="14">
        <f>_xll.BDH("BLUE US Equity","IS_EPS","FQ2 2020","FQ2 2020","Currency=USD","Period=FQ","BEST_FPERIOD_OVERRIDE=FQ","FILING_STATUS=MR","FA_ADJUSTED=GAAP","Sort=A","Dates=H","DateFormat=P","Fill=—","Direction=H","UseDPDF=Y")</f>
        <v>-7.2</v>
      </c>
      <c r="H14" s="14">
        <f>_xll.BDH("BLUE US Equity","IS_EPS","FQ3 2020","FQ3 2020","Currency=USD","Period=FQ","BEST_FPERIOD_OVERRIDE=FQ","FILING_STATUS=MR","FA_ADJUSTED=GAAP","Sort=A","Dates=H","DateFormat=P","Fill=—","Direction=H","UseDPDF=Y")</f>
        <v>-58.8</v>
      </c>
      <c r="I14" s="14">
        <f>_xll.BDH("BLUE US Equity","IS_EPS","FQ4 2020","FQ4 2020","Currency=USD","Period=FQ","BEST_FPERIOD_OVERRIDE=FQ","FILING_STATUS=MR","FA_ADJUSTED=GAAP","Sort=A","Dates=H","DateFormat=P","Fill=—","Direction=H","UseDPDF=Y")</f>
        <v>-60.2</v>
      </c>
      <c r="J14" s="14">
        <f>_xll.BDH("BLUE US Equity","IS_EPS","FQ1 2021","FQ1 2021","Currency=USD","Period=FQ","BEST_FPERIOD_OVERRIDE=FQ","FILING_STATUS=MR","FA_ADJUSTED=GAAP","Sort=A","Dates=H","DateFormat=P","Fill=—","Direction=H","UseDPDF=Y")</f>
        <v>-61.4</v>
      </c>
      <c r="K14" s="14">
        <f>_xll.BDH("BLUE US Equity","IS_EPS","FQ2 2021","FQ2 2021","Currency=USD","Period=FQ","BEST_FPERIOD_OVERRIDE=FQ","FILING_STATUS=MR","FA_ADJUSTED=GAAP","Sort=A","Dates=H","DateFormat=P","Fill=—","Direction=H","UseDPDF=Y")</f>
        <v>-71.599999999999994</v>
      </c>
      <c r="L14" s="14">
        <f>_xll.BDH("BLUE US Equity","IS_EPS","FQ3 2021","FQ3 2021","Currency=USD","Period=FQ","BEST_FPERIOD_OVERRIDE=FQ","FILING_STATUS=MR","FA_ADJUSTED=GAAP","Sort=A","Dates=H","DateFormat=P","Fill=—","Direction=H","UseDPDF=Y")</f>
        <v>-63.2</v>
      </c>
      <c r="M14" s="14">
        <f>_xll.BDH("BLUE US Equity","IS_EPS","FQ4 2021","FQ4 2021","Currency=USD","Period=FQ","BEST_FPERIOD_OVERRIDE=FQ","FILING_STATUS=MR","FA_ADJUSTED=GAAP","Sort=A","Dates=H","DateFormat=P","Fill=—","Direction=H","UseDPDF=Y")</f>
        <v>-42.8</v>
      </c>
      <c r="N14" s="14">
        <f>_xll.BDH("BLUE US Equity","IS_EPS","FQ1 2022","FQ1 2022","Currency=USD","Period=FQ","BEST_FPERIOD_OVERRIDE=FQ","FILING_STATUS=MR","FA_ADJUSTED=GAAP","Sort=A","Dates=H","DateFormat=P","Fill=—","Direction=H","UseDPDF=Y")</f>
        <v>-33.200000000000003</v>
      </c>
      <c r="O14" s="14">
        <f>_xll.BDH("BLUE US Equity","IS_EPS","FQ2 2022","FQ2 2022","Currency=USD","Period=FQ","BEST_FPERIOD_OVERRIDE=FQ","FILING_STATUS=MR","FA_ADJUSTED=GAAP","Sort=A","Dates=H","DateFormat=P","Fill=—","Direction=H","UseDPDF=Y")</f>
        <v>-27.2</v>
      </c>
      <c r="P14" s="14">
        <f>_xll.BDH("BLUE US Equity","IS_EPS","FQ3 2022","FQ3 2022","Currency=USD","Period=FQ","BEST_FPERIOD_OVERRIDE=FQ","FILING_STATUS=MR","FA_ADJUSTED=GAAP","Sort=A","Dates=H","DateFormat=P","Fill=—","Direction=H","UseDPDF=Y")</f>
        <v>-18.8</v>
      </c>
      <c r="Q14" s="14">
        <f>_xll.BDH("BLUE US Equity","IS_EPS","FQ4 2022","FQ4 2022","Currency=USD","Period=FQ","BEST_FPERIOD_OVERRIDE=FQ","FILING_STATUS=MR","FA_ADJUSTED=GAAP","Sort=A","Dates=H","DateFormat=P","Fill=—","Direction=H","UseDPDF=Y")</f>
        <v>16.0456</v>
      </c>
      <c r="R14" s="14">
        <f>_xll.BDH("BLUE US Equity","IS_EPS","FQ1 2023","FQ1 2023","Currency=USD","Period=FQ","BEST_FPERIOD_OVERRIDE=FQ","FILING_STATUS=MR","FA_ADJUSTED=GAAP","Sort=A","Dates=H","DateFormat=P","Fill=—","Direction=H","UseDPDF=Y")</f>
        <v>3.6</v>
      </c>
      <c r="S14" s="14">
        <f>_xll.BDH("BLUE US Equity","IS_EPS","FQ2 2023","FQ2 2023","Currency=USD","Period=FQ","BEST_FPERIOD_OVERRIDE=FQ","FILING_STATUS=MR","FA_ADJUSTED=GAAP","Sort=A","Dates=H","DateFormat=P","Fill=—","Direction=H","UseDPDF=Y")</f>
        <v>-11.6</v>
      </c>
      <c r="T14" s="14">
        <f>_xll.BDH("BLUE US Equity","IS_EPS","FQ3 2023","FQ3 2023","Currency=USD","Period=FQ","BEST_FPERIOD_OVERRIDE=FQ","FILING_STATUS=MR","FA_ADJUSTED=GAAP","Sort=A","Dates=H","DateFormat=P","Fill=—","Direction=H","UseDPDF=Y")</f>
        <v>-16</v>
      </c>
      <c r="U14" s="14">
        <f>_xll.BDH("BLUE US Equity","IS_EPS","FQ4 2023","FQ4 2023","Currency=USD","Period=FQ","BEST_FPERIOD_OVERRIDE=FQ","FILING_STATUS=MR","FA_ADJUSTED=GAAP","Sort=A","Dates=H","DateFormat=P","Fill=—","Direction=H","UseDPDF=Y")</f>
        <v>-14.9269</v>
      </c>
      <c r="V14" s="14">
        <f>_xll.BDH("BLUE US Equity","IS_EPS","FQ1 2024","FQ1 2024","Currency=USD","Period=FQ","BEST_FPERIOD_OVERRIDE=FQ","FILING_STATUS=MR","FA_ADJUSTED=GAAP","Sort=A","Dates=H","DateFormat=P","Fill=—","Direction=H","UseDPDF=Y")</f>
        <v>-7.2</v>
      </c>
      <c r="W14" s="14">
        <f>_xll.BDH("BLUE US Equity","IS_EPS","FQ2 2024","FQ2 2024","Currency=USD","Period=FQ","BEST_FPERIOD_OVERRIDE=FQ","FILING_STATUS=MR","FA_ADJUSTED=GAAP","Sort=A","Dates=H","DateFormat=P","Fill=—","Direction=H","UseDPDF=Y")</f>
        <v>-8.4</v>
      </c>
      <c r="X14" s="14">
        <f>_xll.BDH("BLUE US Equity","IS_EPS","FQ3 2024","FQ3 2024","Currency=USD","Period=FQ","BEST_FPERIOD_OVERRIDE=FQ","FILING_STATUS=MR","FA_ADJUSTED=GAAP","Sort=A","Dates=H","DateFormat=P","Fill=—","Direction=H","UseDPDF=Y")</f>
        <v>-6.2</v>
      </c>
      <c r="Y14" s="14">
        <f>_xll.BDH("BLUE US Equity","IS_EPS","FQ4 2024","FQ4 2024","Currency=USD","Period=FQ","BEST_FPERIOD_OVERRIDE=FQ","FILING_STATUS=MR","FA_ADJUSTED=GAAP","Sort=A","Dates=H","DateFormat=P","Fill=—","Direction=H","UseDPDF=Y")</f>
        <v>-2.9571000000000001</v>
      </c>
      <c r="Z14" s="14">
        <v>-2.36</v>
      </c>
      <c r="AA14" s="14">
        <v>-0.81899999999999995</v>
      </c>
    </row>
    <row r="15" spans="1:27" x14ac:dyDescent="0.25">
      <c r="A15" s="10" t="s">
        <v>233</v>
      </c>
      <c r="B15" s="10" t="s">
        <v>234</v>
      </c>
      <c r="C15" s="14">
        <f>_xll.BDH("BLUE US Equity","IS_EARN_BEF_XO_ITEMS_PER_SH","FQ2 2019","FQ2 2019","Currency=USD","Period=FQ","BEST_FPERIOD_OVERRIDE=FQ","FILING_STATUS=MR","Sort=A","Dates=H","DateFormat=P","Fill=—","Direction=H","UseDPDF=Y")</f>
        <v>-71</v>
      </c>
      <c r="D15" s="14">
        <f>_xll.BDH("BLUE US Equity","IS_EARN_BEF_XO_ITEMS_PER_SH","FQ3 2019","FQ3 2019","Currency=USD","Period=FQ","BEST_FPERIOD_OVERRIDE=FQ","FILING_STATUS=MR","Sort=A","Dates=H","DateFormat=P","Fill=—","Direction=H","UseDPDF=Y")</f>
        <v>-74.599999999999994</v>
      </c>
      <c r="E15" s="14">
        <f>_xll.BDH("BLUE US Equity","IS_EARN_BEF_XO_ITEMS_PER_SH","FQ4 2019","FQ4 2019","Currency=USD","Period=FQ","BEST_FPERIOD_OVERRIDE=FQ","FILING_STATUS=MR","Sort=A","Dates=H","DateFormat=P","Fill=—","Direction=H","UseDPDF=Y")</f>
        <v>-80.8</v>
      </c>
      <c r="F15" s="14">
        <f>_xll.BDH("BLUE US Equity","IS_EARN_BEF_XO_ITEMS_PER_SH","FQ1 2020","FQ1 2020","Currency=USD","Period=FQ","BEST_FPERIOD_OVERRIDE=FQ","FILING_STATUS=MR","Sort=A","Dates=H","DateFormat=P","Fill=—","Direction=H","UseDPDF=Y")</f>
        <v>-72.8</v>
      </c>
      <c r="G15" s="14">
        <f>_xll.BDH("BLUE US Equity","IS_EARN_BEF_XO_ITEMS_PER_SH","FQ2 2020","FQ2 2020","Currency=USD","Period=FQ","BEST_FPERIOD_OVERRIDE=FQ","FILING_STATUS=MR","Sort=A","Dates=H","DateFormat=P","Fill=—","Direction=H","UseDPDF=Y")</f>
        <v>-7.2</v>
      </c>
      <c r="H15" s="14">
        <f>_xll.BDH("BLUE US Equity","IS_EARN_BEF_XO_ITEMS_PER_SH","FQ3 2020","FQ3 2020","Currency=USD","Period=FQ","BEST_FPERIOD_OVERRIDE=FQ","FILING_STATUS=MR","Sort=A","Dates=H","DateFormat=P","Fill=—","Direction=H","UseDPDF=Y")</f>
        <v>-58.8</v>
      </c>
      <c r="I15" s="14">
        <f>_xll.BDH("BLUE US Equity","IS_EARN_BEF_XO_ITEMS_PER_SH","FQ4 2020","FQ4 2020","Currency=USD","Period=FQ","BEST_FPERIOD_OVERRIDE=FQ","FILING_STATUS=MR","Sort=A","Dates=H","DateFormat=P","Fill=—","Direction=H","UseDPDF=Y")</f>
        <v>-41</v>
      </c>
      <c r="J15" s="14">
        <f>_xll.BDH("BLUE US Equity","IS_EARN_BEF_XO_ITEMS_PER_SH","FQ1 2021","FQ1 2021","Currency=USD","Period=FQ","BEST_FPERIOD_OVERRIDE=FQ","FILING_STATUS=MR","Sort=A","Dates=H","DateFormat=P","Fill=—","Direction=H","UseDPDF=Y")</f>
        <v>-36.200000000000003</v>
      </c>
      <c r="K15" s="14">
        <f>_xll.BDH("BLUE US Equity","IS_EARN_BEF_XO_ITEMS_PER_SH","FQ2 2021","FQ2 2021","Currency=USD","Period=FQ","BEST_FPERIOD_OVERRIDE=FQ","FILING_STATUS=MR","Sort=A","Dates=H","DateFormat=P","Fill=—","Direction=H","UseDPDF=Y")</f>
        <v>-71.599999999999994</v>
      </c>
      <c r="L15" s="14">
        <f>_xll.BDH("BLUE US Equity","IS_EARN_BEF_XO_ITEMS_PER_SH","FQ3 2021","FQ3 2021","Currency=USD","Period=FQ","BEST_FPERIOD_OVERRIDE=FQ","FILING_STATUS=MR","Sort=A","Dates=H","DateFormat=P","Fill=—","Direction=H","UseDPDF=Y")</f>
        <v>-44.6</v>
      </c>
      <c r="M15" s="14">
        <f>_xll.BDH("BLUE US Equity","IS_EARN_BEF_XO_ITEMS_PER_SH","FQ4 2021","FQ4 2021","Currency=USD","Period=FQ","BEST_FPERIOD_OVERRIDE=FQ","FILING_STATUS=MR","Sort=A","Dates=H","DateFormat=P","Fill=—","Direction=H","UseDPDF=Y")</f>
        <v>-36.6</v>
      </c>
      <c r="N15" s="14">
        <f>_xll.BDH("BLUE US Equity","IS_EARN_BEF_XO_ITEMS_PER_SH","FQ1 2022","FQ1 2022","Currency=USD","Period=FQ","BEST_FPERIOD_OVERRIDE=FQ","FILING_STATUS=MR","Sort=A","Dates=H","DateFormat=P","Fill=—","Direction=H","UseDPDF=Y")</f>
        <v>-33.200000000000003</v>
      </c>
      <c r="O15" s="14">
        <f>_xll.BDH("BLUE US Equity","IS_EARN_BEF_XO_ITEMS_PER_SH","FQ2 2022","FQ2 2022","Currency=USD","Period=FQ","BEST_FPERIOD_OVERRIDE=FQ","FILING_STATUS=MR","Sort=A","Dates=H","DateFormat=P","Fill=—","Direction=H","UseDPDF=Y")</f>
        <v>-27.2</v>
      </c>
      <c r="P15" s="14">
        <f>_xll.BDH("BLUE US Equity","IS_EARN_BEF_XO_ITEMS_PER_SH","FQ3 2022","FQ3 2022","Currency=USD","Period=FQ","BEST_FPERIOD_OVERRIDE=FQ","FILING_STATUS=MR","Sort=A","Dates=H","DateFormat=P","Fill=—","Direction=H","UseDPDF=Y")</f>
        <v>-18.8</v>
      </c>
      <c r="Q15" s="14">
        <f>_xll.BDH("BLUE US Equity","IS_EARN_BEF_XO_ITEMS_PER_SH","FQ4 2022","FQ4 2022","Currency=USD","Period=FQ","BEST_FPERIOD_OVERRIDE=FQ","FILING_STATUS=MR","Sort=A","Dates=H","DateFormat=P","Fill=—","Direction=H","UseDPDF=Y")</f>
        <v>16.0456</v>
      </c>
      <c r="R15" s="14">
        <f>_xll.BDH("BLUE US Equity","IS_EARN_BEF_XO_ITEMS_PER_SH","FQ1 2023","FQ1 2023","Currency=USD","Period=FQ","BEST_FPERIOD_OVERRIDE=FQ","FILING_STATUS=MR","Sort=A","Dates=H","DateFormat=P","Fill=—","Direction=H","UseDPDF=Y")</f>
        <v>3.6</v>
      </c>
      <c r="S15" s="14">
        <f>_xll.BDH("BLUE US Equity","IS_EARN_BEF_XO_ITEMS_PER_SH","FQ2 2023","FQ2 2023","Currency=USD","Period=FQ","BEST_FPERIOD_OVERRIDE=FQ","FILING_STATUS=MR","Sort=A","Dates=H","DateFormat=P","Fill=—","Direction=H","UseDPDF=Y")</f>
        <v>-11.6</v>
      </c>
      <c r="T15" s="14">
        <f>_xll.BDH("BLUE US Equity","IS_EARN_BEF_XO_ITEMS_PER_SH","FQ3 2023","FQ3 2023","Currency=USD","Period=FQ","BEST_FPERIOD_OVERRIDE=FQ","FILING_STATUS=MR","Sort=A","Dates=H","DateFormat=P","Fill=—","Direction=H","UseDPDF=Y")</f>
        <v>-16</v>
      </c>
      <c r="U15" s="14">
        <f>_xll.BDH("BLUE US Equity","IS_EARN_BEF_XO_ITEMS_PER_SH","FQ4 2023","FQ4 2023","Currency=USD","Period=FQ","BEST_FPERIOD_OVERRIDE=FQ","FILING_STATUS=MR","Sort=A","Dates=H","DateFormat=P","Fill=—","Direction=H","UseDPDF=Y")</f>
        <v>-14.9269</v>
      </c>
      <c r="V15" s="14">
        <f>_xll.BDH("BLUE US Equity","IS_EARN_BEF_XO_ITEMS_PER_SH","FQ1 2024","FQ1 2024","Currency=USD","Period=FQ","BEST_FPERIOD_OVERRIDE=FQ","FILING_STATUS=MR","Sort=A","Dates=H","DateFormat=P","Fill=—","Direction=H","UseDPDF=Y")</f>
        <v>-7.2</v>
      </c>
      <c r="W15" s="14">
        <f>_xll.BDH("BLUE US Equity","IS_EARN_BEF_XO_ITEMS_PER_SH","FQ2 2024","FQ2 2024","Currency=USD","Period=FQ","BEST_FPERIOD_OVERRIDE=FQ","FILING_STATUS=MR","Sort=A","Dates=H","DateFormat=P","Fill=—","Direction=H","UseDPDF=Y")</f>
        <v>-8.4</v>
      </c>
      <c r="X15" s="14">
        <f>_xll.BDH("BLUE US Equity","IS_EARN_BEF_XO_ITEMS_PER_SH","FQ3 2024","FQ3 2024","Currency=USD","Period=FQ","BEST_FPERIOD_OVERRIDE=FQ","FILING_STATUS=MR","Sort=A","Dates=H","DateFormat=P","Fill=—","Direction=H","UseDPDF=Y")</f>
        <v>-6.2</v>
      </c>
      <c r="Y15" s="14">
        <f>_xll.BDH("BLUE US Equity","IS_EARN_BEF_XO_ITEMS_PER_SH","FQ4 2024","FQ4 2024","Currency=USD","Period=FQ","BEST_FPERIOD_OVERRIDE=FQ","FILING_STATUS=MR","Sort=A","Dates=H","DateFormat=P","Fill=—","Direction=H","UseDPDF=Y")</f>
        <v>-2.9571000000000001</v>
      </c>
      <c r="Z15" s="14">
        <v>-2.36</v>
      </c>
      <c r="AA15" s="14">
        <v>-0.81899999999999995</v>
      </c>
    </row>
    <row r="16" spans="1:27" x14ac:dyDescent="0.25">
      <c r="A16" s="10" t="s">
        <v>235</v>
      </c>
      <c r="B16" s="10" t="s">
        <v>236</v>
      </c>
      <c r="C16" s="14">
        <f>_xll.BDH("BLUE US Equity","IS_BASIC_EPS_CONT_OPS","FQ2 2019","FQ2 2019","Currency=USD","Period=FQ","BEST_FPERIOD_OVERRIDE=FQ","FILING_STATUS=MR","Sort=A","Dates=H","DateFormat=P","Fill=—","Direction=H","UseDPDF=Y")</f>
        <v>-70.919200000000004</v>
      </c>
      <c r="D16" s="14">
        <f>_xll.BDH("BLUE US Equity","IS_BASIC_EPS_CONT_OPS","FQ3 2019","FQ3 2019","Currency=USD","Period=FQ","BEST_FPERIOD_OVERRIDE=FQ","FILING_STATUS=MR","Sort=A","Dates=H","DateFormat=P","Fill=—","Direction=H","UseDPDF=Y")</f>
        <v>-74.296300000000002</v>
      </c>
      <c r="E16" s="14">
        <f>_xll.BDH("BLUE US Equity","IS_BASIC_EPS_CONT_OPS","FQ4 2019","FQ4 2019","Currency=USD","Period=FQ","BEST_FPERIOD_OVERRIDE=FQ","FILING_STATUS=MR","Sort=A","Dates=H","DateFormat=P","Fill=—","Direction=H","UseDPDF=Y")</f>
        <v>-80.302599999999998</v>
      </c>
      <c r="F16" s="14">
        <f>_xll.BDH("BLUE US Equity","IS_BASIC_EPS_CONT_OPS","FQ1 2020","FQ1 2020","Currency=USD","Period=FQ","BEST_FPERIOD_OVERRIDE=FQ","FILING_STATUS=MR","Sort=A","Dates=H","DateFormat=P","Fill=—","Direction=H","UseDPDF=Y")</f>
        <v>-73.778099999999995</v>
      </c>
      <c r="G16" s="14">
        <f>_xll.BDH("BLUE US Equity","IS_BASIC_EPS_CONT_OPS","FQ2 2020","FQ2 2020","Currency=USD","Period=FQ","BEST_FPERIOD_OVERRIDE=FQ","FILING_STATUS=MR","Sort=A","Dates=H","DateFormat=P","Fill=—","Direction=H","UseDPDF=Y")</f>
        <v>-7.5425000000000004</v>
      </c>
      <c r="H16" s="14">
        <f>_xll.BDH("BLUE US Equity","IS_BASIC_EPS_CONT_OPS","FQ3 2020","FQ3 2020","Currency=USD","Period=FQ","BEST_FPERIOD_OVERRIDE=FQ","FILING_STATUS=MR","Sort=A","Dates=H","DateFormat=P","Fill=—","Direction=H","UseDPDF=Y")</f>
        <v>-58.987499999999997</v>
      </c>
      <c r="I16" s="14">
        <f>_xll.BDH("BLUE US Equity","IS_BASIC_EPS_CONT_OPS","FQ4 2020","FQ4 2020","Currency=USD","Period=FQ","BEST_FPERIOD_OVERRIDE=FQ","FILING_STATUS=MR","Sort=A","Dates=H","DateFormat=P","Fill=—","Direction=H","UseDPDF=Y")</f>
        <v>-41</v>
      </c>
      <c r="J16" s="14">
        <f>_xll.BDH("BLUE US Equity","IS_BASIC_EPS_CONT_OPS","FQ1 2021","FQ1 2021","Currency=USD","Period=FQ","BEST_FPERIOD_OVERRIDE=FQ","FILING_STATUS=MR","Sort=A","Dates=H","DateFormat=P","Fill=—","Direction=H","UseDPDF=Y")</f>
        <v>-42.8889</v>
      </c>
      <c r="K16" s="14">
        <f>_xll.BDH("BLUE US Equity","IS_BASIC_EPS_CONT_OPS","FQ2 2021","FQ2 2021","Currency=USD","Period=FQ","BEST_FPERIOD_OVERRIDE=FQ","FILING_STATUS=MR","Sort=A","Dates=H","DateFormat=P","Fill=—","Direction=H","UseDPDF=Y")</f>
        <v>-71.618200000000002</v>
      </c>
      <c r="L16" s="14">
        <f>_xll.BDH("BLUE US Equity","IS_BASIC_EPS_CONT_OPS","FQ3 2021","FQ3 2021","Currency=USD","Period=FQ","BEST_FPERIOD_OVERRIDE=FQ","FILING_STATUS=MR","Sort=A","Dates=H","DateFormat=P","Fill=—","Direction=H","UseDPDF=Y")</f>
        <v>-46.522199999999998</v>
      </c>
      <c r="M16" s="14">
        <f>_xll.BDH("BLUE US Equity","IS_BASIC_EPS_CONT_OPS","FQ4 2021","FQ4 2021","Currency=USD","Period=FQ","BEST_FPERIOD_OVERRIDE=FQ","FILING_STATUS=MR","Sort=A","Dates=H","DateFormat=P","Fill=—","Direction=H","UseDPDF=Y")</f>
        <v>-36.303600000000003</v>
      </c>
      <c r="N16" s="14">
        <f>_xll.BDH("BLUE US Equity","IS_BASIC_EPS_CONT_OPS","FQ1 2022","FQ1 2022","Currency=USD","Period=FQ","BEST_FPERIOD_OVERRIDE=FQ","FILING_STATUS=MR","Sort=A","Dates=H","DateFormat=P","Fill=—","Direction=H","UseDPDF=Y")</f>
        <v>-32.616100000000003</v>
      </c>
      <c r="O16" s="14">
        <f>_xll.BDH("BLUE US Equity","IS_BASIC_EPS_CONT_OPS","FQ2 2022","FQ2 2022","Currency=USD","Period=FQ","BEST_FPERIOD_OVERRIDE=FQ","FILING_STATUS=MR","Sort=A","Dates=H","DateFormat=P","Fill=—","Direction=H","UseDPDF=Y")</f>
        <v>-25.593499999999999</v>
      </c>
      <c r="P16" s="14">
        <f>_xll.BDH("BLUE US Equity","IS_BASIC_EPS_CONT_OPS","FQ3 2022","FQ3 2022","Currency=USD","Period=FQ","BEST_FPERIOD_OVERRIDE=FQ","FILING_STATUS=MR","Sort=A","Dates=H","DateFormat=P","Fill=—","Direction=H","UseDPDF=Y")</f>
        <v>-18.489799999999999</v>
      </c>
      <c r="Q16" s="14">
        <f>_xll.BDH("BLUE US Equity","IS_BASIC_EPS_CONT_OPS","FQ4 2022","FQ4 2022","Currency=USD","Period=FQ","BEST_FPERIOD_OVERRIDE=FQ","FILING_STATUS=MR","Sort=A","Dates=H","DateFormat=P","Fill=—","Direction=H","UseDPDF=Y")</f>
        <v>-3.9992999999999999</v>
      </c>
      <c r="R16" s="14">
        <f>_xll.BDH("BLUE US Equity","IS_BASIC_EPS_CONT_OPS","FQ1 2023","FQ1 2023","Currency=USD","Period=FQ","BEST_FPERIOD_OVERRIDE=FQ","FILING_STATUS=MR","Sort=A","Dates=H","DateFormat=P","Fill=—","Direction=H","UseDPDF=Y")</f>
        <v>-10.5878</v>
      </c>
      <c r="S16" s="14">
        <f>_xll.BDH("BLUE US Equity","IS_BASIC_EPS_CONT_OPS","FQ2 2023","FQ2 2023","Currency=USD","Period=FQ","BEST_FPERIOD_OVERRIDE=FQ","FILING_STATUS=MR","Sort=A","Dates=H","DateFormat=P","Fill=—","Direction=H","UseDPDF=Y")</f>
        <v>-11.6</v>
      </c>
      <c r="T16" s="14">
        <f>_xll.BDH("BLUE US Equity","IS_BASIC_EPS_CONT_OPS","FQ3 2023","FQ3 2023","Currency=USD","Period=FQ","BEST_FPERIOD_OVERRIDE=FQ","FILING_STATUS=MR","Sort=A","Dates=H","DateFormat=P","Fill=—","Direction=H","UseDPDF=Y")</f>
        <v>-16</v>
      </c>
      <c r="U16" s="14">
        <f>_xll.BDH("BLUE US Equity","IS_BASIC_EPS_CONT_OPS","FQ4 2023","FQ4 2023","Currency=USD","Period=FQ","BEST_FPERIOD_OVERRIDE=FQ","FILING_STATUS=MR","Sort=A","Dates=H","DateFormat=P","Fill=—","Direction=H","UseDPDF=Y")</f>
        <v>-14.9269</v>
      </c>
      <c r="V16" s="14">
        <f>_xll.BDH("BLUE US Equity","IS_BASIC_EPS_CONT_OPS","FQ1 2024","FQ1 2024","Currency=USD","Period=FQ","BEST_FPERIOD_OVERRIDE=FQ","FILING_STATUS=MR","Sort=A","Dates=H","DateFormat=P","Fill=—","Direction=H","UseDPDF=Y")</f>
        <v>-7.2</v>
      </c>
      <c r="W16" s="14">
        <f>_xll.BDH("BLUE US Equity","IS_BASIC_EPS_CONT_OPS","FQ2 2024","FQ2 2024","Currency=USD","Period=FQ","BEST_FPERIOD_OVERRIDE=FQ","FILING_STATUS=MR","Sort=A","Dates=H","DateFormat=P","Fill=—","Direction=H","UseDPDF=Y")</f>
        <v>-8.4</v>
      </c>
      <c r="X16" s="14">
        <f>_xll.BDH("BLUE US Equity","IS_BASIC_EPS_CONT_OPS","FQ3 2024","FQ3 2024","Currency=USD","Period=FQ","BEST_FPERIOD_OVERRIDE=FQ","FILING_STATUS=MR","Sort=A","Dates=H","DateFormat=P","Fill=—","Direction=H","UseDPDF=Y")</f>
        <v>-6.0433000000000003</v>
      </c>
      <c r="Y16" s="14">
        <f>_xll.BDH("BLUE US Equity","IS_BASIC_EPS_CONT_OPS","FQ4 2024","FQ4 2024","Currency=USD","Period=FQ","BEST_FPERIOD_OVERRIDE=FQ","FILING_STATUS=MR","Sort=A","Dates=H","DateFormat=P","Fill=—","Direction=H","UseDPDF=Y")</f>
        <v>-2.9609999999999999</v>
      </c>
      <c r="Z16" s="14">
        <v>-2.931</v>
      </c>
      <c r="AA16" s="14">
        <v>-1.5149999999999999</v>
      </c>
    </row>
    <row r="17" spans="1:27" x14ac:dyDescent="0.25">
      <c r="A17" s="10" t="s">
        <v>237</v>
      </c>
      <c r="B17" s="10" t="s">
        <v>104</v>
      </c>
      <c r="C17" s="14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D17" s="14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E17" s="14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F17" s="14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G17" s="14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H17" s="14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I17" s="14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J17" s="14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K17" s="14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L17" s="14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M17" s="14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N17" s="14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O17" s="14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P17" s="14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Q17" s="14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R17" s="14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S17" s="14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T17" s="14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U17" s="14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V17" s="14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W17" s="14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X17" s="14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Y17" s="14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  <c r="Z17" s="14">
        <v>-2.36</v>
      </c>
      <c r="AA17" s="14">
        <v>-0.81899999999999995</v>
      </c>
    </row>
    <row r="18" spans="1:27" x14ac:dyDescent="0.25">
      <c r="A18" s="10" t="s">
        <v>238</v>
      </c>
      <c r="B18" s="10" t="s">
        <v>239</v>
      </c>
      <c r="C18" s="14">
        <f>_xll.BDH("BLUE US Equity","IS_DIL_EPS_BEF_XO","FQ2 2019","FQ2 2019","Currency=USD","Period=FQ","BEST_FPERIOD_OVERRIDE=FQ","FILING_STATUS=MR","Sort=A","Dates=H","DateFormat=P","Fill=—","Direction=H","UseDPDF=Y")</f>
        <v>-71</v>
      </c>
      <c r="D18" s="14">
        <f>_xll.BDH("BLUE US Equity","IS_DIL_EPS_BEF_XO","FQ3 2019","FQ3 2019","Currency=USD","Period=FQ","BEST_FPERIOD_OVERRIDE=FQ","FILING_STATUS=MR","Sort=A","Dates=H","DateFormat=P","Fill=—","Direction=H","UseDPDF=Y")</f>
        <v>-74.599999999999994</v>
      </c>
      <c r="E18" s="14">
        <f>_xll.BDH("BLUE US Equity","IS_DIL_EPS_BEF_XO","FQ4 2019","FQ4 2019","Currency=USD","Period=FQ","BEST_FPERIOD_OVERRIDE=FQ","FILING_STATUS=MR","Sort=A","Dates=H","DateFormat=P","Fill=—","Direction=H","UseDPDF=Y")</f>
        <v>-80.8</v>
      </c>
      <c r="F18" s="14">
        <f>_xll.BDH("BLUE US Equity","IS_DIL_EPS_BEF_XO","FQ1 2020","FQ1 2020","Currency=USD","Period=FQ","BEST_FPERIOD_OVERRIDE=FQ","FILING_STATUS=MR","Sort=A","Dates=H","DateFormat=P","Fill=—","Direction=H","UseDPDF=Y")</f>
        <v>-72.8</v>
      </c>
      <c r="G18" s="14">
        <f>_xll.BDH("BLUE US Equity","IS_DIL_EPS_BEF_XO","FQ2 2020","FQ2 2020","Currency=USD","Period=FQ","BEST_FPERIOD_OVERRIDE=FQ","FILING_STATUS=MR","Sort=A","Dates=H","DateFormat=P","Fill=—","Direction=H","UseDPDF=Y")</f>
        <v>-7.2</v>
      </c>
      <c r="H18" s="14">
        <f>_xll.BDH("BLUE US Equity","IS_DIL_EPS_BEF_XO","FQ3 2020","FQ3 2020","Currency=USD","Period=FQ","BEST_FPERIOD_OVERRIDE=FQ","FILING_STATUS=MR","Sort=A","Dates=H","DateFormat=P","Fill=—","Direction=H","UseDPDF=Y")</f>
        <v>-58.8</v>
      </c>
      <c r="I18" s="14">
        <f>_xll.BDH("BLUE US Equity","IS_DIL_EPS_BEF_XO","FQ4 2020","FQ4 2020","Currency=USD","Period=FQ","BEST_FPERIOD_OVERRIDE=FQ","FILING_STATUS=MR","Sort=A","Dates=H","DateFormat=P","Fill=—","Direction=H","UseDPDF=Y")</f>
        <v>-41</v>
      </c>
      <c r="J18" s="14">
        <f>_xll.BDH("BLUE US Equity","IS_DIL_EPS_BEF_XO","FQ1 2021","FQ1 2021","Currency=USD","Period=FQ","BEST_FPERIOD_OVERRIDE=FQ","FILING_STATUS=MR","Sort=A","Dates=H","DateFormat=P","Fill=—","Direction=H","UseDPDF=Y")</f>
        <v>-36.200000000000003</v>
      </c>
      <c r="K18" s="14">
        <f>_xll.BDH("BLUE US Equity","IS_DIL_EPS_BEF_XO","FQ2 2021","FQ2 2021","Currency=USD","Period=FQ","BEST_FPERIOD_OVERRIDE=FQ","FILING_STATUS=MR","Sort=A","Dates=H","DateFormat=P","Fill=—","Direction=H","UseDPDF=Y")</f>
        <v>-71.599999999999994</v>
      </c>
      <c r="L18" s="14">
        <f>_xll.BDH("BLUE US Equity","IS_DIL_EPS_BEF_XO","FQ3 2021","FQ3 2021","Currency=USD","Period=FQ","BEST_FPERIOD_OVERRIDE=FQ","FILING_STATUS=MR","Sort=A","Dates=H","DateFormat=P","Fill=—","Direction=H","UseDPDF=Y")</f>
        <v>-44.6</v>
      </c>
      <c r="M18" s="14">
        <f>_xll.BDH("BLUE US Equity","IS_DIL_EPS_BEF_XO","FQ4 2021","FQ4 2021","Currency=USD","Period=FQ","BEST_FPERIOD_OVERRIDE=FQ","FILING_STATUS=MR","Sort=A","Dates=H","DateFormat=P","Fill=—","Direction=H","UseDPDF=Y")</f>
        <v>-36.6</v>
      </c>
      <c r="N18" s="14">
        <f>_xll.BDH("BLUE US Equity","IS_DIL_EPS_BEF_XO","FQ1 2022","FQ1 2022","Currency=USD","Period=FQ","BEST_FPERIOD_OVERRIDE=FQ","FILING_STATUS=MR","Sort=A","Dates=H","DateFormat=P","Fill=—","Direction=H","UseDPDF=Y")</f>
        <v>-33.200000000000003</v>
      </c>
      <c r="O18" s="14">
        <f>_xll.BDH("BLUE US Equity","IS_DIL_EPS_BEF_XO","FQ2 2022","FQ2 2022","Currency=USD","Period=FQ","BEST_FPERIOD_OVERRIDE=FQ","FILING_STATUS=MR","Sort=A","Dates=H","DateFormat=P","Fill=—","Direction=H","UseDPDF=Y")</f>
        <v>-27.2</v>
      </c>
      <c r="P18" s="14">
        <f>_xll.BDH("BLUE US Equity","IS_DIL_EPS_BEF_XO","FQ3 2022","FQ3 2022","Currency=USD","Period=FQ","BEST_FPERIOD_OVERRIDE=FQ","FILING_STATUS=MR","Sort=A","Dates=H","DateFormat=P","Fill=—","Direction=H","UseDPDF=Y")</f>
        <v>-18.8</v>
      </c>
      <c r="Q18" s="14">
        <f>_xll.BDH("BLUE US Equity","IS_DIL_EPS_BEF_XO","FQ4 2022","FQ4 2022","Currency=USD","Period=FQ","BEST_FPERIOD_OVERRIDE=FQ","FILING_STATUS=MR","Sort=A","Dates=H","DateFormat=P","Fill=—","Direction=H","UseDPDF=Y")</f>
        <v>16.0456</v>
      </c>
      <c r="R18" s="14">
        <f>_xll.BDH("BLUE US Equity","IS_DIL_EPS_BEF_XO","FQ1 2023","FQ1 2023","Currency=USD","Period=FQ","BEST_FPERIOD_OVERRIDE=FQ","FILING_STATUS=MR","Sort=A","Dates=H","DateFormat=P","Fill=—","Direction=H","UseDPDF=Y")</f>
        <v>3.6</v>
      </c>
      <c r="S18" s="14">
        <f>_xll.BDH("BLUE US Equity","IS_DIL_EPS_BEF_XO","FQ2 2023","FQ2 2023","Currency=USD","Period=FQ","BEST_FPERIOD_OVERRIDE=FQ","FILING_STATUS=MR","Sort=A","Dates=H","DateFormat=P","Fill=—","Direction=H","UseDPDF=Y")</f>
        <v>-11.6</v>
      </c>
      <c r="T18" s="14">
        <f>_xll.BDH("BLUE US Equity","IS_DIL_EPS_BEF_XO","FQ3 2023","FQ3 2023","Currency=USD","Period=FQ","BEST_FPERIOD_OVERRIDE=FQ","FILING_STATUS=MR","Sort=A","Dates=H","DateFormat=P","Fill=—","Direction=H","UseDPDF=Y")</f>
        <v>-16</v>
      </c>
      <c r="U18" s="14">
        <f>_xll.BDH("BLUE US Equity","IS_DIL_EPS_BEF_XO","FQ4 2023","FQ4 2023","Currency=USD","Period=FQ","BEST_FPERIOD_OVERRIDE=FQ","FILING_STATUS=MR","Sort=A","Dates=H","DateFormat=P","Fill=—","Direction=H","UseDPDF=Y")</f>
        <v>-14.9269</v>
      </c>
      <c r="V18" s="14">
        <f>_xll.BDH("BLUE US Equity","IS_DIL_EPS_BEF_XO","FQ1 2024","FQ1 2024","Currency=USD","Period=FQ","BEST_FPERIOD_OVERRIDE=FQ","FILING_STATUS=MR","Sort=A","Dates=H","DateFormat=P","Fill=—","Direction=H","UseDPDF=Y")</f>
        <v>-7.2</v>
      </c>
      <c r="W18" s="14">
        <f>_xll.BDH("BLUE US Equity","IS_DIL_EPS_BEF_XO","FQ2 2024","FQ2 2024","Currency=USD","Period=FQ","BEST_FPERIOD_OVERRIDE=FQ","FILING_STATUS=MR","Sort=A","Dates=H","DateFormat=P","Fill=—","Direction=H","UseDPDF=Y")</f>
        <v>-8.4</v>
      </c>
      <c r="X18" s="14">
        <f>_xll.BDH("BLUE US Equity","IS_DIL_EPS_BEF_XO","FQ3 2024","FQ3 2024","Currency=USD","Period=FQ","BEST_FPERIOD_OVERRIDE=FQ","FILING_STATUS=MR","Sort=A","Dates=H","DateFormat=P","Fill=—","Direction=H","UseDPDF=Y")</f>
        <v>-6.2</v>
      </c>
      <c r="Y18" s="14">
        <f>_xll.BDH("BLUE US Equity","IS_DIL_EPS_BEF_XO","FQ4 2024","FQ4 2024","Currency=USD","Period=FQ","BEST_FPERIOD_OVERRIDE=FQ","FILING_STATUS=MR","Sort=A","Dates=H","DateFormat=P","Fill=—","Direction=H","UseDPDF=Y")</f>
        <v>-2.9571000000000001</v>
      </c>
      <c r="Z18" s="14">
        <v>-2.36</v>
      </c>
      <c r="AA18" s="14">
        <v>-0.81899999999999995</v>
      </c>
    </row>
    <row r="19" spans="1:27" x14ac:dyDescent="0.25">
      <c r="A19" s="10" t="s">
        <v>240</v>
      </c>
      <c r="B19" s="10" t="s">
        <v>82</v>
      </c>
      <c r="C19" s="14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D19" s="14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E19" s="14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F19" s="14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G19" s="14">
        <f>_xll.BDH("BLUE US Equity","IS_DIL_EPS_CONT_OPS","FQ2 2020","FQ2 2020","Currency=USD","Period=FQ","BEST_FPERIOD_OVERRIDE=FQ","FILING_STATUS=MR","Sort=A","Dates=H","DateFormat=P","Fill=—","Direction=H","UseDPDF=Y")</f>
        <v>-7.633</v>
      </c>
      <c r="H19" s="14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I19" s="14">
        <f>_xll.BDH("BLUE US Equity","IS_DIL_EPS_CONT_OPS","FQ4 2020","FQ4 2020","Currency=USD","Period=FQ","BEST_FPERIOD_OVERRIDE=FQ","FILING_STATUS=MR","Sort=A","Dates=H","DateFormat=P","Fill=—","Direction=H","UseDPDF=Y")</f>
        <v>-41</v>
      </c>
      <c r="J19" s="14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K19" s="14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L19" s="14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M19" s="14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N19" s="14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O19" s="14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P19" s="14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Q19" s="14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R19" s="14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S19" s="14">
        <f>_xll.BDH("BLUE US Equity","IS_DIL_EPS_CONT_OPS","FQ2 2023","FQ2 2023","Currency=USD","Period=FQ","BEST_FPERIOD_OVERRIDE=FQ","FILING_STATUS=MR","Sort=A","Dates=H","DateFormat=P","Fill=—","Direction=H","UseDPDF=Y")</f>
        <v>-11.6</v>
      </c>
      <c r="T19" s="14">
        <f>_xll.BDH("BLUE US Equity","IS_DIL_EPS_CONT_OPS","FQ3 2023","FQ3 2023","Currency=USD","Period=FQ","BEST_FPERIOD_OVERRIDE=FQ","FILING_STATUS=MR","Sort=A","Dates=H","DateFormat=P","Fill=—","Direction=H","UseDPDF=Y")</f>
        <v>-16</v>
      </c>
      <c r="U19" s="14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V19" s="14">
        <f>_xll.BDH("BLUE US Equity","IS_DIL_EPS_CONT_OPS","FQ1 2024","FQ1 2024","Currency=USD","Period=FQ","BEST_FPERIOD_OVERRIDE=FQ","FILING_STATUS=MR","Sort=A","Dates=H","DateFormat=P","Fill=—","Direction=H","UseDPDF=Y")</f>
        <v>-7.2</v>
      </c>
      <c r="W19" s="14">
        <f>_xll.BDH("BLUE US Equity","IS_DIL_EPS_CONT_OPS","FQ2 2024","FQ2 2024","Currency=USD","Period=FQ","BEST_FPERIOD_OVERRIDE=FQ","FILING_STATUS=MR","Sort=A","Dates=H","DateFormat=P","Fill=—","Direction=H","UseDPDF=Y")</f>
        <v>-8.4</v>
      </c>
      <c r="X19" s="14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Y19" s="14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  <c r="Z19" s="14">
        <v>-2.931</v>
      </c>
      <c r="AA19" s="14">
        <v>-1.5149999999999999</v>
      </c>
    </row>
    <row r="20" spans="1:27" x14ac:dyDescent="0.25">
      <c r="A20" s="10" t="s">
        <v>241</v>
      </c>
      <c r="B20" s="10" t="s">
        <v>242</v>
      </c>
      <c r="C20" s="14">
        <f>_xll.BDH("BLUE US Equity","EQY_DPS","FQ2 2019","FQ2 2019","Currency=USD","Period=FQ","BEST_FPERIOD_OVERRIDE=FQ","FILING_STATUS=MR","Sort=A","Dates=H","DateFormat=P","Fill=—","Direction=H","UseDPDF=Y")</f>
        <v>0</v>
      </c>
      <c r="D20" s="14">
        <f>_xll.BDH("BLUE US Equity","EQY_DPS","FQ3 2019","FQ3 2019","Currency=USD","Period=FQ","BEST_FPERIOD_OVERRIDE=FQ","FILING_STATUS=MR","Sort=A","Dates=H","DateFormat=P","Fill=—","Direction=H","UseDPDF=Y")</f>
        <v>0</v>
      </c>
      <c r="E20" s="14">
        <f>_xll.BDH("BLUE US Equity","EQY_DPS","FQ4 2019","FQ4 2019","Currency=USD","Period=FQ","BEST_FPERIOD_OVERRIDE=FQ","FILING_STATUS=MR","Sort=A","Dates=H","DateFormat=P","Fill=—","Direction=H","UseDPDF=Y")</f>
        <v>0</v>
      </c>
      <c r="F20" s="14">
        <f>_xll.BDH("BLUE US Equity","EQY_DPS","FQ1 2020","FQ1 2020","Currency=USD","Period=FQ","BEST_FPERIOD_OVERRIDE=FQ","FILING_STATUS=MR","Sort=A","Dates=H","DateFormat=P","Fill=—","Direction=H","UseDPDF=Y")</f>
        <v>0</v>
      </c>
      <c r="G20" s="14">
        <f>_xll.BDH("BLUE US Equity","EQY_DPS","FQ2 2020","FQ2 2020","Currency=USD","Period=FQ","BEST_FPERIOD_OVERRIDE=FQ","FILING_STATUS=MR","Sort=A","Dates=H","DateFormat=P","Fill=—","Direction=H","UseDPDF=Y")</f>
        <v>0</v>
      </c>
      <c r="H20" s="14">
        <f>_xll.BDH("BLUE US Equity","EQY_DPS","FQ3 2020","FQ3 2020","Currency=USD","Period=FQ","BEST_FPERIOD_OVERRIDE=FQ","FILING_STATUS=MR","Sort=A","Dates=H","DateFormat=P","Fill=—","Direction=H","UseDPDF=Y")</f>
        <v>0</v>
      </c>
      <c r="I20" s="14">
        <f>_xll.BDH("BLUE US Equity","EQY_DPS","FQ4 2020","FQ4 2020","Currency=USD","Period=FQ","BEST_FPERIOD_OVERRIDE=FQ","FILING_STATUS=MR","Sort=A","Dates=H","DateFormat=P","Fill=—","Direction=H","UseDPDF=Y")</f>
        <v>0</v>
      </c>
      <c r="J20" s="14">
        <f>_xll.BDH("BLUE US Equity","EQY_DPS","FQ1 2021","FQ1 2021","Currency=USD","Period=FQ","BEST_FPERIOD_OVERRIDE=FQ","FILING_STATUS=MR","Sort=A","Dates=H","DateFormat=P","Fill=—","Direction=H","UseDPDF=Y")</f>
        <v>0</v>
      </c>
      <c r="K20" s="14">
        <f>_xll.BDH("BLUE US Equity","EQY_DPS","FQ2 2021","FQ2 2021","Currency=USD","Period=FQ","BEST_FPERIOD_OVERRIDE=FQ","FILING_STATUS=MR","Sort=A","Dates=H","DateFormat=P","Fill=—","Direction=H","UseDPDF=Y")</f>
        <v>0</v>
      </c>
      <c r="L20" s="14">
        <f>_xll.BDH("BLUE US Equity","EQY_DPS","FQ3 2021","FQ3 2021","Currency=USD","Period=FQ","BEST_FPERIOD_OVERRIDE=FQ","FILING_STATUS=MR","Sort=A","Dates=H","DateFormat=P","Fill=—","Direction=H","UseDPDF=Y")</f>
        <v>0</v>
      </c>
      <c r="M20" s="14">
        <f>_xll.BDH("BLUE US Equity","EQY_DPS","FQ4 2021","FQ4 2021","Currency=USD","Period=FQ","BEST_FPERIOD_OVERRIDE=FQ","FILING_STATUS=MR","Sort=A","Dates=H","DateFormat=P","Fill=—","Direction=H","UseDPDF=Y")</f>
        <v>0</v>
      </c>
      <c r="N20" s="14">
        <f>_xll.BDH("BLUE US Equity","EQY_DPS","FQ1 2022","FQ1 2022","Currency=USD","Period=FQ","BEST_FPERIOD_OVERRIDE=FQ","FILING_STATUS=MR","Sort=A","Dates=H","DateFormat=P","Fill=—","Direction=H","UseDPDF=Y")</f>
        <v>0</v>
      </c>
      <c r="O20" s="14">
        <f>_xll.BDH("BLUE US Equity","EQY_DPS","FQ2 2022","FQ2 2022","Currency=USD","Period=FQ","BEST_FPERIOD_OVERRIDE=FQ","FILING_STATUS=MR","Sort=A","Dates=H","DateFormat=P","Fill=—","Direction=H","UseDPDF=Y")</f>
        <v>0</v>
      </c>
      <c r="P20" s="14">
        <f>_xll.BDH("BLUE US Equity","EQY_DPS","FQ3 2022","FQ3 2022","Currency=USD","Period=FQ","BEST_FPERIOD_OVERRIDE=FQ","FILING_STATUS=MR","Sort=A","Dates=H","DateFormat=P","Fill=—","Direction=H","UseDPDF=Y")</f>
        <v>0</v>
      </c>
      <c r="Q20" s="14">
        <f>_xll.BDH("BLUE US Equity","EQY_DPS","FQ4 2022","FQ4 2022","Currency=USD","Period=FQ","BEST_FPERIOD_OVERRIDE=FQ","FILING_STATUS=MR","Sort=A","Dates=H","DateFormat=P","Fill=—","Direction=H","UseDPDF=Y")</f>
        <v>0</v>
      </c>
      <c r="R20" s="14">
        <f>_xll.BDH("BLUE US Equity","EQY_DPS","FQ1 2023","FQ1 2023","Currency=USD","Period=FQ","BEST_FPERIOD_OVERRIDE=FQ","FILING_STATUS=MR","Sort=A","Dates=H","DateFormat=P","Fill=—","Direction=H","UseDPDF=Y")</f>
        <v>0</v>
      </c>
      <c r="S20" s="14">
        <f>_xll.BDH("BLUE US Equity","EQY_DPS","FQ2 2023","FQ2 2023","Currency=USD","Period=FQ","BEST_FPERIOD_OVERRIDE=FQ","FILING_STATUS=MR","Sort=A","Dates=H","DateFormat=P","Fill=—","Direction=H","UseDPDF=Y")</f>
        <v>0</v>
      </c>
      <c r="T20" s="14">
        <f>_xll.BDH("BLUE US Equity","EQY_DPS","FQ3 2023","FQ3 2023","Currency=USD","Period=FQ","BEST_FPERIOD_OVERRIDE=FQ","FILING_STATUS=MR","Sort=A","Dates=H","DateFormat=P","Fill=—","Direction=H","UseDPDF=Y")</f>
        <v>0</v>
      </c>
      <c r="U20" s="14">
        <f>_xll.BDH("BLUE US Equity","EQY_DPS","FQ4 2023","FQ4 2023","Currency=USD","Period=FQ","BEST_FPERIOD_OVERRIDE=FQ","FILING_STATUS=MR","Sort=A","Dates=H","DateFormat=P","Fill=—","Direction=H","UseDPDF=Y")</f>
        <v>0</v>
      </c>
      <c r="V20" s="14">
        <f>_xll.BDH("BLUE US Equity","EQY_DPS","FQ1 2024","FQ1 2024","Currency=USD","Period=FQ","BEST_FPERIOD_OVERRIDE=FQ","FILING_STATUS=MR","Sort=A","Dates=H","DateFormat=P","Fill=—","Direction=H","UseDPDF=Y")</f>
        <v>0</v>
      </c>
      <c r="W20" s="14">
        <f>_xll.BDH("BLUE US Equity","EQY_DPS","FQ2 2024","FQ2 2024","Currency=USD","Period=FQ","BEST_FPERIOD_OVERRIDE=FQ","FILING_STATUS=MR","Sort=A","Dates=H","DateFormat=P","Fill=—","Direction=H","UseDPDF=Y")</f>
        <v>0</v>
      </c>
      <c r="X20" s="14">
        <f>_xll.BDH("BLUE US Equity","EQY_DPS","FQ3 2024","FQ3 2024","Currency=USD","Period=FQ","BEST_FPERIOD_OVERRIDE=FQ","FILING_STATUS=MR","Sort=A","Dates=H","DateFormat=P","Fill=—","Direction=H","UseDPDF=Y")</f>
        <v>0</v>
      </c>
      <c r="Y20" s="14">
        <f>_xll.BDH("BLUE US Equity","EQY_DPS","FQ4 2024","FQ4 2024","Currency=USD","Period=FQ","BEST_FPERIOD_OVERRIDE=FQ","FILING_STATUS=MR","Sort=A","Dates=H","DateFormat=P","Fill=—","Direction=H","UseDPDF=Y")</f>
        <v>0</v>
      </c>
      <c r="Z20" s="14"/>
      <c r="AA20" s="14"/>
    </row>
    <row r="21" spans="1:27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0" t="s">
        <v>243</v>
      </c>
      <c r="B22" s="10" t="s">
        <v>244</v>
      </c>
      <c r="C22" s="14">
        <f>_xll.BDH("BLUE US Equity","CASH_FLOW_PER_SH","FQ2 2019","FQ2 2019","Currency=USD","Period=FQ","BEST_FPERIOD_OVERRIDE=FQ","FILING_STATUS=MR","Sort=A","Dates=H","DateFormat=P","Fill=—","Direction=H","UseDPDF=Y")</f>
        <v>-49.985700000000001</v>
      </c>
      <c r="D22" s="14">
        <f>_xll.BDH("BLUE US Equity","CASH_FLOW_PER_SH","FQ3 2019","FQ3 2019","Currency=USD","Period=FQ","BEST_FPERIOD_OVERRIDE=FQ","FILING_STATUS=MR","Sort=A","Dates=H","DateFormat=P","Fill=—","Direction=H","UseDPDF=Y")</f>
        <v>-41.011699999999998</v>
      </c>
      <c r="E22" s="14">
        <f>_xll.BDH("BLUE US Equity","CASH_FLOW_PER_SH","FQ4 2019","FQ4 2019","Currency=USD","Period=FQ","BEST_FPERIOD_OVERRIDE=FQ","FILING_STATUS=MR","Sort=A","Dates=H","DateFormat=P","Fill=—","Direction=H","UseDPDF=Y")</f>
        <v>-57.450099999999999</v>
      </c>
      <c r="F22" s="14">
        <f>_xll.BDH("BLUE US Equity","CASH_FLOW_PER_SH","FQ1 2020","FQ1 2020","Currency=USD","Period=FQ","BEST_FPERIOD_OVERRIDE=FQ","FILING_STATUS=MR","Sort=A","Dates=H","DateFormat=P","Fill=—","Direction=H","UseDPDF=Y")</f>
        <v>-74.157600000000002</v>
      </c>
      <c r="G22" s="14">
        <f>_xll.BDH("BLUE US Equity","CASH_FLOW_PER_SH","FQ2 2020","FQ2 2020","Currency=USD","Period=FQ","BEST_FPERIOD_OVERRIDE=FQ","FILING_STATUS=MR","Sort=A","Dates=H","DateFormat=P","Fill=—","Direction=H","UseDPDF=Y")</f>
        <v>13.163399999999999</v>
      </c>
      <c r="H22" s="14">
        <f>_xll.BDH("BLUE US Equity","CASH_FLOW_PER_SH","FQ3 2020","FQ3 2020","Currency=USD","Period=FQ","BEST_FPERIOD_OVERRIDE=FQ","FILING_STATUS=MR","Sort=A","Dates=H","DateFormat=P","Fill=—","Direction=H","UseDPDF=Y")</f>
        <v>-44.914000000000001</v>
      </c>
      <c r="I22" s="14">
        <f>_xll.BDH("BLUE US Equity","CASH_FLOW_PER_SH","FQ4 2020","FQ4 2020","Currency=USD","Period=FQ","BEST_FPERIOD_OVERRIDE=FQ","FILING_STATUS=MR","Sort=A","Dates=H","DateFormat=P","Fill=—","Direction=H","UseDPDF=Y")</f>
        <v>-46.748399999999997</v>
      </c>
      <c r="J22" s="14">
        <f>_xll.BDH("BLUE US Equity","CASH_FLOW_PER_SH","FQ1 2021","FQ1 2021","Currency=USD","Period=FQ","BEST_FPERIOD_OVERRIDE=FQ","FILING_STATUS=MR","Sort=A","Dates=H","DateFormat=P","Fill=—","Direction=H","UseDPDF=Y")</f>
        <v>-60.7164</v>
      </c>
      <c r="K22" s="14">
        <f>_xll.BDH("BLUE US Equity","CASH_FLOW_PER_SH","FQ2 2021","FQ2 2021","Currency=USD","Period=FQ","BEST_FPERIOD_OVERRIDE=FQ","FILING_STATUS=MR","Sort=A","Dates=H","DateFormat=P","Fill=—","Direction=H","UseDPDF=Y")</f>
        <v>-43.1633</v>
      </c>
      <c r="L22" s="14">
        <f>_xll.BDH("BLUE US Equity","CASH_FLOW_PER_SH","FQ3 2021","FQ3 2021","Currency=USD","Period=FQ","BEST_FPERIOD_OVERRIDE=FQ","FILING_STATUS=MR","Sort=A","Dates=H","DateFormat=P","Fill=—","Direction=H","UseDPDF=Y")</f>
        <v>-42.8262</v>
      </c>
      <c r="M22" s="14">
        <f>_xll.BDH("BLUE US Equity","CASH_FLOW_PER_SH","FQ4 2021","FQ4 2021","Currency=USD","Period=FQ","BEST_FPERIOD_OVERRIDE=FQ","FILING_STATUS=MR","Sort=A","Dates=H","DateFormat=P","Fill=—","Direction=H","UseDPDF=Y")</f>
        <v>-38.545900000000003</v>
      </c>
      <c r="N22" s="14">
        <f>_xll.BDH("BLUE US Equity","CASH_FLOW_PER_SH","FQ1 2022","FQ1 2022","Currency=USD","Period=FQ","BEST_FPERIOD_OVERRIDE=FQ","FILING_STATUS=MR","Sort=A","Dates=H","DateFormat=P","Fill=—","Direction=H","UseDPDF=Y")</f>
        <v>-34.007199999999997</v>
      </c>
      <c r="O22" s="14">
        <f>_xll.BDH("BLUE US Equity","CASH_FLOW_PER_SH","FQ2 2022","FQ2 2022","Currency=USD","Period=FQ","BEST_FPERIOD_OVERRIDE=FQ","FILING_STATUS=MR","Sort=A","Dates=H","DateFormat=P","Fill=—","Direction=H","UseDPDF=Y")</f>
        <v>-25.582699999999999</v>
      </c>
      <c r="P22" s="14">
        <f>_xll.BDH("BLUE US Equity","CASH_FLOW_PER_SH","FQ3 2022","FQ3 2022","Currency=USD","Period=FQ","BEST_FPERIOD_OVERRIDE=FQ","FILING_STATUS=MR","Sort=A","Dates=H","DateFormat=P","Fill=—","Direction=H","UseDPDF=Y")</f>
        <v>-18.892099999999999</v>
      </c>
      <c r="Q22" s="14">
        <f>_xll.BDH("BLUE US Equity","CASH_FLOW_PER_SH","FQ4 2022","FQ4 2022","Currency=USD","Period=FQ","BEST_FPERIOD_OVERRIDE=FQ","FILING_STATUS=MR","Sort=A","Dates=H","DateFormat=P","Fill=—","Direction=H","UseDPDF=Y")</f>
        <v>-4.5789999999999997</v>
      </c>
      <c r="R22" s="14">
        <f>_xll.BDH("BLUE US Equity","CASH_FLOW_PER_SH","FQ1 2023","FQ1 2023","Currency=USD","Period=FQ","BEST_FPERIOD_OVERRIDE=FQ","FILING_STATUS=MR","Sort=A","Dates=H","DateFormat=P","Fill=—","Direction=H","UseDPDF=Y")</f>
        <v>-13.8667</v>
      </c>
      <c r="S22" s="14">
        <f>_xll.BDH("BLUE US Equity","CASH_FLOW_PER_SH","FQ2 2023","FQ2 2023","Currency=USD","Period=FQ","BEST_FPERIOD_OVERRIDE=FQ","FILING_STATUS=MR","Sort=A","Dates=H","DateFormat=P","Fill=—","Direction=H","UseDPDF=Y")</f>
        <v>-10.949299999999999</v>
      </c>
      <c r="T22" s="14">
        <f>_xll.BDH("BLUE US Equity","CASH_FLOW_PER_SH","FQ3 2023","FQ3 2023","Currency=USD","Period=FQ","BEST_FPERIOD_OVERRIDE=FQ","FILING_STATUS=MR","Sort=A","Dates=H","DateFormat=P","Fill=—","Direction=H","UseDPDF=Y")</f>
        <v>-9.1753999999999998</v>
      </c>
      <c r="U22" s="14">
        <f>_xll.BDH("BLUE US Equity","CASH_FLOW_PER_SH","FQ4 2023","FQ4 2023","Currency=USD","Period=FQ","BEST_FPERIOD_OVERRIDE=FQ","FILING_STATUS=MR","Sort=A","Dates=H","DateFormat=P","Fill=—","Direction=H","UseDPDF=Y")</f>
        <v>-2.3334000000000001</v>
      </c>
      <c r="V22" s="14">
        <f>_xll.BDH("BLUE US Equity","CASH_FLOW_PER_SH","FQ1 2024","FQ1 2024","Currency=USD","Period=FQ","BEST_FPERIOD_OVERRIDE=FQ","FILING_STATUS=MR","Sort=A","Dates=H","DateFormat=P","Fill=—","Direction=H","UseDPDF=Y")</f>
        <v>-7.7324000000000002</v>
      </c>
      <c r="W22" s="14">
        <f>_xll.BDH("BLUE US Equity","CASH_FLOW_PER_SH","FQ2 2024","FQ2 2024","Currency=USD","Period=FQ","BEST_FPERIOD_OVERRIDE=FQ","FILING_STATUS=MR","Sort=A","Dates=H","DateFormat=P","Fill=—","Direction=H","UseDPDF=Y")</f>
        <v>-6.8400999999999996</v>
      </c>
      <c r="X22" s="14">
        <f>_xll.BDH("BLUE US Equity","CASH_FLOW_PER_SH","FQ3 2024","FQ3 2024","Currency=USD","Period=FQ","BEST_FPERIOD_OVERRIDE=FQ","FILING_STATUS=MR","Sort=A","Dates=H","DateFormat=P","Fill=—","Direction=H","UseDPDF=Y")</f>
        <v>-7.1098999999999997</v>
      </c>
      <c r="Y22" s="14">
        <f>_xll.BDH("BLUE US Equity","CASH_FLOW_PER_SH","FQ4 2024","FQ4 2024","Currency=USD","Period=FQ","BEST_FPERIOD_OVERRIDE=FQ","FILING_STATUS=MR","Sort=A","Dates=H","DateFormat=P","Fill=—","Direction=H","UseDPDF=Y")</f>
        <v>-5.1668000000000003</v>
      </c>
      <c r="Z22" s="14"/>
      <c r="AA22" s="14"/>
    </row>
    <row r="23" spans="1:27" x14ac:dyDescent="0.25">
      <c r="A23" s="10" t="s">
        <v>88</v>
      </c>
      <c r="B23" s="10" t="s">
        <v>245</v>
      </c>
      <c r="C23" s="14">
        <f>_xll.BDH("BLUE US Equity","FREE_CASH_FLOW_PER_SH","FQ2 2019","FQ2 2019","Currency=USD","Period=FQ","BEST_FPERIOD_OVERRIDE=FQ","FILING_STATUS=MR","Sort=A","Dates=H","DateFormat=P","Fill=—","Direction=H","UseDPDF=Y")</f>
        <v>-56.730499999999999</v>
      </c>
      <c r="D23" s="14">
        <f>_xll.BDH("BLUE US Equity","FREE_CASH_FLOW_PER_SH","FQ3 2019","FQ3 2019","Currency=USD","Period=FQ","BEST_FPERIOD_OVERRIDE=FQ","FILING_STATUS=MR","Sort=A","Dates=H","DateFormat=P","Fill=—","Direction=H","UseDPDF=Y")</f>
        <v>-48.503900000000002</v>
      </c>
      <c r="E23" s="14">
        <f>_xll.BDH("BLUE US Equity","FREE_CASH_FLOW_PER_SH","FQ4 2019","FQ4 2019","Currency=USD","Period=FQ","BEST_FPERIOD_OVERRIDE=FQ","FILING_STATUS=MR","Sort=A","Dates=H","DateFormat=P","Fill=—","Direction=H","UseDPDF=Y")</f>
        <v>-61.927599999999998</v>
      </c>
      <c r="F23" s="14">
        <f>_xll.BDH("BLUE US Equity","FREE_CASH_FLOW_PER_SH","FQ1 2020","FQ1 2020","Currency=USD","Period=FQ","BEST_FPERIOD_OVERRIDE=FQ","FILING_STATUS=MR","Sort=A","Dates=H","DateFormat=P","Fill=—","Direction=H","UseDPDF=Y")</f>
        <v>-77.998599999999996</v>
      </c>
      <c r="G23" s="14">
        <f>_xll.BDH("BLUE US Equity","FREE_CASH_FLOW_PER_SH","FQ2 2020","FQ2 2020","Currency=USD","Period=FQ","BEST_FPERIOD_OVERRIDE=FQ","FILING_STATUS=MR","Sort=A","Dates=H","DateFormat=P","Fill=—","Direction=H","UseDPDF=Y")</f>
        <v>11.572900000000001</v>
      </c>
      <c r="H23" s="14">
        <f>_xll.BDH("BLUE US Equity","FREE_CASH_FLOW_PER_SH","FQ3 2020","FQ3 2020","Currency=USD","Period=FQ","BEST_FPERIOD_OVERRIDE=FQ","FILING_STATUS=MR","Sort=A","Dates=H","DateFormat=P","Fill=—","Direction=H","UseDPDF=Y")</f>
        <v>-46.610599999999998</v>
      </c>
      <c r="I23" s="14">
        <f>_xll.BDH("BLUE US Equity","FREE_CASH_FLOW_PER_SH","FQ4 2020","FQ4 2020","Currency=USD","Period=FQ","BEST_FPERIOD_OVERRIDE=FQ","FILING_STATUS=MR","Sort=A","Dates=H","DateFormat=P","Fill=—","Direction=H","UseDPDF=Y")</f>
        <v>-49.124499999999998</v>
      </c>
      <c r="J23" s="14">
        <f>_xll.BDH("BLUE US Equity","FREE_CASH_FLOW_PER_SH","FQ1 2021","FQ1 2021","Currency=USD","Period=FQ","BEST_FPERIOD_OVERRIDE=FQ","FILING_STATUS=MR","Sort=A","Dates=H","DateFormat=P","Fill=—","Direction=H","UseDPDF=Y")</f>
        <v>-62.993600000000001</v>
      </c>
      <c r="K23" s="14">
        <f>_xll.BDH("BLUE US Equity","FREE_CASH_FLOW_PER_SH","FQ2 2021","FQ2 2021","Currency=USD","Period=FQ","BEST_FPERIOD_OVERRIDE=FQ","FILING_STATUS=MR","Sort=A","Dates=H","DateFormat=P","Fill=—","Direction=H","UseDPDF=Y")</f>
        <v>-43.630899999999997</v>
      </c>
      <c r="L23" s="14">
        <f>_xll.BDH("BLUE US Equity","FREE_CASH_FLOW_PER_SH","FQ3 2021","FQ3 2021","Currency=USD","Period=FQ","BEST_FPERIOD_OVERRIDE=FQ","FILING_STATUS=MR","Sort=A","Dates=H","DateFormat=P","Fill=—","Direction=H","UseDPDF=Y")</f>
        <v>-43.9163</v>
      </c>
      <c r="M23" s="14">
        <f>_xll.BDH("BLUE US Equity","FREE_CASH_FLOW_PER_SH","FQ4 2021","FQ4 2021","Currency=USD","Period=FQ","BEST_FPERIOD_OVERRIDE=FQ","FILING_STATUS=MR","Sort=A","Dates=H","DateFormat=P","Fill=—","Direction=H","UseDPDF=Y")</f>
        <v>-38.975999999999999</v>
      </c>
      <c r="N23" s="14">
        <f>_xll.BDH("BLUE US Equity","FREE_CASH_FLOW_PER_SH","FQ1 2022","FQ1 2022","Currency=USD","Period=FQ","BEST_FPERIOD_OVERRIDE=FQ","FILING_STATUS=MR","Sort=A","Dates=H","DateFormat=P","Fill=—","Direction=H","UseDPDF=Y")</f>
        <v>-34.239800000000002</v>
      </c>
      <c r="O23" s="14">
        <f>_xll.BDH("BLUE US Equity","FREE_CASH_FLOW_PER_SH","FQ2 2022","FQ2 2022","Currency=USD","Period=FQ","BEST_FPERIOD_OVERRIDE=FQ","FILING_STATUS=MR","Sort=A","Dates=H","DateFormat=P","Fill=—","Direction=H","UseDPDF=Y")</f>
        <v>-27.203800000000001</v>
      </c>
      <c r="P23" s="14">
        <f>_xll.BDH("BLUE US Equity","FREE_CASH_FLOW_PER_SH","FQ3 2022","FQ3 2022","Currency=USD","Period=FQ","BEST_FPERIOD_OVERRIDE=FQ","FILING_STATUS=MR","Sort=A","Dates=H","DateFormat=P","Fill=—","Direction=H","UseDPDF=Y")</f>
        <v>-19.202100000000002</v>
      </c>
      <c r="Q23" s="14">
        <f>_xll.BDH("BLUE US Equity","FREE_CASH_FLOW_PER_SH","FQ4 2022","FQ4 2022","Currency=USD","Period=FQ","BEST_FPERIOD_OVERRIDE=FQ","FILING_STATUS=MR","Sort=A","Dates=H","DateFormat=P","Fill=—","Direction=H","UseDPDF=Y")</f>
        <v>-4.6043000000000003</v>
      </c>
      <c r="R23" s="14">
        <f>_xll.BDH("BLUE US Equity","FREE_CASH_FLOW_PER_SH","FQ1 2023","FQ1 2023","Currency=USD","Period=FQ","BEST_FPERIOD_OVERRIDE=FQ","FILING_STATUS=MR","Sort=A","Dates=H","DateFormat=P","Fill=—","Direction=H","UseDPDF=Y")</f>
        <v>-13.911799999999999</v>
      </c>
      <c r="S23" s="14">
        <f>_xll.BDH("BLUE US Equity","FREE_CASH_FLOW_PER_SH","FQ2 2023","FQ2 2023","Currency=USD","Period=FQ","BEST_FPERIOD_OVERRIDE=FQ","FILING_STATUS=MR","Sort=A","Dates=H","DateFormat=P","Fill=—","Direction=H","UseDPDF=Y")</f>
        <v>-11.079000000000001</v>
      </c>
      <c r="T23" s="14">
        <f>_xll.BDH("BLUE US Equity","FREE_CASH_FLOW_PER_SH","FQ3 2023","FQ3 2023","Currency=USD","Period=FQ","BEST_FPERIOD_OVERRIDE=FQ","FILING_STATUS=MR","Sort=A","Dates=H","DateFormat=P","Fill=—","Direction=H","UseDPDF=Y")</f>
        <v>-9.5489999999999995</v>
      </c>
      <c r="U23" s="14">
        <f>_xll.BDH("BLUE US Equity","FREE_CASH_FLOW_PER_SH","FQ4 2023","FQ4 2023","Currency=USD","Period=FQ","BEST_FPERIOD_OVERRIDE=FQ","FILING_STATUS=MR","Sort=A","Dates=H","DateFormat=P","Fill=—","Direction=H","UseDPDF=Y")</f>
        <v>-2.5381999999999998</v>
      </c>
      <c r="V23" s="14">
        <f>_xll.BDH("BLUE US Equity","FREE_CASH_FLOW_PER_SH","FQ1 2024","FQ1 2024","Currency=USD","Period=FQ","BEST_FPERIOD_OVERRIDE=FQ","FILING_STATUS=MR","Sort=A","Dates=H","DateFormat=P","Fill=—","Direction=H","UseDPDF=Y")</f>
        <v>-7.9161999999999999</v>
      </c>
      <c r="W23" s="14">
        <f>_xll.BDH("BLUE US Equity","FREE_CASH_FLOW_PER_SH","FQ2 2024","FQ2 2024","Currency=USD","Period=FQ","BEST_FPERIOD_OVERRIDE=FQ","FILING_STATUS=MR","Sort=A","Dates=H","DateFormat=P","Fill=—","Direction=H","UseDPDF=Y")</f>
        <v>-6.8461999999999996</v>
      </c>
      <c r="X23" s="14">
        <f>_xll.BDH("BLUE US Equity","FREE_CASH_FLOW_PER_SH","FQ3 2024","FQ3 2024","Currency=USD","Period=FQ","BEST_FPERIOD_OVERRIDE=FQ","FILING_STATUS=MR","Sort=A","Dates=H","DateFormat=P","Fill=—","Direction=H","UseDPDF=Y")</f>
        <v>-7.1387999999999998</v>
      </c>
      <c r="Y23" s="14">
        <f>_xll.BDH("BLUE US Equity","FREE_CASH_FLOW_PER_SH","FQ4 2024","FQ4 2024","Currency=USD","Period=FQ","BEST_FPERIOD_OVERRIDE=FQ","FILING_STATUS=MR","Sort=A","Dates=H","DateFormat=P","Fill=—","Direction=H","UseDPDF=Y")</f>
        <v>-5.2167000000000003</v>
      </c>
      <c r="Z23" s="14"/>
      <c r="AA23" s="14"/>
    </row>
    <row r="24" spans="1:27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0" t="s">
        <v>3</v>
      </c>
      <c r="B25" s="10" t="s">
        <v>246</v>
      </c>
      <c r="C25" s="14">
        <f>_xll.BDH("BLUE US Equity","CASH_ST_INVESTMENTS_PER_SH","FQ2 2019","FQ2 2019","Currency=USD","Period=FQ","BEST_FPERIOD_OVERRIDE=FQ","FILING_STATUS=MR","Sort=A","Dates=H","DateFormat=P","Fill=—","Direction=H","UseDPDF=Y")</f>
        <v>454.07400000000001</v>
      </c>
      <c r="D25" s="14">
        <f>_xll.BDH("BLUE US Equity","CASH_ST_INVESTMENTS_PER_SH","FQ3 2019","FQ3 2019","Currency=USD","Period=FQ","BEST_FPERIOD_OVERRIDE=FQ","FILING_STATUS=MR","Sort=A","Dates=H","DateFormat=P","Fill=—","Direction=H","UseDPDF=Y")</f>
        <v>426.5926</v>
      </c>
      <c r="E25" s="14">
        <f>_xll.BDH("BLUE US Equity","CASH_ST_INVESTMENTS_PER_SH","FQ4 2019","FQ4 2019","Currency=USD","Period=FQ","BEST_FPERIOD_OVERRIDE=FQ","FILING_STATUS=MR","Sort=A","Dates=H","DateFormat=P","Fill=—","Direction=H","UseDPDF=Y")</f>
        <v>399.67489999999998</v>
      </c>
      <c r="F25" s="14">
        <f>_xll.BDH("BLUE US Equity","CASH_ST_INVESTMENTS_PER_SH","FQ1 2020","FQ1 2020","Currency=USD","Period=FQ","BEST_FPERIOD_OVERRIDE=FQ","FILING_STATUS=MR","Sort=A","Dates=H","DateFormat=P","Fill=—","Direction=H","UseDPDF=Y")</f>
        <v>327.46600000000001</v>
      </c>
      <c r="G25" s="14">
        <f>_xll.BDH("BLUE US Equity","CASH_ST_INVESTMENTS_PER_SH","FQ2 2020","FQ2 2020","Currency=USD","Period=FQ","BEST_FPERIOD_OVERRIDE=FQ","FILING_STATUS=MR","Sort=A","Dates=H","DateFormat=P","Fill=—","Direction=H","UseDPDF=Y")</f>
        <v>468.11950000000002</v>
      </c>
      <c r="H25" s="14">
        <f>_xll.BDH("BLUE US Equity","CASH_ST_INVESTMENTS_PER_SH","FQ3 2020","FQ3 2020","Currency=USD","Period=FQ","BEST_FPERIOD_OVERRIDE=FQ","FILING_STATUS=MR","Sort=A","Dates=H","DateFormat=P","Fill=—","Direction=H","UseDPDF=Y")</f>
        <v>370.89949999999999</v>
      </c>
      <c r="I25" s="14">
        <f>_xll.BDH("BLUE US Equity","CASH_ST_INVESTMENTS_PER_SH","FQ4 2020","FQ4 2020","Currency=USD","Period=FQ","BEST_FPERIOD_OVERRIDE=FQ","FILING_STATUS=MR","Sort=A","Dates=H","DateFormat=P","Fill=—","Direction=H","UseDPDF=Y")</f>
        <v>204.7893</v>
      </c>
      <c r="J25" s="14">
        <f>_xll.BDH("BLUE US Equity","CASH_ST_INVESTMENTS_PER_SH","FQ1 2021","FQ1 2021","Currency=USD","Period=FQ","BEST_FPERIOD_OVERRIDE=FQ","FILING_STATUS=MR","Sort=A","Dates=H","DateFormat=P","Fill=—","Direction=H","UseDPDF=Y")</f>
        <v>300.32810000000001</v>
      </c>
      <c r="K25" s="14">
        <f>_xll.BDH("BLUE US Equity","CASH_ST_INVESTMENTS_PER_SH","FQ2 2021","FQ2 2021","Currency=USD","Period=FQ","BEST_FPERIOD_OVERRIDE=FQ","FILING_STATUS=MR","Sort=A","Dates=H","DateFormat=P","Fill=—","Direction=H","UseDPDF=Y")</f>
        <v>248.61250000000001</v>
      </c>
      <c r="L25" s="14">
        <f>_xll.BDH("BLUE US Equity","CASH_ST_INVESTMENTS_PER_SH","FQ3 2021","FQ3 2021","Currency=USD","Period=FQ","BEST_FPERIOD_OVERRIDE=FQ","FILING_STATUS=MR","Sort=A","Dates=H","DateFormat=P","Fill=—","Direction=H","UseDPDF=Y")</f>
        <v>221.86429999999999</v>
      </c>
      <c r="M25" s="14">
        <f>_xll.BDH("BLUE US Equity","CASH_ST_INVESTMENTS_PER_SH","FQ4 2021","FQ4 2021","Currency=USD","Period=FQ","BEST_FPERIOD_OVERRIDE=FQ","FILING_STATUS=MR","Sort=A","Dates=H","DateFormat=P","Fill=—","Direction=H","UseDPDF=Y")</f>
        <v>84.230599999999995</v>
      </c>
      <c r="N25" s="14">
        <f>_xll.BDH("BLUE US Equity","CASH_ST_INVESTMENTS_PER_SH","FQ1 2022","FQ1 2022","Currency=USD","Period=FQ","BEST_FPERIOD_OVERRIDE=FQ","FILING_STATUS=MR","Sort=A","Dates=H","DateFormat=P","Fill=—","Direction=H","UseDPDF=Y")</f>
        <v>59.236800000000002</v>
      </c>
      <c r="O25" s="14">
        <f>_xll.BDH("BLUE US Equity","CASH_ST_INVESTMENTS_PER_SH","FQ2 2022","FQ2 2022","Currency=USD","Period=FQ","BEST_FPERIOD_OVERRIDE=FQ","FILING_STATUS=MR","Sort=A","Dates=H","DateFormat=P","Fill=—","Direction=H","UseDPDF=Y")</f>
        <v>36.0319</v>
      </c>
      <c r="P25" s="14">
        <f>_xll.BDH("BLUE US Equity","CASH_ST_INVESTMENTS_PER_SH","FQ3 2022","FQ3 2022","Currency=USD","Period=FQ","BEST_FPERIOD_OVERRIDE=FQ","FILING_STATUS=MR","Sort=A","Dates=H","DateFormat=P","Fill=—","Direction=H","UseDPDF=Y")</f>
        <v>33.6952</v>
      </c>
      <c r="Q25" s="14">
        <f>_xll.BDH("BLUE US Equity","CASH_ST_INVESTMENTS_PER_SH","FQ4 2022","FQ4 2022","Currency=USD","Period=FQ","BEST_FPERIOD_OVERRIDE=FQ","FILING_STATUS=MR","Sort=A","Dates=H","DateFormat=P","Fill=—","Direction=H","UseDPDF=Y")</f>
        <v>43.492600000000003</v>
      </c>
      <c r="R25" s="14">
        <f>_xll.BDH("BLUE US Equity","CASH_ST_INVESTMENTS_PER_SH","FQ1 2023","FQ1 2023","Currency=USD","Period=FQ","BEST_FPERIOD_OVERRIDE=FQ","FILING_STATUS=MR","Sort=A","Dates=H","DateFormat=P","Fill=—","Direction=H","UseDPDF=Y")</f>
        <v>59.839599999999997</v>
      </c>
      <c r="S25" s="14">
        <f>_xll.BDH("BLUE US Equity","CASH_ST_INVESTMENTS_PER_SH","FQ2 2023","FQ2 2023","Currency=USD","Period=FQ","BEST_FPERIOD_OVERRIDE=FQ","FILING_STATUS=MR","Sort=A","Dates=H","DateFormat=P","Fill=—","Direction=H","UseDPDF=Y")</f>
        <v>46.086199999999998</v>
      </c>
      <c r="T25" s="14">
        <f>_xll.BDH("BLUE US Equity","CASH_ST_INVESTMENTS_PER_SH","FQ3 2023","FQ3 2023","Currency=USD","Period=FQ","BEST_FPERIOD_OVERRIDE=FQ","FILING_STATUS=MR","Sort=A","Dates=H","DateFormat=P","Fill=—","Direction=H","UseDPDF=Y")</f>
        <v>32.571399999999997</v>
      </c>
      <c r="U25" s="14">
        <f>_xll.BDH("BLUE US Equity","CASH_ST_INVESTMENTS_PER_SH","FQ4 2023","FQ4 2023","Currency=USD","Period=FQ","BEST_FPERIOD_OVERRIDE=FQ","FILING_STATUS=MR","Sort=A","Dates=H","DateFormat=P","Fill=—","Direction=H","UseDPDF=Y")</f>
        <v>23.007000000000001</v>
      </c>
      <c r="V25" s="14">
        <f>_xll.BDH("BLUE US Equity","CASH_ST_INVESTMENTS_PER_SH","FQ1 2024","FQ1 2024","Currency=USD","Period=FQ","BEST_FPERIOD_OVERRIDE=FQ","FILING_STATUS=MR","Sort=A","Dates=H","DateFormat=P","Fill=—","Direction=H","UseDPDF=Y")</f>
        <v>21.907599999999999</v>
      </c>
      <c r="W25" s="14">
        <f>_xll.BDH("BLUE US Equity","CASH_ST_INVESTMENTS_PER_SH","FQ2 2024","FQ2 2024","Currency=USD","Period=FQ","BEST_FPERIOD_OVERRIDE=FQ","FILING_STATUS=MR","Sort=A","Dates=H","DateFormat=P","Fill=—","Direction=H","UseDPDF=Y")</f>
        <v>14.863300000000001</v>
      </c>
      <c r="X25" s="14">
        <f>_xll.BDH("BLUE US Equity","CASH_ST_INVESTMENTS_PER_SH","FQ3 2024","FQ3 2024","Currency=USD","Period=FQ","BEST_FPERIOD_OVERRIDE=FQ","FILING_STATUS=MR","Sort=A","Dates=H","DateFormat=P","Fill=—","Direction=H","UseDPDF=Y")</f>
        <v>7.2866999999999997</v>
      </c>
      <c r="Y25" s="14">
        <f>_xll.BDH("BLUE US Equity","CASH_ST_INVESTMENTS_PER_SH","FQ4 2024","FQ4 2024","Currency=USD","Period=FQ","BEST_FPERIOD_OVERRIDE=FQ","FILING_STATUS=MR","Sort=A","Dates=H","DateFormat=P","Fill=—","Direction=H","UseDPDF=Y")</f>
        <v>6.4047000000000001</v>
      </c>
      <c r="Z25" s="14"/>
      <c r="AA25" s="14"/>
    </row>
    <row r="26" spans="1:27" x14ac:dyDescent="0.25">
      <c r="A26" s="10" t="s">
        <v>247</v>
      </c>
      <c r="B26" s="10" t="s">
        <v>248</v>
      </c>
      <c r="C26" s="14">
        <f>_xll.BDH("BLUE US Equity","BOOK_VAL_PER_SH","FQ2 2019","FQ2 2019","Currency=USD","Period=FQ","BEST_FPERIOD_OVERRIDE=FQ","FILING_STATUS=MR","Sort=A","Dates=H","DateFormat=P","Fill=—","Direction=H","UseDPDF=Y")</f>
        <v>592.58849999999995</v>
      </c>
      <c r="D26" s="14">
        <f>_xll.BDH("BLUE US Equity","BOOK_VAL_PER_SH","FQ3 2019","FQ3 2019","Currency=USD","Period=FQ","BEST_FPERIOD_OVERRIDE=FQ","FILING_STATUS=MR","Sort=A","Dates=H","DateFormat=P","Fill=—","Direction=H","UseDPDF=Y")</f>
        <v>532.07159999999999</v>
      </c>
      <c r="E26" s="14">
        <f>_xll.BDH("BLUE US Equity","BOOK_VAL_PER_SH","FQ4 2019","FQ4 2019","Currency=USD","Period=FQ","BEST_FPERIOD_OVERRIDE=FQ","FILING_STATUS=MR","Sort=A","Dates=H","DateFormat=P","Fill=—","Direction=H","UseDPDF=Y")</f>
        <v>464.16449999999998</v>
      </c>
      <c r="F26" s="14">
        <f>_xll.BDH("BLUE US Equity","BOOK_VAL_PER_SH","FQ1 2020","FQ1 2020","Currency=USD","Period=FQ","BEST_FPERIOD_OVERRIDE=FQ","FILING_STATUS=MR","Sort=A","Dates=H","DateFormat=P","Fill=—","Direction=H","UseDPDF=Y")</f>
        <v>402.88850000000002</v>
      </c>
      <c r="G26" s="14">
        <f>_xll.BDH("BLUE US Equity","BOOK_VAL_PER_SH","FQ2 2020","FQ2 2020","Currency=USD","Period=FQ","BEST_FPERIOD_OVERRIDE=FQ","FILING_STATUS=MR","Sort=A","Dates=H","DateFormat=P","Fill=—","Direction=H","UseDPDF=Y")</f>
        <v>508.19720000000001</v>
      </c>
      <c r="H26" s="14">
        <f>_xll.BDH("BLUE US Equity","BOOK_VAL_PER_SH","FQ3 2020","FQ3 2020","Currency=USD","Period=FQ","BEST_FPERIOD_OVERRIDE=FQ","FILING_STATUS=MR","Sort=A","Dates=H","DateFormat=P","Fill=—","Direction=H","UseDPDF=Y")</f>
        <v>459.16309999999999</v>
      </c>
      <c r="I26" s="14">
        <f>_xll.BDH("BLUE US Equity","BOOK_VAL_PER_SH","FQ4 2020","FQ4 2020","Currency=USD","Period=FQ","BEST_FPERIOD_OVERRIDE=FQ","FILING_STATUS=MR","Sort=A","Dates=H","DateFormat=P","Fill=—","Direction=H","UseDPDF=Y")</f>
        <v>407.95280000000002</v>
      </c>
      <c r="J26" s="14">
        <f>_xll.BDH("BLUE US Equity","BOOK_VAL_PER_SH","FQ1 2021","FQ1 2021","Currency=USD","Period=FQ","BEST_FPERIOD_OVERRIDE=FQ","FILING_STATUS=MR","Sort=A","Dates=H","DateFormat=P","Fill=—","Direction=H","UseDPDF=Y")</f>
        <v>356.06569999999999</v>
      </c>
      <c r="K26" s="14">
        <f>_xll.BDH("BLUE US Equity","BOOK_VAL_PER_SH","FQ2 2021","FQ2 2021","Currency=USD","Period=FQ","BEST_FPERIOD_OVERRIDE=FQ","FILING_STATUS=MR","Sort=A","Dates=H","DateFormat=P","Fill=—","Direction=H","UseDPDF=Y")</f>
        <v>291.50150000000002</v>
      </c>
      <c r="L26" s="14">
        <f>_xll.BDH("BLUE US Equity","BOOK_VAL_PER_SH","FQ3 2021","FQ3 2021","Currency=USD","Period=FQ","BEST_FPERIOD_OVERRIDE=FQ","FILING_STATUS=MR","Sort=A","Dates=H","DateFormat=P","Fill=—","Direction=H","UseDPDF=Y")</f>
        <v>248.37780000000001</v>
      </c>
      <c r="M26" s="14">
        <f>_xll.BDH("BLUE US Equity","BOOK_VAL_PER_SH","FQ4 2021","FQ4 2021","Currency=USD","Period=FQ","BEST_FPERIOD_OVERRIDE=FQ","FILING_STATUS=MR","Sort=A","Dates=H","DateFormat=P","Fill=—","Direction=H","UseDPDF=Y")</f>
        <v>105.25960000000001</v>
      </c>
      <c r="N26" s="14">
        <f>_xll.BDH("BLUE US Equity","BOOK_VAL_PER_SH","FQ1 2022","FQ1 2022","Currency=USD","Period=FQ","BEST_FPERIOD_OVERRIDE=FQ","FILING_STATUS=MR","Sort=A","Dates=H","DateFormat=P","Fill=—","Direction=H","UseDPDF=Y")</f>
        <v>73.702799999999996</v>
      </c>
      <c r="O26" s="14">
        <f>_xll.BDH("BLUE US Equity","BOOK_VAL_PER_SH","FQ2 2022","FQ2 2022","Currency=USD","Period=FQ","BEST_FPERIOD_OVERRIDE=FQ","FILING_STATUS=MR","Sort=A","Dates=H","DateFormat=P","Fill=—","Direction=H","UseDPDF=Y")</f>
        <v>48.977200000000003</v>
      </c>
      <c r="P26" s="14">
        <f>_xll.BDH("BLUE US Equity","BOOK_VAL_PER_SH","FQ3 2022","FQ3 2022","Currency=USD","Period=FQ","BEST_FPERIOD_OVERRIDE=FQ","FILING_STATUS=MR","Sort=A","Dates=H","DateFormat=P","Fill=—","Direction=H","UseDPDF=Y")</f>
        <v>38.334200000000003</v>
      </c>
      <c r="Q26" s="14">
        <f>_xll.BDH("BLUE US Equity","BOOK_VAL_PER_SH","FQ4 2022","FQ4 2022","Currency=USD","Period=FQ","BEST_FPERIOD_OVERRIDE=FQ","FILING_STATUS=MR","Sort=A","Dates=H","DateFormat=P","Fill=—","Direction=H","UseDPDF=Y")</f>
        <v>32.399500000000003</v>
      </c>
      <c r="R26" s="14">
        <f>_xll.BDH("BLUE US Equity","BOOK_VAL_PER_SH","FQ1 2023","FQ1 2023","Currency=USD","Period=FQ","BEST_FPERIOD_OVERRIDE=FQ","FILING_STATUS=MR","Sort=A","Dates=H","DateFormat=P","Fill=—","Direction=H","UseDPDF=Y")</f>
        <v>66.699299999999994</v>
      </c>
      <c r="S26" s="14">
        <f>_xll.BDH("BLUE US Equity","BOOK_VAL_PER_SH","FQ2 2023","FQ2 2023","Currency=USD","Period=FQ","BEST_FPERIOD_OVERRIDE=FQ","FILING_STATUS=MR","Sort=A","Dates=H","DateFormat=P","Fill=—","Direction=H","UseDPDF=Y")</f>
        <v>54.299300000000002</v>
      </c>
      <c r="T26" s="14">
        <f>_xll.BDH("BLUE US Equity","BOOK_VAL_PER_SH","FQ3 2023","FQ3 2023","Currency=USD","Period=FQ","BEST_FPERIOD_OVERRIDE=FQ","FILING_STATUS=MR","Sort=A","Dates=H","DateFormat=P","Fill=—","Direction=H","UseDPDF=Y")</f>
        <v>41.587000000000003</v>
      </c>
      <c r="U26" s="14">
        <f>_xll.BDH("BLUE US Equity","BOOK_VAL_PER_SH","FQ4 2023","FQ4 2023","Currency=USD","Period=FQ","BEST_FPERIOD_OVERRIDE=FQ","FILING_STATUS=MR","Sort=A","Dates=H","DateFormat=P","Fill=—","Direction=H","UseDPDF=Y")</f>
        <v>20.1831</v>
      </c>
      <c r="V26" s="14">
        <f>_xll.BDH("BLUE US Equity","BOOK_VAL_PER_SH","FQ1 2024","FQ1 2024","Currency=USD","Period=FQ","BEST_FPERIOD_OVERRIDE=FQ","FILING_STATUS=MR","Sort=A","Dates=H","DateFormat=P","Fill=—","Direction=H","UseDPDF=Y")</f>
        <v>13.539</v>
      </c>
      <c r="W26" s="14">
        <f>_xll.BDH("BLUE US Equity","BOOK_VAL_PER_SH","FQ2 2024","FQ2 2024","Currency=USD","Period=FQ","BEST_FPERIOD_OVERRIDE=FQ","FILING_STATUS=MR","Sort=A","Dates=H","DateFormat=P","Fill=—","Direction=H","UseDPDF=Y")</f>
        <v>5.4660000000000002</v>
      </c>
      <c r="X26" s="14">
        <f>_xll.BDH("BLUE US Equity","BOOK_VAL_PER_SH","FQ3 2024","FQ3 2024","Currency=USD","Period=FQ","BEST_FPERIOD_OVERRIDE=FQ","FILING_STATUS=MR","Sort=A","Dates=H","DateFormat=P","Fill=—","Direction=H","UseDPDF=Y")</f>
        <v>-0.5968</v>
      </c>
      <c r="Y26" s="14">
        <f>_xll.BDH("BLUE US Equity","BOOK_VAL_PER_SH","FQ4 2024","FQ4 2024","Currency=USD","Period=FQ","BEST_FPERIOD_OVERRIDE=FQ","FILING_STATUS=MR","Sort=A","Dates=H","DateFormat=P","Fill=—","Direction=H","UseDPDF=Y")</f>
        <v>-3.2416</v>
      </c>
      <c r="Z26" s="14"/>
      <c r="AA26" s="14"/>
    </row>
    <row r="27" spans="1:27" x14ac:dyDescent="0.25">
      <c r="A27" s="10" t="s">
        <v>249</v>
      </c>
      <c r="B27" s="10" t="s">
        <v>250</v>
      </c>
      <c r="C27" s="14">
        <f>_xll.BDH("BLUE US Equity","TANG_BOOK_VAL_PER_SH","FQ2 2019","FQ2 2019","Currency=USD","Period=FQ","BEST_FPERIOD_OVERRIDE=FQ","FILING_STATUS=MR","Sort=A","Dates=H","DateFormat=P","Fill=—","Direction=H","UseDPDF=Y")</f>
        <v>581.8664</v>
      </c>
      <c r="D27" s="14">
        <f>_xll.BDH("BLUE US Equity","TANG_BOOK_VAL_PER_SH","FQ3 2019","FQ3 2019","Currency=USD","Period=FQ","BEST_FPERIOD_OVERRIDE=FQ","FILING_STATUS=MR","Sort=A","Dates=H","DateFormat=P","Fill=—","Direction=H","UseDPDF=Y")</f>
        <v>521.75890000000004</v>
      </c>
      <c r="E27" s="14">
        <f>_xll.BDH("BLUE US Equity","TANG_BOOK_VAL_PER_SH","FQ4 2019","FQ4 2019","Currency=USD","Period=FQ","BEST_FPERIOD_OVERRIDE=FQ","FILING_STATUS=MR","Sort=A","Dates=H","DateFormat=P","Fill=—","Direction=H","UseDPDF=Y")</f>
        <v>454.24759999999998</v>
      </c>
      <c r="F27" s="14">
        <f>_xll.BDH("BLUE US Equity","TANG_BOOK_VAL_PER_SH","FQ1 2020","FQ1 2020","Currency=USD","Period=FQ","BEST_FPERIOD_OVERRIDE=FQ","FILING_STATUS=MR","Sort=A","Dates=H","DateFormat=P","Fill=—","Direction=H","UseDPDF=Y")</f>
        <v>393.40199999999999</v>
      </c>
      <c r="G27" s="14">
        <f>_xll.BDH("BLUE US Equity","TANG_BOOK_VAL_PER_SH","FQ2 2020","FQ2 2020","Currency=USD","Period=FQ","BEST_FPERIOD_OVERRIDE=FQ","FILING_STATUS=MR","Sort=A","Dates=H","DateFormat=P","Fill=—","Direction=H","UseDPDF=Y")</f>
        <v>500.54989999999998</v>
      </c>
      <c r="H27" s="14">
        <f>_xll.BDH("BLUE US Equity","TANG_BOOK_VAL_PER_SH","FQ3 2020","FQ3 2020","Currency=USD","Period=FQ","BEST_FPERIOD_OVERRIDE=FQ","FILING_STATUS=MR","Sort=A","Dates=H","DateFormat=P","Fill=—","Direction=H","UseDPDF=Y")</f>
        <v>451.85520000000002</v>
      </c>
      <c r="I27" s="14">
        <f>_xll.BDH("BLUE US Equity","TANG_BOOK_VAL_PER_SH","FQ4 2020","FQ4 2020","Currency=USD","Period=FQ","BEST_FPERIOD_OVERRIDE=FQ","FILING_STATUS=MR","Sort=A","Dates=H","DateFormat=P","Fill=—","Direction=H","UseDPDF=Y")</f>
        <v>404.92930000000001</v>
      </c>
      <c r="J27" s="14">
        <f>_xll.BDH("BLUE US Equity","TANG_BOOK_VAL_PER_SH","FQ1 2021","FQ1 2021","Currency=USD","Period=FQ","BEST_FPERIOD_OVERRIDE=FQ","FILING_STATUS=MR","Sort=A","Dates=H","DateFormat=P","Fill=—","Direction=H","UseDPDF=Y")</f>
        <v>348.76920000000001</v>
      </c>
      <c r="K27" s="14">
        <f>_xll.BDH("BLUE US Equity","TANG_BOOK_VAL_PER_SH","FQ2 2021","FQ2 2021","Currency=USD","Period=FQ","BEST_FPERIOD_OVERRIDE=FQ","FILING_STATUS=MR","Sort=A","Dates=H","DateFormat=P","Fill=—","Direction=H","UseDPDF=Y")</f>
        <v>282.79969999999997</v>
      </c>
      <c r="L27" s="14">
        <f>_xll.BDH("BLUE US Equity","TANG_BOOK_VAL_PER_SH","FQ3 2021","FQ3 2021","Currency=USD","Period=FQ","BEST_FPERIOD_OVERRIDE=FQ","FILING_STATUS=MR","Sort=A","Dates=H","DateFormat=P","Fill=—","Direction=H","UseDPDF=Y")</f>
        <v>241.79689999999999</v>
      </c>
      <c r="M27" s="14">
        <f>_xll.BDH("BLUE US Equity","TANG_BOOK_VAL_PER_SH","FQ4 2021","FQ4 2021","Currency=USD","Period=FQ","BEST_FPERIOD_OVERRIDE=FQ","FILING_STATUS=MR","Sort=A","Dates=H","DateFormat=P","Fill=—","Direction=H","UseDPDF=Y")</f>
        <v>103.6718</v>
      </c>
      <c r="N27" s="14">
        <f>_xll.BDH("BLUE US Equity","TANG_BOOK_VAL_PER_SH","FQ1 2022","FQ1 2022","Currency=USD","Period=FQ","BEST_FPERIOD_OVERRIDE=FQ","FILING_STATUS=MR","Sort=A","Dates=H","DateFormat=P","Fill=—","Direction=H","UseDPDF=Y")</f>
        <v>72.122100000000003</v>
      </c>
      <c r="O27" s="14">
        <f>_xll.BDH("BLUE US Equity","TANG_BOOK_VAL_PER_SH","FQ2 2022","FQ2 2022","Currency=USD","Period=FQ","BEST_FPERIOD_OVERRIDE=FQ","FILING_STATUS=MR","Sort=A","Dates=H","DateFormat=P","Fill=—","Direction=H","UseDPDF=Y")</f>
        <v>47.441899999999997</v>
      </c>
      <c r="P27" s="14">
        <f>_xll.BDH("BLUE US Equity","TANG_BOOK_VAL_PER_SH","FQ3 2022","FQ3 2022","Currency=USD","Period=FQ","BEST_FPERIOD_OVERRIDE=FQ","FILING_STATUS=MR","Sort=A","Dates=H","DateFormat=P","Fill=—","Direction=H","UseDPDF=Y")</f>
        <v>36.971800000000002</v>
      </c>
      <c r="Q27" s="14">
        <f>_xll.BDH("BLUE US Equity","TANG_BOOK_VAL_PER_SH","FQ4 2022","FQ4 2022","Currency=USD","Period=FQ","BEST_FPERIOD_OVERRIDE=FQ","FILING_STATUS=MR","Sort=A","Dates=H","DateFormat=P","Fill=—","Direction=H","UseDPDF=Y")</f>
        <v>29.863600000000002</v>
      </c>
      <c r="R27" s="14">
        <f>_xll.BDH("BLUE US Equity","TANG_BOOK_VAL_PER_SH","FQ1 2023","FQ1 2023","Currency=USD","Period=FQ","BEST_FPERIOD_OVERRIDE=FQ","FILING_STATUS=MR","Sort=A","Dates=H","DateFormat=P","Fill=—","Direction=H","UseDPDF=Y")</f>
        <v>64.582300000000004</v>
      </c>
      <c r="S27" s="14">
        <f>_xll.BDH("BLUE US Equity","TANG_BOOK_VAL_PER_SH","FQ2 2023","FQ2 2023","Currency=USD","Period=FQ","BEST_FPERIOD_OVERRIDE=FQ","FILING_STATUS=MR","Sort=A","Dates=H","DateFormat=P","Fill=—","Direction=H","UseDPDF=Y")</f>
        <v>52.2072</v>
      </c>
      <c r="T27" s="14">
        <f>_xll.BDH("BLUE US Equity","TANG_BOOK_VAL_PER_SH","FQ3 2023","FQ3 2023","Currency=USD","Period=FQ","BEST_FPERIOD_OVERRIDE=FQ","FILING_STATUS=MR","Sort=A","Dates=H","DateFormat=P","Fill=—","Direction=H","UseDPDF=Y")</f>
        <v>39.528700000000001</v>
      </c>
      <c r="U27" s="14">
        <f>_xll.BDH("BLUE US Equity","TANG_BOOK_VAL_PER_SH","FQ4 2023","FQ4 2023","Currency=USD","Period=FQ","BEST_FPERIOD_OVERRIDE=FQ","FILING_STATUS=MR","Sort=A","Dates=H","DateFormat=P","Fill=—","Direction=H","UseDPDF=Y")</f>
        <v>18.514399999999998</v>
      </c>
      <c r="V27" s="14">
        <f>_xll.BDH("BLUE US Equity","TANG_BOOK_VAL_PER_SH","FQ1 2024","FQ1 2024","Currency=USD","Period=FQ","BEST_FPERIOD_OVERRIDE=FQ","FILING_STATUS=MR","Sort=A","Dates=H","DateFormat=P","Fill=—","Direction=H","UseDPDF=Y")</f>
        <v>11.8973</v>
      </c>
      <c r="W27" s="14">
        <f>_xll.BDH("BLUE US Equity","TANG_BOOK_VAL_PER_SH","FQ2 2024","FQ2 2024","Currency=USD","Period=FQ","BEST_FPERIOD_OVERRIDE=FQ","FILING_STATUS=MR","Sort=A","Dates=H","DateFormat=P","Fill=—","Direction=H","UseDPDF=Y")</f>
        <v>3.8506</v>
      </c>
      <c r="X27" s="14">
        <f>_xll.BDH("BLUE US Equity","TANG_BOOK_VAL_PER_SH","FQ3 2024","FQ3 2024","Currency=USD","Period=FQ","BEST_FPERIOD_OVERRIDE=FQ","FILING_STATUS=MR","Sort=A","Dates=H","DateFormat=P","Fill=—","Direction=H","UseDPDF=Y")</f>
        <v>-2.1877</v>
      </c>
      <c r="Y27" s="14">
        <f>_xll.BDH("BLUE US Equity","TANG_BOOK_VAL_PER_SH","FQ4 2024","FQ4 2024","Currency=USD","Period=FQ","BEST_FPERIOD_OVERRIDE=FQ","FILING_STATUS=MR","Sort=A","Dates=H","DateFormat=P","Fill=—","Direction=H","UseDPDF=Y")</f>
        <v>-4.8033999999999999</v>
      </c>
      <c r="Z27" s="14"/>
      <c r="AA27" s="14"/>
    </row>
    <row r="28" spans="1:27" x14ac:dyDescent="0.25">
      <c r="A28" s="7" t="s">
        <v>90</v>
      </c>
      <c r="B28" s="7"/>
      <c r="C28" s="7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251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163</v>
      </c>
    </row>
    <row r="5" spans="1:27" x14ac:dyDescent="0.25">
      <c r="A5" s="9" t="s">
        <v>33</v>
      </c>
      <c r="B5" s="9"/>
      <c r="C5" s="5" t="s">
        <v>96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164</v>
      </c>
    </row>
    <row r="6" spans="1:27" x14ac:dyDescent="0.25">
      <c r="A6" s="6" t="s">
        <v>252</v>
      </c>
      <c r="B6" s="6" t="s">
        <v>218</v>
      </c>
      <c r="C6" s="20">
        <f>_xll.BDH("BLUE US Equity","PX_LAST","FQ1 2019","FQ1 2019","Currency=USD","Period=FQ","BEST_FPERIOD_OVERRIDE=FQ","FILING_STATUS=MR","Sort=A","Dates=H","DateFormat=P","Fill=—","Direction=H","UseDPDF=Y")</f>
        <v>2036.9421</v>
      </c>
      <c r="D6" s="20">
        <f>_xll.BDH("BLUE US Equity","PX_LAST","FQ2 2019","FQ2 2019","Currency=USD","Period=FQ","BEST_FPERIOD_OVERRIDE=FQ","FILING_STATUS=MR","Sort=A","Dates=H","DateFormat=P","Fill=—","Direction=H","UseDPDF=Y")</f>
        <v>1646.8507999999999</v>
      </c>
      <c r="E6" s="20">
        <f>_xll.BDH("BLUE US Equity","PX_LAST","FQ3 2019","FQ3 2019","Currency=USD","Period=FQ","BEST_FPERIOD_OVERRIDE=FQ","FILING_STATUS=MR","Sort=A","Dates=H","DateFormat=P","Fill=—","Direction=H","UseDPDF=Y")</f>
        <v>1188.788</v>
      </c>
      <c r="F6" s="20">
        <f>_xll.BDH("BLUE US Equity","PX_LAST","FQ4 2019","FQ4 2019","Currency=USD","Period=FQ","BEST_FPERIOD_OVERRIDE=FQ","FILING_STATUS=MR","Sort=A","Dates=H","DateFormat=P","Fill=—","Direction=H","UseDPDF=Y")</f>
        <v>1136.0940000000001</v>
      </c>
      <c r="G6" s="20">
        <f>_xll.BDH("BLUE US Equity","PX_LAST","FQ1 2020","FQ1 2020","Currency=USD","Period=FQ","BEST_FPERIOD_OVERRIDE=FQ","FILING_STATUS=MR","Sort=A","Dates=H","DateFormat=P","Fill=—","Direction=H","UseDPDF=Y")</f>
        <v>595.04139999999995</v>
      </c>
      <c r="H6" s="20">
        <f>_xll.BDH("BLUE US Equity","PX_LAST","FQ2 2020","FQ2 2020","Currency=USD","Period=FQ","BEST_FPERIOD_OVERRIDE=FQ","FILING_STATUS=MR","Sort=A","Dates=H","DateFormat=P","Fill=—","Direction=H","UseDPDF=Y")</f>
        <v>790.28120000000001</v>
      </c>
      <c r="I6" s="20">
        <f>_xll.BDH("BLUE US Equity","PX_LAST","FQ3 2020","FQ3 2020","Currency=USD","Period=FQ","BEST_FPERIOD_OVERRIDE=FQ","FILING_STATUS=MR","Sort=A","Dates=H","DateFormat=P","Fill=—","Direction=H","UseDPDF=Y")</f>
        <v>698.48739999999998</v>
      </c>
      <c r="J6" s="20">
        <f>_xll.BDH("BLUE US Equity","PX_LAST","FQ4 2020","FQ4 2020","Currency=USD","Period=FQ","BEST_FPERIOD_OVERRIDE=FQ","FILING_STATUS=MR","Sort=A","Dates=H","DateFormat=P","Fill=—","Direction=H","UseDPDF=Y")</f>
        <v>560.21410000000003</v>
      </c>
      <c r="K6" s="20">
        <f>_xll.BDH("BLUE US Equity","PX_LAST","FQ1 2021","FQ1 2021","Currency=USD","Period=FQ","BEST_FPERIOD_OVERRIDE=FQ","FILING_STATUS=MR","Sort=A","Dates=H","DateFormat=P","Fill=—","Direction=H","UseDPDF=Y")</f>
        <v>390.35019999999997</v>
      </c>
      <c r="L6" s="20">
        <f>_xll.BDH("BLUE US Equity","PX_LAST","FQ2 2021","FQ2 2021","Currency=USD","Period=FQ","BEST_FPERIOD_OVERRIDE=FQ","FILING_STATUS=MR","Sort=A","Dates=H","DateFormat=P","Fill=—","Direction=H","UseDPDF=Y")</f>
        <v>414.04309999999998</v>
      </c>
      <c r="M6" s="20">
        <f>_xll.BDH("BLUE US Equity","PX_LAST","FQ3 2021","FQ3 2021","Currency=USD","Period=FQ","BEST_FPERIOD_OVERRIDE=FQ","FILING_STATUS=MR","Sort=A","Dates=H","DateFormat=P","Fill=—","Direction=H","UseDPDF=Y")</f>
        <v>247.416</v>
      </c>
      <c r="N6" s="20">
        <f>_xll.BDH("BLUE US Equity","PX_LAST","FQ4 2021","FQ4 2021","Currency=USD","Period=FQ","BEST_FPERIOD_OVERRIDE=FQ","FILING_STATUS=MR","Sort=A","Dates=H","DateFormat=P","Fill=—","Direction=H","UseDPDF=Y")</f>
        <v>199.8</v>
      </c>
      <c r="O6" s="20">
        <f>_xll.BDH("BLUE US Equity","PX_LAST","FQ1 2022","FQ1 2022","Currency=USD","Period=FQ","BEST_FPERIOD_OVERRIDE=FQ","FILING_STATUS=MR","Sort=A","Dates=H","DateFormat=P","Fill=—","Direction=H","UseDPDF=Y")</f>
        <v>97</v>
      </c>
      <c r="P6" s="20">
        <f>_xll.BDH("BLUE US Equity","PX_LAST","FQ2 2022","FQ2 2022","Currency=USD","Period=FQ","BEST_FPERIOD_OVERRIDE=FQ","FILING_STATUS=MR","Sort=A","Dates=H","DateFormat=P","Fill=—","Direction=H","UseDPDF=Y")</f>
        <v>82.8</v>
      </c>
      <c r="Q6" s="20">
        <f>_xll.BDH("BLUE US Equity","PX_LAST","FQ3 2022","FQ3 2022","Currency=USD","Period=FQ","BEST_FPERIOD_OVERRIDE=FQ","FILING_STATUS=MR","Sort=A","Dates=H","DateFormat=P","Fill=—","Direction=H","UseDPDF=Y")</f>
        <v>126.6</v>
      </c>
      <c r="R6" s="20">
        <f>_xll.BDH("BLUE US Equity","PX_LAST","FQ4 2022","FQ4 2022","Currency=USD","Period=FQ","BEST_FPERIOD_OVERRIDE=FQ","FILING_STATUS=MR","Sort=A","Dates=H","DateFormat=P","Fill=—","Direction=H","UseDPDF=Y")</f>
        <v>138.4</v>
      </c>
      <c r="S6" s="20">
        <f>_xll.BDH("BLUE US Equity","PX_LAST","FQ1 2023","FQ1 2023","Currency=USD","Period=FQ","BEST_FPERIOD_OVERRIDE=FQ","FILING_STATUS=MR","Sort=A","Dates=H","DateFormat=P","Fill=—","Direction=H","UseDPDF=Y")</f>
        <v>63.6</v>
      </c>
      <c r="T6" s="20">
        <f>_xll.BDH("BLUE US Equity","PX_LAST","FQ2 2023","FQ2 2023","Currency=USD","Period=FQ","BEST_FPERIOD_OVERRIDE=FQ","FILING_STATUS=MR","Sort=A","Dates=H","DateFormat=P","Fill=—","Direction=H","UseDPDF=Y")</f>
        <v>65.8</v>
      </c>
      <c r="U6" s="20">
        <f>_xll.BDH("BLUE US Equity","PX_LAST","FQ3 2023","FQ3 2023","Currency=USD","Period=FQ","BEST_FPERIOD_OVERRIDE=FQ","FILING_STATUS=MR","Sort=A","Dates=H","DateFormat=P","Fill=—","Direction=H","UseDPDF=Y")</f>
        <v>60.8</v>
      </c>
      <c r="V6" s="20">
        <f>_xll.BDH("BLUE US Equity","PX_LAST","FQ4 2023","FQ4 2023","Currency=USD","Period=FQ","BEST_FPERIOD_OVERRIDE=FQ","FILING_STATUS=MR","Sort=A","Dates=H","DateFormat=P","Fill=—","Direction=H","UseDPDF=Y")</f>
        <v>27.6</v>
      </c>
      <c r="W6" s="20">
        <f>_xll.BDH("BLUE US Equity","PX_LAST","FQ1 2024","FQ1 2024","Currency=USD","Period=FQ","BEST_FPERIOD_OVERRIDE=FQ","FILING_STATUS=MR","Sort=A","Dates=H","DateFormat=P","Fill=—","Direction=H","UseDPDF=Y")</f>
        <v>25.6</v>
      </c>
      <c r="X6" s="20">
        <f>_xll.BDH("BLUE US Equity","PX_LAST","FQ2 2024","FQ2 2024","Currency=USD","Period=FQ","BEST_FPERIOD_OVERRIDE=FQ","FILING_STATUS=MR","Sort=A","Dates=H","DateFormat=P","Fill=—","Direction=H","UseDPDF=Y")</f>
        <v>19.684000000000001</v>
      </c>
      <c r="Y6" s="20">
        <f>_xll.BDH("BLUE US Equity","PX_LAST","FQ3 2024","FQ3 2024","Currency=USD","Period=FQ","BEST_FPERIOD_OVERRIDE=FQ","FILING_STATUS=MR","Sort=A","Dates=H","DateFormat=P","Fill=—","Direction=H","UseDPDF=Y")</f>
        <v>10.39</v>
      </c>
      <c r="Z6" s="20">
        <f>_xll.BDH("BLUE US Equity","PX_LAST","FQ4 2024","FQ4 2024","Currency=USD","Period=FQ","BEST_FPERIOD_OVERRIDE=FQ","FILING_STATUS=MR","Sort=A","Dates=H","DateFormat=P","Fill=—","Direction=H","UseDPDF=Y")</f>
        <v>8.34</v>
      </c>
      <c r="AA6" s="23">
        <v>3.7799999713897701</v>
      </c>
    </row>
    <row r="7" spans="1:27" x14ac:dyDescent="0.25">
      <c r="A7" s="11" t="s">
        <v>253</v>
      </c>
      <c r="B7" s="11" t="s">
        <v>254</v>
      </c>
      <c r="C7" s="26">
        <f>_xll.BDH("BLUE US Equity","CHG_PCT_PERIOD","FQ1 2019","FQ1 2019","Currency=USD","Period=FQ","BEST_FPERIOD_OVERRIDE=FQ","FILING_STATUS=MR","Sort=A","Dates=H","DateFormat=P","Fill=—","Direction=H","UseDPDF=Y")</f>
        <v>58.598799999999997</v>
      </c>
      <c r="D7" s="26">
        <f>_xll.BDH("BLUE US Equity","CHG_PCT_PERIOD","FQ2 2019","FQ2 2019","Currency=USD","Period=FQ","BEST_FPERIOD_OVERRIDE=FQ","FILING_STATUS=MR","Sort=A","Dates=H","DateFormat=P","Fill=—","Direction=H","UseDPDF=Y")</f>
        <v>-19.1508</v>
      </c>
      <c r="E7" s="26" t="str">
        <f>_xll.BDH("BLUE US Equity","CHG_PCT_PERIOD","FQ3 2019","FQ3 2019","Currency=USD","Period=FQ","BEST_FPERIOD_OVERRIDE=FQ","FILING_STATUS=MR","Sort=A","Dates=H","DateFormat=P","Fill=—","Direction=H","UseDPDF=Y")</f>
        <v>—</v>
      </c>
      <c r="F7" s="26">
        <f>_xll.BDH("BLUE US Equity","CHG_PCT_PERIOD","FQ4 2019","FQ4 2019","Currency=USD","Period=FQ","BEST_FPERIOD_OVERRIDE=FQ","FILING_STATUS=MR","Sort=A","Dates=H","DateFormat=P","Fill=—","Direction=H","UseDPDF=Y")</f>
        <v>-4.4325999999999999</v>
      </c>
      <c r="G7" s="26">
        <f>_xll.BDH("BLUE US Equity","CHG_PCT_PERIOD","FQ1 2020","FQ1 2020","Currency=USD","Period=FQ","BEST_FPERIOD_OVERRIDE=FQ","FILING_STATUS=MR","Sort=A","Dates=H","DateFormat=P","Fill=—","Direction=H","UseDPDF=Y")</f>
        <v>-47.623899999999999</v>
      </c>
      <c r="H7" s="26">
        <f>_xll.BDH("BLUE US Equity","CHG_PCT_PERIOD","FQ2 2020","FQ2 2020","Currency=USD","Period=FQ","BEST_FPERIOD_OVERRIDE=FQ","FILING_STATUS=MR","Sort=A","Dates=H","DateFormat=P","Fill=—","Direction=H","UseDPDF=Y")</f>
        <v>32.811100000000003</v>
      </c>
      <c r="I7" s="26">
        <f>_xll.BDH("BLUE US Equity","CHG_PCT_PERIOD","FQ3 2020","FQ3 2020","Currency=USD","Period=FQ","BEST_FPERIOD_OVERRIDE=FQ","FILING_STATUS=MR","Sort=A","Dates=H","DateFormat=P","Fill=—","Direction=H","UseDPDF=Y")</f>
        <v>-11.6153</v>
      </c>
      <c r="J7" s="26">
        <f>_xll.BDH("BLUE US Equity","CHG_PCT_PERIOD","FQ4 2020","FQ4 2020","Currency=USD","Period=FQ","BEST_FPERIOD_OVERRIDE=FQ","FILING_STATUS=MR","Sort=A","Dates=H","DateFormat=P","Fill=—","Direction=H","UseDPDF=Y")</f>
        <v>-19.796099999999999</v>
      </c>
      <c r="K7" s="26">
        <f>_xll.BDH("BLUE US Equity","CHG_PCT_PERIOD","FQ1 2021","FQ1 2021","Currency=USD","Period=FQ","BEST_FPERIOD_OVERRIDE=FQ","FILING_STATUS=MR","Sort=A","Dates=H","DateFormat=P","Fill=—","Direction=H","UseDPDF=Y")</f>
        <v>-30.321200000000001</v>
      </c>
      <c r="L7" s="26">
        <f>_xll.BDH("BLUE US Equity","CHG_PCT_PERIOD","FQ2 2021","FQ2 2021","Currency=USD","Period=FQ","BEST_FPERIOD_OVERRIDE=FQ","FILING_STATUS=MR","Sort=A","Dates=H","DateFormat=P","Fill=—","Direction=H","UseDPDF=Y")</f>
        <v>6.0697000000000001</v>
      </c>
      <c r="M7" s="26">
        <f>_xll.BDH("BLUE US Equity","CHG_PCT_PERIOD","FQ3 2021","FQ3 2021","Currency=USD","Period=FQ","BEST_FPERIOD_OVERRIDE=FQ","FILING_STATUS=MR","Sort=A","Dates=H","DateFormat=P","Fill=—","Direction=H","UseDPDF=Y")</f>
        <v>-40.243899999999996</v>
      </c>
      <c r="N7" s="26">
        <f>_xll.BDH("BLUE US Equity","CHG_PCT_PERIOD","FQ4 2021","FQ4 2021","Currency=USD","Period=FQ","BEST_FPERIOD_OVERRIDE=FQ","FILING_STATUS=MR","Sort=A","Dates=H","DateFormat=P","Fill=—","Direction=H","UseDPDF=Y")</f>
        <v>-19.2453</v>
      </c>
      <c r="O7" s="26">
        <f>_xll.BDH("BLUE US Equity","CHG_PCT_PERIOD","FQ1 2022","FQ1 2022","Currency=USD","Period=FQ","BEST_FPERIOD_OVERRIDE=FQ","FILING_STATUS=MR","Sort=A","Dates=H","DateFormat=P","Fill=—","Direction=H","UseDPDF=Y")</f>
        <v>-51.451500000000003</v>
      </c>
      <c r="P7" s="26">
        <f>_xll.BDH("BLUE US Equity","CHG_PCT_PERIOD","FQ2 2022","FQ2 2022","Currency=USD","Period=FQ","BEST_FPERIOD_OVERRIDE=FQ","FILING_STATUS=MR","Sort=A","Dates=H","DateFormat=P","Fill=—","Direction=H","UseDPDF=Y")</f>
        <v>-14.639200000000001</v>
      </c>
      <c r="Q7" s="26">
        <f>_xll.BDH("BLUE US Equity","CHG_PCT_PERIOD","FQ3 2022","FQ3 2022","Currency=USD","Period=FQ","BEST_FPERIOD_OVERRIDE=FQ","FILING_STATUS=MR","Sort=A","Dates=H","DateFormat=P","Fill=—","Direction=H","UseDPDF=Y")</f>
        <v>52.898600000000002</v>
      </c>
      <c r="R7" s="26">
        <f>_xll.BDH("BLUE US Equity","CHG_PCT_PERIOD","FQ4 2022","FQ4 2022","Currency=USD","Period=FQ","BEST_FPERIOD_OVERRIDE=FQ","FILING_STATUS=MR","Sort=A","Dates=H","DateFormat=P","Fill=—","Direction=H","UseDPDF=Y")</f>
        <v>9.3207000000000004</v>
      </c>
      <c r="S7" s="26">
        <f>_xll.BDH("BLUE US Equity","CHG_PCT_PERIOD","FQ1 2023","FQ1 2023","Currency=USD","Period=FQ","BEST_FPERIOD_OVERRIDE=FQ","FILING_STATUS=MR","Sort=A","Dates=H","DateFormat=P","Fill=—","Direction=H","UseDPDF=Y")</f>
        <v>-54.046199999999999</v>
      </c>
      <c r="T7" s="26">
        <f>_xll.BDH("BLUE US Equity","CHG_PCT_PERIOD","FQ2 2023","FQ2 2023","Currency=USD","Period=FQ","BEST_FPERIOD_OVERRIDE=FQ","FILING_STATUS=MR","Sort=A","Dates=H","DateFormat=P","Fill=—","Direction=H","UseDPDF=Y")</f>
        <v>3.4590999999999998</v>
      </c>
      <c r="U7" s="26">
        <f>_xll.BDH("BLUE US Equity","CHG_PCT_PERIOD","FQ3 2023","FQ3 2023","Currency=USD","Period=FQ","BEST_FPERIOD_OVERRIDE=FQ","FILING_STATUS=MR","Sort=A","Dates=H","DateFormat=P","Fill=—","Direction=H","UseDPDF=Y")</f>
        <v>-7.5987999999999998</v>
      </c>
      <c r="V7" s="26">
        <f>_xll.BDH("BLUE US Equity","CHG_PCT_PERIOD","FQ4 2023","FQ4 2023","Currency=USD","Period=FQ","BEST_FPERIOD_OVERRIDE=FQ","FILING_STATUS=MR","Sort=A","Dates=H","DateFormat=P","Fill=—","Direction=H","UseDPDF=Y")</f>
        <v>-54.6053</v>
      </c>
      <c r="W7" s="26">
        <f>_xll.BDH("BLUE US Equity","CHG_PCT_PERIOD","FQ1 2024","FQ1 2024","Currency=USD","Period=FQ","BEST_FPERIOD_OVERRIDE=FQ","FILING_STATUS=MR","Sort=A","Dates=H","DateFormat=P","Fill=—","Direction=H","UseDPDF=Y")</f>
        <v>-7.2464000000000004</v>
      </c>
      <c r="X7" s="26" t="str">
        <f>_xll.BDH("BLUE US Equity","CHG_PCT_PERIOD","FQ2 2024","FQ2 2024","Currency=USD","Period=FQ","BEST_FPERIOD_OVERRIDE=FQ","FILING_STATUS=MR","Sort=A","Dates=H","DateFormat=P","Fill=—","Direction=H","UseDPDF=Y")</f>
        <v>—</v>
      </c>
      <c r="Y7" s="26" t="str">
        <f>_xll.BDH("BLUE US Equity","CHG_PCT_PERIOD","FQ3 2024","FQ3 2024","Currency=USD","Period=FQ","BEST_FPERIOD_OVERRIDE=FQ","FILING_STATUS=MR","Sort=A","Dates=H","DateFormat=P","Fill=—","Direction=H","UseDPDF=Y")</f>
        <v>—</v>
      </c>
      <c r="Z7" s="26">
        <f>_xll.BDH("BLUE US Equity","CHG_PCT_PERIOD","FQ4 2024","FQ4 2024","Currency=USD","Period=FQ","BEST_FPERIOD_OVERRIDE=FQ","FILING_STATUS=MR","Sort=A","Dates=H","DateFormat=P","Fill=—","Direction=H","UseDPDF=Y")</f>
        <v>-19.730499999999999</v>
      </c>
      <c r="AA7" s="29"/>
    </row>
    <row r="8" spans="1:27" x14ac:dyDescent="0.25">
      <c r="A8" s="10" t="s">
        <v>255</v>
      </c>
      <c r="B8" s="10" t="s">
        <v>256</v>
      </c>
      <c r="C8" s="14">
        <f>_xll.BDH("BLUE US Equity","PX_OPEN","FQ1 2019","FQ1 2019","Currency=USD","Period=FQ","BEST_FPERIOD_OVERRIDE=FQ","FILING_STATUS=MR","Sort=A","Dates=H","DateFormat=P","Fill=—","Direction=H","UseDPDF=Y")</f>
        <v>1264.2687000000001</v>
      </c>
      <c r="D8" s="14">
        <f>_xll.BDH("BLUE US Equity","PX_OPEN","FQ2 2019","FQ2 2019","Currency=USD","Period=FQ","BEST_FPERIOD_OVERRIDE=FQ","FILING_STATUS=MR","Sort=A","Dates=H","DateFormat=P","Fill=—","Direction=H","UseDPDF=Y")</f>
        <v>2071.5104000000001</v>
      </c>
      <c r="E8" s="14">
        <f>_xll.BDH("BLUE US Equity","PX_OPEN","FQ3 2019","FQ3 2019","Currency=USD","Period=FQ","BEST_FPERIOD_OVERRIDE=FQ","FILING_STATUS=MR","Sort=A","Dates=H","DateFormat=P","Fill=—","Direction=H","UseDPDF=Y")</f>
        <v>1669.3784000000001</v>
      </c>
      <c r="F8" s="14">
        <f>_xll.BDH("BLUE US Equity","PX_OPEN","FQ4 2019","FQ4 2019","Currency=USD","Period=FQ","BEST_FPERIOD_OVERRIDE=FQ","FILING_STATUS=MR","Sort=A","Dates=H","DateFormat=P","Fill=—","Direction=H","UseDPDF=Y")</f>
        <v>1185.2924</v>
      </c>
      <c r="G8" s="14">
        <f>_xll.BDH("BLUE US Equity","PX_OPEN","FQ1 2020","FQ1 2020","Currency=USD","Period=FQ","BEST_FPERIOD_OVERRIDE=FQ","FILING_STATUS=MR","Sort=A","Dates=H","DateFormat=P","Fill=—","Direction=H","UseDPDF=Y")</f>
        <v>1141.6612</v>
      </c>
      <c r="H8" s="14">
        <f>_xll.BDH("BLUE US Equity","PX_OPEN","FQ2 2020","FQ2 2020","Currency=USD","Period=FQ","BEST_FPERIOD_OVERRIDE=FQ","FILING_STATUS=MR","Sort=A","Dates=H","DateFormat=P","Fill=—","Direction=H","UseDPDF=Y")</f>
        <v>580.6703</v>
      </c>
      <c r="I8" s="14">
        <f>_xll.BDH("BLUE US Equity","PX_OPEN","FQ3 2020","FQ3 2020","Currency=USD","Period=FQ","BEST_FPERIOD_OVERRIDE=FQ","FILING_STATUS=MR","Sort=A","Dates=H","DateFormat=P","Fill=—","Direction=H","UseDPDF=Y")</f>
        <v>790.92859999999996</v>
      </c>
      <c r="J8" s="14">
        <f>_xll.BDH("BLUE US Equity","PX_OPEN","FQ4 2020","FQ4 2020","Currency=USD","Period=FQ","BEST_FPERIOD_OVERRIDE=FQ","FILING_STATUS=MR","Sort=A","Dates=H","DateFormat=P","Fill=—","Direction=H","UseDPDF=Y")</f>
        <v>703.27779999999996</v>
      </c>
      <c r="K8" s="14">
        <f>_xll.BDH("BLUE US Equity","PX_OPEN","FQ1 2021","FQ1 2021","Currency=USD","Period=FQ","BEST_FPERIOD_OVERRIDE=FQ","FILING_STATUS=MR","Sort=A","Dates=H","DateFormat=P","Fill=—","Direction=H","UseDPDF=Y")</f>
        <v>562.41510000000005</v>
      </c>
      <c r="L8" s="14">
        <f>_xll.BDH("BLUE US Equity","PX_OPEN","FQ2 2021","FQ2 2021","Currency=USD","Period=FQ","BEST_FPERIOD_OVERRIDE=FQ","FILING_STATUS=MR","Sort=A","Dates=H","DateFormat=P","Fill=—","Direction=H","UseDPDF=Y")</f>
        <v>391.64490000000001</v>
      </c>
      <c r="M8" s="14">
        <f>_xll.BDH("BLUE US Equity","PX_OPEN","FQ3 2021","FQ3 2021","Currency=USD","Period=FQ","BEST_FPERIOD_OVERRIDE=FQ","FILING_STATUS=MR","Sort=A","Dates=H","DateFormat=P","Fill=—","Direction=H","UseDPDF=Y")</f>
        <v>404.9803</v>
      </c>
      <c r="N8" s="14">
        <f>_xll.BDH("BLUE US Equity","PX_OPEN","FQ4 2021","FQ4 2021","Currency=USD","Period=FQ","BEST_FPERIOD_OVERRIDE=FQ","FILING_STATUS=MR","Sort=A","Dates=H","DateFormat=P","Fill=—","Direction=H","UseDPDF=Y")</f>
        <v>246.8981</v>
      </c>
      <c r="O8" s="14">
        <f>_xll.BDH("BLUE US Equity","PX_OPEN","FQ1 2022","FQ1 2022","Currency=USD","Period=FQ","BEST_FPERIOD_OVERRIDE=FQ","FILING_STATUS=MR","Sort=A","Dates=H","DateFormat=P","Fill=—","Direction=H","UseDPDF=Y")</f>
        <v>201.8</v>
      </c>
      <c r="P8" s="14">
        <f>_xll.BDH("BLUE US Equity","PX_OPEN","FQ2 2022","FQ2 2022","Currency=USD","Period=FQ","BEST_FPERIOD_OVERRIDE=FQ","FILING_STATUS=MR","Sort=A","Dates=H","DateFormat=P","Fill=—","Direction=H","UseDPDF=Y")</f>
        <v>96.6</v>
      </c>
      <c r="Q8" s="14">
        <f>_xll.BDH("BLUE US Equity","PX_OPEN","FQ3 2022","FQ3 2022","Currency=USD","Period=FQ","BEST_FPERIOD_OVERRIDE=FQ","FILING_STATUS=MR","Sort=A","Dates=H","DateFormat=P","Fill=—","Direction=H","UseDPDF=Y")</f>
        <v>82.8</v>
      </c>
      <c r="R8" s="14">
        <f>_xll.BDH("BLUE US Equity","PX_OPEN","FQ4 2022","FQ4 2022","Currency=USD","Period=FQ","BEST_FPERIOD_OVERRIDE=FQ","FILING_STATUS=MR","Sort=A","Dates=H","DateFormat=P","Fill=—","Direction=H","UseDPDF=Y")</f>
        <v>129</v>
      </c>
      <c r="S8" s="14">
        <f>_xll.BDH("BLUE US Equity","PX_OPEN","FQ1 2023","FQ1 2023","Currency=USD","Period=FQ","BEST_FPERIOD_OVERRIDE=FQ","FILING_STATUS=MR","Sort=A","Dates=H","DateFormat=P","Fill=—","Direction=H","UseDPDF=Y")</f>
        <v>141.19999999999999</v>
      </c>
      <c r="T8" s="14">
        <f>_xll.BDH("BLUE US Equity","PX_OPEN","FQ2 2023","FQ2 2023","Currency=USD","Period=FQ","BEST_FPERIOD_OVERRIDE=FQ","FILING_STATUS=MR","Sort=A","Dates=H","DateFormat=P","Fill=—","Direction=H","UseDPDF=Y")</f>
        <v>63</v>
      </c>
      <c r="U8" s="14">
        <f>_xll.BDH("BLUE US Equity","PX_OPEN","FQ3 2023","FQ3 2023","Currency=USD","Period=FQ","BEST_FPERIOD_OVERRIDE=FQ","FILING_STATUS=MR","Sort=A","Dates=H","DateFormat=P","Fill=—","Direction=H","UseDPDF=Y")</f>
        <v>65.8</v>
      </c>
      <c r="V8" s="14">
        <f>_xll.BDH("BLUE US Equity","PX_OPEN","FQ4 2023","FQ4 2023","Currency=USD","Period=FQ","BEST_FPERIOD_OVERRIDE=FQ","FILING_STATUS=MR","Sort=A","Dates=H","DateFormat=P","Fill=—","Direction=H","UseDPDF=Y")</f>
        <v>61</v>
      </c>
      <c r="W8" s="14">
        <f>_xll.BDH("BLUE US Equity","PX_OPEN","FQ1 2024","FQ1 2024","Currency=USD","Period=FQ","BEST_FPERIOD_OVERRIDE=FQ","FILING_STATUS=MR","Sort=A","Dates=H","DateFormat=P","Fill=—","Direction=H","UseDPDF=Y")</f>
        <v>27.4</v>
      </c>
      <c r="X8" s="14">
        <f>_xll.BDH("BLUE US Equity","PX_OPEN","FQ2 2024","FQ2 2024","Currency=USD","Period=FQ","BEST_FPERIOD_OVERRIDE=FQ","FILING_STATUS=MR","Sort=A","Dates=H","DateFormat=P","Fill=—","Direction=H","UseDPDF=Y")</f>
        <v>25.8</v>
      </c>
      <c r="Y8" s="14">
        <f>_xll.BDH("BLUE US Equity","PX_OPEN","FQ3 2024","FQ3 2024","Currency=USD","Period=FQ","BEST_FPERIOD_OVERRIDE=FQ","FILING_STATUS=MR","Sort=A","Dates=H","DateFormat=P","Fill=—","Direction=H","UseDPDF=Y")</f>
        <v>19.364000000000001</v>
      </c>
      <c r="Z8" s="14">
        <f>_xll.BDH("BLUE US Equity","PX_OPEN","FQ4 2024","FQ4 2024","Currency=USD","Period=FQ","BEST_FPERIOD_OVERRIDE=FQ","FILING_STATUS=MR","Sort=A","Dates=H","DateFormat=P","Fill=—","Direction=H","UseDPDF=Y")</f>
        <v>10.286</v>
      </c>
      <c r="AA8" s="17">
        <v>3.7799999713897701</v>
      </c>
    </row>
    <row r="9" spans="1:27" x14ac:dyDescent="0.25">
      <c r="A9" s="10" t="s">
        <v>257</v>
      </c>
      <c r="B9" s="10" t="s">
        <v>219</v>
      </c>
      <c r="C9" s="14">
        <f>_xll.BDH("BLUE US Equity","PX_HIGH","FQ1 2019","FQ1 2019","Currency=USD","Period=FQ","BEST_FPERIOD_OVERRIDE=FQ","FILING_STATUS=MR","Sort=A","Dates=H","DateFormat=P","Fill=—","Direction=H","UseDPDF=Y")</f>
        <v>2081.2206000000001</v>
      </c>
      <c r="D9" s="14">
        <f>_xll.BDH("BLUE US Equity","PX_HIGH","FQ2 2019","FQ2 2019","Currency=USD","Period=FQ","BEST_FPERIOD_OVERRIDE=FQ","FILING_STATUS=MR","Sort=A","Dates=H","DateFormat=P","Fill=—","Direction=H","UseDPDF=Y")</f>
        <v>2115.8537000000001</v>
      </c>
      <c r="E9" s="14">
        <f>_xll.BDH("BLUE US Equity","PX_HIGH","FQ3 2019","FQ3 2019","Currency=USD","Period=FQ","BEST_FPERIOD_OVERRIDE=FQ","FILING_STATUS=MR","Sort=A","Dates=H","DateFormat=P","Fill=—","Direction=H","UseDPDF=Y")</f>
        <v>1864.1004</v>
      </c>
      <c r="F9" s="14">
        <f>_xll.BDH("BLUE US Equity","PX_HIGH","FQ4 2019","FQ4 2019","Currency=USD","Period=FQ","BEST_FPERIOD_OVERRIDE=FQ","FILING_STATUS=MR","Sort=A","Dates=H","DateFormat=P","Fill=—","Direction=H","UseDPDF=Y")</f>
        <v>1240.1874</v>
      </c>
      <c r="G9" s="14">
        <f>_xll.BDH("BLUE US Equity","PX_HIGH","FQ1 2020","FQ1 2020","Currency=USD","Period=FQ","BEST_FPERIOD_OVERRIDE=FQ","FILING_STATUS=MR","Sort=A","Dates=H","DateFormat=P","Fill=—","Direction=H","UseDPDF=Y")</f>
        <v>1286.4079999999999</v>
      </c>
      <c r="H9" s="14">
        <f>_xll.BDH("BLUE US Equity","PX_HIGH","FQ2 2020","FQ2 2020","Currency=USD","Period=FQ","BEST_FPERIOD_OVERRIDE=FQ","FILING_STATUS=MR","Sort=A","Dates=H","DateFormat=P","Fill=—","Direction=H","UseDPDF=Y")</f>
        <v>938.71789999999999</v>
      </c>
      <c r="I9" s="14">
        <f>_xll.BDH("BLUE US Equity","PX_HIGH","FQ3 2020","FQ3 2020","Currency=USD","Period=FQ","BEST_FPERIOD_OVERRIDE=FQ","FILING_STATUS=MR","Sort=A","Dates=H","DateFormat=P","Fill=—","Direction=H","UseDPDF=Y")</f>
        <v>885.44119999999998</v>
      </c>
      <c r="J9" s="14">
        <f>_xll.BDH("BLUE US Equity","PX_HIGH","FQ4 2020","FQ4 2020","Currency=USD","Period=FQ","BEST_FPERIOD_OVERRIDE=FQ","FILING_STATUS=MR","Sort=A","Dates=H","DateFormat=P","Fill=—","Direction=H","UseDPDF=Y")</f>
        <v>768.01250000000005</v>
      </c>
      <c r="K9" s="14">
        <f>_xll.BDH("BLUE US Equity","PX_HIGH","FQ1 2021","FQ1 2021","Currency=USD","Period=FQ","BEST_FPERIOD_OVERRIDE=FQ","FILING_STATUS=MR","Sort=A","Dates=H","DateFormat=P","Fill=—","Direction=H","UseDPDF=Y")</f>
        <v>694.99170000000004</v>
      </c>
      <c r="L9" s="14">
        <f>_xll.BDH("BLUE US Equity","PX_HIGH","FQ2 2021","FQ2 2021","Currency=USD","Period=FQ","BEST_FPERIOD_OVERRIDE=FQ","FILING_STATUS=MR","Sort=A","Dates=H","DateFormat=P","Fill=—","Direction=H","UseDPDF=Y")</f>
        <v>460.75959999999998</v>
      </c>
      <c r="M9" s="14">
        <f>_xll.BDH("BLUE US Equity","PX_HIGH","FQ3 2021","FQ3 2021","Currency=USD","Period=FQ","BEST_FPERIOD_OVERRIDE=FQ","FILING_STATUS=MR","Sort=A","Dates=H","DateFormat=P","Fill=—","Direction=H","UseDPDF=Y")</f>
        <v>423.10599999999999</v>
      </c>
      <c r="N9" s="14">
        <f>_xll.BDH("BLUE US Equity","PX_HIGH","FQ4 2021","FQ4 2021","Currency=USD","Period=FQ","BEST_FPERIOD_OVERRIDE=FQ","FILING_STATUS=MR","Sort=A","Dates=H","DateFormat=P","Fill=—","Direction=H","UseDPDF=Y")</f>
        <v>357</v>
      </c>
      <c r="O9" s="14">
        <f>_xll.BDH("BLUE US Equity","PX_HIGH","FQ1 2022","FQ1 2022","Currency=USD","Period=FQ","BEST_FPERIOD_OVERRIDE=FQ","FILING_STATUS=MR","Sort=A","Dates=H","DateFormat=P","Fill=—","Direction=H","UseDPDF=Y")</f>
        <v>214.8</v>
      </c>
      <c r="P9" s="14">
        <f>_xll.BDH("BLUE US Equity","PX_HIGH","FQ2 2022","FQ2 2022","Currency=USD","Period=FQ","BEST_FPERIOD_OVERRIDE=FQ","FILING_STATUS=MR","Sort=A","Dates=H","DateFormat=P","Fill=—","Direction=H","UseDPDF=Y")</f>
        <v>123.346</v>
      </c>
      <c r="Q9" s="14">
        <f>_xll.BDH("BLUE US Equity","PX_HIGH","FQ3 2022","FQ3 2022","Currency=USD","Period=FQ","BEST_FPERIOD_OVERRIDE=FQ","FILING_STATUS=MR","Sort=A","Dates=H","DateFormat=P","Fill=—","Direction=H","UseDPDF=Y")</f>
        <v>163.6</v>
      </c>
      <c r="R9" s="14">
        <f>_xll.BDH("BLUE US Equity","PX_HIGH","FQ4 2022","FQ4 2022","Currency=USD","Period=FQ","BEST_FPERIOD_OVERRIDE=FQ","FILING_STATUS=MR","Sort=A","Dates=H","DateFormat=P","Fill=—","Direction=H","UseDPDF=Y")</f>
        <v>171.6</v>
      </c>
      <c r="S9" s="14">
        <f>_xll.BDH("BLUE US Equity","PX_HIGH","FQ1 2023","FQ1 2023","Currency=USD","Period=FQ","BEST_FPERIOD_OVERRIDE=FQ","FILING_STATUS=MR","Sort=A","Dates=H","DateFormat=P","Fill=—","Direction=H","UseDPDF=Y")</f>
        <v>170.4</v>
      </c>
      <c r="T9" s="14">
        <f>_xll.BDH("BLUE US Equity","PX_HIGH","FQ2 2023","FQ2 2023","Currency=USD","Period=FQ","BEST_FPERIOD_OVERRIDE=FQ","FILING_STATUS=MR","Sort=A","Dates=H","DateFormat=P","Fill=—","Direction=H","UseDPDF=Y")</f>
        <v>104</v>
      </c>
      <c r="U9" s="14">
        <f>_xll.BDH("BLUE US Equity","PX_HIGH","FQ3 2023","FQ3 2023","Currency=USD","Period=FQ","BEST_FPERIOD_OVERRIDE=FQ","FILING_STATUS=MR","Sort=A","Dates=H","DateFormat=P","Fill=—","Direction=H","UseDPDF=Y")</f>
        <v>87.6</v>
      </c>
      <c r="V9" s="14">
        <f>_xll.BDH("BLUE US Equity","PX_HIGH","FQ4 2023","FQ4 2023","Currency=USD","Period=FQ","BEST_FPERIOD_OVERRIDE=FQ","FILING_STATUS=MR","Sort=A","Dates=H","DateFormat=P","Fill=—","Direction=H","UseDPDF=Y")</f>
        <v>110.6</v>
      </c>
      <c r="W9" s="14">
        <f>_xll.BDH("BLUE US Equity","PX_HIGH","FQ1 2024","FQ1 2024","Currency=USD","Period=FQ","BEST_FPERIOD_OVERRIDE=FQ","FILING_STATUS=MR","Sort=A","Dates=H","DateFormat=P","Fill=—","Direction=H","UseDPDF=Y")</f>
        <v>38.4</v>
      </c>
      <c r="X9" s="14">
        <f>_xll.BDH("BLUE US Equity","PX_HIGH","FQ2 2024","FQ2 2024","Currency=USD","Period=FQ","BEST_FPERIOD_OVERRIDE=FQ","FILING_STATUS=MR","Sort=A","Dates=H","DateFormat=P","Fill=—","Direction=H","UseDPDF=Y")</f>
        <v>26</v>
      </c>
      <c r="Y9" s="14">
        <f>_xll.BDH("BLUE US Equity","PX_HIGH","FQ3 2024","FQ3 2024","Currency=USD","Period=FQ","BEST_FPERIOD_OVERRIDE=FQ","FILING_STATUS=MR","Sort=A","Dates=H","DateFormat=P","Fill=—","Direction=H","UseDPDF=Y")</f>
        <v>28.6</v>
      </c>
      <c r="Z9" s="14">
        <f>_xll.BDH("BLUE US Equity","PX_HIGH","FQ4 2024","FQ4 2024","Currency=USD","Period=FQ","BEST_FPERIOD_OVERRIDE=FQ","FILING_STATUS=MR","Sort=A","Dates=H","DateFormat=P","Fill=—","Direction=H","UseDPDF=Y")</f>
        <v>15.4</v>
      </c>
      <c r="AA9" s="17">
        <v>3.8800001144409202</v>
      </c>
    </row>
    <row r="10" spans="1:27" x14ac:dyDescent="0.25">
      <c r="A10" s="10" t="s">
        <v>258</v>
      </c>
      <c r="B10" s="10" t="s">
        <v>220</v>
      </c>
      <c r="C10" s="14">
        <f>_xll.BDH("BLUE US Equity","PX_LOW","FQ1 2019","FQ1 2019","Currency=USD","Period=FQ","BEST_FPERIOD_OVERRIDE=FQ","FILING_STATUS=MR","Sort=A","Dates=H","DateFormat=P","Fill=—","Direction=H","UseDPDF=Y")</f>
        <v>1238.6337000000001</v>
      </c>
      <c r="D10" s="14">
        <f>_xll.BDH("BLUE US Equity","PX_LOW","FQ2 2019","FQ2 2019","Currency=USD","Period=FQ","BEST_FPERIOD_OVERRIDE=FQ","FILING_STATUS=MR","Sort=A","Dates=H","DateFormat=P","Fill=—","Direction=H","UseDPDF=Y")</f>
        <v>1469.0893000000001</v>
      </c>
      <c r="E10" s="14">
        <f>_xll.BDH("BLUE US Equity","PX_LOW","FQ3 2019","FQ3 2019","Currency=USD","Period=FQ","BEST_FPERIOD_OVERRIDE=FQ","FILING_STATUS=MR","Sort=A","Dates=H","DateFormat=P","Fill=—","Direction=H","UseDPDF=Y")</f>
        <v>1171.6981000000001</v>
      </c>
      <c r="F10" s="14">
        <f>_xll.BDH("BLUE US Equity","PX_LOW","FQ4 2019","FQ4 2019","Currency=USD","Period=FQ","BEST_FPERIOD_OVERRIDE=FQ","FILING_STATUS=MR","Sort=A","Dates=H","DateFormat=P","Fill=—","Direction=H","UseDPDF=Y")</f>
        <v>924.67049999999995</v>
      </c>
      <c r="G10" s="14">
        <f>_xll.BDH("BLUE US Equity","PX_LOW","FQ1 2020","FQ1 2020","Currency=USD","Period=FQ","BEST_FPERIOD_OVERRIDE=FQ","FILING_STATUS=MR","Sort=A","Dates=H","DateFormat=P","Fill=—","Direction=H","UseDPDF=Y")</f>
        <v>504.2833</v>
      </c>
      <c r="H10" s="14">
        <f>_xll.BDH("BLUE US Equity","PX_LOW","FQ2 2020","FQ2 2020","Currency=USD","Period=FQ","BEST_FPERIOD_OVERRIDE=FQ","FILING_STATUS=MR","Sort=A","Dates=H","DateFormat=P","Fill=—","Direction=H","UseDPDF=Y")</f>
        <v>535.57870000000003</v>
      </c>
      <c r="I10" s="14">
        <f>_xll.BDH("BLUE US Equity","PX_LOW","FQ3 2020","FQ3 2020","Currency=USD","Period=FQ","BEST_FPERIOD_OVERRIDE=FQ","FILING_STATUS=MR","Sort=A","Dates=H","DateFormat=P","Fill=—","Direction=H","UseDPDF=Y")</f>
        <v>683.85739999999998</v>
      </c>
      <c r="J10" s="14">
        <f>_xll.BDH("BLUE US Equity","PX_LOW","FQ4 2020","FQ4 2020","Currency=USD","Period=FQ","BEST_FPERIOD_OVERRIDE=FQ","FILING_STATUS=MR","Sort=A","Dates=H","DateFormat=P","Fill=—","Direction=H","UseDPDF=Y")</f>
        <v>537.298</v>
      </c>
      <c r="K10" s="14">
        <f>_xll.BDH("BLUE US Equity","PX_LOW","FQ1 2021","FQ1 2021","Currency=USD","Period=FQ","BEST_FPERIOD_OVERRIDE=FQ","FILING_STATUS=MR","Sort=A","Dates=H","DateFormat=P","Fill=—","Direction=H","UseDPDF=Y")</f>
        <v>313.8338</v>
      </c>
      <c r="L10" s="14">
        <f>_xll.BDH("BLUE US Equity","PX_LOW","FQ2 2021","FQ2 2021","Currency=USD","Period=FQ","BEST_FPERIOD_OVERRIDE=FQ","FILING_STATUS=MR","Sort=A","Dates=H","DateFormat=P","Fill=—","Direction=H","UseDPDF=Y")</f>
        <v>346.20119999999997</v>
      </c>
      <c r="M10" s="14">
        <f>_xll.BDH("BLUE US Equity","PX_LOW","FQ3 2021","FQ3 2021","Currency=USD","Period=FQ","BEST_FPERIOD_OVERRIDE=FQ","FILING_STATUS=MR","Sort=A","Dates=H","DateFormat=P","Fill=—","Direction=H","UseDPDF=Y")</f>
        <v>221.91059999999999</v>
      </c>
      <c r="N10" s="14">
        <f>_xll.BDH("BLUE US Equity","PX_LOW","FQ4 2021","FQ4 2021","Currency=USD","Period=FQ","BEST_FPERIOD_OVERRIDE=FQ","FILING_STATUS=MR","Sort=A","Dates=H","DateFormat=P","Fill=—","Direction=H","UseDPDF=Y")</f>
        <v>162.4</v>
      </c>
      <c r="O10" s="14">
        <f>_xll.BDH("BLUE US Equity","PX_LOW","FQ1 2022","FQ1 2022","Currency=USD","Period=FQ","BEST_FPERIOD_OVERRIDE=FQ","FILING_STATUS=MR","Sort=A","Dates=H","DateFormat=P","Fill=—","Direction=H","UseDPDF=Y")</f>
        <v>80.8</v>
      </c>
      <c r="P10" s="14">
        <f>_xll.BDH("BLUE US Equity","PX_LOW","FQ2 2022","FQ2 2022","Currency=USD","Period=FQ","BEST_FPERIOD_OVERRIDE=FQ","FILING_STATUS=MR","Sort=A","Dates=H","DateFormat=P","Fill=—","Direction=H","UseDPDF=Y")</f>
        <v>57.3</v>
      </c>
      <c r="Q10" s="14">
        <f>_xll.BDH("BLUE US Equity","PX_LOW","FQ3 2022","FQ3 2022","Currency=USD","Period=FQ","BEST_FPERIOD_OVERRIDE=FQ","FILING_STATUS=MR","Sort=A","Dates=H","DateFormat=P","Fill=—","Direction=H","UseDPDF=Y")</f>
        <v>74.8</v>
      </c>
      <c r="R10" s="14">
        <f>_xll.BDH("BLUE US Equity","PX_LOW","FQ4 2022","FQ4 2022","Currency=USD","Period=FQ","BEST_FPERIOD_OVERRIDE=FQ","FILING_STATUS=MR","Sort=A","Dates=H","DateFormat=P","Fill=—","Direction=H","UseDPDF=Y")</f>
        <v>111</v>
      </c>
      <c r="S10" s="14">
        <f>_xll.BDH("BLUE US Equity","PX_LOW","FQ1 2023","FQ1 2023","Currency=USD","Period=FQ","BEST_FPERIOD_OVERRIDE=FQ","FILING_STATUS=MR","Sort=A","Dates=H","DateFormat=P","Fill=—","Direction=H","UseDPDF=Y")</f>
        <v>59</v>
      </c>
      <c r="T10" s="14">
        <f>_xll.BDH("BLUE US Equity","PX_LOW","FQ2 2023","FQ2 2023","Currency=USD","Period=FQ","BEST_FPERIOD_OVERRIDE=FQ","FILING_STATUS=MR","Sort=A","Dates=H","DateFormat=P","Fill=—","Direction=H","UseDPDF=Y")</f>
        <v>55.6</v>
      </c>
      <c r="U10" s="14">
        <f>_xll.BDH("BLUE US Equity","PX_LOW","FQ3 2023","FQ3 2023","Currency=USD","Period=FQ","BEST_FPERIOD_OVERRIDE=FQ","FILING_STATUS=MR","Sort=A","Dates=H","DateFormat=P","Fill=—","Direction=H","UseDPDF=Y")</f>
        <v>58.4</v>
      </c>
      <c r="V10" s="14">
        <f>_xll.BDH("BLUE US Equity","PX_LOW","FQ4 2023","FQ4 2023","Currency=USD","Period=FQ","BEST_FPERIOD_OVERRIDE=FQ","FILING_STATUS=MR","Sort=A","Dates=H","DateFormat=P","Fill=—","Direction=H","UseDPDF=Y")</f>
        <v>25.2</v>
      </c>
      <c r="W10" s="14">
        <f>_xll.BDH("BLUE US Equity","PX_LOW","FQ1 2024","FQ1 2024","Currency=USD","Period=FQ","BEST_FPERIOD_OVERRIDE=FQ","FILING_STATUS=MR","Sort=A","Dates=H","DateFormat=P","Fill=—","Direction=H","UseDPDF=Y")</f>
        <v>17.579999999999998</v>
      </c>
      <c r="X10" s="14">
        <f>_xll.BDH("BLUE US Equity","PX_LOW","FQ2 2024","FQ2 2024","Currency=USD","Period=FQ","BEST_FPERIOD_OVERRIDE=FQ","FILING_STATUS=MR","Sort=A","Dates=H","DateFormat=P","Fill=—","Direction=H","UseDPDF=Y")</f>
        <v>16.899999999999999</v>
      </c>
      <c r="Y10" s="14">
        <f>_xll.BDH("BLUE US Equity","PX_LOW","FQ3 2024","FQ3 2024","Currency=USD","Period=FQ","BEST_FPERIOD_OVERRIDE=FQ","FILING_STATUS=MR","Sort=A","Dates=H","DateFormat=P","Fill=—","Direction=H","UseDPDF=Y")</f>
        <v>9.15</v>
      </c>
      <c r="Z10" s="14">
        <f>_xll.BDH("BLUE US Equity","PX_LOW","FQ4 2024","FQ4 2024","Currency=USD","Period=FQ","BEST_FPERIOD_OVERRIDE=FQ","FILING_STATUS=MR","Sort=A","Dates=H","DateFormat=P","Fill=—","Direction=H","UseDPDF=Y")</f>
        <v>5.8</v>
      </c>
      <c r="AA10" s="17">
        <v>3.71000003814697</v>
      </c>
    </row>
    <row r="11" spans="1:27" x14ac:dyDescent="0.25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</row>
    <row r="12" spans="1:27" x14ac:dyDescent="0.25">
      <c r="A12" s="6" t="s">
        <v>59</v>
      </c>
      <c r="B12" s="6" t="s">
        <v>60</v>
      </c>
      <c r="C12" s="19">
        <f>_xll.BDH("BLUE US Equity","HISTORICAL_MARKET_CAP","FQ1 2019","FQ1 2019","Currency=USD","Period=FQ","BEST_FPERIOD_OVERRIDE=FQ","FILING_STATUS=MR","SCALING_FORMAT=MLN","Sort=A","Dates=H","DateFormat=P","Fill=—","Direction=H","UseDPDF=Y")</f>
        <v>8664.0058000000008</v>
      </c>
      <c r="D12" s="19">
        <f>_xll.BDH("BLUE US Equity","HISTORICAL_MARKET_CAP","FQ2 2019","FQ2 2019","Currency=USD","Period=FQ","BEST_FPERIOD_OVERRIDE=FQ","FILING_STATUS=MR","SCALING_FORMAT=MLN","Sort=A","Dates=H","DateFormat=P","Fill=—","Direction=H","UseDPDF=Y")</f>
        <v>7025.0015999999996</v>
      </c>
      <c r="E12" s="19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F12" s="19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G12" s="19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H12" s="19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I12" s="19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J12" s="19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K12" s="19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L12" s="19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M12" s="19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N12" s="19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O12" s="19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P12" s="19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Q12" s="19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R12" s="19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S12" s="19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T12" s="19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U12" s="19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V12" s="19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W12" s="19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X12" s="19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Y12" s="19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Z12" s="19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  <c r="AA12" s="22">
        <v>37.006464600000001</v>
      </c>
    </row>
    <row r="13" spans="1:27" x14ac:dyDescent="0.25">
      <c r="A13" s="10" t="s">
        <v>259</v>
      </c>
      <c r="B13" s="10" t="s">
        <v>260</v>
      </c>
      <c r="C13" s="14">
        <f>_xll.BDH("BLUE US Equity","EQY_SH_OUT","FQ1 2019","FQ1 2019","Currency=USD","Period=FQ","BEST_FPERIOD_OVERRIDE=FQ","FILING_STATUS=MR","Sort=A","Dates=H","DateFormat=P","Fill=—","Direction=H","UseDPDF=Y")</f>
        <v>2.74756</v>
      </c>
      <c r="D13" s="14">
        <f>_xll.BDH("BLUE US Equity","EQY_SH_OUT","FQ2 2019","FQ2 2019","Currency=USD","Period=FQ","BEST_FPERIOD_OVERRIDE=FQ","FILING_STATUS=MR","Sort=A","Dates=H","DateFormat=P","Fill=—","Direction=H","UseDPDF=Y")</f>
        <v>2.7561599999999999</v>
      </c>
      <c r="E13" s="14">
        <f>_xll.BDH("BLUE US Equity","EQY_SH_OUT","FQ3 2019","FQ3 2019","Currency=USD","Period=FQ","BEST_FPERIOD_OVERRIDE=FQ","FILING_STATUS=MR","Sort=A","Dates=H","DateFormat=P","Fill=—","Direction=H","UseDPDF=Y")</f>
        <v>2.7634599999999998</v>
      </c>
      <c r="F13" s="14">
        <f>_xll.BDH("BLUE US Equity","EQY_SH_OUT","FQ4 2019","FQ4 2019","Currency=USD","Period=FQ","BEST_FPERIOD_OVERRIDE=FQ","FILING_STATUS=MR","Sort=A","Dates=H","DateFormat=P","Fill=—","Direction=H","UseDPDF=Y")</f>
        <v>2.7665500000000001</v>
      </c>
      <c r="G13" s="14">
        <f>_xll.BDH("BLUE US Equity","EQY_SH_OUT","FQ1 2020","FQ1 2020","Currency=USD","Period=FQ","BEST_FPERIOD_OVERRIDE=FQ","FILING_STATUS=MR","Sort=A","Dates=H","DateFormat=P","Fill=—","Direction=H","UseDPDF=Y")</f>
        <v>2.7805800000000001</v>
      </c>
      <c r="H13" s="14">
        <f>_xll.BDH("BLUE US Equity","EQY_SH_OUT","FQ2 2020","FQ2 2020","Currency=USD","Period=FQ","BEST_FPERIOD_OVERRIDE=FQ","FILING_STATUS=MR","Sort=A","Dates=H","DateFormat=P","Fill=—","Direction=H","UseDPDF=Y")</f>
        <v>3.3037200000000002</v>
      </c>
      <c r="I13" s="14">
        <f>_xll.BDH("BLUE US Equity","EQY_SH_OUT","FQ3 2020","FQ3 2020","Currency=USD","Period=FQ","BEST_FPERIOD_OVERRIDE=FQ","FILING_STATUS=MR","Sort=A","Dates=H","DateFormat=P","Fill=—","Direction=H","UseDPDF=Y")</f>
        <v>3.31115</v>
      </c>
      <c r="J13" s="14">
        <f>_xll.BDH("BLUE US Equity","EQY_SH_OUT","FQ4 2020","FQ4 2020","Currency=USD","Period=FQ","BEST_FPERIOD_OVERRIDE=FQ","FILING_STATUS=MR","Sort=A","Dates=H","DateFormat=P","Fill=—","Direction=H","UseDPDF=Y")</f>
        <v>3.31867</v>
      </c>
      <c r="K13" s="14">
        <f>_xll.BDH("BLUE US Equity","EQY_SH_OUT","FQ1 2021","FQ1 2021","Currency=USD","Period=FQ","BEST_FPERIOD_OVERRIDE=FQ","FILING_STATUS=MR","Sort=A","Dates=H","DateFormat=P","Fill=—","Direction=H","UseDPDF=Y")</f>
        <v>3.3570500000000001</v>
      </c>
      <c r="L13" s="14">
        <f>_xll.BDH("BLUE US Equity","EQY_SH_OUT","FQ2 2021","FQ2 2021","Currency=USD","Period=FQ","BEST_FPERIOD_OVERRIDE=FQ","FILING_STATUS=MR","Sort=A","Dates=H","DateFormat=P","Fill=—","Direction=H","UseDPDF=Y")</f>
        <v>3.3723800000000002</v>
      </c>
      <c r="M13" s="14">
        <f>_xll.BDH("BLUE US Equity","EQY_SH_OUT","FQ3 2021","FQ3 2021","Currency=USD","Period=FQ","BEST_FPERIOD_OVERRIDE=FQ","FILING_STATUS=MR","Sort=A","Dates=H","DateFormat=P","Fill=—","Direction=H","UseDPDF=Y")</f>
        <v>3.37893</v>
      </c>
      <c r="N13" s="14">
        <f>_xll.BDH("BLUE US Equity","EQY_SH_OUT","FQ4 2021","FQ4 2021","Currency=USD","Period=FQ","BEST_FPERIOD_OVERRIDE=FQ","FILING_STATUS=MR","Sort=A","Dates=H","DateFormat=P","Fill=—","Direction=H","UseDPDF=Y")</f>
        <v>3.50536</v>
      </c>
      <c r="O13" s="14">
        <f>_xll.BDH("BLUE US Equity","EQY_SH_OUT","FQ1 2022","FQ1 2022","Currency=USD","Period=FQ","BEST_FPERIOD_OVERRIDE=FQ","FILING_STATUS=MR","Sort=A","Dates=H","DateFormat=P","Fill=—","Direction=H","UseDPDF=Y")</f>
        <v>3.5716600000000001</v>
      </c>
      <c r="P13" s="14">
        <f>_xll.BDH("BLUE US Equity","EQY_SH_OUT","FQ2 2022","FQ2 2022","Currency=USD","Period=FQ","BEST_FPERIOD_OVERRIDE=FQ","FILING_STATUS=MR","Sort=A","Dates=H","DateFormat=P","Fill=—","Direction=H","UseDPDF=Y")</f>
        <v>3.5726900000000001</v>
      </c>
      <c r="Q13" s="14">
        <f>_xll.BDH("BLUE US Equity","EQY_SH_OUT","FQ3 2022","FQ3 2022","Currency=USD","Period=FQ","BEST_FPERIOD_OVERRIDE=FQ","FILING_STATUS=MR","Sort=A","Dates=H","DateFormat=P","Fill=—","Direction=H","UseDPDF=Y")</f>
        <v>3.85609</v>
      </c>
      <c r="R13" s="14">
        <f>_xll.BDH("BLUE US Equity","EQY_SH_OUT","FQ4 2022","FQ4 2022","Currency=USD","Period=FQ","BEST_FPERIOD_OVERRIDE=FQ","FILING_STATUS=MR","Sort=A","Dates=H","DateFormat=P","Fill=—","Direction=H","UseDPDF=Y")</f>
        <v>4.1455000000000002</v>
      </c>
      <c r="S13" s="14">
        <f>_xll.BDH("BLUE US Equity","EQY_SH_OUT","FQ1 2023","FQ1 2023","Currency=USD","Period=FQ","BEST_FPERIOD_OVERRIDE=FQ","FILING_STATUS=MR","Sort=A","Dates=H","DateFormat=P","Fill=—","Direction=H","UseDPDF=Y")</f>
        <v>5.3185099999999998</v>
      </c>
      <c r="T13" s="14">
        <f>_xll.BDH("BLUE US Equity","EQY_SH_OUT","FQ2 2023","FQ2 2023","Currency=USD","Period=FQ","BEST_FPERIOD_OVERRIDE=FQ","FILING_STATUS=MR","Sort=A","Dates=H","DateFormat=P","Fill=—","Direction=H","UseDPDF=Y")</f>
        <v>5.3205999999999998</v>
      </c>
      <c r="U13" s="14">
        <f>_xll.BDH("BLUE US Equity","EQY_SH_OUT","FQ3 2023","FQ3 2023","Currency=USD","Period=FQ","BEST_FPERIOD_OVERRIDE=FQ","FILING_STATUS=MR","Sort=A","Dates=H","DateFormat=P","Fill=—","Direction=H","UseDPDF=Y")</f>
        <v>5.3476400000000002</v>
      </c>
      <c r="V13" s="14">
        <f>_xll.BDH("BLUE US Equity","EQY_SH_OUT","FQ4 2023","FQ4 2023","Currency=USD","Period=FQ","BEST_FPERIOD_OVERRIDE=FQ","FILING_STATUS=MR","Sort=A","Dates=H","DateFormat=P","Fill=—","Direction=H","UseDPDF=Y")</f>
        <v>9.5177700000000005</v>
      </c>
      <c r="W13" s="14">
        <f>_xll.BDH("BLUE US Equity","EQY_SH_OUT","FQ1 2024","FQ1 2024","Currency=USD","Period=FQ","BEST_FPERIOD_OVERRIDE=FQ","FILING_STATUS=MR","Sort=A","Dates=H","DateFormat=P","Fill=—","Direction=H","UseDPDF=Y")</f>
        <v>9.5177700000000005</v>
      </c>
      <c r="X13" s="14">
        <f>_xll.BDH("BLUE US Equity","EQY_SH_OUT","FQ2 2024","FQ2 2024","Currency=USD","Period=FQ","BEST_FPERIOD_OVERRIDE=FQ","FILING_STATUS=MR","Sort=A","Dates=H","DateFormat=P","Fill=—","Direction=H","UseDPDF=Y")</f>
        <v>9.5177700000000005</v>
      </c>
      <c r="Y13" s="14">
        <f>_xll.BDH("BLUE US Equity","EQY_SH_OUT","FQ3 2024","FQ3 2024","Currency=USD","Period=FQ","BEST_FPERIOD_OVERRIDE=FQ","FILING_STATUS=MR","Sort=A","Dates=H","DateFormat=P","Fill=—","Direction=H","UseDPDF=Y")</f>
        <v>9.6956799999999994</v>
      </c>
      <c r="Z13" s="14">
        <f>_xll.BDH("BLUE US Equity","EQY_SH_OUT","FQ4 2024","FQ4 2024","Currency=USD","Period=FQ","BEST_FPERIOD_OVERRIDE=FQ","FILING_STATUS=MR","Sort=A","Dates=H","DateFormat=P","Fill=—","Direction=H","UseDPDF=Y")</f>
        <v>9.7222200000000001</v>
      </c>
      <c r="AA13" s="17">
        <v>9.7900700000000001</v>
      </c>
    </row>
    <row r="14" spans="1:27" x14ac:dyDescent="0.25">
      <c r="A14" s="10" t="s">
        <v>261</v>
      </c>
      <c r="B14" s="10" t="s">
        <v>262</v>
      </c>
      <c r="C14" s="14">
        <f>_xll.BDH("BLUE US Equity","EQY_FLOAT","FQ1 2019","FQ1 2019","Currency=USD","Period=FQ","BEST_FPERIOD_OVERRIDE=FQ","FILING_STATUS=MR","Sort=A","Dates=H","DateFormat=P","Fill=—","Direction=H","UseDPDF=Y")</f>
        <v>1.9330000000000001</v>
      </c>
      <c r="D14" s="14">
        <f>_xll.BDH("BLUE US Equity","EQY_FLOAT","FQ2 2019","FQ2 2019","Currency=USD","Period=FQ","BEST_FPERIOD_OVERRIDE=FQ","FILING_STATUS=MR","Sort=A","Dates=H","DateFormat=P","Fill=—","Direction=H","UseDPDF=Y")</f>
        <v>1.923</v>
      </c>
      <c r="E14" s="14">
        <f>_xll.BDH("BLUE US Equity","EQY_FLOAT","FQ3 2019","FQ3 2019","Currency=USD","Period=FQ","BEST_FPERIOD_OVERRIDE=FQ","FILING_STATUS=MR","Sort=A","Dates=H","DateFormat=P","Fill=—","Direction=H","UseDPDF=Y")</f>
        <v>1.913</v>
      </c>
      <c r="F14" s="14">
        <f>_xll.BDH("BLUE US Equity","EQY_FLOAT","FQ4 2019","FQ4 2019","Currency=USD","Period=FQ","BEST_FPERIOD_OVERRIDE=FQ","FILING_STATUS=MR","Sort=A","Dates=H","DateFormat=P","Fill=—","Direction=H","UseDPDF=Y")</f>
        <v>1.8720000000000001</v>
      </c>
      <c r="G14" s="14">
        <f>_xll.BDH("BLUE US Equity","EQY_FLOAT","FQ1 2020","FQ1 2020","Currency=USD","Period=FQ","BEST_FPERIOD_OVERRIDE=FQ","FILING_STATUS=MR","Sort=A","Dates=H","DateFormat=P","Fill=—","Direction=H","UseDPDF=Y")</f>
        <v>2.754</v>
      </c>
      <c r="H14" s="14">
        <f>_xll.BDH("BLUE US Equity","EQY_FLOAT","FQ2 2020","FQ2 2020","Currency=USD","Period=FQ","BEST_FPERIOD_OVERRIDE=FQ","FILING_STATUS=MR","Sort=A","Dates=H","DateFormat=P","Fill=—","Direction=H","UseDPDF=Y")</f>
        <v>3.2770000000000001</v>
      </c>
      <c r="I14" s="14">
        <f>_xll.BDH("BLUE US Equity","EQY_FLOAT","FQ3 2020","FQ3 2020","Currency=USD","Period=FQ","BEST_FPERIOD_OVERRIDE=FQ","FILING_STATUS=MR","Sort=A","Dates=H","DateFormat=P","Fill=—","Direction=H","UseDPDF=Y")</f>
        <v>3.2839999999999998</v>
      </c>
      <c r="J14" s="14">
        <f>_xll.BDH("BLUE US Equity","EQY_FLOAT","FQ4 2020","FQ4 2020","Currency=USD","Period=FQ","BEST_FPERIOD_OVERRIDE=FQ","FILING_STATUS=MR","Sort=A","Dates=H","DateFormat=P","Fill=—","Direction=H","UseDPDF=Y")</f>
        <v>3.2919999999999998</v>
      </c>
      <c r="K14" s="14">
        <f>_xll.BDH("BLUE US Equity","EQY_FLOAT","FQ1 2021","FQ1 2021","Currency=USD","Period=FQ","BEST_FPERIOD_OVERRIDE=FQ","FILING_STATUS=MR","Sort=A","Dates=H","DateFormat=P","Fill=—","Direction=H","UseDPDF=Y")</f>
        <v>3.3159999999999998</v>
      </c>
      <c r="L14" s="14">
        <f>_xll.BDH("BLUE US Equity","EQY_FLOAT","FQ2 2021","FQ2 2021","Currency=USD","Period=FQ","BEST_FPERIOD_OVERRIDE=FQ","FILING_STATUS=MR","Sort=A","Dates=H","DateFormat=P","Fill=—","Direction=H","UseDPDF=Y")</f>
        <v>3.3290000000000002</v>
      </c>
      <c r="M14" s="14">
        <f>_xll.BDH("BLUE US Equity","EQY_FLOAT","FQ3 2021","FQ3 2021","Currency=USD","Period=FQ","BEST_FPERIOD_OVERRIDE=FQ","FILING_STATUS=MR","Sort=A","Dates=H","DateFormat=P","Fill=—","Direction=H","UseDPDF=Y")</f>
        <v>3.3170000000000002</v>
      </c>
      <c r="N14" s="14">
        <f>_xll.BDH("BLUE US Equity","EQY_FLOAT","FQ4 2021","FQ4 2021","Currency=USD","Period=FQ","BEST_FPERIOD_OVERRIDE=FQ","FILING_STATUS=MR","Sort=A","Dates=H","DateFormat=P","Fill=—","Direction=H","UseDPDF=Y")</f>
        <v>3.4369999999999998</v>
      </c>
      <c r="O14" s="14">
        <f>_xll.BDH("BLUE US Equity","EQY_FLOAT","FQ1 2022","FQ1 2022","Currency=USD","Period=FQ","BEST_FPERIOD_OVERRIDE=FQ","FILING_STATUS=MR","Sort=A","Dates=H","DateFormat=P","Fill=—","Direction=H","UseDPDF=Y")</f>
        <v>3.4969999999999999</v>
      </c>
      <c r="P14" s="14">
        <f>_xll.BDH("BLUE US Equity","EQY_FLOAT","FQ2 2022","FQ2 2022","Currency=USD","Period=FQ","BEST_FPERIOD_OVERRIDE=FQ","FILING_STATUS=MR","Sort=A","Dates=H","DateFormat=P","Fill=—","Direction=H","UseDPDF=Y")</f>
        <v>3.4990000000000001</v>
      </c>
      <c r="Q14" s="14">
        <f>_xll.BDH("BLUE US Equity","EQY_FLOAT","FQ3 2022","FQ3 2022","Currency=USD","Period=FQ","BEST_FPERIOD_OVERRIDE=FQ","FILING_STATUS=MR","Sort=A","Dates=H","DateFormat=P","Fill=—","Direction=H","UseDPDF=Y")</f>
        <v>3.7839999999999998</v>
      </c>
      <c r="R14" s="14">
        <f>_xll.BDH("BLUE US Equity","EQY_FLOAT","FQ4 2022","FQ4 2022","Currency=USD","Period=FQ","BEST_FPERIOD_OVERRIDE=FQ","FILING_STATUS=MR","Sort=A","Dates=H","DateFormat=P","Fill=—","Direction=H","UseDPDF=Y")</f>
        <v>4.069</v>
      </c>
      <c r="S14" s="14">
        <f>_xll.BDH("BLUE US Equity","EQY_FLOAT","FQ1 2023","FQ1 2023","Currency=USD","Period=FQ","BEST_FPERIOD_OVERRIDE=FQ","FILING_STATUS=MR","Sort=A","Dates=H","DateFormat=P","Fill=—","Direction=H","UseDPDF=Y")</f>
        <v>5.2309999999999999</v>
      </c>
      <c r="T14" s="14">
        <f>_xll.BDH("BLUE US Equity","EQY_FLOAT","FQ2 2023","FQ2 2023","Currency=USD","Period=FQ","BEST_FPERIOD_OVERRIDE=FQ","FILING_STATUS=MR","Sort=A","Dates=H","DateFormat=P","Fill=—","Direction=H","UseDPDF=Y")</f>
        <v>5.242</v>
      </c>
      <c r="U14" s="14">
        <f>_xll.BDH("BLUE US Equity","EQY_FLOAT","FQ3 2023","FQ3 2023","Currency=USD","Period=FQ","BEST_FPERIOD_OVERRIDE=FQ","FILING_STATUS=MR","Sort=A","Dates=H","DateFormat=P","Fill=—","Direction=H","UseDPDF=Y")</f>
        <v>5.27</v>
      </c>
      <c r="V14" s="14">
        <f>_xll.BDH("BLUE US Equity","EQY_FLOAT","FQ4 2023","FQ4 2023","Currency=USD","Period=FQ","BEST_FPERIOD_OVERRIDE=FQ","FILING_STATUS=MR","Sort=A","Dates=H","DateFormat=P","Fill=—","Direction=H","UseDPDF=Y")</f>
        <v>9.4540000000000006</v>
      </c>
      <c r="W14" s="14">
        <f>_xll.BDH("BLUE US Equity","EQY_FLOAT","FQ1 2024","FQ1 2024","Currency=USD","Period=FQ","BEST_FPERIOD_OVERRIDE=FQ","FILING_STATUS=MR","Sort=A","Dates=H","DateFormat=P","Fill=—","Direction=H","UseDPDF=Y")</f>
        <v>9.4559999999999995</v>
      </c>
      <c r="X14" s="14">
        <f>_xll.BDH("BLUE US Equity","EQY_FLOAT","FQ2 2024","FQ2 2024","Currency=USD","Period=FQ","BEST_FPERIOD_OVERRIDE=FQ","FILING_STATUS=MR","Sort=A","Dates=H","DateFormat=P","Fill=—","Direction=H","UseDPDF=Y")</f>
        <v>9.4559999999999995</v>
      </c>
      <c r="Y14" s="14">
        <f>_xll.BDH("BLUE US Equity","EQY_FLOAT","FQ3 2024","FQ3 2024","Currency=USD","Period=FQ","BEST_FPERIOD_OVERRIDE=FQ","FILING_STATUS=MR","Sort=A","Dates=H","DateFormat=P","Fill=—","Direction=H","UseDPDF=Y")</f>
        <v>9.6509999999999998</v>
      </c>
      <c r="Z14" s="14">
        <f>_xll.BDH("BLUE US Equity","EQY_FLOAT","FQ4 2024","FQ4 2024","Currency=USD","Period=FQ","BEST_FPERIOD_OVERRIDE=FQ","FILING_STATUS=MR","Sort=A","Dates=H","DateFormat=P","Fill=—","Direction=H","UseDPDF=Y")</f>
        <v>9.6329999999999991</v>
      </c>
      <c r="AA14" s="17">
        <v>9.7027950000000001</v>
      </c>
    </row>
    <row r="15" spans="1:27" x14ac:dyDescent="0.25">
      <c r="A15" s="7" t="s">
        <v>90</v>
      </c>
      <c r="B15" s="7"/>
      <c r="C15" s="7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28</v>
      </c>
      <c r="W4" s="4" t="s">
        <v>29</v>
      </c>
      <c r="X4" s="4" t="s">
        <v>30</v>
      </c>
      <c r="Y4" s="4" t="s">
        <v>163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164</v>
      </c>
      <c r="Z5" s="5" t="s">
        <v>57</v>
      </c>
      <c r="AA5" s="5" t="s">
        <v>58</v>
      </c>
    </row>
    <row r="6" spans="1:27" x14ac:dyDescent="0.25">
      <c r="A6" s="10" t="s">
        <v>59</v>
      </c>
      <c r="B6" s="10" t="s">
        <v>60</v>
      </c>
      <c r="C6" s="13">
        <f>_xll.BDH("BLUE US Equity","HISTORICAL_MARKET_CAP","FQ3 2019","FQ3 2019","Currency=USD","Period=FQ","BEST_FPERIOD_OVERRIDE=FQ","FILING_STATUS=MR","SCALING_FORMAT=MLN","Sort=A","Dates=H","DateFormat=P","Fill=—","Direction=H","UseDPDF=Y")</f>
        <v>5079.4823999999999</v>
      </c>
      <c r="D6" s="13">
        <f>_xll.BDH("BLUE US Equity","HISTORICAL_MARKET_CAP","FQ4 2019","FQ4 2019","Currency=USD","Period=FQ","BEST_FPERIOD_OVERRIDE=FQ","FILING_STATUS=MR","SCALING_FORMAT=MLN","Sort=A","Dates=H","DateFormat=P","Fill=—","Direction=H","UseDPDF=Y")</f>
        <v>4858.5420000000004</v>
      </c>
      <c r="E6" s="13">
        <f>_xll.BDH("BLUE US Equity","HISTORICAL_MARKET_CAP","FQ1 2020","FQ1 2020","Currency=USD","Period=FQ","BEST_FPERIOD_OVERRIDE=FQ","FILING_STATUS=MR","SCALING_FORMAT=MLN","Sort=A","Dates=H","DateFormat=P","Fill=—","Direction=H","UseDPDF=Y")</f>
        <v>2556.2952</v>
      </c>
      <c r="F6" s="13">
        <f>_xll.BDH("BLUE US Equity","HISTORICAL_MARKET_CAP","FQ2 2020","FQ2 2020","Currency=USD","Period=FQ","BEST_FPERIOD_OVERRIDE=FQ","FILING_STATUS=MR","SCALING_FORMAT=MLN","Sort=A","Dates=H","DateFormat=P","Fill=—","Direction=H","UseDPDF=Y")</f>
        <v>4040.6037999999999</v>
      </c>
      <c r="G6" s="13">
        <f>_xll.BDH("BLUE US Equity","HISTORICAL_MARKET_CAP","FQ3 2020","FQ3 2020","Currency=USD","Period=FQ","BEST_FPERIOD_OVERRIDE=FQ","FILING_STATUS=MR","SCALING_FORMAT=MLN","Sort=A","Dates=H","DateFormat=P","Fill=—","Direction=H","UseDPDF=Y")</f>
        <v>3578.9890999999998</v>
      </c>
      <c r="H6" s="13">
        <f>_xll.BDH("BLUE US Equity","HISTORICAL_MARKET_CAP","FQ4 2020","FQ4 2020","Currency=USD","Period=FQ","BEST_FPERIOD_OVERRIDE=FQ","FILING_STATUS=MR","SCALING_FORMAT=MLN","Sort=A","Dates=H","DateFormat=P","Fill=—","Direction=H","UseDPDF=Y")</f>
        <v>2874.5126</v>
      </c>
      <c r="I6" s="13">
        <f>_xll.BDH("BLUE US Equity","HISTORICAL_MARKET_CAP","FQ1 2021","FQ1 2021","Currency=USD","Period=FQ","BEST_FPERIOD_OVERRIDE=FQ","FILING_STATUS=MR","SCALING_FORMAT=MLN","Sort=A","Dates=H","DateFormat=P","Fill=—","Direction=H","UseDPDF=Y")</f>
        <v>2032.7733000000001</v>
      </c>
      <c r="J6" s="13">
        <f>_xll.BDH("BLUE US Equity","HISTORICAL_MARKET_CAP","FQ2 2021","FQ2 2021","Currency=USD","Period=FQ","BEST_FPERIOD_OVERRIDE=FQ","FILING_STATUS=MR","SCALING_FORMAT=MLN","Sort=A","Dates=H","DateFormat=P","Fill=—","Direction=H","UseDPDF=Y")</f>
        <v>2160.2809999999999</v>
      </c>
      <c r="K6" s="13">
        <f>_xll.BDH("BLUE US Equity","HISTORICAL_MARKET_CAP","FQ3 2021","FQ3 2021","Currency=USD","Period=FQ","BEST_FPERIOD_OVERRIDE=FQ","FILING_STATUS=MR","SCALING_FORMAT=MLN","Sort=A","Dates=H","DateFormat=P","Fill=—","Direction=H","UseDPDF=Y")</f>
        <v>1339.5536999999999</v>
      </c>
      <c r="L6" s="13">
        <f>_xll.BDH("BLUE US Equity","HISTORICAL_MARKET_CAP","FQ4 2021","FQ4 2021","Currency=USD","Period=FQ","BEST_FPERIOD_OVERRIDE=FQ","FILING_STATUS=MR","SCALING_FORMAT=MLN","Sort=A","Dates=H","DateFormat=P","Fill=—","Direction=H","UseDPDF=Y")</f>
        <v>710.43889999999999</v>
      </c>
      <c r="M6" s="13">
        <f>_xll.BDH("BLUE US Equity","HISTORICAL_MARKET_CAP","FQ1 2022","FQ1 2022","Currency=USD","Period=FQ","BEST_FPERIOD_OVERRIDE=FQ","FILING_STATUS=MR","SCALING_FORMAT=MLN","Sort=A","Dates=H","DateFormat=P","Fill=—","Direction=H","UseDPDF=Y")</f>
        <v>346.47430000000003</v>
      </c>
      <c r="N6" s="13">
        <f>_xll.BDH("BLUE US Equity","HISTORICAL_MARKET_CAP","FQ2 2022","FQ2 2022","Currency=USD","Period=FQ","BEST_FPERIOD_OVERRIDE=FQ","FILING_STATUS=MR","SCALING_FORMAT=MLN","Sort=A","Dates=H","DateFormat=P","Fill=—","Direction=H","UseDPDF=Y")</f>
        <v>304.50110000000001</v>
      </c>
      <c r="O6" s="13">
        <f>_xll.BDH("BLUE US Equity","HISTORICAL_MARKET_CAP","FQ3 2022","FQ3 2022","Currency=USD","Period=FQ","BEST_FPERIOD_OVERRIDE=FQ","FILING_STATUS=MR","SCALING_FORMAT=MLN","Sort=A","Dates=H","DateFormat=P","Fill=—","Direction=H","UseDPDF=Y")</f>
        <v>524.63040000000001</v>
      </c>
      <c r="P6" s="13">
        <f>_xll.BDH("BLUE US Equity","HISTORICAL_MARKET_CAP","FQ4 2022","FQ4 2022","Currency=USD","Period=FQ","BEST_FPERIOD_OVERRIDE=FQ","FILING_STATUS=MR","SCALING_FORMAT=MLN","Sort=A","Dates=H","DateFormat=P","Fill=—","Direction=H","UseDPDF=Y")</f>
        <v>573.82719999999995</v>
      </c>
      <c r="Q6" s="13">
        <f>_xll.BDH("BLUE US Equity","HISTORICAL_MARKET_CAP","FQ1 2023","FQ1 2023","Currency=USD","Period=FQ","BEST_FPERIOD_OVERRIDE=FQ","FILING_STATUS=MR","SCALING_FORMAT=MLN","Sort=A","Dates=H","DateFormat=P","Fill=—","Direction=H","UseDPDF=Y")</f>
        <v>338.25659999999999</v>
      </c>
      <c r="R6" s="13">
        <f>_xll.BDH("BLUE US Equity","HISTORICAL_MARKET_CAP","FQ2 2023","FQ2 2023","Currency=USD","Period=FQ","BEST_FPERIOD_OVERRIDE=FQ","FILING_STATUS=MR","SCALING_FORMAT=MLN","Sort=A","Dates=H","DateFormat=P","Fill=—","Direction=H","UseDPDF=Y")</f>
        <v>350.2337</v>
      </c>
      <c r="S6" s="13">
        <f>_xll.BDH("BLUE US Equity","HISTORICAL_MARKET_CAP","FQ3 2023","FQ3 2023","Currency=USD","Period=FQ","BEST_FPERIOD_OVERRIDE=FQ","FILING_STATUS=MR","SCALING_FORMAT=MLN","Sort=A","Dates=H","DateFormat=P","Fill=—","Direction=H","UseDPDF=Y")</f>
        <v>325.34690000000001</v>
      </c>
      <c r="T6" s="13">
        <f>_xll.BDH("BLUE US Equity","HISTORICAL_MARKET_CAP","FQ4 2023","FQ4 2023","Currency=USD","Period=FQ","BEST_FPERIOD_OVERRIDE=FQ","FILING_STATUS=MR","SCALING_FORMAT=MLN","Sort=A","Dates=H","DateFormat=P","Fill=—","Direction=H","UseDPDF=Y")</f>
        <v>266.02539999999999</v>
      </c>
      <c r="U6" s="13">
        <f>_xll.BDH("BLUE US Equity","HISTORICAL_MARKET_CAP","FQ1 2024","FQ1 2024","Currency=USD","Period=FQ","BEST_FPERIOD_OVERRIDE=FQ","FILING_STATUS=MR","SCALING_FORMAT=MLN","Sort=A","Dates=H","DateFormat=P","Fill=—","Direction=H","UseDPDF=Y")</f>
        <v>247.78620000000001</v>
      </c>
      <c r="V6" s="13">
        <f>_xll.BDH("BLUE US Equity","HISTORICAL_MARKET_CAP","FQ2 2024","FQ2 2024","Currency=USD","Period=FQ","BEST_FPERIOD_OVERRIDE=FQ","FILING_STATUS=MR","SCALING_FORMAT=MLN","Sort=A","Dates=H","DateFormat=P","Fill=—","Direction=H","UseDPDF=Y")</f>
        <v>190.79310000000001</v>
      </c>
      <c r="W6" s="13">
        <f>_xll.BDH("BLUE US Equity","HISTORICAL_MARKET_CAP","FQ3 2024","FQ3 2024","Currency=USD","Period=FQ","BEST_FPERIOD_OVERRIDE=FQ","FILING_STATUS=MR","SCALING_FORMAT=MLN","Sort=A","Dates=H","DateFormat=P","Fill=—","Direction=H","UseDPDF=Y")</f>
        <v>100.73990000000001</v>
      </c>
      <c r="X6" s="13">
        <f>_xll.BDH("BLUE US Equity","HISTORICAL_MARKET_CAP","FQ4 2024","FQ4 2024","Currency=USD","Period=FQ","BEST_FPERIOD_OVERRIDE=FQ","FILING_STATUS=MR","SCALING_FORMAT=MLN","Sort=A","Dates=H","DateFormat=P","Fill=—","Direction=H","UseDPDF=Y")</f>
        <v>81.131500000000003</v>
      </c>
      <c r="Y6" s="16">
        <v>37.006464600000001</v>
      </c>
      <c r="Z6" s="13"/>
      <c r="AA6" s="13"/>
    </row>
    <row r="7" spans="1:27" x14ac:dyDescent="0.25">
      <c r="A7" s="10" t="s">
        <v>165</v>
      </c>
      <c r="B7" s="10" t="s">
        <v>62</v>
      </c>
      <c r="C7" s="13">
        <f>_xll.BDH("BLUE US Equity","CASH_AND_MARKETABLE_SECURITIES","FQ3 2019","FQ3 2019","Currency=USD","Period=FQ","BEST_FPERIOD_OVERRIDE=FQ","FILING_STATUS=MR","SCALING_FORMAT=MLN","Sort=A","Dates=H","DateFormat=P","Fill=—","Direction=H","UseDPDF=Y")</f>
        <v>1405.8869999999999</v>
      </c>
      <c r="D7" s="13">
        <f>_xll.BDH("BLUE US Equity","CASH_AND_MARKETABLE_SECURITIES","FQ4 2019","FQ4 2019","Currency=USD","Period=FQ","BEST_FPERIOD_OVERRIDE=FQ","FILING_STATUS=MR","SCALING_FORMAT=MLN","Sort=A","Dates=H","DateFormat=P","Fill=—","Direction=H","UseDPDF=Y")</f>
        <v>1237.9659999999999</v>
      </c>
      <c r="E7" s="13">
        <f>_xll.BDH("BLUE US Equity","CASH_AND_MARKETABLE_SECURITIES","FQ1 2020","FQ1 2020","Currency=USD","Period=FQ","BEST_FPERIOD_OVERRIDE=FQ","FILING_STATUS=MR","SCALING_FORMAT=MLN","Sort=A","Dates=H","DateFormat=P","Fill=—","Direction=H","UseDPDF=Y")</f>
        <v>1018.357</v>
      </c>
      <c r="F7" s="13">
        <f>_xll.BDH("BLUE US Equity","CASH_AND_MARKETABLE_SECURITIES","FQ2 2020","FQ2 2020","Currency=USD","Period=FQ","BEST_FPERIOD_OVERRIDE=FQ","FILING_STATUS=MR","SCALING_FORMAT=MLN","Sort=A","Dates=H","DateFormat=P","Fill=—","Direction=H","UseDPDF=Y")</f>
        <v>1598.7929999999999</v>
      </c>
      <c r="G7" s="13">
        <f>_xll.BDH("BLUE US Equity","CASH_AND_MARKETABLE_SECURITIES","FQ3 2020","FQ3 2020","Currency=USD","Period=FQ","BEST_FPERIOD_OVERRIDE=FQ","FILING_STATUS=MR","SCALING_FORMAT=MLN","Sort=A","Dates=H","DateFormat=P","Fill=—","Direction=H","UseDPDF=Y")</f>
        <v>1437.87</v>
      </c>
      <c r="H7" s="13">
        <f>_xll.BDH("BLUE US Equity","CASH_AND_MARKETABLE_SECURITIES","FQ4 2020","FQ4 2020","Currency=USD","Period=FQ","BEST_FPERIOD_OVERRIDE=FQ","FILING_STATUS=MR","SCALING_FORMAT=MLN","Sort=A","Dates=H","DateFormat=P","Fill=—","Direction=H","UseDPDF=Y")</f>
        <v>741.673</v>
      </c>
      <c r="I7" s="13">
        <f>_xll.BDH("BLUE US Equity","CASH_AND_MARKETABLE_SECURITIES","FQ1 2021","FQ1 2021","Currency=USD","Period=FQ","BEST_FPERIOD_OVERRIDE=FQ","FILING_STATUS=MR","SCALING_FORMAT=MLN","Sort=A","Dates=H","DateFormat=P","Fill=—","Direction=H","UseDPDF=Y")</f>
        <v>1093.5509999999999</v>
      </c>
      <c r="J7" s="13">
        <f>_xll.BDH("BLUE US Equity","CASH_AND_MARKETABLE_SECURITIES","FQ2 2021","FQ2 2021","Currency=USD","Period=FQ","BEST_FPERIOD_OVERRIDE=FQ","FILING_STATUS=MR","SCALING_FORMAT=MLN","Sort=A","Dates=H","DateFormat=P","Fill=—","Direction=H","UseDPDF=Y")</f>
        <v>941.62800000000004</v>
      </c>
      <c r="K7" s="13">
        <f>_xll.BDH("BLUE US Equity","CASH_AND_MARKETABLE_SECURITIES","FQ3 2021","FQ3 2021","Currency=USD","Period=FQ","BEST_FPERIOD_OVERRIDE=FQ","FILING_STATUS=MR","SCALING_FORMAT=MLN","Sort=A","Dates=H","DateFormat=P","Fill=—","Direction=H","UseDPDF=Y")</f>
        <v>970.73</v>
      </c>
      <c r="L7" s="13">
        <f>_xll.BDH("BLUE US Equity","CASH_AND_MARKETABLE_SECURITIES","FQ4 2021","FQ4 2021","Currency=USD","Period=FQ","BEST_FPERIOD_OVERRIDE=FQ","FILING_STATUS=MR","SCALING_FORMAT=MLN","Sort=A","Dates=H","DateFormat=P","Fill=—","Direction=H","UseDPDF=Y")</f>
        <v>396.61700000000002</v>
      </c>
      <c r="M7" s="13">
        <f>_xll.BDH("BLUE US Equity","CASH_AND_MARKETABLE_SECURITIES","FQ1 2022","FQ1 2022","Currency=USD","Period=FQ","BEST_FPERIOD_OVERRIDE=FQ","FILING_STATUS=MR","SCALING_FORMAT=MLN","Sort=A","Dates=H","DateFormat=P","Fill=—","Direction=H","UseDPDF=Y")</f>
        <v>266.637</v>
      </c>
      <c r="N7" s="13">
        <f>_xll.BDH("BLUE US Equity","CASH_AND_MARKETABLE_SECURITIES","FQ2 2022","FQ2 2022","Currency=USD","Period=FQ","BEST_FPERIOD_OVERRIDE=FQ","FILING_STATUS=MR","SCALING_FORMAT=MLN","Sort=A","Dates=H","DateFormat=P","Fill=—","Direction=H","UseDPDF=Y")</f>
        <v>173.15</v>
      </c>
      <c r="O7" s="13">
        <f>_xll.BDH("BLUE US Equity","CASH_AND_MARKETABLE_SECURITIES","FQ3 2022","FQ3 2022","Currency=USD","Period=FQ","BEST_FPERIOD_OVERRIDE=FQ","FILING_STATUS=MR","SCALING_FORMAT=MLN","Sort=A","Dates=H","DateFormat=P","Fill=—","Direction=H","UseDPDF=Y")</f>
        <v>141.04</v>
      </c>
      <c r="P7" s="13">
        <f>_xll.BDH("BLUE US Equity","CASH_AND_MARKETABLE_SECURITIES","FQ4 2022","FQ4 2022","Currency=USD","Period=FQ","BEST_FPERIOD_OVERRIDE=FQ","FILING_STATUS=MR","SCALING_FORMAT=MLN","Sort=A","Dates=H","DateFormat=P","Fill=—","Direction=H","UseDPDF=Y")</f>
        <v>181.74100000000001</v>
      </c>
      <c r="Q7" s="13">
        <f>_xll.BDH("BLUE US Equity","CASH_AND_MARKETABLE_SECURITIES","FQ1 2023","FQ1 2023","Currency=USD","Period=FQ","BEST_FPERIOD_OVERRIDE=FQ","FILING_STATUS=MR","SCALING_FORMAT=MLN","Sort=A","Dates=H","DateFormat=P","Fill=—","Direction=H","UseDPDF=Y")</f>
        <v>318.25700000000001</v>
      </c>
      <c r="R7" s="13">
        <f>_xll.BDH("BLUE US Equity","CASH_AND_MARKETABLE_SECURITIES","FQ2 2023","FQ2 2023","Currency=USD","Period=FQ","BEST_FPERIOD_OVERRIDE=FQ","FILING_STATUS=MR","SCALING_FORMAT=MLN","Sort=A","Dates=H","DateFormat=P","Fill=—","Direction=H","UseDPDF=Y")</f>
        <v>245.303</v>
      </c>
      <c r="S7" s="13">
        <f>_xll.BDH("BLUE US Equity","CASH_AND_MARKETABLE_SECURITIES","FQ3 2023","FQ3 2023","Currency=USD","Period=FQ","BEST_FPERIOD_OVERRIDE=FQ","FILING_STATUS=MR","SCALING_FORMAT=MLN","Sort=A","Dates=H","DateFormat=P","Fill=—","Direction=H","UseDPDF=Y")</f>
        <v>174.29300000000001</v>
      </c>
      <c r="T7" s="13">
        <f>_xll.BDH("BLUE US Equity","CASH_AND_MARKETABLE_SECURITIES","FQ4 2023","FQ4 2023","Currency=USD","Period=FQ","BEST_FPERIOD_OVERRIDE=FQ","FILING_STATUS=MR","SCALING_FORMAT=MLN","Sort=A","Dates=H","DateFormat=P","Fill=—","Direction=H","UseDPDF=Y")</f>
        <v>221.755</v>
      </c>
      <c r="U7" s="13">
        <f>_xll.BDH("BLUE US Equity","CASH_AND_MARKETABLE_SECURITIES","FQ1 2024","FQ1 2024","Currency=USD","Period=FQ","BEST_FPERIOD_OVERRIDE=FQ","FILING_STATUS=MR","SCALING_FORMAT=MLN","Sort=A","Dates=H","DateFormat=P","Fill=—","Direction=H","UseDPDF=Y")</f>
        <v>212.047</v>
      </c>
      <c r="V7" s="13">
        <f>_xll.BDH("BLUE US Equity","CASH_AND_MARKETABLE_SECURITIES","FQ2 2024","FQ2 2024","Currency=USD","Period=FQ","BEST_FPERIOD_OVERRIDE=FQ","FILING_STATUS=MR","SCALING_FORMAT=MLN","Sort=A","Dates=H","DateFormat=P","Fill=—","Direction=H","UseDPDF=Y")</f>
        <v>144.06700000000001</v>
      </c>
      <c r="W7" s="13">
        <f>_xll.BDH("BLUE US Equity","CASH_AND_MARKETABLE_SECURITIES","FQ3 2024","FQ3 2024","Currency=USD","Period=FQ","BEST_FPERIOD_OVERRIDE=FQ","FILING_STATUS=MR","SCALING_FORMAT=MLN","Sort=A","Dates=H","DateFormat=P","Fill=—","Direction=H","UseDPDF=Y")</f>
        <v>70.650999999999996</v>
      </c>
      <c r="X7" s="13">
        <f>_xll.BDH("BLUE US Equity","CASH_AND_MARKETABLE_SECURITIES","FQ4 2024","FQ4 2024","Currency=USD","Period=FQ","BEST_FPERIOD_OVERRIDE=FQ","FILING_STATUS=MR","SCALING_FORMAT=MLN","Sort=A","Dates=H","DateFormat=P","Fill=—","Direction=H","UseDPDF=Y")</f>
        <v>62.305</v>
      </c>
      <c r="Y7" s="16">
        <v>62.305</v>
      </c>
      <c r="Z7" s="13"/>
      <c r="AA7" s="13"/>
    </row>
    <row r="8" spans="1:27" x14ac:dyDescent="0.25">
      <c r="A8" s="10" t="s">
        <v>166</v>
      </c>
      <c r="B8" s="10" t="s">
        <v>167</v>
      </c>
      <c r="C8" s="13">
        <f>_xll.BDH("BLUE US Equity","PFD_EQTY_HYBRID_CAPITAL","FQ3 2019","FQ3 2019","Currency=USD","Period=FQ","BEST_FPERIOD_OVERRIDE=FQ","FILING_STATUS=MR","SCALING_FORMAT=MLN","Sort=A","Dates=H","DateFormat=P","Fill=—","Direction=H","UseDPDF=Y")</f>
        <v>0</v>
      </c>
      <c r="D8" s="13">
        <f>_xll.BDH("BLUE US Equity","PFD_EQTY_HYBRID_CAPITAL","FQ4 2019","FQ4 2019","Currency=USD","Period=FQ","BEST_FPERIOD_OVERRIDE=FQ","FILING_STATUS=MR","SCALING_FORMAT=MLN","Sort=A","Dates=H","DateFormat=P","Fill=—","Direction=H","UseDPDF=Y")</f>
        <v>0</v>
      </c>
      <c r="E8" s="13">
        <f>_xll.BDH("BLUE US Equity","PFD_EQTY_HYBRID_CAPITAL","FQ1 2020","FQ1 2020","Currency=USD","Period=FQ","BEST_FPERIOD_OVERRIDE=FQ","FILING_STATUS=MR","SCALING_FORMAT=MLN","Sort=A","Dates=H","DateFormat=P","Fill=—","Direction=H","UseDPDF=Y")</f>
        <v>0</v>
      </c>
      <c r="F8" s="13">
        <f>_xll.BDH("BLUE US Equity","PFD_EQTY_HYBRID_CAPITAL","FQ2 2020","FQ2 2020","Currency=USD","Period=FQ","BEST_FPERIOD_OVERRIDE=FQ","FILING_STATUS=MR","SCALING_FORMAT=MLN","Sort=A","Dates=H","DateFormat=P","Fill=—","Direction=H","UseDPDF=Y")</f>
        <v>0</v>
      </c>
      <c r="G8" s="13">
        <f>_xll.BDH("BLUE US Equity","PFD_EQTY_HYBRID_CAPITAL","FQ3 2020","FQ3 2020","Currency=USD","Period=FQ","BEST_FPERIOD_OVERRIDE=FQ","FILING_STATUS=MR","SCALING_FORMAT=MLN","Sort=A","Dates=H","DateFormat=P","Fill=—","Direction=H","UseDPDF=Y")</f>
        <v>0</v>
      </c>
      <c r="H8" s="13">
        <f>_xll.BDH("BLUE US Equity","PFD_EQTY_HYBRID_CAPITAL","FQ4 2020","FQ4 2020","Currency=USD","Period=FQ","BEST_FPERIOD_OVERRIDE=FQ","FILING_STATUS=MR","SCALING_FORMAT=MLN","Sort=A","Dates=H","DateFormat=P","Fill=—","Direction=H","UseDPDF=Y")</f>
        <v>0</v>
      </c>
      <c r="I8" s="13">
        <f>_xll.BDH("BLUE US Equity","PFD_EQTY_HYBRID_CAPITAL","FQ1 2021","FQ1 2021","Currency=USD","Period=FQ","BEST_FPERIOD_OVERRIDE=FQ","FILING_STATUS=MR","SCALING_FORMAT=MLN","Sort=A","Dates=H","DateFormat=P","Fill=—","Direction=H","UseDPDF=Y")</f>
        <v>0</v>
      </c>
      <c r="J8" s="13">
        <f>_xll.BDH("BLUE US Equity","PFD_EQTY_HYBRID_CAPITAL","FQ2 2021","FQ2 2021","Currency=USD","Period=FQ","BEST_FPERIOD_OVERRIDE=FQ","FILING_STATUS=MR","SCALING_FORMAT=MLN","Sort=A","Dates=H","DateFormat=P","Fill=—","Direction=H","UseDPDF=Y")</f>
        <v>0</v>
      </c>
      <c r="K8" s="13">
        <f>_xll.BDH("BLUE US Equity","PFD_EQTY_HYBRID_CAPITAL","FQ3 2021","FQ3 2021","Currency=USD","Period=FQ","BEST_FPERIOD_OVERRIDE=FQ","FILING_STATUS=MR","SCALING_FORMAT=MLN","Sort=A","Dates=H","DateFormat=P","Fill=—","Direction=H","UseDPDF=Y")</f>
        <v>0</v>
      </c>
      <c r="L8" s="13">
        <f>_xll.BDH("BLUE US Equity","PFD_EQTY_HYBRID_CAPITAL","FQ4 2021","FQ4 2021","Currency=USD","Period=FQ","BEST_FPERIOD_OVERRIDE=FQ","FILING_STATUS=MR","SCALING_FORMAT=MLN","Sort=A","Dates=H","DateFormat=P","Fill=—","Direction=H","UseDPDF=Y")</f>
        <v>0</v>
      </c>
      <c r="M8" s="13">
        <f>_xll.BDH("BLUE US Equity","PFD_EQTY_HYBRID_CAPITAL","FQ1 2022","FQ1 2022","Currency=USD","Period=FQ","BEST_FPERIOD_OVERRIDE=FQ","FILING_STATUS=MR","SCALING_FORMAT=MLN","Sort=A","Dates=H","DateFormat=P","Fill=—","Direction=H","UseDPDF=Y")</f>
        <v>0</v>
      </c>
      <c r="N8" s="13">
        <f>_xll.BDH("BLUE US Equity","PFD_EQTY_HYBRID_CAPITAL","FQ2 2022","FQ2 2022","Currency=USD","Period=FQ","BEST_FPERIOD_OVERRIDE=FQ","FILING_STATUS=MR","SCALING_FORMAT=MLN","Sort=A","Dates=H","DateFormat=P","Fill=—","Direction=H","UseDPDF=Y")</f>
        <v>0</v>
      </c>
      <c r="O8" s="13">
        <f>_xll.BDH("BLUE US Equity","PFD_EQTY_HYBRID_CAPITAL","FQ3 2022","FQ3 2022","Currency=USD","Period=FQ","BEST_FPERIOD_OVERRIDE=FQ","FILING_STATUS=MR","SCALING_FORMAT=MLN","Sort=A","Dates=H","DateFormat=P","Fill=—","Direction=H","UseDPDF=Y")</f>
        <v>0</v>
      </c>
      <c r="P8" s="13">
        <f>_xll.BDH("BLUE US Equity","PFD_EQTY_HYBRID_CAPITAL","FQ4 2022","FQ4 2022","Currency=USD","Period=FQ","BEST_FPERIOD_OVERRIDE=FQ","FILING_STATUS=MR","SCALING_FORMAT=MLN","Sort=A","Dates=H","DateFormat=P","Fill=—","Direction=H","UseDPDF=Y")</f>
        <v>0</v>
      </c>
      <c r="Q8" s="13">
        <f>_xll.BDH("BLUE US Equity","PFD_EQTY_HYBRID_CAPITAL","FQ1 2023","FQ1 2023","Currency=USD","Period=FQ","BEST_FPERIOD_OVERRIDE=FQ","FILING_STATUS=MR","SCALING_FORMAT=MLN","Sort=A","Dates=H","DateFormat=P","Fill=—","Direction=H","UseDPDF=Y")</f>
        <v>0</v>
      </c>
      <c r="R8" s="13">
        <f>_xll.BDH("BLUE US Equity","PFD_EQTY_HYBRID_CAPITAL","FQ2 2023","FQ2 2023","Currency=USD","Period=FQ","BEST_FPERIOD_OVERRIDE=FQ","FILING_STATUS=MR","SCALING_FORMAT=MLN","Sort=A","Dates=H","DateFormat=P","Fill=—","Direction=H","UseDPDF=Y")</f>
        <v>0</v>
      </c>
      <c r="S8" s="13">
        <f>_xll.BDH("BLUE US Equity","PFD_EQTY_HYBRID_CAPITAL","FQ3 2023","FQ3 2023","Currency=USD","Period=FQ","BEST_FPERIOD_OVERRIDE=FQ","FILING_STATUS=MR","SCALING_FORMAT=MLN","Sort=A","Dates=H","DateFormat=P","Fill=—","Direction=H","UseDPDF=Y")</f>
        <v>0</v>
      </c>
      <c r="T8" s="13">
        <f>_xll.BDH("BLUE US Equity","PFD_EQTY_HYBRID_CAPITAL","FQ4 2023","FQ4 2023","Currency=USD","Period=FQ","BEST_FPERIOD_OVERRIDE=FQ","FILING_STATUS=MR","SCALING_FORMAT=MLN","Sort=A","Dates=H","DateFormat=P","Fill=—","Direction=H","UseDPDF=Y")</f>
        <v>0</v>
      </c>
      <c r="U8" s="13">
        <f>_xll.BDH("BLUE US Equity","PFD_EQTY_HYBRID_CAPITAL","FQ1 2024","FQ1 2024","Currency=USD","Period=FQ","BEST_FPERIOD_OVERRIDE=FQ","FILING_STATUS=MR","SCALING_FORMAT=MLN","Sort=A","Dates=H","DateFormat=P","Fill=—","Direction=H","UseDPDF=Y")</f>
        <v>0</v>
      </c>
      <c r="V8" s="13">
        <f>_xll.BDH("BLUE US Equity","PFD_EQTY_HYBRID_CAPITAL","FQ2 2024","FQ2 2024","Currency=USD","Period=FQ","BEST_FPERIOD_OVERRIDE=FQ","FILING_STATUS=MR","SCALING_FORMAT=MLN","Sort=A","Dates=H","DateFormat=P","Fill=—","Direction=H","UseDPDF=Y")</f>
        <v>0</v>
      </c>
      <c r="W8" s="13">
        <f>_xll.BDH("BLUE US Equity","PFD_EQTY_HYBRID_CAPITAL","FQ3 2024","FQ3 2024","Currency=USD","Period=FQ","BEST_FPERIOD_OVERRIDE=FQ","FILING_STATUS=MR","SCALING_FORMAT=MLN","Sort=A","Dates=H","DateFormat=P","Fill=—","Direction=H","UseDPDF=Y")</f>
        <v>0</v>
      </c>
      <c r="X8" s="13">
        <f>_xll.BDH("BLUE US Equity","PFD_EQTY_HYBRID_CAPITAL","FQ4 2024","FQ4 2024","Currency=USD","Period=FQ","BEST_FPERIOD_OVERRIDE=FQ","FILING_STATUS=MR","SCALING_FORMAT=MLN","Sort=A","Dates=H","DateFormat=P","Fill=—","Direction=H","UseDPDF=Y")</f>
        <v>0</v>
      </c>
      <c r="Y8" s="16">
        <v>0</v>
      </c>
      <c r="Z8" s="13"/>
      <c r="AA8" s="13"/>
    </row>
    <row r="9" spans="1:27" x14ac:dyDescent="0.25">
      <c r="A9" s="10" t="s">
        <v>168</v>
      </c>
      <c r="B9" s="10" t="s">
        <v>169</v>
      </c>
      <c r="C9" s="13">
        <f>_xll.BDH("BLUE US Equity","MINORITY_NONCONTROLLING_INTEREST","FQ3 2019","FQ3 2019","Currency=USD","Period=FQ","BEST_FPERIOD_OVERRIDE=FQ","FILING_STATUS=MR","SCALING_FORMAT=MLN","Sort=A","Dates=H","DateFormat=P","Fill=—","Direction=H","UseDPDF=Y")</f>
        <v>0</v>
      </c>
      <c r="D9" s="13">
        <f>_xll.BDH("BLUE US Equity","MINORITY_NONCONTROLLING_INTEREST","FQ4 2019","FQ4 2019","Currency=USD","Period=FQ","BEST_FPERIOD_OVERRIDE=FQ","FILING_STATUS=MR","SCALING_FORMAT=MLN","Sort=A","Dates=H","DateFormat=P","Fill=—","Direction=H","UseDPDF=Y")</f>
        <v>0</v>
      </c>
      <c r="E9" s="13">
        <f>_xll.BDH("BLUE US Equity","MINORITY_NONCONTROLLING_INTEREST","FQ1 2020","FQ1 2020","Currency=USD","Period=FQ","BEST_FPERIOD_OVERRIDE=FQ","FILING_STATUS=MR","SCALING_FORMAT=MLN","Sort=A","Dates=H","DateFormat=P","Fill=—","Direction=H","UseDPDF=Y")</f>
        <v>0</v>
      </c>
      <c r="F9" s="13">
        <f>_xll.BDH("BLUE US Equity","MINORITY_NONCONTROLLING_INTEREST","FQ2 2020","FQ2 2020","Currency=USD","Period=FQ","BEST_FPERIOD_OVERRIDE=FQ","FILING_STATUS=MR","SCALING_FORMAT=MLN","Sort=A","Dates=H","DateFormat=P","Fill=—","Direction=H","UseDPDF=Y")</f>
        <v>0</v>
      </c>
      <c r="G9" s="13">
        <f>_xll.BDH("BLUE US Equity","MINORITY_NONCONTROLLING_INTEREST","FQ3 2020","FQ3 2020","Currency=USD","Period=FQ","BEST_FPERIOD_OVERRIDE=FQ","FILING_STATUS=MR","SCALING_FORMAT=MLN","Sort=A","Dates=H","DateFormat=P","Fill=—","Direction=H","UseDPDF=Y")</f>
        <v>0</v>
      </c>
      <c r="H9" s="13">
        <f>_xll.BDH("BLUE US Equity","MINORITY_NONCONTROLLING_INTEREST","FQ4 2020","FQ4 2020","Currency=USD","Period=FQ","BEST_FPERIOD_OVERRIDE=FQ","FILING_STATUS=MR","SCALING_FORMAT=MLN","Sort=A","Dates=H","DateFormat=P","Fill=—","Direction=H","UseDPDF=Y")</f>
        <v>0</v>
      </c>
      <c r="I9" s="13">
        <f>_xll.BDH("BLUE US Equity","MINORITY_NONCONTROLLING_INTEREST","FQ1 2021","FQ1 2021","Currency=USD","Period=FQ","BEST_FPERIOD_OVERRIDE=FQ","FILING_STATUS=MR","SCALING_FORMAT=MLN","Sort=A","Dates=H","DateFormat=P","Fill=—","Direction=H","UseDPDF=Y")</f>
        <v>0</v>
      </c>
      <c r="J9" s="13">
        <f>_xll.BDH("BLUE US Equity","MINORITY_NONCONTROLLING_INTEREST","FQ2 2021","FQ2 2021","Currency=USD","Period=FQ","BEST_FPERIOD_OVERRIDE=FQ","FILING_STATUS=MR","SCALING_FORMAT=MLN","Sort=A","Dates=H","DateFormat=P","Fill=—","Direction=H","UseDPDF=Y")</f>
        <v>0</v>
      </c>
      <c r="K9" s="13">
        <f>_xll.BDH("BLUE US Equity","MINORITY_NONCONTROLLING_INTEREST","FQ3 2021","FQ3 2021","Currency=USD","Period=FQ","BEST_FPERIOD_OVERRIDE=FQ","FILING_STATUS=MR","SCALING_FORMAT=MLN","Sort=A","Dates=H","DateFormat=P","Fill=—","Direction=H","UseDPDF=Y")</f>
        <v>0</v>
      </c>
      <c r="L9" s="13">
        <f>_xll.BDH("BLUE US Equity","MINORITY_NONCONTROLLING_INTEREST","FQ4 2021","FQ4 2021","Currency=USD","Period=FQ","BEST_FPERIOD_OVERRIDE=FQ","FILING_STATUS=MR","SCALING_FORMAT=MLN","Sort=A","Dates=H","DateFormat=P","Fill=—","Direction=H","UseDPDF=Y")</f>
        <v>0</v>
      </c>
      <c r="M9" s="13">
        <f>_xll.BDH("BLUE US Equity","MINORITY_NONCONTROLLING_INTEREST","FQ1 2022","FQ1 2022","Currency=USD","Period=FQ","BEST_FPERIOD_OVERRIDE=FQ","FILING_STATUS=MR","SCALING_FORMAT=MLN","Sort=A","Dates=H","DateFormat=P","Fill=—","Direction=H","UseDPDF=Y")</f>
        <v>0</v>
      </c>
      <c r="N9" s="13">
        <f>_xll.BDH("BLUE US Equity","MINORITY_NONCONTROLLING_INTEREST","FQ2 2022","FQ2 2022","Currency=USD","Period=FQ","BEST_FPERIOD_OVERRIDE=FQ","FILING_STATUS=MR","SCALING_FORMAT=MLN","Sort=A","Dates=H","DateFormat=P","Fill=—","Direction=H","UseDPDF=Y")</f>
        <v>0</v>
      </c>
      <c r="O9" s="13">
        <f>_xll.BDH("BLUE US Equity","MINORITY_NONCONTROLLING_INTEREST","FQ3 2022","FQ3 2022","Currency=USD","Period=FQ","BEST_FPERIOD_OVERRIDE=FQ","FILING_STATUS=MR","SCALING_FORMAT=MLN","Sort=A","Dates=H","DateFormat=P","Fill=—","Direction=H","UseDPDF=Y")</f>
        <v>0</v>
      </c>
      <c r="P9" s="13">
        <f>_xll.BDH("BLUE US Equity","MINORITY_NONCONTROLLING_INTEREST","FQ4 2022","FQ4 2022","Currency=USD","Period=FQ","BEST_FPERIOD_OVERRIDE=FQ","FILING_STATUS=MR","SCALING_FORMAT=MLN","Sort=A","Dates=H","DateFormat=P","Fill=—","Direction=H","UseDPDF=Y")</f>
        <v>0</v>
      </c>
      <c r="Q9" s="13">
        <f>_xll.BDH("BLUE US Equity","MINORITY_NONCONTROLLING_INTEREST","FQ1 2023","FQ1 2023","Currency=USD","Period=FQ","BEST_FPERIOD_OVERRIDE=FQ","FILING_STATUS=MR","SCALING_FORMAT=MLN","Sort=A","Dates=H","DateFormat=P","Fill=—","Direction=H","UseDPDF=Y")</f>
        <v>0</v>
      </c>
      <c r="R9" s="13">
        <f>_xll.BDH("BLUE US Equity","MINORITY_NONCONTROLLING_INTEREST","FQ2 2023","FQ2 2023","Currency=USD","Period=FQ","BEST_FPERIOD_OVERRIDE=FQ","FILING_STATUS=MR","SCALING_FORMAT=MLN","Sort=A","Dates=H","DateFormat=P","Fill=—","Direction=H","UseDPDF=Y")</f>
        <v>0</v>
      </c>
      <c r="S9" s="13">
        <f>_xll.BDH("BLUE US Equity","MINORITY_NONCONTROLLING_INTEREST","FQ3 2023","FQ3 2023","Currency=USD","Period=FQ","BEST_FPERIOD_OVERRIDE=FQ","FILING_STATUS=MR","SCALING_FORMAT=MLN","Sort=A","Dates=H","DateFormat=P","Fill=—","Direction=H","UseDPDF=Y")</f>
        <v>0</v>
      </c>
      <c r="T9" s="13">
        <f>_xll.BDH("BLUE US Equity","MINORITY_NONCONTROLLING_INTEREST","FQ4 2023","FQ4 2023","Currency=USD","Period=FQ","BEST_FPERIOD_OVERRIDE=FQ","FILING_STATUS=MR","SCALING_FORMAT=MLN","Sort=A","Dates=H","DateFormat=P","Fill=—","Direction=H","UseDPDF=Y")</f>
        <v>0</v>
      </c>
      <c r="U9" s="13">
        <f>_xll.BDH("BLUE US Equity","MINORITY_NONCONTROLLING_INTEREST","FQ1 2024","FQ1 2024","Currency=USD","Period=FQ","BEST_FPERIOD_OVERRIDE=FQ","FILING_STATUS=MR","SCALING_FORMAT=MLN","Sort=A","Dates=H","DateFormat=P","Fill=—","Direction=H","UseDPDF=Y")</f>
        <v>0</v>
      </c>
      <c r="V9" s="13">
        <f>_xll.BDH("BLUE US Equity","MINORITY_NONCONTROLLING_INTEREST","FQ2 2024","FQ2 2024","Currency=USD","Period=FQ","BEST_FPERIOD_OVERRIDE=FQ","FILING_STATUS=MR","SCALING_FORMAT=MLN","Sort=A","Dates=H","DateFormat=P","Fill=—","Direction=H","UseDPDF=Y")</f>
        <v>0</v>
      </c>
      <c r="W9" s="13">
        <f>_xll.BDH("BLUE US Equity","MINORITY_NONCONTROLLING_INTEREST","FQ3 2024","FQ3 2024","Currency=USD","Period=FQ","BEST_FPERIOD_OVERRIDE=FQ","FILING_STATUS=MR","SCALING_FORMAT=MLN","Sort=A","Dates=H","DateFormat=P","Fill=—","Direction=H","UseDPDF=Y")</f>
        <v>0</v>
      </c>
      <c r="X9" s="13">
        <f>_xll.BDH("BLUE US Equity","MINORITY_NONCONTROLLING_INTEREST","FQ4 2024","FQ4 2024","Currency=USD","Period=FQ","BEST_FPERIOD_OVERRIDE=FQ","FILING_STATUS=MR","SCALING_FORMAT=MLN","Sort=A","Dates=H","DateFormat=P","Fill=—","Direction=H","UseDPDF=Y")</f>
        <v>0</v>
      </c>
      <c r="Y9" s="16">
        <v>0</v>
      </c>
      <c r="Z9" s="13"/>
      <c r="AA9" s="13"/>
    </row>
    <row r="10" spans="1:27" x14ac:dyDescent="0.25">
      <c r="A10" s="10" t="s">
        <v>170</v>
      </c>
      <c r="B10" s="10" t="s">
        <v>264</v>
      </c>
      <c r="C10" s="13">
        <f>_xll.BDH("BLUE US Equity","TOT_DEBT_EX_OPERATING_LEA_LIABS","FQ3 2019","FQ3 2019","Currency=USD","Period=FQ","BEST_FPERIOD_OVERRIDE=FQ","FILING_STATUS=MR","SCALING_FORMAT=MLN","Sort=A","Dates=H","DateFormat=P","Fill=—","Direction=H","UseDPDF=Y")</f>
        <v>0</v>
      </c>
      <c r="D10" s="13">
        <f>_xll.BDH("BLUE US Equity","TOT_DEBT_EX_OPERATING_LEA_LIABS","FQ4 2019","FQ4 2019","Currency=USD","Period=FQ","BEST_FPERIOD_OVERRIDE=FQ","FILING_STATUS=MR","SCALING_FORMAT=MLN","Sort=A","Dates=H","DateFormat=P","Fill=—","Direction=H","UseDPDF=Y")</f>
        <v>0</v>
      </c>
      <c r="E10" s="13">
        <f>_xll.BDH("BLUE US Equity","TOT_DEBT_EX_OPERATING_LEA_LIABS","FQ1 2020","FQ1 2020","Currency=USD","Period=FQ","BEST_FPERIOD_OVERRIDE=FQ","FILING_STATUS=MR","SCALING_FORMAT=MLN","Sort=A","Dates=H","DateFormat=P","Fill=—","Direction=H","UseDPDF=Y")</f>
        <v>0</v>
      </c>
      <c r="F10" s="13">
        <f>_xll.BDH("BLUE US Equity","TOT_DEBT_EX_OPERATING_LEA_LIABS","FQ2 2020","FQ2 2020","Currency=USD","Period=FQ","BEST_FPERIOD_OVERRIDE=FQ","FILING_STATUS=MR","SCALING_FORMAT=MLN","Sort=A","Dates=H","DateFormat=P","Fill=—","Direction=H","UseDPDF=Y")</f>
        <v>0</v>
      </c>
      <c r="G10" s="13">
        <f>_xll.BDH("BLUE US Equity","TOT_DEBT_EX_OPERATING_LEA_LIABS","FQ3 2020","FQ3 2020","Currency=USD","Period=FQ","BEST_FPERIOD_OVERRIDE=FQ","FILING_STATUS=MR","SCALING_FORMAT=MLN","Sort=A","Dates=H","DateFormat=P","Fill=—","Direction=H","UseDPDF=Y")</f>
        <v>0</v>
      </c>
      <c r="H10" s="13">
        <f>_xll.BDH("BLUE US Equity","TOT_DEBT_EX_OPERATING_LEA_LIABS","FQ4 2020","FQ4 2020","Currency=USD","Period=FQ","BEST_FPERIOD_OVERRIDE=FQ","FILING_STATUS=MR","SCALING_FORMAT=MLN","Sort=A","Dates=H","DateFormat=P","Fill=—","Direction=H","UseDPDF=Y")</f>
        <v>0</v>
      </c>
      <c r="I10" s="13">
        <f>_xll.BDH("BLUE US Equity","TOT_DEBT_EX_OPERATING_LEA_LIABS","FQ1 2021","FQ1 2021","Currency=USD","Period=FQ","BEST_FPERIOD_OVERRIDE=FQ","FILING_STATUS=MR","SCALING_FORMAT=MLN","Sort=A","Dates=H","DateFormat=P","Fill=—","Direction=H","UseDPDF=Y")</f>
        <v>0</v>
      </c>
      <c r="J10" s="13">
        <f>_xll.BDH("BLUE US Equity","TOT_DEBT_EX_OPERATING_LEA_LIABS","FQ2 2021","FQ2 2021","Currency=USD","Period=FQ","BEST_FPERIOD_OVERRIDE=FQ","FILING_STATUS=MR","SCALING_FORMAT=MLN","Sort=A","Dates=H","DateFormat=P","Fill=—","Direction=H","UseDPDF=Y")</f>
        <v>0</v>
      </c>
      <c r="K10" s="13">
        <f>_xll.BDH("BLUE US Equity","TOT_DEBT_EX_OPERATING_LEA_LIABS","FQ3 2021","FQ3 2021","Currency=USD","Period=FQ","BEST_FPERIOD_OVERRIDE=FQ","FILING_STATUS=MR","SCALING_FORMAT=MLN","Sort=A","Dates=H","DateFormat=P","Fill=—","Direction=H","UseDPDF=Y")</f>
        <v>0</v>
      </c>
      <c r="L10" s="13">
        <f>_xll.BDH("BLUE US Equity","TOT_DEBT_EX_OPERATING_LEA_LIABS","FQ4 2021","FQ4 2021","Currency=USD","Period=FQ","BEST_FPERIOD_OVERRIDE=FQ","FILING_STATUS=MR","SCALING_FORMAT=MLN","Sort=A","Dates=H","DateFormat=P","Fill=—","Direction=H","UseDPDF=Y")</f>
        <v>0</v>
      </c>
      <c r="M10" s="13">
        <f>_xll.BDH("BLUE US Equity","TOT_DEBT_EX_OPERATING_LEA_LIABS","FQ1 2022","FQ1 2022","Currency=USD","Period=FQ","BEST_FPERIOD_OVERRIDE=FQ","FILING_STATUS=MR","SCALING_FORMAT=MLN","Sort=A","Dates=H","DateFormat=P","Fill=—","Direction=H","UseDPDF=Y")</f>
        <v>0</v>
      </c>
      <c r="N10" s="13">
        <f>_xll.BDH("BLUE US Equity","TOT_DEBT_EX_OPERATING_LEA_LIABS","FQ2 2022","FQ2 2022","Currency=USD","Period=FQ","BEST_FPERIOD_OVERRIDE=FQ","FILING_STATUS=MR","SCALING_FORMAT=MLN","Sort=A","Dates=H","DateFormat=P","Fill=—","Direction=H","UseDPDF=Y")</f>
        <v>0</v>
      </c>
      <c r="O10" s="13">
        <f>_xll.BDH("BLUE US Equity","TOT_DEBT_EX_OPERATING_LEA_LIABS","FQ3 2022","FQ3 2022","Currency=USD","Period=FQ","BEST_FPERIOD_OVERRIDE=FQ","FILING_STATUS=MR","SCALING_FORMAT=MLN","Sort=A","Dates=H","DateFormat=P","Fill=—","Direction=H","UseDPDF=Y")</f>
        <v>0</v>
      </c>
      <c r="P10" s="13">
        <f>_xll.BDH("BLUE US Equity","TOT_DEBT_EX_OPERATING_LEA_LIABS","FQ4 2022","FQ4 2022","Currency=USD","Period=FQ","BEST_FPERIOD_OVERRIDE=FQ","FILING_STATUS=MR","SCALING_FORMAT=MLN","Sort=A","Dates=H","DateFormat=P","Fill=—","Direction=H","UseDPDF=Y")</f>
        <v>0</v>
      </c>
      <c r="Q10" s="13">
        <f>_xll.BDH("BLUE US Equity","TOT_DEBT_EX_OPERATING_LEA_LIABS","FQ1 2023","FQ1 2023","Currency=USD","Period=FQ","BEST_FPERIOD_OVERRIDE=FQ","FILING_STATUS=MR","SCALING_FORMAT=MLN","Sort=A","Dates=H","DateFormat=P","Fill=—","Direction=H","UseDPDF=Y")</f>
        <v>0</v>
      </c>
      <c r="R10" s="13">
        <f>_xll.BDH("BLUE US Equity","TOT_DEBT_EX_OPERATING_LEA_LIABS","FQ2 2023","FQ2 2023","Currency=USD","Period=FQ","BEST_FPERIOD_OVERRIDE=FQ","FILING_STATUS=MR","SCALING_FORMAT=MLN","Sort=A","Dates=H","DateFormat=P","Fill=—","Direction=H","UseDPDF=Y")</f>
        <v>0</v>
      </c>
      <c r="S10" s="13">
        <f>_xll.BDH("BLUE US Equity","TOT_DEBT_EX_OPERATING_LEA_LIABS","FQ3 2023","FQ3 2023","Currency=USD","Period=FQ","BEST_FPERIOD_OVERRIDE=FQ","FILING_STATUS=MR","SCALING_FORMAT=MLN","Sort=A","Dates=H","DateFormat=P","Fill=—","Direction=H","UseDPDF=Y")</f>
        <v>0</v>
      </c>
      <c r="T10" s="13">
        <f>_xll.BDH("BLUE US Equity","TOT_DEBT_EX_OPERATING_LEA_LIABS","FQ4 2023","FQ4 2023","Currency=USD","Period=FQ","BEST_FPERIOD_OVERRIDE=FQ","FILING_STATUS=MR","SCALING_FORMAT=MLN","Sort=A","Dates=H","DateFormat=P","Fill=—","Direction=H","UseDPDF=Y")</f>
        <v>0</v>
      </c>
      <c r="U10" s="13">
        <f>_xll.BDH("BLUE US Equity","TOT_DEBT_EX_OPERATING_LEA_LIABS","FQ1 2024","FQ1 2024","Currency=USD","Period=FQ","BEST_FPERIOD_OVERRIDE=FQ","FILING_STATUS=MR","SCALING_FORMAT=MLN","Sort=A","Dates=H","DateFormat=P","Fill=—","Direction=H","UseDPDF=Y")</f>
        <v>209.29599999999999</v>
      </c>
      <c r="V10" s="13">
        <f>_xll.BDH("BLUE US Equity","TOT_DEBT_EX_OPERATING_LEA_LIABS","FQ2 2024","FQ2 2024","Currency=USD","Period=FQ","BEST_FPERIOD_OVERRIDE=FQ","FILING_STATUS=MR","SCALING_FORMAT=MLN","Sort=A","Dates=H","DateFormat=P","Fill=—","Direction=H","UseDPDF=Y")</f>
        <v>190.833</v>
      </c>
      <c r="W10" s="13">
        <f>_xll.BDH("BLUE US Equity","TOT_DEBT_EX_OPERATING_LEA_LIABS","FQ3 2024","FQ3 2024","Currency=USD","Period=FQ","BEST_FPERIOD_OVERRIDE=FQ","FILING_STATUS=MR","SCALING_FORMAT=MLN","Sort=A","Dates=H","DateFormat=P","Fill=—","Direction=H","UseDPDF=Y")</f>
        <v>172.45599999999999</v>
      </c>
      <c r="X10" s="13">
        <f>_xll.BDH("BLUE US Equity","TOT_DEBT_EX_OPERATING_LEA_LIABS","FQ4 2024","FQ4 2024","Currency=USD","Period=FQ","BEST_FPERIOD_OVERRIDE=FQ","FILING_STATUS=MR","SCALING_FORMAT=MLN","Sort=A","Dates=H","DateFormat=P","Fill=—","Direction=H","UseDPDF=Y")</f>
        <v>168.18</v>
      </c>
      <c r="Y10" s="16">
        <v>168.18</v>
      </c>
      <c r="Z10" s="13"/>
      <c r="AA10" s="13"/>
    </row>
    <row r="11" spans="1:27" x14ac:dyDescent="0.25">
      <c r="A11" s="10" t="s">
        <v>67</v>
      </c>
      <c r="B11" s="10" t="s">
        <v>265</v>
      </c>
      <c r="C11" s="13">
        <f>_xll.BDH("BLUE US Equity","EV_EX_OPERATING_LEASE_LIABS","FQ3 2019","FQ3 2019","Currency=USD","Period=FQ","BEST_FPERIOD_OVERRIDE=FQ","FILING_STATUS=MR","SCALING_FORMAT=MLN","Sort=A","Dates=H","DateFormat=P","Fill=—","Direction=H","UseDPDF=Y")</f>
        <v>3673.5954000000002</v>
      </c>
      <c r="D11" s="13">
        <f>_xll.BDH("BLUE US Equity","EV_EX_OPERATING_LEASE_LIABS","FQ4 2019","FQ4 2019","Currency=USD","Period=FQ","BEST_FPERIOD_OVERRIDE=FQ","FILING_STATUS=MR","SCALING_FORMAT=MLN","Sort=A","Dates=H","DateFormat=P","Fill=—","Direction=H","UseDPDF=Y")</f>
        <v>3620.576</v>
      </c>
      <c r="E11" s="13">
        <f>_xll.BDH("BLUE US Equity","EV_EX_OPERATING_LEASE_LIABS","FQ1 2020","FQ1 2020","Currency=USD","Period=FQ","BEST_FPERIOD_OVERRIDE=FQ","FILING_STATUS=MR","SCALING_FORMAT=MLN","Sort=A","Dates=H","DateFormat=P","Fill=—","Direction=H","UseDPDF=Y")</f>
        <v>1537.9382000000001</v>
      </c>
      <c r="F11" s="13">
        <f>_xll.BDH("BLUE US Equity","EV_EX_OPERATING_LEASE_LIABS","FQ2 2020","FQ2 2020","Currency=USD","Period=FQ","BEST_FPERIOD_OVERRIDE=FQ","FILING_STATUS=MR","SCALING_FORMAT=MLN","Sort=A","Dates=H","DateFormat=P","Fill=—","Direction=H","UseDPDF=Y")</f>
        <v>2441.8108000000002</v>
      </c>
      <c r="G11" s="13">
        <f>_xll.BDH("BLUE US Equity","EV_EX_OPERATING_LEASE_LIABS","FQ3 2020","FQ3 2020","Currency=USD","Period=FQ","BEST_FPERIOD_OVERRIDE=FQ","FILING_STATUS=MR","SCALING_FORMAT=MLN","Sort=A","Dates=H","DateFormat=P","Fill=—","Direction=H","UseDPDF=Y")</f>
        <v>2141.1190000000001</v>
      </c>
      <c r="H11" s="13">
        <f>_xll.BDH("BLUE US Equity","EV_EX_OPERATING_LEASE_LIABS","FQ4 2020","FQ4 2020","Currency=USD","Period=FQ","BEST_FPERIOD_OVERRIDE=FQ","FILING_STATUS=MR","SCALING_FORMAT=MLN","Sort=A","Dates=H","DateFormat=P","Fill=—","Direction=H","UseDPDF=Y")</f>
        <v>2132.8395999999998</v>
      </c>
      <c r="I11" s="13">
        <f>_xll.BDH("BLUE US Equity","EV_EX_OPERATING_LEASE_LIABS","FQ1 2021","FQ1 2021","Currency=USD","Period=FQ","BEST_FPERIOD_OVERRIDE=FQ","FILING_STATUS=MR","SCALING_FORMAT=MLN","Sort=A","Dates=H","DateFormat=P","Fill=—","Direction=H","UseDPDF=Y")</f>
        <v>939.22230000000002</v>
      </c>
      <c r="J11" s="13">
        <f>_xll.BDH("BLUE US Equity","EV_EX_OPERATING_LEASE_LIABS","FQ2 2021","FQ2 2021","Currency=USD","Period=FQ","BEST_FPERIOD_OVERRIDE=FQ","FILING_STATUS=MR","SCALING_FORMAT=MLN","Sort=A","Dates=H","DateFormat=P","Fill=—","Direction=H","UseDPDF=Y")</f>
        <v>1218.653</v>
      </c>
      <c r="K11" s="13">
        <f>_xll.BDH("BLUE US Equity","EV_EX_OPERATING_LEASE_LIABS","FQ3 2021","FQ3 2021","Currency=USD","Period=FQ","BEST_FPERIOD_OVERRIDE=FQ","FILING_STATUS=MR","SCALING_FORMAT=MLN","Sort=A","Dates=H","DateFormat=P","Fill=—","Direction=H","UseDPDF=Y")</f>
        <v>368.82369999999997</v>
      </c>
      <c r="L11" s="13">
        <f>_xll.BDH("BLUE US Equity","EV_EX_OPERATING_LEASE_LIABS","FQ4 2021","FQ4 2021","Currency=USD","Period=FQ","BEST_FPERIOD_OVERRIDE=FQ","FILING_STATUS=MR","SCALING_FORMAT=MLN","Sort=A","Dates=H","DateFormat=P","Fill=—","Direction=H","UseDPDF=Y")</f>
        <v>313.82190000000003</v>
      </c>
      <c r="M11" s="13">
        <f>_xll.BDH("BLUE US Equity","EV_EX_OPERATING_LEASE_LIABS","FQ1 2022","FQ1 2022","Currency=USD","Period=FQ","BEST_FPERIOD_OVERRIDE=FQ","FILING_STATUS=MR","SCALING_FORMAT=MLN","Sort=A","Dates=H","DateFormat=P","Fill=—","Direction=H","UseDPDF=Y")</f>
        <v>79.837299999999999</v>
      </c>
      <c r="N11" s="13">
        <f>_xll.BDH("BLUE US Equity","EV_EX_OPERATING_LEASE_LIABS","FQ2 2022","FQ2 2022","Currency=USD","Period=FQ","BEST_FPERIOD_OVERRIDE=FQ","FILING_STATUS=MR","SCALING_FORMAT=MLN","Sort=A","Dates=H","DateFormat=P","Fill=—","Direction=H","UseDPDF=Y")</f>
        <v>131.3511</v>
      </c>
      <c r="O11" s="13">
        <f>_xll.BDH("BLUE US Equity","EV_EX_OPERATING_LEASE_LIABS","FQ3 2022","FQ3 2022","Currency=USD","Period=FQ","BEST_FPERIOD_OVERRIDE=FQ","FILING_STATUS=MR","SCALING_FORMAT=MLN","Sort=A","Dates=H","DateFormat=P","Fill=—","Direction=H","UseDPDF=Y")</f>
        <v>383.59039999999999</v>
      </c>
      <c r="P11" s="13">
        <f>_xll.BDH("BLUE US Equity","EV_EX_OPERATING_LEASE_LIABS","FQ4 2022","FQ4 2022","Currency=USD","Period=FQ","BEST_FPERIOD_OVERRIDE=FQ","FILING_STATUS=MR","SCALING_FORMAT=MLN","Sort=A","Dates=H","DateFormat=P","Fill=—","Direction=H","UseDPDF=Y")</f>
        <v>392.08620000000002</v>
      </c>
      <c r="Q11" s="13">
        <f>_xll.BDH("BLUE US Equity","EV_EX_OPERATING_LEASE_LIABS","FQ1 2023","FQ1 2023","Currency=USD","Period=FQ","BEST_FPERIOD_OVERRIDE=FQ","FILING_STATUS=MR","SCALING_FORMAT=MLN","Sort=A","Dates=H","DateFormat=P","Fill=—","Direction=H","UseDPDF=Y")</f>
        <v>19.999600000000001</v>
      </c>
      <c r="R11" s="13">
        <f>_xll.BDH("BLUE US Equity","EV_EX_OPERATING_LEASE_LIABS","FQ2 2023","FQ2 2023","Currency=USD","Period=FQ","BEST_FPERIOD_OVERRIDE=FQ","FILING_STATUS=MR","SCALING_FORMAT=MLN","Sort=A","Dates=H","DateFormat=P","Fill=—","Direction=H","UseDPDF=Y")</f>
        <v>104.9307</v>
      </c>
      <c r="S11" s="13">
        <f>_xll.BDH("BLUE US Equity","EV_EX_OPERATING_LEASE_LIABS","FQ3 2023","FQ3 2023","Currency=USD","Period=FQ","BEST_FPERIOD_OVERRIDE=FQ","FILING_STATUS=MR","SCALING_FORMAT=MLN","Sort=A","Dates=H","DateFormat=P","Fill=—","Direction=H","UseDPDF=Y")</f>
        <v>151.0539</v>
      </c>
      <c r="T11" s="13">
        <f>_xll.BDH("BLUE US Equity","EV_EX_OPERATING_LEASE_LIABS","FQ4 2023","FQ4 2023","Currency=USD","Period=FQ","BEST_FPERIOD_OVERRIDE=FQ","FILING_STATUS=MR","SCALING_FORMAT=MLN","Sort=A","Dates=H","DateFormat=P","Fill=—","Direction=H","UseDPDF=Y")</f>
        <v>44.270400000000002</v>
      </c>
      <c r="U11" s="13">
        <f>_xll.BDH("BLUE US Equity","EV_EX_OPERATING_LEASE_LIABS","FQ1 2024","FQ1 2024","Currency=USD","Period=FQ","BEST_FPERIOD_OVERRIDE=FQ","FILING_STATUS=MR","SCALING_FORMAT=MLN","Sort=A","Dates=H","DateFormat=P","Fill=—","Direction=H","UseDPDF=Y")</f>
        <v>245.0352</v>
      </c>
      <c r="V11" s="13">
        <f>_xll.BDH("BLUE US Equity","EV_EX_OPERATING_LEASE_LIABS","FQ2 2024","FQ2 2024","Currency=USD","Period=FQ","BEST_FPERIOD_OVERRIDE=FQ","FILING_STATUS=MR","SCALING_FORMAT=MLN","Sort=A","Dates=H","DateFormat=P","Fill=—","Direction=H","UseDPDF=Y")</f>
        <v>237.5591</v>
      </c>
      <c r="W11" s="13">
        <f>_xll.BDH("BLUE US Equity","EV_EX_OPERATING_LEASE_LIABS","FQ3 2024","FQ3 2024","Currency=USD","Period=FQ","BEST_FPERIOD_OVERRIDE=FQ","FILING_STATUS=MR","SCALING_FORMAT=MLN","Sort=A","Dates=H","DateFormat=P","Fill=—","Direction=H","UseDPDF=Y")</f>
        <v>202.54490000000001</v>
      </c>
      <c r="X11" s="13">
        <f>_xll.BDH("BLUE US Equity","EV_EX_OPERATING_LEASE_LIABS","FQ4 2024","FQ4 2024","Currency=USD","Period=FQ","BEST_FPERIOD_OVERRIDE=FQ","FILING_STATUS=MR","SCALING_FORMAT=MLN","Sort=A","Dates=H","DateFormat=P","Fill=—","Direction=H","UseDPDF=Y")</f>
        <v>187.00649999999999</v>
      </c>
      <c r="Y11" s="16">
        <v>142.88146459999999</v>
      </c>
      <c r="Z11" s="13"/>
      <c r="AA11" s="13"/>
    </row>
    <row r="12" spans="1:27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5"/>
      <c r="Z12" s="12"/>
      <c r="AA12" s="12"/>
    </row>
    <row r="13" spans="1:27" x14ac:dyDescent="0.25">
      <c r="A13" s="10" t="s">
        <v>171</v>
      </c>
      <c r="B13" s="10" t="s">
        <v>266</v>
      </c>
      <c r="C13" s="13">
        <f>_xll.BDH("BLUE US Equity","TOT_CPTL_EX_OPERATING_LEA_LIABS","FQ3 2019","FQ3 2019","Currency=USD","Period=FQ","BEST_FPERIOD_OVERRIDE=FQ","FILING_STATUS=MR","SCALING_FORMAT=MLN","Sort=A","Dates=H","DateFormat=P","Fill=—","Direction=H","UseDPDF=Y")</f>
        <v>1471.71</v>
      </c>
      <c r="D13" s="13">
        <f>_xll.BDH("BLUE US Equity","TOT_CPTL_EX_OPERATING_LEA_LIABS","FQ4 2019","FQ4 2019","Currency=USD","Period=FQ","BEST_FPERIOD_OVERRIDE=FQ","FILING_STATUS=MR","SCALING_FORMAT=MLN","Sort=A","Dates=H","DateFormat=P","Fill=—","Direction=H","UseDPDF=Y")</f>
        <v>1284.9929999999999</v>
      </c>
      <c r="E13" s="13">
        <f>_xll.BDH("BLUE US Equity","TOT_CPTL_EX_OPERATING_LEA_LIABS","FQ1 2020","FQ1 2020","Currency=USD","Period=FQ","BEST_FPERIOD_OVERRIDE=FQ","FILING_STATUS=MR","SCALING_FORMAT=MLN","Sort=A","Dates=H","DateFormat=P","Fill=—","Direction=H","UseDPDF=Y")</f>
        <v>1120.433</v>
      </c>
      <c r="F13" s="13">
        <f>_xll.BDH("BLUE US Equity","TOT_CPTL_EX_OPERATING_LEA_LIABS","FQ2 2020","FQ2 2020","Currency=USD","Period=FQ","BEST_FPERIOD_OVERRIDE=FQ","FILING_STATUS=MR","SCALING_FORMAT=MLN","Sort=A","Dates=H","DateFormat=P","Fill=—","Direction=H","UseDPDF=Y")</f>
        <v>1682.0309999999999</v>
      </c>
      <c r="G13" s="13">
        <f>_xll.BDH("BLUE US Equity","TOT_CPTL_EX_OPERATING_LEA_LIABS","FQ3 2020","FQ3 2020","Currency=USD","Period=FQ","BEST_FPERIOD_OVERRIDE=FQ","FILING_STATUS=MR","SCALING_FORMAT=MLN","Sort=A","Dates=H","DateFormat=P","Fill=—","Direction=H","UseDPDF=Y")</f>
        <v>1523.021</v>
      </c>
      <c r="H13" s="13">
        <f>_xll.BDH("BLUE US Equity","TOT_CPTL_EX_OPERATING_LEA_LIABS","FQ4 2020","FQ4 2020","Currency=USD","Period=FQ","BEST_FPERIOD_OVERRIDE=FQ","FILING_STATUS=MR","SCALING_FORMAT=MLN","Sort=A","Dates=H","DateFormat=P","Fill=—","Direction=H","UseDPDF=Y")</f>
        <v>1355.056</v>
      </c>
      <c r="I13" s="13">
        <f>_xll.BDH("BLUE US Equity","TOT_CPTL_EX_OPERATING_LEA_LIABS","FQ1 2021","FQ1 2021","Currency=USD","Period=FQ","BEST_FPERIOD_OVERRIDE=FQ","FILING_STATUS=MR","SCALING_FORMAT=MLN","Sort=A","Dates=H","DateFormat=P","Fill=—","Direction=H","UseDPDF=Y")</f>
        <v>1200.3330000000001</v>
      </c>
      <c r="J13" s="13">
        <f>_xll.BDH("BLUE US Equity","TOT_CPTL_EX_OPERATING_LEA_LIABS","FQ2 2021","FQ2 2021","Currency=USD","Period=FQ","BEST_FPERIOD_OVERRIDE=FQ","FILING_STATUS=MR","SCALING_FORMAT=MLN","Sort=A","Dates=H","DateFormat=P","Fill=—","Direction=H","UseDPDF=Y")</f>
        <v>984.56100000000004</v>
      </c>
      <c r="K13" s="13">
        <f>_xll.BDH("BLUE US Equity","TOT_CPTL_EX_OPERATING_LEA_LIABS","FQ3 2021","FQ3 2021","Currency=USD","Period=FQ","BEST_FPERIOD_OVERRIDE=FQ","FILING_STATUS=MR","SCALING_FORMAT=MLN","Sort=A","Dates=H","DateFormat=P","Fill=—","Direction=H","UseDPDF=Y")</f>
        <v>870.52700000000004</v>
      </c>
      <c r="L13" s="13">
        <f>_xll.BDH("BLUE US Equity","TOT_CPTL_EX_OPERATING_LEA_LIABS","FQ4 2021","FQ4 2021","Currency=USD","Period=FQ","BEST_FPERIOD_OVERRIDE=FQ","FILING_STATUS=MR","SCALING_FORMAT=MLN","Sort=A","Dates=H","DateFormat=P","Fill=—","Direction=H","UseDPDF=Y")</f>
        <v>374.27699999999999</v>
      </c>
      <c r="M13" s="13">
        <f>_xll.BDH("BLUE US Equity","TOT_CPTL_EX_OPERATING_LEA_LIABS","FQ1 2022","FQ1 2022","Currency=USD","Period=FQ","BEST_FPERIOD_OVERRIDE=FQ","FILING_STATUS=MR","SCALING_FORMAT=MLN","Sort=A","Dates=H","DateFormat=P","Fill=—","Direction=H","UseDPDF=Y")</f>
        <v>263.25900000000001</v>
      </c>
      <c r="N13" s="13">
        <f>_xll.BDH("BLUE US Equity","TOT_CPTL_EX_OPERATING_LEA_LIABS","FQ2 2022","FQ2 2022","Currency=USD","Period=FQ","BEST_FPERIOD_OVERRIDE=FQ","FILING_STATUS=MR","SCALING_FORMAT=MLN","Sort=A","Dates=H","DateFormat=P","Fill=—","Direction=H","UseDPDF=Y")</f>
        <v>180.11600000000001</v>
      </c>
      <c r="O13" s="13">
        <f>_xll.BDH("BLUE US Equity","TOT_CPTL_EX_OPERATING_LEA_LIABS","FQ3 2022","FQ3 2022","Currency=USD","Period=FQ","BEST_FPERIOD_OVERRIDE=FQ","FILING_STATUS=MR","SCALING_FORMAT=MLN","Sort=A","Dates=H","DateFormat=P","Fill=—","Direction=H","UseDPDF=Y")</f>
        <v>158.857</v>
      </c>
      <c r="P13" s="13">
        <f>_xll.BDH("BLUE US Equity","TOT_CPTL_EX_OPERATING_LEA_LIABS","FQ4 2022","FQ4 2022","Currency=USD","Period=FQ","BEST_FPERIOD_OVERRIDE=FQ","FILING_STATUS=MR","SCALING_FORMAT=MLN","Sort=A","Dates=H","DateFormat=P","Fill=—","Direction=H","UseDPDF=Y")</f>
        <v>134.333</v>
      </c>
      <c r="Q13" s="13">
        <f>_xll.BDH("BLUE US Equity","TOT_CPTL_EX_OPERATING_LEA_LIABS","FQ1 2023","FQ1 2023","Currency=USD","Period=FQ","BEST_FPERIOD_OVERRIDE=FQ","FILING_STATUS=MR","SCALING_FORMAT=MLN","Sort=A","Dates=H","DateFormat=P","Fill=—","Direction=H","UseDPDF=Y")</f>
        <v>354.74</v>
      </c>
      <c r="R13" s="13">
        <f>_xll.BDH("BLUE US Equity","TOT_CPTL_EX_OPERATING_LEA_LIABS","FQ2 2023","FQ2 2023","Currency=USD","Period=FQ","BEST_FPERIOD_OVERRIDE=FQ","FILING_STATUS=MR","SCALING_FORMAT=MLN","Sort=A","Dates=H","DateFormat=P","Fill=—","Direction=H","UseDPDF=Y")</f>
        <v>289.01900000000001</v>
      </c>
      <c r="S13" s="13">
        <f>_xll.BDH("BLUE US Equity","TOT_CPTL_EX_OPERATING_LEA_LIABS","FQ3 2023","FQ3 2023","Currency=USD","Period=FQ","BEST_FPERIOD_OVERRIDE=FQ","FILING_STATUS=MR","SCALING_FORMAT=MLN","Sort=A","Dates=H","DateFormat=P","Fill=—","Direction=H","UseDPDF=Y")</f>
        <v>222.536</v>
      </c>
      <c r="T13" s="13">
        <f>_xll.BDH("BLUE US Equity","TOT_CPTL_EX_OPERATING_LEA_LIABS","FQ4 2023","FQ4 2023","Currency=USD","Period=FQ","BEST_FPERIOD_OVERRIDE=FQ","FILING_STATUS=MR","SCALING_FORMAT=MLN","Sort=A","Dates=H","DateFormat=P","Fill=—","Direction=H","UseDPDF=Y")</f>
        <v>194.53700000000001</v>
      </c>
      <c r="U13" s="13">
        <f>_xll.BDH("BLUE US Equity","TOT_CPTL_EX_OPERATING_LEA_LIABS","FQ1 2024","FQ1 2024","Currency=USD","Period=FQ","BEST_FPERIOD_OVERRIDE=FQ","FILING_STATUS=MR","SCALING_FORMAT=MLN","Sort=A","Dates=H","DateFormat=P","Fill=—","Direction=H","UseDPDF=Y")</f>
        <v>340.34199999999998</v>
      </c>
      <c r="V13" s="13">
        <f>_xll.BDH("BLUE US Equity","TOT_CPTL_EX_OPERATING_LEA_LIABS","FQ2 2024","FQ2 2024","Currency=USD","Period=FQ","BEST_FPERIOD_OVERRIDE=FQ","FILING_STATUS=MR","SCALING_FORMAT=MLN","Sort=A","Dates=H","DateFormat=P","Fill=—","Direction=H","UseDPDF=Y")</f>
        <v>243.81399999999999</v>
      </c>
      <c r="W13" s="13">
        <f>_xll.BDH("BLUE US Equity","TOT_CPTL_EX_OPERATING_LEA_LIABS","FQ3 2024","FQ3 2024","Currency=USD","Period=FQ","BEST_FPERIOD_OVERRIDE=FQ","FILING_STATUS=MR","SCALING_FORMAT=MLN","Sort=A","Dates=H","DateFormat=P","Fill=—","Direction=H","UseDPDF=Y")</f>
        <v>166.67</v>
      </c>
      <c r="X13" s="13">
        <f>_xll.BDH("BLUE US Equity","TOT_CPTL_EX_OPERATING_LEA_LIABS","FQ4 2024","FQ4 2024","Currency=USD","Period=FQ","BEST_FPERIOD_OVERRIDE=FQ","FILING_STATUS=MR","SCALING_FORMAT=MLN","Sort=A","Dates=H","DateFormat=P","Fill=—","Direction=H","UseDPDF=Y")</f>
        <v>136.64599999999999</v>
      </c>
      <c r="Y13" s="16">
        <v>136.64599999999999</v>
      </c>
      <c r="Z13" s="13"/>
      <c r="AA13" s="13"/>
    </row>
    <row r="14" spans="1:27" x14ac:dyDescent="0.25">
      <c r="A14" s="10" t="s">
        <v>173</v>
      </c>
      <c r="B14" s="10" t="s">
        <v>267</v>
      </c>
      <c r="C14" s="14">
        <f>_xll.BDH("BLUE US Equity","TOT_DBT_TO_CPTL_EX_OP_LEA_LIABS","FQ3 2019","FQ3 2019","Currency=USD","Period=FQ","BEST_FPERIOD_OVERRIDE=FQ","FILING_STATUS=MR","Sort=A","Dates=H","DateFormat=P","Fill=—","Direction=H","UseDPDF=Y")</f>
        <v>0</v>
      </c>
      <c r="D14" s="14">
        <f>_xll.BDH("BLUE US Equity","TOT_DBT_TO_CPTL_EX_OP_LEA_LIABS","FQ4 2019","FQ4 2019","Currency=USD","Period=FQ","BEST_FPERIOD_OVERRIDE=FQ","FILING_STATUS=MR","Sort=A","Dates=H","DateFormat=P","Fill=—","Direction=H","UseDPDF=Y")</f>
        <v>0</v>
      </c>
      <c r="E14" s="14">
        <f>_xll.BDH("BLUE US Equity","TOT_DBT_TO_CPTL_EX_OP_LEA_LIABS","FQ1 2020","FQ1 2020","Currency=USD","Period=FQ","BEST_FPERIOD_OVERRIDE=FQ","FILING_STATUS=MR","Sort=A","Dates=H","DateFormat=P","Fill=—","Direction=H","UseDPDF=Y")</f>
        <v>0</v>
      </c>
      <c r="F14" s="14">
        <f>_xll.BDH("BLUE US Equity","TOT_DBT_TO_CPTL_EX_OP_LEA_LIABS","FQ2 2020","FQ2 2020","Currency=USD","Period=FQ","BEST_FPERIOD_OVERRIDE=FQ","FILING_STATUS=MR","Sort=A","Dates=H","DateFormat=P","Fill=—","Direction=H","UseDPDF=Y")</f>
        <v>0</v>
      </c>
      <c r="G14" s="14">
        <f>_xll.BDH("BLUE US Equity","TOT_DBT_TO_CPTL_EX_OP_LEA_LIABS","FQ3 2020","FQ3 2020","Currency=USD","Period=FQ","BEST_FPERIOD_OVERRIDE=FQ","FILING_STATUS=MR","Sort=A","Dates=H","DateFormat=P","Fill=—","Direction=H","UseDPDF=Y")</f>
        <v>0</v>
      </c>
      <c r="H14" s="14">
        <f>_xll.BDH("BLUE US Equity","TOT_DBT_TO_CPTL_EX_OP_LEA_LIABS","FQ4 2020","FQ4 2020","Currency=USD","Period=FQ","BEST_FPERIOD_OVERRIDE=FQ","FILING_STATUS=MR","Sort=A","Dates=H","DateFormat=P","Fill=—","Direction=H","UseDPDF=Y")</f>
        <v>0</v>
      </c>
      <c r="I14" s="14">
        <f>_xll.BDH("BLUE US Equity","TOT_DBT_TO_CPTL_EX_OP_LEA_LIABS","FQ1 2021","FQ1 2021","Currency=USD","Period=FQ","BEST_FPERIOD_OVERRIDE=FQ","FILING_STATUS=MR","Sort=A","Dates=H","DateFormat=P","Fill=—","Direction=H","UseDPDF=Y")</f>
        <v>0</v>
      </c>
      <c r="J14" s="14">
        <f>_xll.BDH("BLUE US Equity","TOT_DBT_TO_CPTL_EX_OP_LEA_LIABS","FQ2 2021","FQ2 2021","Currency=USD","Period=FQ","BEST_FPERIOD_OVERRIDE=FQ","FILING_STATUS=MR","Sort=A","Dates=H","DateFormat=P","Fill=—","Direction=H","UseDPDF=Y")</f>
        <v>0</v>
      </c>
      <c r="K14" s="14">
        <f>_xll.BDH("BLUE US Equity","TOT_DBT_TO_CPTL_EX_OP_LEA_LIABS","FQ3 2021","FQ3 2021","Currency=USD","Period=FQ","BEST_FPERIOD_OVERRIDE=FQ","FILING_STATUS=MR","Sort=A","Dates=H","DateFormat=P","Fill=—","Direction=H","UseDPDF=Y")</f>
        <v>0</v>
      </c>
      <c r="L14" s="14">
        <f>_xll.BDH("BLUE US Equity","TOT_DBT_TO_CPTL_EX_OP_LEA_LIABS","FQ4 2021","FQ4 2021","Currency=USD","Period=FQ","BEST_FPERIOD_OVERRIDE=FQ","FILING_STATUS=MR","Sort=A","Dates=H","DateFormat=P","Fill=—","Direction=H","UseDPDF=Y")</f>
        <v>0</v>
      </c>
      <c r="M14" s="14">
        <f>_xll.BDH("BLUE US Equity","TOT_DBT_TO_CPTL_EX_OP_LEA_LIABS","FQ1 2022","FQ1 2022","Currency=USD","Period=FQ","BEST_FPERIOD_OVERRIDE=FQ","FILING_STATUS=MR","Sort=A","Dates=H","DateFormat=P","Fill=—","Direction=H","UseDPDF=Y")</f>
        <v>0</v>
      </c>
      <c r="N14" s="14">
        <f>_xll.BDH("BLUE US Equity","TOT_DBT_TO_CPTL_EX_OP_LEA_LIABS","FQ2 2022","FQ2 2022","Currency=USD","Period=FQ","BEST_FPERIOD_OVERRIDE=FQ","FILING_STATUS=MR","Sort=A","Dates=H","DateFormat=P","Fill=—","Direction=H","UseDPDF=Y")</f>
        <v>0</v>
      </c>
      <c r="O14" s="14">
        <f>_xll.BDH("BLUE US Equity","TOT_DBT_TO_CPTL_EX_OP_LEA_LIABS","FQ3 2022","FQ3 2022","Currency=USD","Period=FQ","BEST_FPERIOD_OVERRIDE=FQ","FILING_STATUS=MR","Sort=A","Dates=H","DateFormat=P","Fill=—","Direction=H","UseDPDF=Y")</f>
        <v>0</v>
      </c>
      <c r="P14" s="14">
        <f>_xll.BDH("BLUE US Equity","TOT_DBT_TO_CPTL_EX_OP_LEA_LIABS","FQ4 2022","FQ4 2022","Currency=USD","Period=FQ","BEST_FPERIOD_OVERRIDE=FQ","FILING_STATUS=MR","Sort=A","Dates=H","DateFormat=P","Fill=—","Direction=H","UseDPDF=Y")</f>
        <v>0</v>
      </c>
      <c r="Q14" s="14">
        <f>_xll.BDH("BLUE US Equity","TOT_DBT_TO_CPTL_EX_OP_LEA_LIABS","FQ1 2023","FQ1 2023","Currency=USD","Period=FQ","BEST_FPERIOD_OVERRIDE=FQ","FILING_STATUS=MR","Sort=A","Dates=H","DateFormat=P","Fill=—","Direction=H","UseDPDF=Y")</f>
        <v>0</v>
      </c>
      <c r="R14" s="14">
        <f>_xll.BDH("BLUE US Equity","TOT_DBT_TO_CPTL_EX_OP_LEA_LIABS","FQ2 2023","FQ2 2023","Currency=USD","Period=FQ","BEST_FPERIOD_OVERRIDE=FQ","FILING_STATUS=MR","Sort=A","Dates=H","DateFormat=P","Fill=—","Direction=H","UseDPDF=Y")</f>
        <v>0</v>
      </c>
      <c r="S14" s="14">
        <f>_xll.BDH("BLUE US Equity","TOT_DBT_TO_CPTL_EX_OP_LEA_LIABS","FQ3 2023","FQ3 2023","Currency=USD","Period=FQ","BEST_FPERIOD_OVERRIDE=FQ","FILING_STATUS=MR","Sort=A","Dates=H","DateFormat=P","Fill=—","Direction=H","UseDPDF=Y")</f>
        <v>0</v>
      </c>
      <c r="T14" s="14">
        <f>_xll.BDH("BLUE US Equity","TOT_DBT_TO_CPTL_EX_OP_LEA_LIABS","FQ4 2023","FQ4 2023","Currency=USD","Period=FQ","BEST_FPERIOD_OVERRIDE=FQ","FILING_STATUS=MR","Sort=A","Dates=H","DateFormat=P","Fill=—","Direction=H","UseDPDF=Y")</f>
        <v>0</v>
      </c>
      <c r="U14" s="14">
        <f>_xll.BDH("BLUE US Equity","TOT_DBT_TO_CPTL_EX_OP_LEA_LIABS","FQ1 2024","FQ1 2024","Currency=USD","Period=FQ","BEST_FPERIOD_OVERRIDE=FQ","FILING_STATUS=MR","Sort=A","Dates=H","DateFormat=P","Fill=—","Direction=H","UseDPDF=Y")</f>
        <v>61.495800000000003</v>
      </c>
      <c r="V14" s="14">
        <f>_xll.BDH("BLUE US Equity","TOT_DBT_TO_CPTL_EX_OP_LEA_LIABS","FQ2 2024","FQ2 2024","Currency=USD","Period=FQ","BEST_FPERIOD_OVERRIDE=FQ","FILING_STATUS=MR","Sort=A","Dates=H","DateFormat=P","Fill=—","Direction=H","UseDPDF=Y")</f>
        <v>78.269900000000007</v>
      </c>
      <c r="W14" s="14">
        <f>_xll.BDH("BLUE US Equity","TOT_DBT_TO_CPTL_EX_OP_LEA_LIABS","FQ3 2024","FQ3 2024","Currency=USD","Period=FQ","BEST_FPERIOD_OVERRIDE=FQ","FILING_STATUS=MR","Sort=A","Dates=H","DateFormat=P","Fill=—","Direction=H","UseDPDF=Y")</f>
        <v>103.47150000000001</v>
      </c>
      <c r="X14" s="14">
        <f>_xll.BDH("BLUE US Equity","TOT_DBT_TO_CPTL_EX_OP_LEA_LIABS","FQ4 2024","FQ4 2024","Currency=USD","Period=FQ","BEST_FPERIOD_OVERRIDE=FQ","FILING_STATUS=MR","Sort=A","Dates=H","DateFormat=P","Fill=—","Direction=H","UseDPDF=Y")</f>
        <v>123.0771</v>
      </c>
      <c r="Y14" s="17">
        <v>123.07714825168701</v>
      </c>
      <c r="Z14" s="14"/>
      <c r="AA14" s="14"/>
    </row>
    <row r="15" spans="1:27" x14ac:dyDescent="0.25">
      <c r="A15" s="10" t="s">
        <v>175</v>
      </c>
      <c r="B15" s="10" t="s">
        <v>268</v>
      </c>
      <c r="C15" s="14">
        <f>_xll.BDH("BLUE US Equity","TOT_DEBT_TO_EV_EX_OPER_LEA_LIABS","FQ3 2019","FQ3 2019","Currency=USD","Period=FQ","BEST_FPERIOD_OVERRIDE=FQ","FILING_STATUS=MR","Sort=A","Dates=H","DateFormat=P","Fill=—","Direction=H","UseDPDF=Y")</f>
        <v>0</v>
      </c>
      <c r="D15" s="14">
        <f>_xll.BDH("BLUE US Equity","TOT_DEBT_TO_EV_EX_OPER_LEA_LIABS","FQ4 2019","FQ4 2019","Currency=USD","Period=FQ","BEST_FPERIOD_OVERRIDE=FQ","FILING_STATUS=MR","Sort=A","Dates=H","DateFormat=P","Fill=—","Direction=H","UseDPDF=Y")</f>
        <v>0</v>
      </c>
      <c r="E15" s="14">
        <f>_xll.BDH("BLUE US Equity","TOT_DEBT_TO_EV_EX_OPER_LEA_LIABS","FQ1 2020","FQ1 2020","Currency=USD","Period=FQ","BEST_FPERIOD_OVERRIDE=FQ","FILING_STATUS=MR","Sort=A","Dates=H","DateFormat=P","Fill=—","Direction=H","UseDPDF=Y")</f>
        <v>0</v>
      </c>
      <c r="F15" s="14">
        <f>_xll.BDH("BLUE US Equity","TOT_DEBT_TO_EV_EX_OPER_LEA_LIABS","FQ2 2020","FQ2 2020","Currency=USD","Period=FQ","BEST_FPERIOD_OVERRIDE=FQ","FILING_STATUS=MR","Sort=A","Dates=H","DateFormat=P","Fill=—","Direction=H","UseDPDF=Y")</f>
        <v>0</v>
      </c>
      <c r="G15" s="14">
        <f>_xll.BDH("BLUE US Equity","TOT_DEBT_TO_EV_EX_OPER_LEA_LIABS","FQ3 2020","FQ3 2020","Currency=USD","Period=FQ","BEST_FPERIOD_OVERRIDE=FQ","FILING_STATUS=MR","Sort=A","Dates=H","DateFormat=P","Fill=—","Direction=H","UseDPDF=Y")</f>
        <v>0</v>
      </c>
      <c r="H15" s="14">
        <f>_xll.BDH("BLUE US Equity","TOT_DEBT_TO_EV_EX_OPER_LEA_LIABS","FQ4 2020","FQ4 2020","Currency=USD","Period=FQ","BEST_FPERIOD_OVERRIDE=FQ","FILING_STATUS=MR","Sort=A","Dates=H","DateFormat=P","Fill=—","Direction=H","UseDPDF=Y")</f>
        <v>0</v>
      </c>
      <c r="I15" s="14">
        <f>_xll.BDH("BLUE US Equity","TOT_DEBT_TO_EV_EX_OPER_LEA_LIABS","FQ1 2021","FQ1 2021","Currency=USD","Period=FQ","BEST_FPERIOD_OVERRIDE=FQ","FILING_STATUS=MR","Sort=A","Dates=H","DateFormat=P","Fill=—","Direction=H","UseDPDF=Y")</f>
        <v>0</v>
      </c>
      <c r="J15" s="14">
        <f>_xll.BDH("BLUE US Equity","TOT_DEBT_TO_EV_EX_OPER_LEA_LIABS","FQ2 2021","FQ2 2021","Currency=USD","Period=FQ","BEST_FPERIOD_OVERRIDE=FQ","FILING_STATUS=MR","Sort=A","Dates=H","DateFormat=P","Fill=—","Direction=H","UseDPDF=Y")</f>
        <v>0</v>
      </c>
      <c r="K15" s="14">
        <f>_xll.BDH("BLUE US Equity","TOT_DEBT_TO_EV_EX_OPER_LEA_LIABS","FQ3 2021","FQ3 2021","Currency=USD","Period=FQ","BEST_FPERIOD_OVERRIDE=FQ","FILING_STATUS=MR","Sort=A","Dates=H","DateFormat=P","Fill=—","Direction=H","UseDPDF=Y")</f>
        <v>0</v>
      </c>
      <c r="L15" s="14">
        <f>_xll.BDH("BLUE US Equity","TOT_DEBT_TO_EV_EX_OPER_LEA_LIABS","FQ4 2021","FQ4 2021","Currency=USD","Period=FQ","BEST_FPERIOD_OVERRIDE=FQ","FILING_STATUS=MR","Sort=A","Dates=H","DateFormat=P","Fill=—","Direction=H","UseDPDF=Y")</f>
        <v>0</v>
      </c>
      <c r="M15" s="14">
        <f>_xll.BDH("BLUE US Equity","TOT_DEBT_TO_EV_EX_OPER_LEA_LIABS","FQ1 2022","FQ1 2022","Currency=USD","Period=FQ","BEST_FPERIOD_OVERRIDE=FQ","FILING_STATUS=MR","Sort=A","Dates=H","DateFormat=P","Fill=—","Direction=H","UseDPDF=Y")</f>
        <v>0</v>
      </c>
      <c r="N15" s="14">
        <f>_xll.BDH("BLUE US Equity","TOT_DEBT_TO_EV_EX_OPER_LEA_LIABS","FQ2 2022","FQ2 2022","Currency=USD","Period=FQ","BEST_FPERIOD_OVERRIDE=FQ","FILING_STATUS=MR","Sort=A","Dates=H","DateFormat=P","Fill=—","Direction=H","UseDPDF=Y")</f>
        <v>0</v>
      </c>
      <c r="O15" s="14">
        <f>_xll.BDH("BLUE US Equity","TOT_DEBT_TO_EV_EX_OPER_LEA_LIABS","FQ3 2022","FQ3 2022","Currency=USD","Period=FQ","BEST_FPERIOD_OVERRIDE=FQ","FILING_STATUS=MR","Sort=A","Dates=H","DateFormat=P","Fill=—","Direction=H","UseDPDF=Y")</f>
        <v>0</v>
      </c>
      <c r="P15" s="14">
        <f>_xll.BDH("BLUE US Equity","TOT_DEBT_TO_EV_EX_OPER_LEA_LIABS","FQ4 2022","FQ4 2022","Currency=USD","Period=FQ","BEST_FPERIOD_OVERRIDE=FQ","FILING_STATUS=MR","Sort=A","Dates=H","DateFormat=P","Fill=—","Direction=H","UseDPDF=Y")</f>
        <v>0</v>
      </c>
      <c r="Q15" s="14">
        <f>_xll.BDH("BLUE US Equity","TOT_DEBT_TO_EV_EX_OPER_LEA_LIABS","FQ1 2023","FQ1 2023","Currency=USD","Period=FQ","BEST_FPERIOD_OVERRIDE=FQ","FILING_STATUS=MR","Sort=A","Dates=H","DateFormat=P","Fill=—","Direction=H","UseDPDF=Y")</f>
        <v>0</v>
      </c>
      <c r="R15" s="14">
        <f>_xll.BDH("BLUE US Equity","TOT_DEBT_TO_EV_EX_OPER_LEA_LIABS","FQ2 2023","FQ2 2023","Currency=USD","Period=FQ","BEST_FPERIOD_OVERRIDE=FQ","FILING_STATUS=MR","Sort=A","Dates=H","DateFormat=P","Fill=—","Direction=H","UseDPDF=Y")</f>
        <v>0</v>
      </c>
      <c r="S15" s="14">
        <f>_xll.BDH("BLUE US Equity","TOT_DEBT_TO_EV_EX_OPER_LEA_LIABS","FQ3 2023","FQ3 2023","Currency=USD","Period=FQ","BEST_FPERIOD_OVERRIDE=FQ","FILING_STATUS=MR","Sort=A","Dates=H","DateFormat=P","Fill=—","Direction=H","UseDPDF=Y")</f>
        <v>0</v>
      </c>
      <c r="T15" s="14">
        <f>_xll.BDH("BLUE US Equity","TOT_DEBT_TO_EV_EX_OPER_LEA_LIABS","FQ4 2023","FQ4 2023","Currency=USD","Period=FQ","BEST_FPERIOD_OVERRIDE=FQ","FILING_STATUS=MR","Sort=A","Dates=H","DateFormat=P","Fill=—","Direction=H","UseDPDF=Y")</f>
        <v>0</v>
      </c>
      <c r="U15" s="14">
        <f>_xll.BDH("BLUE US Equity","TOT_DEBT_TO_EV_EX_OPER_LEA_LIABS","FQ1 2024","FQ1 2024","Currency=USD","Period=FQ","BEST_FPERIOD_OVERRIDE=FQ","FILING_STATUS=MR","Sort=A","Dates=H","DateFormat=P","Fill=—","Direction=H","UseDPDF=Y")</f>
        <v>0.85409999999999997</v>
      </c>
      <c r="V15" s="14">
        <f>_xll.BDH("BLUE US Equity","TOT_DEBT_TO_EV_EX_OPER_LEA_LIABS","FQ2 2024","FQ2 2024","Currency=USD","Period=FQ","BEST_FPERIOD_OVERRIDE=FQ","FILING_STATUS=MR","Sort=A","Dates=H","DateFormat=P","Fill=—","Direction=H","UseDPDF=Y")</f>
        <v>0.80330000000000001</v>
      </c>
      <c r="W15" s="14">
        <f>_xll.BDH("BLUE US Equity","TOT_DEBT_TO_EV_EX_OPER_LEA_LIABS","FQ3 2024","FQ3 2024","Currency=USD","Period=FQ","BEST_FPERIOD_OVERRIDE=FQ","FILING_STATUS=MR","Sort=A","Dates=H","DateFormat=P","Fill=—","Direction=H","UseDPDF=Y")</f>
        <v>0.85140000000000005</v>
      </c>
      <c r="X15" s="14">
        <f>_xll.BDH("BLUE US Equity","TOT_DEBT_TO_EV_EX_OPER_LEA_LIABS","FQ4 2024","FQ4 2024","Currency=USD","Period=FQ","BEST_FPERIOD_OVERRIDE=FQ","FILING_STATUS=MR","Sort=A","Dates=H","DateFormat=P","Fill=—","Direction=H","UseDPDF=Y")</f>
        <v>0.89929999999999999</v>
      </c>
      <c r="Y15" s="17">
        <v>1.17705960301306</v>
      </c>
      <c r="Z15" s="14"/>
      <c r="AA15" s="14"/>
    </row>
    <row r="16" spans="1:27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2"/>
      <c r="AA16" s="12"/>
    </row>
    <row r="17" spans="1:27" x14ac:dyDescent="0.25">
      <c r="A17" s="10" t="s">
        <v>177</v>
      </c>
      <c r="B17" s="10" t="s">
        <v>269</v>
      </c>
      <c r="C17" s="14">
        <f>_xll.BDH("BLUE US Equity","EV_EX_OPER_LEA_LIABS_TO_SALES","FQ3 2019","FQ3 2019","Currency=USD","Period=FQ","BEST_FPERIOD_OVERRIDE=FQ","FILING_STATUS=MR","FA_ADJUSTED=GAAP","Sort=A","Dates=H","DateFormat=P","Fill=—","Direction=H","UseDPDF=Y")</f>
        <v>68.130499999999998</v>
      </c>
      <c r="D17" s="14">
        <f>_xll.BDH("BLUE US Equity","EV_EX_OPER_LEA_LIABS_TO_SALES","FQ4 2019","FQ4 2019","Currency=USD","Period=FQ","BEST_FPERIOD_OVERRIDE=FQ","FILING_STATUS=MR","FA_ADJUSTED=GAAP","Sort=A","Dates=H","DateFormat=P","Fill=—","Direction=H","UseDPDF=Y")</f>
        <v>81.044399999999996</v>
      </c>
      <c r="E17" s="14">
        <f>_xll.BDH("BLUE US Equity","EV_EX_OPER_LEA_LIABS_TO_SALES","FQ1 2020","FQ1 2020","Currency=USD","Period=FQ","BEST_FPERIOD_OVERRIDE=FQ","FILING_STATUS=MR","FA_ADJUSTED=GAAP","Sort=A","Dates=H","DateFormat=P","Fill=—","Direction=H","UseDPDF=Y")</f>
        <v>28.445599999999999</v>
      </c>
      <c r="F17" s="14">
        <f>_xll.BDH("BLUE US Equity","EV_EX_OPER_LEA_LIABS_TO_SALES","FQ2 2020","FQ2 2020","Currency=USD","Period=FQ","BEST_FPERIOD_OVERRIDE=FQ","FILING_STATUS=MR","FA_ADJUSTED=GAAP","Sort=A","Dates=H","DateFormat=P","Fill=—","Direction=H","UseDPDF=Y")</f>
        <v>10.188599999999999</v>
      </c>
      <c r="G17" s="14">
        <f>_xll.BDH("BLUE US Equity","EV_EX_OPER_LEA_LIABS_TO_SALES","FQ3 2020","FQ3 2020","Currency=USD","Period=FQ","BEST_FPERIOD_OVERRIDE=FQ","FILING_STATUS=MR","FA_ADJUSTED=GAAP","Sort=A","Dates=H","DateFormat=P","Fill=—","Direction=H","UseDPDF=Y")</f>
        <v>8.5637000000000008</v>
      </c>
      <c r="H17" s="14">
        <f>_xll.BDH("BLUE US Equity","EV_EX_OPER_LEA_LIABS_TO_SALES","FQ4 2020","FQ4 2020","Currency=USD","Period=FQ","BEST_FPERIOD_OVERRIDE=FQ","FILING_STATUS=MR","FA_ADJUSTED=GAAP","Sort=A","Dates=H","DateFormat=P","Fill=—","Direction=H","UseDPDF=Y")</f>
        <v>8.8858999999999995</v>
      </c>
      <c r="I17" s="14">
        <f>_xll.BDH("BLUE US Equity","EV_EX_OPER_LEA_LIABS_TO_SALES","FQ1 2021","FQ1 2021","Currency=USD","Period=FQ","BEST_FPERIOD_OVERRIDE=FQ","FILING_STATUS=MR","FA_ADJUSTED=GAAP","Sort=A","Dates=H","DateFormat=P","Fill=—","Direction=H","UseDPDF=Y")</f>
        <v>4.2876000000000003</v>
      </c>
      <c r="J17" s="14">
        <f>_xll.BDH("BLUE US Equity","EV_EX_OPER_LEA_LIABS_TO_SALES","FQ2 2021","FQ2 2021","Currency=USD","Period=FQ","BEST_FPERIOD_OVERRIDE=FQ","FILING_STATUS=MR","FA_ADJUSTED=GAAP","Sort=A","Dates=H","DateFormat=P","Fill=—","Direction=H","UseDPDF=Y")</f>
        <v>44.091799999999999</v>
      </c>
      <c r="K17" s="14">
        <f>_xll.BDH("BLUE US Equity","EV_EX_OPER_LEA_LIABS_TO_SALES","FQ3 2021","FQ3 2021","Currency=USD","Period=FQ","BEST_FPERIOD_OVERRIDE=FQ","FILING_STATUS=MR","FA_ADJUSTED=GAAP","Sort=A","Dates=H","DateFormat=P","Fill=—","Direction=H","UseDPDF=Y")</f>
        <v>39.299300000000002</v>
      </c>
      <c r="L17" s="14">
        <f>_xll.BDH("BLUE US Equity","EV_EX_OPER_LEA_LIABS_TO_SALES","FQ4 2021","FQ4 2021","Currency=USD","Period=FQ","BEST_FPERIOD_OVERRIDE=FQ","FILING_STATUS=MR","FA_ADJUSTED=GAAP","Sort=A","Dates=H","DateFormat=P","Fill=—","Direction=H","UseDPDF=Y")</f>
        <v>28.552600000000002</v>
      </c>
      <c r="M17" s="14">
        <f>_xll.BDH("BLUE US Equity","EV_EX_OPER_LEA_LIABS_TO_SALES","FQ1 2022","FQ1 2022","Currency=USD","Period=FQ","BEST_FPERIOD_OVERRIDE=FQ","FILING_STATUS=MR","FA_ADJUSTED=GAAP","Sort=A","Dates=H","DateFormat=P","Fill=—","Direction=H","UseDPDF=Y")</f>
        <v>6.6299000000000001</v>
      </c>
      <c r="N17" s="14">
        <f>_xll.BDH("BLUE US Equity","EV_EX_OPER_LEA_LIABS_TO_SALES","FQ2 2022","FQ2 2022","Currency=USD","Period=FQ","BEST_FPERIOD_OVERRIDE=FQ","FILING_STATUS=MR","FA_ADJUSTED=GAAP","Sort=A","Dates=H","DateFormat=P","Fill=—","Direction=H","UseDPDF=Y")</f>
        <v>21.571899999999999</v>
      </c>
      <c r="O17" s="14">
        <f>_xll.BDH("BLUE US Equity","EV_EX_OPER_LEA_LIABS_TO_SALES","FQ3 2022","FQ3 2022","Currency=USD","Period=FQ","BEST_FPERIOD_OVERRIDE=FQ","FILING_STATUS=MR","FA_ADJUSTED=GAAP","Sort=A","Dates=H","DateFormat=P","Fill=—","Direction=H","UseDPDF=Y")</f>
        <v>74.614000000000004</v>
      </c>
      <c r="P17" s="14">
        <f>_xll.BDH("BLUE US Equity","EV_EX_OPER_LEA_LIABS_TO_SALES","FQ4 2022","FQ4 2022","Currency=USD","Period=FQ","BEST_FPERIOD_OVERRIDE=FQ","FILING_STATUS=MR","FA_ADJUSTED=GAAP","Sort=A","Dates=H","DateFormat=P","Fill=—","Direction=H","UseDPDF=Y")</f>
        <v>109.00369999999999</v>
      </c>
      <c r="Q17" s="14">
        <f>_xll.BDH("BLUE US Equity","EV_EX_OPER_LEA_LIABS_TO_SALES","FQ1 2023","FQ1 2023","Currency=USD","Period=FQ","BEST_FPERIOD_OVERRIDE=FQ","FILING_STATUS=MR","FA_ADJUSTED=GAAP","Sort=A","Dates=H","DateFormat=P","Fill=—","Direction=H","UseDPDF=Y")</f>
        <v>4.9589999999999996</v>
      </c>
      <c r="R17" s="14">
        <f>_xll.BDH("BLUE US Equity","EV_EX_OPER_LEA_LIABS_TO_SALES","FQ2 2023","FQ2 2023","Currency=USD","Period=FQ","BEST_FPERIOD_OVERRIDE=FQ","FILING_STATUS=MR","FA_ADJUSTED=GAAP","Sort=A","Dates=H","DateFormat=P","Fill=—","Direction=H","UseDPDF=Y")</f>
        <v>11.158099999999999</v>
      </c>
      <c r="S17" s="14">
        <f>_xll.BDH("BLUE US Equity","EV_EX_OPER_LEA_LIABS_TO_SALES","FQ3 2023","FQ3 2023","Currency=USD","Period=FQ","BEST_FPERIOD_OVERRIDE=FQ","FILING_STATUS=MR","FA_ADJUSTED=GAAP","Sort=A","Dates=H","DateFormat=P","Fill=—","Direction=H","UseDPDF=Y")</f>
        <v>6.9530000000000003</v>
      </c>
      <c r="T17" s="14">
        <f>_xll.BDH("BLUE US Equity","EV_EX_OPER_LEA_LIABS_TO_SALES","FQ4 2023","FQ4 2023","Currency=USD","Period=FQ","BEST_FPERIOD_OVERRIDE=FQ","FILING_STATUS=MR","FA_ADJUSTED=GAAP","Sort=A","Dates=H","DateFormat=P","Fill=—","Direction=H","UseDPDF=Y")</f>
        <v>1.5007999999999999</v>
      </c>
      <c r="U17" s="14">
        <f>_xll.BDH("BLUE US Equity","EV_EX_OPER_LEA_LIABS_TO_SALES","FQ1 2024","FQ1 2024","Currency=USD","Period=FQ","BEST_FPERIOD_OVERRIDE=FQ","FILING_STATUS=MR","FA_ADJUSTED=GAAP","Sort=A","Dates=H","DateFormat=P","Fill=—","Direction=H","UseDPDF=Y")</f>
        <v>5.3631000000000002</v>
      </c>
      <c r="V17" s="14">
        <f>_xll.BDH("BLUE US Equity","EV_EX_OPER_LEA_LIABS_TO_SALES","FQ2 2024","FQ2 2024","Currency=USD","Period=FQ","BEST_FPERIOD_OVERRIDE=FQ","FILING_STATUS=MR","FA_ADJUSTED=GAAP","Sort=A","Dates=H","DateFormat=P","Fill=—","Direction=H","UseDPDF=Y")</f>
        <v>4.3270999999999997</v>
      </c>
      <c r="W17" s="14">
        <f>_xll.BDH("BLUE US Equity","EV_EX_OPER_LEA_LIABS_TO_SALES","FQ3 2024","FQ3 2024","Currency=USD","Period=FQ","BEST_FPERIOD_OVERRIDE=FQ","FILING_STATUS=MR","FA_ADJUSTED=GAAP","Sort=A","Dates=H","DateFormat=P","Fill=—","Direction=H","UseDPDF=Y")</f>
        <v>3.8130000000000002</v>
      </c>
      <c r="X17" s="14">
        <f>_xll.BDH("BLUE US Equity","EV_EX_OPER_LEA_LIABS_TO_SALES","FQ4 2024","FQ4 2024","Currency=USD","Period=FQ","BEST_FPERIOD_OVERRIDE=FQ","FILING_STATUS=MR","FA_ADJUSTED=GAAP","Sort=A","Dates=H","DateFormat=P","Fill=—","Direction=H","UseDPDF=Y")</f>
        <v>2.2313999999999998</v>
      </c>
      <c r="Y17" s="17">
        <v>1.70488699750617</v>
      </c>
      <c r="Z17" s="14">
        <v>0.55813072109374995</v>
      </c>
      <c r="AA17" s="14">
        <v>0.42162476311883501</v>
      </c>
    </row>
    <row r="18" spans="1:27" x14ac:dyDescent="0.25">
      <c r="A18" s="10" t="s">
        <v>179</v>
      </c>
      <c r="B18" s="10" t="s">
        <v>270</v>
      </c>
      <c r="C18" s="14" t="str">
        <f>_xll.BDH("BLUE US Equity","EV_TO_EBIT_EX_OPERATING_LEASE","FQ3 2019","FQ3 2019","Currency=USD","Period=FQ","BEST_FPERIOD_OVERRIDE=FQ","FILING_STATUS=MR","FA_ADJUSTED=GAAP","Sort=A","Dates=H","DateFormat=P","Fill=—","Direction=H","UseDPDF=Y")</f>
        <v>—</v>
      </c>
      <c r="D18" s="14" t="str">
        <f>_xll.BDH("BLUE US Equity","EV_TO_EBIT_EX_OPERATING_LEASE","FQ4 2019","FQ4 2019","Currency=USD","Period=FQ","BEST_FPERIOD_OVERRIDE=FQ","FILING_STATUS=MR","FA_ADJUSTED=GAAP","Sort=A","Dates=H","DateFormat=P","Fill=—","Direction=H","UseDPDF=Y")</f>
        <v>—</v>
      </c>
      <c r="E18" s="14" t="str">
        <f>_xll.BDH("BLUE US Equity","EV_TO_EBIT_EX_OPERATING_LEASE","FQ1 2020","FQ1 2020","Currency=USD","Period=FQ","BEST_FPERIOD_OVERRIDE=FQ","FILING_STATUS=MR","FA_ADJUSTED=GAAP","Sort=A","Dates=H","DateFormat=P","Fill=—","Direction=H","UseDPDF=Y")</f>
        <v>—</v>
      </c>
      <c r="F18" s="14" t="str">
        <f>_xll.BDH("BLUE US Equity","EV_TO_EBIT_EX_OPERATING_LEASE","FQ2 2020","FQ2 2020","Currency=USD","Period=FQ","BEST_FPERIOD_OVERRIDE=FQ","FILING_STATUS=MR","FA_ADJUSTED=GAAP","Sort=A","Dates=H","DateFormat=P","Fill=—","Direction=H","UseDPDF=Y")</f>
        <v>—</v>
      </c>
      <c r="G18" s="14" t="str">
        <f>_xll.BDH("BLUE US Equity","EV_TO_EBIT_EX_OPERATING_LEASE","FQ3 2020","FQ3 2020","Currency=USD","Period=FQ","BEST_FPERIOD_OVERRIDE=FQ","FILING_STATUS=MR","FA_ADJUSTED=GAAP","Sort=A","Dates=H","DateFormat=P","Fill=—","Direction=H","UseDPDF=Y")</f>
        <v>—</v>
      </c>
      <c r="H18" s="14" t="str">
        <f>_xll.BDH("BLUE US Equity","EV_TO_EBIT_EX_OPERATING_LEASE","FQ4 2020","FQ4 2020","Currency=USD","Period=FQ","BEST_FPERIOD_OVERRIDE=FQ","FILING_STATUS=MR","FA_ADJUSTED=GAAP","Sort=A","Dates=H","DateFormat=P","Fill=—","Direction=H","UseDPDF=Y")</f>
        <v>—</v>
      </c>
      <c r="I18" s="14" t="str">
        <f>_xll.BDH("BLUE US Equity","EV_TO_EBIT_EX_OPERATING_LEASE","FQ1 2021","FQ1 2021","Currency=USD","Period=FQ","BEST_FPERIOD_OVERRIDE=FQ","FILING_STATUS=MR","FA_ADJUSTED=GAAP","Sort=A","Dates=H","DateFormat=P","Fill=—","Direction=H","UseDPDF=Y")</f>
        <v>—</v>
      </c>
      <c r="J18" s="14" t="str">
        <f>_xll.BDH("BLUE US Equity","EV_TO_EBIT_EX_OPERATING_LEASE","FQ2 2021","FQ2 2021","Currency=USD","Period=FQ","BEST_FPERIOD_OVERRIDE=FQ","FILING_STATUS=MR","FA_ADJUSTED=GAAP","Sort=A","Dates=H","DateFormat=P","Fill=—","Direction=H","UseDPDF=Y")</f>
        <v>—</v>
      </c>
      <c r="K18" s="14" t="str">
        <f>_xll.BDH("BLUE US Equity","EV_TO_EBIT_EX_OPERATING_LEASE","FQ3 2021","FQ3 2021","Currency=USD","Period=FQ","BEST_FPERIOD_OVERRIDE=FQ","FILING_STATUS=MR","FA_ADJUSTED=GAAP","Sort=A","Dates=H","DateFormat=P","Fill=—","Direction=H","UseDPDF=Y")</f>
        <v>—</v>
      </c>
      <c r="L18" s="14" t="str">
        <f>_xll.BDH("BLUE US Equity","EV_TO_EBIT_EX_OPERATING_LEASE","FQ4 2021","FQ4 2021","Currency=USD","Period=FQ","BEST_FPERIOD_OVERRIDE=FQ","FILING_STATUS=MR","FA_ADJUSTED=GAAP","Sort=A","Dates=H","DateFormat=P","Fill=—","Direction=H","UseDPDF=Y")</f>
        <v>—</v>
      </c>
      <c r="M18" s="14" t="str">
        <f>_xll.BDH("BLUE US Equity","EV_TO_EBIT_EX_OPERATING_LEASE","FQ1 2022","FQ1 2022","Currency=USD","Period=FQ","BEST_FPERIOD_OVERRIDE=FQ","FILING_STATUS=MR","FA_ADJUSTED=GAAP","Sort=A","Dates=H","DateFormat=P","Fill=—","Direction=H","UseDPDF=Y")</f>
        <v>—</v>
      </c>
      <c r="N18" s="14" t="str">
        <f>_xll.BDH("BLUE US Equity","EV_TO_EBIT_EX_OPERATING_LEASE","FQ2 2022","FQ2 2022","Currency=USD","Period=FQ","BEST_FPERIOD_OVERRIDE=FQ","FILING_STATUS=MR","FA_ADJUSTED=GAAP","Sort=A","Dates=H","DateFormat=P","Fill=—","Direction=H","UseDPDF=Y")</f>
        <v>—</v>
      </c>
      <c r="O18" s="14" t="str">
        <f>_xll.BDH("BLUE US Equity","EV_TO_EBIT_EX_OPERATING_LEASE","FQ3 2022","FQ3 2022","Currency=USD","Period=FQ","BEST_FPERIOD_OVERRIDE=FQ","FILING_STATUS=MR","FA_ADJUSTED=GAAP","Sort=A","Dates=H","DateFormat=P","Fill=—","Direction=H","UseDPDF=Y")</f>
        <v>—</v>
      </c>
      <c r="P18" s="14" t="str">
        <f>_xll.BDH("BLUE US Equity","EV_TO_EBIT_EX_OPERATING_LEASE","FQ4 2022","FQ4 2022","Currency=USD","Period=FQ","BEST_FPERIOD_OVERRIDE=FQ","FILING_STATUS=MR","FA_ADJUSTED=GAAP","Sort=A","Dates=H","DateFormat=P","Fill=—","Direction=H","UseDPDF=Y")</f>
        <v>—</v>
      </c>
      <c r="Q18" s="14" t="str">
        <f>_xll.BDH("BLUE US Equity","EV_TO_EBIT_EX_OPERATING_LEASE","FQ1 2023","FQ1 2023","Currency=USD","Period=FQ","BEST_FPERIOD_OVERRIDE=FQ","FILING_STATUS=MR","FA_ADJUSTED=GAAP","Sort=A","Dates=H","DateFormat=P","Fill=—","Direction=H","UseDPDF=Y")</f>
        <v>—</v>
      </c>
      <c r="R18" s="14" t="str">
        <f>_xll.BDH("BLUE US Equity","EV_TO_EBIT_EX_OPERATING_LEASE","FQ2 2023","FQ2 2023","Currency=USD","Period=FQ","BEST_FPERIOD_OVERRIDE=FQ","FILING_STATUS=MR","FA_ADJUSTED=GAAP","Sort=A","Dates=H","DateFormat=P","Fill=—","Direction=H","UseDPDF=Y")</f>
        <v>—</v>
      </c>
      <c r="S18" s="14" t="str">
        <f>_xll.BDH("BLUE US Equity","EV_TO_EBIT_EX_OPERATING_LEASE","FQ3 2023","FQ3 2023","Currency=USD","Period=FQ","BEST_FPERIOD_OVERRIDE=FQ","FILING_STATUS=MR","FA_ADJUSTED=GAAP","Sort=A","Dates=H","DateFormat=P","Fill=—","Direction=H","UseDPDF=Y")</f>
        <v>—</v>
      </c>
      <c r="T18" s="14" t="str">
        <f>_xll.BDH("BLUE US Equity","EV_TO_EBIT_EX_OPERATING_LEASE","FQ4 2023","FQ4 2023","Currency=USD","Period=FQ","BEST_FPERIOD_OVERRIDE=FQ","FILING_STATUS=MR","FA_ADJUSTED=GAAP","Sort=A","Dates=H","DateFormat=P","Fill=—","Direction=H","UseDPDF=Y")</f>
        <v>—</v>
      </c>
      <c r="U18" s="14" t="str">
        <f>_xll.BDH("BLUE US Equity","EV_TO_EBIT_EX_OPERATING_LEASE","FQ1 2024","FQ1 2024","Currency=USD","Period=FQ","BEST_FPERIOD_OVERRIDE=FQ","FILING_STATUS=MR","FA_ADJUSTED=GAAP","Sort=A","Dates=H","DateFormat=P","Fill=—","Direction=H","UseDPDF=Y")</f>
        <v>—</v>
      </c>
      <c r="V18" s="14" t="str">
        <f>_xll.BDH("BLUE US Equity","EV_TO_EBIT_EX_OPERATING_LEASE","FQ2 2024","FQ2 2024","Currency=USD","Period=FQ","BEST_FPERIOD_OVERRIDE=FQ","FILING_STATUS=MR","FA_ADJUSTED=GAAP","Sort=A","Dates=H","DateFormat=P","Fill=—","Direction=H","UseDPDF=Y")</f>
        <v>—</v>
      </c>
      <c r="W18" s="14" t="str">
        <f>_xll.BDH("BLUE US Equity","EV_TO_EBIT_EX_OPERATING_LEASE","FQ3 2024","FQ3 2024","Currency=USD","Period=FQ","BEST_FPERIOD_OVERRIDE=FQ","FILING_STATUS=MR","FA_ADJUSTED=GAAP","Sort=A","Dates=H","DateFormat=P","Fill=—","Direction=H","UseDPDF=Y")</f>
        <v>—</v>
      </c>
      <c r="X18" s="14" t="str">
        <f>_xll.BDH("BLUE US Equity","EV_TO_EBIT_EX_OPERATING_LEASE","FQ4 2024","FQ4 2024","Currency=USD","Period=FQ","BEST_FPERIOD_OVERRIDE=FQ","FILING_STATUS=MR","FA_ADJUSTED=GAAP","Sort=A","Dates=H","DateFormat=P","Fill=—","Direction=H","UseDPDF=Y")</f>
        <v>—</v>
      </c>
      <c r="Y18" s="17"/>
      <c r="Z18" s="14">
        <v>-1.7292764248108901</v>
      </c>
      <c r="AA18" s="14">
        <v>-9.4567121980276596</v>
      </c>
    </row>
    <row r="19" spans="1:27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5"/>
      <c r="Z19" s="12"/>
      <c r="AA19" s="12"/>
    </row>
    <row r="20" spans="1:27" x14ac:dyDescent="0.25">
      <c r="A20" s="10" t="s">
        <v>181</v>
      </c>
      <c r="B20" s="10" t="s">
        <v>182</v>
      </c>
      <c r="C20" s="13">
        <f>_xll.BDH("BLUE US Equity","DILUTED_MKT_CAP","FQ3 2019","FQ3 2019","Currency=USD","Period=FQ","BEST_FPERIOD_OVERRIDE=FQ","FILING_STATUS=MR","SCALING_FORMAT=MLN","Sort=A","Dates=H","DateFormat=P","Fill=—","Direction=H","UseDPDF=Y")</f>
        <v>5076.9114</v>
      </c>
      <c r="D20" s="13">
        <f>_xll.BDH("BLUE US Equity","DILUTED_MKT_CAP","FQ4 2019","FQ4 2019","Currency=USD","Period=FQ","BEST_FPERIOD_OVERRIDE=FQ","FILING_STATUS=MR","SCALING_FORMAT=MLN","Sort=A","Dates=H","DateFormat=P","Fill=—","Direction=H","UseDPDF=Y")</f>
        <v>4856.4359999999997</v>
      </c>
      <c r="E20" s="13">
        <f>_xll.BDH("BLUE US Equity","DILUTED_MKT_CAP","FQ1 2020","FQ1 2020","Currency=USD","Period=FQ","BEST_FPERIOD_OVERRIDE=FQ","FILING_STATUS=MR","SCALING_FORMAT=MLN","Sort=A","Dates=H","DateFormat=P","Fill=—","Direction=H","UseDPDF=Y")</f>
        <v>2554.9164000000001</v>
      </c>
      <c r="F20" s="13">
        <f>_xll.BDH("BLUE US Equity","DILUTED_MKT_CAP","FQ2 2020","FQ2 2020","Currency=USD","Period=FQ","BEST_FPERIOD_OVERRIDE=FQ","FILING_STATUS=MR","SCALING_FORMAT=MLN","Sort=A","Dates=H","DateFormat=P","Fill=—","Direction=H","UseDPDF=Y")</f>
        <v>3685.8393999999998</v>
      </c>
      <c r="G20" s="13">
        <f>_xll.BDH("BLUE US Equity","DILUTED_MKT_CAP","FQ3 2020","FQ3 2020","Currency=USD","Period=FQ","BEST_FPERIOD_OVERRIDE=FQ","FILING_STATUS=MR","SCALING_FORMAT=MLN","Sort=A","Dates=H","DateFormat=P","Fill=—","Direction=H","UseDPDF=Y")</f>
        <v>3574.2415000000001</v>
      </c>
      <c r="H20" s="13">
        <f>_xll.BDH("BLUE US Equity","DILUTED_MKT_CAP","FQ4 2020","FQ4 2020","Currency=USD","Period=FQ","BEST_FPERIOD_OVERRIDE=FQ","FILING_STATUS=MR","SCALING_FORMAT=MLN","Sort=A","Dates=H","DateFormat=P","Fill=—","Direction=H","UseDPDF=Y")</f>
        <v>2872.9117000000001</v>
      </c>
      <c r="I20" s="13">
        <f>_xll.BDH("BLUE US Equity","DILUTED_MKT_CAP","FQ1 2021","FQ1 2021","Currency=USD","Period=FQ","BEST_FPERIOD_OVERRIDE=FQ","FILING_STATUS=MR","SCALING_FORMAT=MLN","Sort=A","Dates=H","DateFormat=P","Fill=—","Direction=H","UseDPDF=Y")</f>
        <v>2019.3263999999999</v>
      </c>
      <c r="J20" s="13">
        <f>_xll.BDH("BLUE US Equity","DILUTED_MKT_CAP","FQ2 2021","FQ2 2021","Currency=USD","Period=FQ","BEST_FPERIOD_OVERRIDE=FQ","FILING_STATUS=MR","SCALING_FORMAT=MLN","Sort=A","Dates=H","DateFormat=P","Fill=—","Direction=H","UseDPDF=Y")</f>
        <v>2158.2343000000001</v>
      </c>
      <c r="K20" s="13">
        <f>_xll.BDH("BLUE US Equity","DILUTED_MKT_CAP","FQ3 2021","FQ3 2021","Currency=USD","Period=FQ","BEST_FPERIOD_OVERRIDE=FQ","FILING_STATUS=MR","SCALING_FORMAT=MLN","Sort=A","Dates=H","DateFormat=P","Fill=—","Direction=H","UseDPDF=Y")</f>
        <v>1311.3472999999999</v>
      </c>
      <c r="L20" s="13">
        <f>_xll.BDH("BLUE US Equity","DILUTED_MKT_CAP","FQ4 2021","FQ4 2021","Currency=USD","Period=FQ","BEST_FPERIOD_OVERRIDE=FQ","FILING_STATUS=MR","SCALING_FORMAT=MLN","Sort=A","Dates=H","DateFormat=P","Fill=—","Direction=H","UseDPDF=Y")</f>
        <v>724.255</v>
      </c>
      <c r="M20" s="13">
        <f>_xll.BDH("BLUE US Equity","DILUTED_MKT_CAP","FQ1 2022","FQ1 2022","Currency=USD","Period=FQ","BEST_FPERIOD_OVERRIDE=FQ","FILING_STATUS=MR","SCALING_FORMAT=MLN","Sort=A","Dates=H","DateFormat=P","Fill=—","Direction=H","UseDPDF=Y")</f>
        <v>357.38679999999999</v>
      </c>
      <c r="N20" s="13">
        <f>_xll.BDH("BLUE US Equity","DILUTED_MKT_CAP","FQ2 2022","FQ2 2022","Currency=USD","Period=FQ","BEST_FPERIOD_OVERRIDE=FQ","FILING_STATUS=MR","SCALING_FORMAT=MLN","Sort=A","Dates=H","DateFormat=P","Fill=—","Direction=H","UseDPDF=Y")</f>
        <v>305.3954</v>
      </c>
      <c r="O20" s="13">
        <f>_xll.BDH("BLUE US Equity","DILUTED_MKT_CAP","FQ3 2022","FQ3 2022","Currency=USD","Period=FQ","BEST_FPERIOD_OVERRIDE=FQ","FILING_STATUS=MR","SCALING_FORMAT=MLN","Sort=A","Dates=H","DateFormat=P","Fill=—","Direction=H","UseDPDF=Y")</f>
        <v>516.16719999999998</v>
      </c>
      <c r="P20" s="13">
        <f>_xll.BDH("BLUE US Equity","DILUTED_MKT_CAP","FQ4 2022","FQ4 2022","Currency=USD","Period=FQ","BEST_FPERIOD_OVERRIDE=FQ","FILING_STATUS=MR","SCALING_FORMAT=MLN","Sort=A","Dates=H","DateFormat=P","Fill=—","Direction=H","UseDPDF=Y")</f>
        <v>590.56659999999999</v>
      </c>
      <c r="Q20" s="13">
        <f>_xll.BDH("BLUE US Equity","DILUTED_MKT_CAP","FQ1 2023","FQ1 2023","Currency=USD","Period=FQ","BEST_FPERIOD_OVERRIDE=FQ","FILING_STATUS=MR","SCALING_FORMAT=MLN","Sort=A","Dates=H","DateFormat=P","Fill=—","Direction=H","UseDPDF=Y")</f>
        <v>328.50349999999997</v>
      </c>
      <c r="R20" s="13">
        <f>_xll.BDH("BLUE US Equity","DILUTED_MKT_CAP","FQ2 2023","FQ2 2023","Currency=USD","Period=FQ","BEST_FPERIOD_OVERRIDE=FQ","FILING_STATUS=MR","SCALING_FORMAT=MLN","Sort=A","Dates=H","DateFormat=P","Fill=—","Direction=H","UseDPDF=Y")</f>
        <v>357.57369999999997</v>
      </c>
      <c r="S20" s="13">
        <f>_xll.BDH("BLUE US Equity","DILUTED_MKT_CAP","FQ3 2023","FQ3 2023","Currency=USD","Period=FQ","BEST_FPERIOD_OVERRIDE=FQ","FILING_STATUS=MR","SCALING_FORMAT=MLN","Sort=A","Dates=H","DateFormat=P","Fill=—","Direction=H","UseDPDF=Y")</f>
        <v>331.65789999999998</v>
      </c>
      <c r="T20" s="13">
        <f>_xll.BDH("BLUE US Equity","DILUTED_MKT_CAP","FQ4 2023","FQ4 2023","Currency=USD","Period=FQ","BEST_FPERIOD_OVERRIDE=FQ","FILING_STATUS=MR","SCALING_FORMAT=MLN","Sort=A","Dates=H","DateFormat=P","Fill=—","Direction=H","UseDPDF=Y")</f>
        <v>163.66390000000001</v>
      </c>
      <c r="U20" s="13">
        <f>_xll.BDH("BLUE US Equity","DILUTED_MKT_CAP","FQ1 2024","FQ1 2024","Currency=USD","Period=FQ","BEST_FPERIOD_OVERRIDE=FQ","FILING_STATUS=MR","SCALING_FORMAT=MLN","Sort=A","Dates=H","DateFormat=P","Fill=—","Direction=H","UseDPDF=Y")</f>
        <v>247.23330000000001</v>
      </c>
      <c r="V20" s="13">
        <f>_xll.BDH("BLUE US Equity","DILUTED_MKT_CAP","FQ2 2024","FQ2 2024","Currency=USD","Period=FQ","BEST_FPERIOD_OVERRIDE=FQ","FILING_STATUS=MR","SCALING_FORMAT=MLN","Sort=A","Dates=H","DateFormat=P","Fill=—","Direction=H","UseDPDF=Y")</f>
        <v>190.65530000000001</v>
      </c>
      <c r="W20" s="13">
        <f>_xll.BDH("BLUE US Equity","DILUTED_MKT_CAP","FQ3 2024","FQ3 2024","Currency=USD","Period=FQ","BEST_FPERIOD_OVERRIDE=FQ","FILING_STATUS=MR","SCALING_FORMAT=MLN","Sort=A","Dates=H","DateFormat=P","Fill=—","Direction=H","UseDPDF=Y")</f>
        <v>100.7274</v>
      </c>
      <c r="X20" s="13">
        <f>_xll.BDH("BLUE US Equity","DILUTED_MKT_CAP","FQ4 2024","FQ4 2024","Currency=USD","Period=FQ","BEST_FPERIOD_OVERRIDE=FQ","FILING_STATUS=MR","SCALING_FORMAT=MLN","Sort=A","Dates=H","DateFormat=P","Fill=—","Direction=H","UseDPDF=Y")</f>
        <v>80.973100000000002</v>
      </c>
      <c r="Y20" s="16">
        <v>36.700019722223303</v>
      </c>
      <c r="Z20" s="13"/>
      <c r="AA20" s="13"/>
    </row>
    <row r="21" spans="1:27" x14ac:dyDescent="0.25">
      <c r="A21" s="10" t="s">
        <v>183</v>
      </c>
      <c r="B21" s="10" t="s">
        <v>271</v>
      </c>
      <c r="C21" s="13">
        <f>_xll.BDH("BLUE US Equity","DILUTED_EV_EX_OPERATING_LEASE","FQ3 2019","FQ3 2019","Currency=USD","Period=FQ","BEST_FPERIOD_OVERRIDE=FQ","FILING_STATUS=MR","SCALING_FORMAT=MLN","Sort=A","Dates=H","DateFormat=P","Fill=—","Direction=H","UseDPDF=Y")</f>
        <v>3671.0243999999998</v>
      </c>
      <c r="D21" s="13">
        <f>_xll.BDH("BLUE US Equity","DILUTED_EV_EX_OPERATING_LEASE","FQ4 2019","FQ4 2019","Currency=USD","Period=FQ","BEST_FPERIOD_OVERRIDE=FQ","FILING_STATUS=MR","SCALING_FORMAT=MLN","Sort=A","Dates=H","DateFormat=P","Fill=—","Direction=H","UseDPDF=Y")</f>
        <v>3618.47</v>
      </c>
      <c r="E21" s="13">
        <f>_xll.BDH("BLUE US Equity","DILUTED_EV_EX_OPERATING_LEASE","FQ1 2020","FQ1 2020","Currency=USD","Period=FQ","BEST_FPERIOD_OVERRIDE=FQ","FILING_STATUS=MR","SCALING_FORMAT=MLN","Sort=A","Dates=H","DateFormat=P","Fill=—","Direction=H","UseDPDF=Y")</f>
        <v>1536.5594000000001</v>
      </c>
      <c r="F21" s="13">
        <f>_xll.BDH("BLUE US Equity","DILUTED_EV_EX_OPERATING_LEASE","FQ2 2020","FQ2 2020","Currency=USD","Period=FQ","BEST_FPERIOD_OVERRIDE=FQ","FILING_STATUS=MR","SCALING_FORMAT=MLN","Sort=A","Dates=H","DateFormat=P","Fill=—","Direction=H","UseDPDF=Y")</f>
        <v>2087.0464000000002</v>
      </c>
      <c r="G21" s="13">
        <f>_xll.BDH("BLUE US Equity","DILUTED_EV_EX_OPERATING_LEASE","FQ3 2020","FQ3 2020","Currency=USD","Period=FQ","BEST_FPERIOD_OVERRIDE=FQ","FILING_STATUS=MR","SCALING_FORMAT=MLN","Sort=A","Dates=H","DateFormat=P","Fill=—","Direction=H","UseDPDF=Y")</f>
        <v>2136.3715000000002</v>
      </c>
      <c r="H21" s="13">
        <f>_xll.BDH("BLUE US Equity","DILUTED_EV_EX_OPERATING_LEASE","FQ4 2020","FQ4 2020","Currency=USD","Period=FQ","BEST_FPERIOD_OVERRIDE=FQ","FILING_STATUS=MR","SCALING_FORMAT=MLN","Sort=A","Dates=H","DateFormat=P","Fill=—","Direction=H","UseDPDF=Y")</f>
        <v>2131.2386000000001</v>
      </c>
      <c r="I21" s="13">
        <f>_xll.BDH("BLUE US Equity","DILUTED_EV_EX_OPERATING_LEASE","FQ1 2021","FQ1 2021","Currency=USD","Period=FQ","BEST_FPERIOD_OVERRIDE=FQ","FILING_STATUS=MR","SCALING_FORMAT=MLN","Sort=A","Dates=H","DateFormat=P","Fill=—","Direction=H","UseDPDF=Y")</f>
        <v>925.77539999999999</v>
      </c>
      <c r="J21" s="13">
        <f>_xll.BDH("BLUE US Equity","DILUTED_EV_EX_OPERATING_LEASE","FQ2 2021","FQ2 2021","Currency=USD","Period=FQ","BEST_FPERIOD_OVERRIDE=FQ","FILING_STATUS=MR","SCALING_FORMAT=MLN","Sort=A","Dates=H","DateFormat=P","Fill=—","Direction=H","UseDPDF=Y")</f>
        <v>1216.6062999999999</v>
      </c>
      <c r="K21" s="13">
        <f>_xll.BDH("BLUE US Equity","DILUTED_EV_EX_OPERATING_LEASE","FQ3 2021","FQ3 2021","Currency=USD","Period=FQ","BEST_FPERIOD_OVERRIDE=FQ","FILING_STATUS=MR","SCALING_FORMAT=MLN","Sort=A","Dates=H","DateFormat=P","Fill=—","Direction=H","UseDPDF=Y")</f>
        <v>340.6173</v>
      </c>
      <c r="L21" s="13">
        <f>_xll.BDH("BLUE US Equity","DILUTED_EV_EX_OPERATING_LEASE","FQ4 2021","FQ4 2021","Currency=USD","Period=FQ","BEST_FPERIOD_OVERRIDE=FQ","FILING_STATUS=MR","SCALING_FORMAT=MLN","Sort=A","Dates=H","DateFormat=P","Fill=—","Direction=H","UseDPDF=Y")</f>
        <v>327.63799999999998</v>
      </c>
      <c r="M21" s="13">
        <f>_xll.BDH("BLUE US Equity","DILUTED_EV_EX_OPERATING_LEASE","FQ1 2022","FQ1 2022","Currency=USD","Period=FQ","BEST_FPERIOD_OVERRIDE=FQ","FILING_STATUS=MR","SCALING_FORMAT=MLN","Sort=A","Dates=H","DateFormat=P","Fill=—","Direction=H","UseDPDF=Y")</f>
        <v>90.749799999999993</v>
      </c>
      <c r="N21" s="13">
        <f>_xll.BDH("BLUE US Equity","DILUTED_EV_EX_OPERATING_LEASE","FQ2 2022","FQ2 2022","Currency=USD","Period=FQ","BEST_FPERIOD_OVERRIDE=FQ","FILING_STATUS=MR","SCALING_FORMAT=MLN","Sort=A","Dates=H","DateFormat=P","Fill=—","Direction=H","UseDPDF=Y")</f>
        <v>132.24539999999999</v>
      </c>
      <c r="O21" s="13">
        <f>_xll.BDH("BLUE US Equity","DILUTED_EV_EX_OPERATING_LEASE","FQ3 2022","FQ3 2022","Currency=USD","Period=FQ","BEST_FPERIOD_OVERRIDE=FQ","FILING_STATUS=MR","SCALING_FORMAT=MLN","Sort=A","Dates=H","DateFormat=P","Fill=—","Direction=H","UseDPDF=Y")</f>
        <v>375.12720000000002</v>
      </c>
      <c r="P21" s="13">
        <f>_xll.BDH("BLUE US Equity","DILUTED_EV_EX_OPERATING_LEASE","FQ4 2022","FQ4 2022","Currency=USD","Period=FQ","BEST_FPERIOD_OVERRIDE=FQ","FILING_STATUS=MR","SCALING_FORMAT=MLN","Sort=A","Dates=H","DateFormat=P","Fill=—","Direction=H","UseDPDF=Y")</f>
        <v>408.82560000000001</v>
      </c>
      <c r="Q21" s="13">
        <f>_xll.BDH("BLUE US Equity","DILUTED_EV_EX_OPERATING_LEASE","FQ1 2023","FQ1 2023","Currency=USD","Period=FQ","BEST_FPERIOD_OVERRIDE=FQ","FILING_STATUS=MR","SCALING_FORMAT=MLN","Sort=A","Dates=H","DateFormat=P","Fill=—","Direction=H","UseDPDF=Y")</f>
        <v>21.258400000000002</v>
      </c>
      <c r="R21" s="13">
        <f>_xll.BDH("BLUE US Equity","DILUTED_EV_EX_OPERATING_LEASE","FQ2 2023","FQ2 2023","Currency=USD","Period=FQ","BEST_FPERIOD_OVERRIDE=FQ","FILING_STATUS=MR","SCALING_FORMAT=MLN","Sort=A","Dates=H","DateFormat=P","Fill=—","Direction=H","UseDPDF=Y")</f>
        <v>112.27070000000001</v>
      </c>
      <c r="S21" s="13">
        <f>_xll.BDH("BLUE US Equity","DILUTED_EV_EX_OPERATING_LEASE","FQ3 2023","FQ3 2023","Currency=USD","Period=FQ","BEST_FPERIOD_OVERRIDE=FQ","FILING_STATUS=MR","SCALING_FORMAT=MLN","Sort=A","Dates=H","DateFormat=P","Fill=—","Direction=H","UseDPDF=Y")</f>
        <v>157.36490000000001</v>
      </c>
      <c r="T21" s="13">
        <f>_xll.BDH("BLUE US Equity","DILUTED_EV_EX_OPERATING_LEASE","FQ4 2023","FQ4 2023","Currency=USD","Period=FQ","BEST_FPERIOD_OVERRIDE=FQ","FILING_STATUS=MR","SCALING_FORMAT=MLN","Sort=A","Dates=H","DateFormat=P","Fill=—","Direction=H","UseDPDF=Y")</f>
        <v>-58.091099999999997</v>
      </c>
      <c r="U21" s="13">
        <f>_xll.BDH("BLUE US Equity","DILUTED_EV_EX_OPERATING_LEASE","FQ1 2024","FQ1 2024","Currency=USD","Period=FQ","BEST_FPERIOD_OVERRIDE=FQ","FILING_STATUS=MR","SCALING_FORMAT=MLN","Sort=A","Dates=H","DateFormat=P","Fill=—","Direction=H","UseDPDF=Y")</f>
        <v>244.48230000000001</v>
      </c>
      <c r="V21" s="13">
        <f>_xll.BDH("BLUE US Equity","DILUTED_EV_EX_OPERATING_LEASE","FQ2 2024","FQ2 2024","Currency=USD","Period=FQ","BEST_FPERIOD_OVERRIDE=FQ","FILING_STATUS=MR","SCALING_FORMAT=MLN","Sort=A","Dates=H","DateFormat=P","Fill=—","Direction=H","UseDPDF=Y")</f>
        <v>237.4213</v>
      </c>
      <c r="W21" s="13">
        <f>_xll.BDH("BLUE US Equity","DILUTED_EV_EX_OPERATING_LEASE","FQ3 2024","FQ3 2024","Currency=USD","Period=FQ","BEST_FPERIOD_OVERRIDE=FQ","FILING_STATUS=MR","SCALING_FORMAT=MLN","Sort=A","Dates=H","DateFormat=P","Fill=—","Direction=H","UseDPDF=Y")</f>
        <v>202.5324</v>
      </c>
      <c r="X21" s="13">
        <f>_xll.BDH("BLUE US Equity","DILUTED_EV_EX_OPERATING_LEASE","FQ4 2024","FQ4 2024","Currency=USD","Period=FQ","BEST_FPERIOD_OVERRIDE=FQ","FILING_STATUS=MR","SCALING_FORMAT=MLN","Sort=A","Dates=H","DateFormat=P","Fill=—","Direction=H","UseDPDF=Y")</f>
        <v>186.84809999999999</v>
      </c>
      <c r="Y21" s="16">
        <v>186.84806</v>
      </c>
      <c r="Z21" s="13"/>
      <c r="AA21" s="13"/>
    </row>
    <row r="22" spans="1:27" x14ac:dyDescent="0.25">
      <c r="A22" s="10" t="s">
        <v>185</v>
      </c>
      <c r="B22" s="10" t="s">
        <v>272</v>
      </c>
      <c r="C22" s="14">
        <f>_xll.BDH("BLUE US Equity","EV_EX_OP_LEA_LIAB_TO_SHS_OUTSTDG","FQ3 2019","FQ3 2019","Currency=USD","Period=FQ","BEST_FPERIOD_OVERRIDE=FQ","FILING_STATUS=MR","Sort=A","Dates=H","DateFormat=P","Fill=—","Direction=H","UseDPDF=Y")</f>
        <v>1328.1256000000001</v>
      </c>
      <c r="D22" s="14">
        <f>_xll.BDH("BLUE US Equity","EV_EX_OP_LEA_LIAB_TO_SHS_OUTSTDG","FQ4 2019","FQ4 2019","Currency=USD","Period=FQ","BEST_FPERIOD_OVERRIDE=FQ","FILING_STATUS=MR","Sort=A","Dates=H","DateFormat=P","Fill=—","Direction=H","UseDPDF=Y")</f>
        <v>1307.8226</v>
      </c>
      <c r="E22" s="14">
        <f>_xll.BDH("BLUE US Equity","EV_EX_OP_LEA_LIAB_TO_SHS_OUTSTDG","FQ1 2020","FQ1 2020","Currency=USD","Period=FQ","BEST_FPERIOD_OVERRIDE=FQ","FILING_STATUS=MR","Sort=A","Dates=H","DateFormat=P","Fill=—","Direction=H","UseDPDF=Y")</f>
        <v>553.0163</v>
      </c>
      <c r="F22" s="14">
        <f>_xll.BDH("BLUE US Equity","EV_EX_OP_LEA_LIAB_TO_SHS_OUTSTDG","FQ2 2020","FQ2 2020","Currency=USD","Period=FQ","BEST_FPERIOD_OVERRIDE=FQ","FILING_STATUS=MR","Sort=A","Dates=H","DateFormat=P","Fill=—","Direction=H","UseDPDF=Y")</f>
        <v>737.7518</v>
      </c>
      <c r="G22" s="14">
        <f>_xll.BDH("BLUE US Equity","EV_EX_OP_LEA_LIAB_TO_SHS_OUTSTDG","FQ3 2020","FQ3 2020","Currency=USD","Period=FQ","BEST_FPERIOD_OVERRIDE=FQ","FILING_STATUS=MR","Sort=A","Dates=H","DateFormat=P","Fill=—","Direction=H","UseDPDF=Y")</f>
        <v>645.50840000000005</v>
      </c>
      <c r="H22" s="14">
        <f>_xll.BDH("BLUE US Equity","EV_EX_OP_LEA_LIAB_TO_SHS_OUTSTDG","FQ4 2020","FQ4 2020","Currency=USD","Period=FQ","BEST_FPERIOD_OVERRIDE=FQ","FILING_STATUS=MR","Sort=A","Dates=H","DateFormat=P","Fill=—","Direction=H","UseDPDF=Y")</f>
        <v>642.11210000000005</v>
      </c>
      <c r="I22" s="14">
        <f>_xll.BDH("BLUE US Equity","EV_EX_OP_LEA_LIAB_TO_SHS_OUTSTDG","FQ1 2021","FQ1 2021","Currency=USD","Period=FQ","BEST_FPERIOD_OVERRIDE=FQ","FILING_STATUS=MR","Sort=A","Dates=H","DateFormat=P","Fill=—","Direction=H","UseDPDF=Y")</f>
        <v>278.61</v>
      </c>
      <c r="J22" s="14">
        <f>_xll.BDH("BLUE US Equity","EV_EX_OP_LEA_LIAB_TO_SHS_OUTSTDG","FQ2 2021","FQ2 2021","Currency=USD","Period=FQ","BEST_FPERIOD_OVERRIDE=FQ","FILING_STATUS=MR","Sort=A","Dates=H","DateFormat=P","Fill=—","Direction=H","UseDPDF=Y")</f>
        <v>360.8098</v>
      </c>
      <c r="K22" s="14">
        <f>_xll.BDH("BLUE US Equity","EV_EX_OP_LEA_LIAB_TO_SHS_OUTSTDG","FQ3 2021","FQ3 2021","Currency=USD","Period=FQ","BEST_FPERIOD_OVERRIDE=FQ","FILING_STATUS=MR","Sort=A","Dates=H","DateFormat=P","Fill=—","Direction=H","UseDPDF=Y")</f>
        <v>105.2324</v>
      </c>
      <c r="L22" s="14">
        <f>_xll.BDH("BLUE US Equity","EV_EX_OP_LEA_LIAB_TO_SHS_OUTSTDG","FQ4 2021","FQ4 2021","Currency=USD","Period=FQ","BEST_FPERIOD_OVERRIDE=FQ","FILING_STATUS=MR","Sort=A","Dates=H","DateFormat=P","Fill=—","Direction=H","UseDPDF=Y")</f>
        <v>88.257599999999996</v>
      </c>
      <c r="M22" s="14">
        <f>_xll.BDH("BLUE US Equity","EV_EX_OP_LEA_LIAB_TO_SHS_OUTSTDG","FQ1 2022","FQ1 2022","Currency=USD","Period=FQ","BEST_FPERIOD_OVERRIDE=FQ","FILING_STATUS=MR","Sort=A","Dates=H","DateFormat=P","Fill=—","Direction=H","UseDPDF=Y")</f>
        <v>22.351500000000001</v>
      </c>
      <c r="N22" s="14">
        <f>_xll.BDH("BLUE US Equity","EV_EX_OP_LEA_LIAB_TO_SHS_OUTSTDG","FQ2 2022","FQ2 2022","Currency=USD","Period=FQ","BEST_FPERIOD_OVERRIDE=FQ","FILING_STATUS=MR","Sort=A","Dates=H","DateFormat=P","Fill=—","Direction=H","UseDPDF=Y")</f>
        <v>35.716999999999999</v>
      </c>
      <c r="O22" s="14">
        <f>_xll.BDH("BLUE US Equity","EV_EX_OP_LEA_LIAB_TO_SHS_OUTSTDG","FQ3 2022","FQ3 2022","Currency=USD","Period=FQ","BEST_FPERIOD_OVERRIDE=FQ","FILING_STATUS=MR","Sort=A","Dates=H","DateFormat=P","Fill=—","Direction=H","UseDPDF=Y")</f>
        <v>92.565299999999993</v>
      </c>
      <c r="P22" s="14">
        <f>_xll.BDH("BLUE US Equity","EV_EX_OP_LEA_LIAB_TO_SHS_OUTSTDG","FQ4 2022","FQ4 2022","Currency=USD","Period=FQ","BEST_FPERIOD_OVERRIDE=FQ","FILING_STATUS=MR","Sort=A","Dates=H","DateFormat=P","Fill=—","Direction=H","UseDPDF=Y")</f>
        <v>94.566299999999998</v>
      </c>
      <c r="Q22" s="14">
        <f>_xll.BDH("BLUE US Equity","EV_EX_OP_LEA_LIAB_TO_SHS_OUTSTDG","FQ1 2023","FQ1 2023","Currency=USD","Period=FQ","BEST_FPERIOD_OVERRIDE=FQ","FILING_STATUS=MR","Sort=A","Dates=H","DateFormat=P","Fill=—","Direction=H","UseDPDF=Y")</f>
        <v>3.7604000000000002</v>
      </c>
      <c r="R22" s="14">
        <f>_xll.BDH("BLUE US Equity","EV_EX_OP_LEA_LIAB_TO_SHS_OUTSTDG","FQ2 2023","FQ2 2023","Currency=USD","Period=FQ","BEST_FPERIOD_OVERRIDE=FQ","FILING_STATUS=MR","Sort=A","Dates=H","DateFormat=P","Fill=—","Direction=H","UseDPDF=Y")</f>
        <v>19.713799999999999</v>
      </c>
      <c r="S22" s="14">
        <f>_xll.BDH("BLUE US Equity","EV_EX_OP_LEA_LIAB_TO_SHS_OUTSTDG","FQ3 2023","FQ3 2023","Currency=USD","Period=FQ","BEST_FPERIOD_OVERRIDE=FQ","FILING_STATUS=MR","Sort=A","Dates=H","DateFormat=P","Fill=—","Direction=H","UseDPDF=Y")</f>
        <v>28.2286</v>
      </c>
      <c r="T22" s="14">
        <f>_xll.BDH("BLUE US Equity","EV_EX_OP_LEA_LIAB_TO_SHS_OUTSTDG","FQ4 2023","FQ4 2023","Currency=USD","Period=FQ","BEST_FPERIOD_OVERRIDE=FQ","FILING_STATUS=MR","Sort=A","Dates=H","DateFormat=P","Fill=—","Direction=H","UseDPDF=Y")</f>
        <v>4.593</v>
      </c>
      <c r="U22" s="14">
        <f>_xll.BDH("BLUE US Equity","EV_EX_OP_LEA_LIAB_TO_SHS_OUTSTDG","FQ1 2024","FQ1 2024","Currency=USD","Period=FQ","BEST_FPERIOD_OVERRIDE=FQ","FILING_STATUS=MR","Sort=A","Dates=H","DateFormat=P","Fill=—","Direction=H","UseDPDF=Y")</f>
        <v>25.315799999999999</v>
      </c>
      <c r="V22" s="14">
        <f>_xll.BDH("BLUE US Equity","EV_EX_OP_LEA_LIAB_TO_SHS_OUTSTDG","FQ2 2024","FQ2 2024","Currency=USD","Period=FQ","BEST_FPERIOD_OVERRIDE=FQ","FILING_STATUS=MR","Sort=A","Dates=H","DateFormat=P","Fill=—","Direction=H","UseDPDF=Y")</f>
        <v>24.508800000000001</v>
      </c>
      <c r="W22" s="14">
        <f>_xll.BDH("BLUE US Equity","EV_EX_OP_LEA_LIAB_TO_SHS_OUTSTDG","FQ3 2024","FQ3 2024","Currency=USD","Period=FQ","BEST_FPERIOD_OVERRIDE=FQ","FILING_STATUS=MR","Sort=A","Dates=H","DateFormat=P","Fill=—","Direction=H","UseDPDF=Y")</f>
        <v>20.889900000000001</v>
      </c>
      <c r="X22" s="14">
        <f>_xll.BDH("BLUE US Equity","EV_EX_OP_LEA_LIAB_TO_SHS_OUTSTDG","FQ4 2024","FQ4 2024","Currency=USD","Period=FQ","BEST_FPERIOD_OVERRIDE=FQ","FILING_STATUS=MR","Sort=A","Dates=H","DateFormat=P","Fill=—","Direction=H","UseDPDF=Y")</f>
        <v>19.223500000000001</v>
      </c>
      <c r="Y22" s="17">
        <v>14.687650555098701</v>
      </c>
      <c r="Z22" s="14"/>
      <c r="AA22" s="14"/>
    </row>
    <row r="23" spans="1:27" x14ac:dyDescent="0.25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5"/>
      <c r="Z23" s="12"/>
      <c r="AA23" s="12"/>
    </row>
    <row r="24" spans="1:27" x14ac:dyDescent="0.25">
      <c r="A24" s="10" t="s">
        <v>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5"/>
      <c r="Z24" s="12"/>
      <c r="AA24" s="12"/>
    </row>
    <row r="25" spans="1:27" x14ac:dyDescent="0.25">
      <c r="A25" s="11" t="s">
        <v>187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7"/>
      <c r="Z25" s="24"/>
      <c r="AA25" s="24"/>
    </row>
    <row r="26" spans="1:27" x14ac:dyDescent="0.25">
      <c r="A26" s="10" t="s">
        <v>188</v>
      </c>
      <c r="B26" s="10" t="s">
        <v>189</v>
      </c>
      <c r="C26" s="12" t="s">
        <v>190</v>
      </c>
      <c r="D26" s="12" t="s">
        <v>190</v>
      </c>
      <c r="E26" s="12" t="s">
        <v>190</v>
      </c>
      <c r="F26" s="12" t="s">
        <v>190</v>
      </c>
      <c r="G26" s="12" t="s">
        <v>190</v>
      </c>
      <c r="H26" s="12" t="s">
        <v>190</v>
      </c>
      <c r="I26" s="12" t="s">
        <v>190</v>
      </c>
      <c r="J26" s="12" t="s">
        <v>190</v>
      </c>
      <c r="K26" s="12" t="s">
        <v>190</v>
      </c>
      <c r="L26" s="12" t="s">
        <v>190</v>
      </c>
      <c r="M26" s="12" t="s">
        <v>190</v>
      </c>
      <c r="N26" s="12" t="s">
        <v>190</v>
      </c>
      <c r="O26" s="12" t="s">
        <v>190</v>
      </c>
      <c r="P26" s="12" t="s">
        <v>190</v>
      </c>
      <c r="Q26" s="12" t="s">
        <v>190</v>
      </c>
      <c r="R26" s="12" t="s">
        <v>190</v>
      </c>
      <c r="S26" s="12" t="s">
        <v>190</v>
      </c>
      <c r="T26" s="12" t="s">
        <v>190</v>
      </c>
      <c r="U26" s="12" t="s">
        <v>190</v>
      </c>
      <c r="V26" s="12" t="s">
        <v>190</v>
      </c>
      <c r="W26" s="12" t="s">
        <v>190</v>
      </c>
      <c r="X26" s="12" t="s">
        <v>190</v>
      </c>
      <c r="Y26" s="15" t="s">
        <v>190</v>
      </c>
      <c r="Z26" s="12"/>
      <c r="AA26" s="12"/>
    </row>
    <row r="27" spans="1:27" x14ac:dyDescent="0.25">
      <c r="A27" s="10" t="s">
        <v>191</v>
      </c>
      <c r="B27" s="10" t="s">
        <v>192</v>
      </c>
      <c r="C27" s="13">
        <f>_xll.BDH("BLUE US Equity","TRAIL_12M_NET_SALES","FQ3 2019","FQ3 2019","Currency=USD","Period=FQ","BEST_FPERIOD_OVERRIDE=FQ","FILING_STATUS=MR","SCALING_FORMAT=MLN","FA_ADJUSTED=GAAP","Sort=A","Dates=H","DateFormat=P","Fill=—","Direction=H","UseDPDF=Y")</f>
        <v>53.92</v>
      </c>
      <c r="D27" s="13">
        <f>_xll.BDH("BLUE US Equity","TRAIL_12M_NET_SALES","FQ4 2019","FQ4 2019","Currency=USD","Period=FQ","BEST_FPERIOD_OVERRIDE=FQ","FILING_STATUS=MR","SCALING_FORMAT=MLN","FA_ADJUSTED=GAAP","Sort=A","Dates=H","DateFormat=P","Fill=—","Direction=H","UseDPDF=Y")</f>
        <v>44.673999999999999</v>
      </c>
      <c r="E27" s="13">
        <f>_xll.BDH("BLUE US Equity","TRAIL_12M_NET_SALES","FQ1 2020","FQ1 2020","Currency=USD","Period=FQ","BEST_FPERIOD_OVERRIDE=FQ","FILING_STATUS=MR","SCALING_FORMAT=MLN","FA_ADJUSTED=GAAP","Sort=A","Dates=H","DateFormat=P","Fill=—","Direction=H","UseDPDF=Y")</f>
        <v>54.066000000000003</v>
      </c>
      <c r="F27" s="13">
        <f>_xll.BDH("BLUE US Equity","TRAIL_12M_NET_SALES","FQ2 2020","FQ2 2020","Currency=USD","Period=FQ","BEST_FPERIOD_OVERRIDE=FQ","FILING_STATUS=MR","SCALING_FORMAT=MLN","FA_ADJUSTED=GAAP","Sort=A","Dates=H","DateFormat=P","Fill=—","Direction=H","UseDPDF=Y")</f>
        <v>239.66</v>
      </c>
      <c r="G27" s="13">
        <f>_xll.BDH("BLUE US Equity","TRAIL_12M_NET_SALES","FQ3 2020","FQ3 2020","Currency=USD","Period=FQ","BEST_FPERIOD_OVERRIDE=FQ","FILING_STATUS=MR","SCALING_FORMAT=MLN","FA_ADJUSTED=GAAP","Sort=A","Dates=H","DateFormat=P","Fill=—","Direction=H","UseDPDF=Y")</f>
        <v>250.023</v>
      </c>
      <c r="H27" s="13">
        <f>_xll.BDH("BLUE US Equity","TRAIL_12M_NET_SALES","FQ4 2020","FQ4 2020","Currency=USD","Period=FQ","BEST_FPERIOD_OVERRIDE=FQ","FILING_STATUS=MR","SCALING_FORMAT=MLN","FA_ADJUSTED=GAAP","Sort=A","Dates=H","DateFormat=P","Fill=—","Direction=H","UseDPDF=Y")</f>
        <v>240.02600000000001</v>
      </c>
      <c r="I27" s="13">
        <f>_xll.BDH("BLUE US Equity","TRAIL_12M_NET_SALES","FQ1 2021","FQ1 2021","Currency=USD","Period=FQ","BEST_FPERIOD_OVERRIDE=FQ","FILING_STATUS=MR","SCALING_FORMAT=MLN","FA_ADJUSTED=GAAP","Sort=A","Dates=H","DateFormat=P","Fill=—","Direction=H","UseDPDF=Y")</f>
        <v>219.05699999999999</v>
      </c>
      <c r="J27" s="13">
        <f>_xll.BDH("BLUE US Equity","TRAIL_12M_NET_SALES","FQ2 2021","FQ2 2021","Currency=USD","Period=FQ","BEST_FPERIOD_OVERRIDE=FQ","FILING_STATUS=MR","SCALING_FORMAT=MLN","FA_ADJUSTED=GAAP","Sort=A","Dates=H","DateFormat=P","Fill=—","Direction=H","UseDPDF=Y")</f>
        <v>27.638999999999999</v>
      </c>
      <c r="K27" s="13">
        <f>_xll.BDH("BLUE US Equity","TRAIL_12M_NET_SALES","FQ3 2021","FQ3 2021","Currency=USD","Period=FQ","BEST_FPERIOD_OVERRIDE=FQ","FILING_STATUS=MR","SCALING_FORMAT=MLN","FA_ADJUSTED=GAAP","Sort=A","Dates=H","DateFormat=P","Fill=—","Direction=H","UseDPDF=Y")</f>
        <v>9.3849999999999998</v>
      </c>
      <c r="L27" s="13">
        <f>_xll.BDH("BLUE US Equity","TRAIL_12M_NET_SALES","FQ4 2021","FQ4 2021","Currency=USD","Period=FQ","BEST_FPERIOD_OVERRIDE=FQ","FILING_STATUS=MR","SCALING_FORMAT=MLN","FA_ADJUSTED=GAAP","Sort=A","Dates=H","DateFormat=P","Fill=—","Direction=H","UseDPDF=Y")</f>
        <v>10.991</v>
      </c>
      <c r="M27" s="13">
        <f>_xll.BDH("BLUE US Equity","TRAIL_12M_NET_SALES","FQ1 2022","FQ1 2022","Currency=USD","Period=FQ","BEST_FPERIOD_OVERRIDE=FQ","FILING_STATUS=MR","SCALING_FORMAT=MLN","FA_ADJUSTED=GAAP","Sort=A","Dates=H","DateFormat=P","Fill=—","Direction=H","UseDPDF=Y")</f>
        <v>12.042</v>
      </c>
      <c r="N27" s="13">
        <f>_xll.BDH("BLUE US Equity","TRAIL_12M_NET_SALES","FQ2 2022","FQ2 2022","Currency=USD","Period=FQ","BEST_FPERIOD_OVERRIDE=FQ","FILING_STATUS=MR","SCALING_FORMAT=MLN","FA_ADJUSTED=GAAP","Sort=A","Dates=H","DateFormat=P","Fill=—","Direction=H","UseDPDF=Y")</f>
        <v>6.0890000000000004</v>
      </c>
      <c r="O27" s="13">
        <f>_xll.BDH("BLUE US Equity","TRAIL_12M_NET_SALES","FQ3 2022","FQ3 2022","Currency=USD","Period=FQ","BEST_FPERIOD_OVERRIDE=FQ","FILING_STATUS=MR","SCALING_FORMAT=MLN","FA_ADJUSTED=GAAP","Sort=A","Dates=H","DateFormat=P","Fill=—","Direction=H","UseDPDF=Y")</f>
        <v>5.141</v>
      </c>
      <c r="P27" s="13">
        <f>_xll.BDH("BLUE US Equity","TRAIL_12M_NET_SALES","FQ4 2022","FQ4 2022","Currency=USD","Period=FQ","BEST_FPERIOD_OVERRIDE=FQ","FILING_STATUS=MR","SCALING_FORMAT=MLN","FA_ADJUSTED=GAAP","Sort=A","Dates=H","DateFormat=P","Fill=—","Direction=H","UseDPDF=Y")</f>
        <v>3.597</v>
      </c>
      <c r="Q27" s="13">
        <f>_xll.BDH("BLUE US Equity","TRAIL_12M_NET_SALES","FQ1 2023","FQ1 2023","Currency=USD","Period=FQ","BEST_FPERIOD_OVERRIDE=FQ","FILING_STATUS=MR","SCALING_FORMAT=MLN","FA_ADJUSTED=GAAP","Sort=A","Dates=H","DateFormat=P","Fill=—","Direction=H","UseDPDF=Y")</f>
        <v>4.0330000000000004</v>
      </c>
      <c r="R27" s="13">
        <f>_xll.BDH("BLUE US Equity","TRAIL_12M_NET_SALES","FQ2 2023","FQ2 2023","Currency=USD","Period=FQ","BEST_FPERIOD_OVERRIDE=FQ","FILING_STATUS=MR","SCALING_FORMAT=MLN","FA_ADJUSTED=GAAP","Sort=A","Dates=H","DateFormat=P","Fill=—","Direction=H","UseDPDF=Y")</f>
        <v>9.4039999999999999</v>
      </c>
      <c r="S27" s="13">
        <f>_xll.BDH("BLUE US Equity","TRAIL_12M_NET_SALES","FQ3 2023","FQ3 2023","Currency=USD","Period=FQ","BEST_FPERIOD_OVERRIDE=FQ","FILING_STATUS=MR","SCALING_FORMAT=MLN","FA_ADJUSTED=GAAP","Sort=A","Dates=H","DateFormat=P","Fill=—","Direction=H","UseDPDF=Y")</f>
        <v>21.725000000000001</v>
      </c>
      <c r="T27" s="13">
        <f>_xll.BDH("BLUE US Equity","TRAIL_12M_NET_SALES","FQ4 2023","FQ4 2023","Currency=USD","Period=FQ","BEST_FPERIOD_OVERRIDE=FQ","FILING_STATUS=MR","SCALING_FORMAT=MLN","FA_ADJUSTED=GAAP","Sort=A","Dates=H","DateFormat=P","Fill=—","Direction=H","UseDPDF=Y")</f>
        <v>29.497</v>
      </c>
      <c r="U27" s="13">
        <f>_xll.BDH("BLUE US Equity","TRAIL_12M_NET_SALES","FQ1 2024","FQ1 2024","Currency=USD","Period=FQ","BEST_FPERIOD_OVERRIDE=FQ","FILING_STATUS=MR","SCALING_FORMAT=MLN","FA_ADJUSTED=GAAP","Sort=A","Dates=H","DateFormat=P","Fill=—","Direction=H","UseDPDF=Y")</f>
        <v>45.689</v>
      </c>
      <c r="V27" s="13">
        <f>_xll.BDH("BLUE US Equity","TRAIL_12M_NET_SALES","FQ2 2024","FQ2 2024","Currency=USD","Period=FQ","BEST_FPERIOD_OVERRIDE=FQ","FILING_STATUS=MR","SCALING_FORMAT=MLN","FA_ADJUSTED=GAAP","Sort=A","Dates=H","DateFormat=P","Fill=—","Direction=H","UseDPDF=Y")</f>
        <v>54.9</v>
      </c>
      <c r="W27" s="13">
        <f>_xll.BDH("BLUE US Equity","TRAIL_12M_NET_SALES","FQ3 2024","FQ3 2024","Currency=USD","Period=FQ","BEST_FPERIOD_OVERRIDE=FQ","FILING_STATUS=MR","SCALING_FORMAT=MLN","FA_ADJUSTED=GAAP","Sort=A","Dates=H","DateFormat=P","Fill=—","Direction=H","UseDPDF=Y")</f>
        <v>53.12</v>
      </c>
      <c r="X27" s="13">
        <f>_xll.BDH("BLUE US Equity","TRAIL_12M_NET_SALES","FQ4 2024","FQ4 2024","Currency=USD","Period=FQ","BEST_FPERIOD_OVERRIDE=FQ","FILING_STATUS=MR","SCALING_FORMAT=MLN","FA_ADJUSTED=GAAP","Sort=A","Dates=H","DateFormat=P","Fill=—","Direction=H","UseDPDF=Y")</f>
        <v>83.807000000000002</v>
      </c>
      <c r="Y27" s="16">
        <v>83.807000000000002</v>
      </c>
      <c r="Z27" s="13">
        <v>256</v>
      </c>
      <c r="AA27" s="13">
        <v>338.88299999999998</v>
      </c>
    </row>
    <row r="28" spans="1:27" x14ac:dyDescent="0.25">
      <c r="A28" s="10" t="s">
        <v>78</v>
      </c>
      <c r="B28" s="10" t="s">
        <v>273</v>
      </c>
      <c r="C28" s="13">
        <f>_xll.BDH("BLUE US Equity","T12M_EBITDA_AFTER_OPER_LEA_EXPN","FQ3 2019","FQ3 2019","Currency=USD","Period=FQ","BEST_FPERIOD_OVERRIDE=FQ","FILING_STATUS=MR","SCALING_FORMAT=MLN","FA_ADJUSTED=GAAP","Sort=A","Dates=H","DateFormat=P","Fill=—","Direction=H","UseDPDF=Y")</f>
        <v>-724.33</v>
      </c>
      <c r="D28" s="13">
        <f>_xll.BDH("BLUE US Equity","T12M_EBITDA_AFTER_OPER_LEA_EXPN","FQ4 2019","FQ4 2019","Currency=USD","Period=FQ","BEST_FPERIOD_OVERRIDE=FQ","FILING_STATUS=MR","SCALING_FORMAT=MLN","FA_ADJUSTED=GAAP","Sort=A","Dates=H","DateFormat=P","Fill=—","Direction=H","UseDPDF=Y")</f>
        <v>-797.39200000000005</v>
      </c>
      <c r="E28" s="13">
        <f>_xll.BDH("BLUE US Equity","T12M_EBITDA_AFTER_OPER_LEA_EXPN","FQ1 2020","FQ1 2020","Currency=USD","Period=FQ","BEST_FPERIOD_OVERRIDE=FQ","FILING_STATUS=MR","SCALING_FORMAT=MLN","FA_ADJUSTED=GAAP","Sort=A","Dates=H","DateFormat=P","Fill=—","Direction=H","UseDPDF=Y")</f>
        <v>-828.54600000000005</v>
      </c>
      <c r="F28" s="13">
        <f>_xll.BDH("BLUE US Equity","T12M_EBITDA_AFTER_OPER_LEA_EXPN","FQ2 2020","FQ2 2020","Currency=USD","Period=FQ","BEST_FPERIOD_OVERRIDE=FQ","FILING_STATUS=MR","SCALING_FORMAT=MLN","FA_ADJUSTED=GAAP","Sort=A","Dates=H","DateFormat=P","Fill=—","Direction=H","UseDPDF=Y")</f>
        <v>-651.28700000000003</v>
      </c>
      <c r="G28" s="13">
        <f>_xll.BDH("BLUE US Equity","T12M_EBITDA_AFTER_OPER_LEA_EXPN","FQ3 2020","FQ3 2020","Currency=USD","Period=FQ","BEST_FPERIOD_OVERRIDE=FQ","FILING_STATUS=MR","SCALING_FORMAT=MLN","FA_ADJUSTED=GAAP","Sort=A","Dates=H","DateFormat=P","Fill=—","Direction=H","UseDPDF=Y")</f>
        <v>-630.16399999999999</v>
      </c>
      <c r="H28" s="13">
        <f>_xll.BDH("BLUE US Equity","T12M_EBITDA_AFTER_OPER_LEA_EXPN","FQ4 2020","FQ4 2020","Currency=USD","Period=FQ","BEST_FPERIOD_OVERRIDE=FQ","FILING_STATUS=MR","SCALING_FORMAT=MLN","FA_ADJUSTED=GAAP","Sort=A","Dates=H","DateFormat=P","Fill=—","Direction=H","UseDPDF=Y")</f>
        <v>-539.09500000000003</v>
      </c>
      <c r="I28" s="13">
        <f>_xll.BDH("BLUE US Equity","T12M_EBITDA_AFTER_OPER_LEA_EXPN","FQ1 2021","FQ1 2021","Currency=USD","Period=FQ","BEST_FPERIOD_OVERRIDE=FQ","FILING_STATUS=MR","SCALING_FORMAT=MLN","FA_ADJUSTED=GAAP","Sort=A","Dates=H","DateFormat=P","Fill=—","Direction=H","UseDPDF=Y")</f>
        <v>-481.28399999999999</v>
      </c>
      <c r="J28" s="13">
        <f>_xll.BDH("BLUE US Equity","T12M_EBITDA_AFTER_OPER_LEA_EXPN","FQ2 2021","FQ2 2021","Currency=USD","Period=FQ","BEST_FPERIOD_OVERRIDE=FQ","FILING_STATUS=MR","SCALING_FORMAT=MLN","FA_ADJUSTED=GAAP","Sort=A","Dates=H","DateFormat=P","Fill=—","Direction=H","UseDPDF=Y")</f>
        <v>-694.73400000000004</v>
      </c>
      <c r="K28" s="13">
        <f>_xll.BDH("BLUE US Equity","T12M_EBITDA_AFTER_OPER_LEA_EXPN","FQ3 2021","FQ3 2021","Currency=USD","Period=FQ","BEST_FPERIOD_OVERRIDE=FQ","FILING_STATUS=MR","SCALING_FORMAT=MLN","FA_ADJUSTED=GAAP","Sort=A","Dates=H","DateFormat=P","Fill=—","Direction=H","UseDPDF=Y")</f>
        <v>-658.45500000000004</v>
      </c>
      <c r="L28" s="13">
        <f>_xll.BDH("BLUE US Equity","T12M_EBITDA_AFTER_OPER_LEA_EXPN","FQ4 2021","FQ4 2021","Currency=USD","Period=FQ","BEST_FPERIOD_OVERRIDE=FQ","FILING_STATUS=MR","SCALING_FORMAT=MLN","FA_ADJUSTED=GAAP","Sort=A","Dates=H","DateFormat=P","Fill=—","Direction=H","UseDPDF=Y")</f>
        <v>-657.399</v>
      </c>
      <c r="M28" s="13">
        <f>_xll.BDH("BLUE US Equity","T12M_EBITDA_AFTER_OPER_LEA_EXPN","FQ1 2022","FQ1 2022","Currency=USD","Period=FQ","BEST_FPERIOD_OVERRIDE=FQ","FILING_STATUS=MR","SCALING_FORMAT=MLN","FA_ADJUSTED=GAAP","Sort=A","Dates=H","DateFormat=P","Fill=—","Direction=H","UseDPDF=Y")</f>
        <v>-635.99699999999996</v>
      </c>
      <c r="N28" s="13">
        <f>_xll.BDH("BLUE US Equity","T12M_EBITDA_AFTER_OPER_LEA_EXPN","FQ2 2022","FQ2 2022","Currency=USD","Period=FQ","BEST_FPERIOD_OVERRIDE=FQ","FILING_STATUS=MR","SCALING_FORMAT=MLN","FA_ADJUSTED=GAAP","Sort=A","Dates=H","DateFormat=P","Fill=—","Direction=H","UseDPDF=Y")</f>
        <v>-507.20800000000003</v>
      </c>
      <c r="O28" s="13">
        <f>_xll.BDH("BLUE US Equity","T12M_EBITDA_AFTER_OPER_LEA_EXPN","FQ3 2022","FQ3 2022","Currency=USD","Period=FQ","BEST_FPERIOD_OVERRIDE=FQ","FILING_STATUS=MR","SCALING_FORMAT=MLN","FA_ADJUSTED=GAAP","Sort=A","Dates=H","DateFormat=P","Fill=—","Direction=H","UseDPDF=Y")</f>
        <v>-442.13499999999999</v>
      </c>
      <c r="P28" s="13">
        <f>_xll.BDH("BLUE US Equity","T12M_EBITDA_AFTER_OPER_LEA_EXPN","FQ4 2022","FQ4 2022","Currency=USD","Period=FQ","BEST_FPERIOD_OVERRIDE=FQ","FILING_STATUS=MR","SCALING_FORMAT=MLN","FA_ADJUSTED=GAAP","Sort=A","Dates=H","DateFormat=P","Fill=—","Direction=H","UseDPDF=Y")</f>
        <v>-241.84100000000001</v>
      </c>
      <c r="Q28" s="13">
        <f>_xll.BDH("BLUE US Equity","T12M_EBITDA_AFTER_OPER_LEA_EXPN","FQ1 2023","FQ1 2023","Currency=USD","Period=FQ","BEST_FPERIOD_OVERRIDE=FQ","FILING_STATUS=MR","SCALING_FORMAT=MLN","FA_ADJUSTED=GAAP","Sort=A","Dates=H","DateFormat=P","Fill=—","Direction=H","UseDPDF=Y")</f>
        <v>-105.592</v>
      </c>
      <c r="R28" s="13">
        <f>_xll.BDH("BLUE US Equity","T12M_EBITDA_AFTER_OPER_LEA_EXPN","FQ2 2023","FQ2 2023","Currency=USD","Period=FQ","BEST_FPERIOD_OVERRIDE=FQ","FILING_STATUS=MR","SCALING_FORMAT=MLN","FA_ADJUSTED=GAAP","Sort=A","Dates=H","DateFormat=P","Fill=—","Direction=H","UseDPDF=Y")</f>
        <v>-65.174999999999997</v>
      </c>
      <c r="S28" s="13">
        <f>_xll.BDH("BLUE US Equity","T12M_EBITDA_AFTER_OPER_LEA_EXPN","FQ3 2023","FQ3 2023","Currency=USD","Period=FQ","BEST_FPERIOD_OVERRIDE=FQ","FILING_STATUS=MR","SCALING_FORMAT=MLN","FA_ADJUSTED=GAAP","Sort=A","Dates=H","DateFormat=P","Fill=—","Direction=H","UseDPDF=Y")</f>
        <v>-70.376999999999995</v>
      </c>
      <c r="T28" s="13">
        <f>_xll.BDH("BLUE US Equity","T12M_EBITDA_AFTER_OPER_LEA_EXPN","FQ4 2023","FQ4 2023","Currency=USD","Period=FQ","BEST_FPERIOD_OVERRIDE=FQ","FILING_STATUS=MR","SCALING_FORMAT=MLN","FA_ADJUSTED=GAAP","Sort=A","Dates=H","DateFormat=P","Fill=—","Direction=H","UseDPDF=Y")</f>
        <v>-194.59</v>
      </c>
      <c r="U28" s="13">
        <f>_xll.BDH("BLUE US Equity","T12M_EBITDA_AFTER_OPER_LEA_EXPN","FQ1 2024","FQ1 2024","Currency=USD","Period=FQ","BEST_FPERIOD_OVERRIDE=FQ","FILING_STATUS=MR","SCALING_FORMAT=MLN","FA_ADJUSTED=GAAP","Sort=A","Dates=H","DateFormat=P","Fill=—","Direction=H","UseDPDF=Y")</f>
        <v>-274.73</v>
      </c>
      <c r="V28" s="13">
        <f>_xll.BDH("BLUE US Equity","T12M_EBITDA_AFTER_OPER_LEA_EXPN","FQ2 2024","FQ2 2024","Currency=USD","Period=FQ","BEST_FPERIOD_OVERRIDE=FQ","FILING_STATUS=MR","SCALING_FORMAT=MLN","FA_ADJUSTED=GAAP","Sort=A","Dates=H","DateFormat=P","Fill=—","Direction=H","UseDPDF=Y")</f>
        <v>-280.95699999999999</v>
      </c>
      <c r="W28" s="13">
        <f>_xll.BDH("BLUE US Equity","T12M_EBITDA_AFTER_OPER_LEA_EXPN","FQ3 2024","FQ3 2024","Currency=USD","Period=FQ","BEST_FPERIOD_OVERRIDE=FQ","FILING_STATUS=MR","SCALING_FORMAT=MLN","FA_ADJUSTED=GAAP","Sort=A","Dates=H","DateFormat=P","Fill=—","Direction=H","UseDPDF=Y")</f>
        <v>-243.93600000000001</v>
      </c>
      <c r="X28" s="13">
        <f>_xll.BDH("BLUE US Equity","T12M_EBITDA_AFTER_OPER_LEA_EXPN","FQ4 2024","FQ4 2024","Currency=USD","Period=FQ","BEST_FPERIOD_OVERRIDE=FQ","FILING_STATUS=MR","SCALING_FORMAT=MLN","FA_ADJUSTED=GAAP","Sort=A","Dates=H","DateFormat=P","Fill=—","Direction=H","UseDPDF=Y")</f>
        <v>-209.21700000000001</v>
      </c>
      <c r="Y28" s="16">
        <v>-209.21700000000001</v>
      </c>
      <c r="Z28" s="13"/>
      <c r="AA28" s="13"/>
    </row>
    <row r="29" spans="1:27" x14ac:dyDescent="0.25">
      <c r="A29" s="10" t="s">
        <v>141</v>
      </c>
      <c r="B29" s="10" t="s">
        <v>274</v>
      </c>
      <c r="C29" s="13">
        <f>_xll.BDH("BLUE US Equity","T12_EBIT_AFT_OPER_LEASE_EXPN","FQ3 2019","FQ3 2019","Currency=USD","Period=FQ","BEST_FPERIOD_OVERRIDE=FQ","FILING_STATUS=MR","SCALING_FORMAT=MLN","FA_ADJUSTED=GAAP","Sort=A","Dates=H","DateFormat=P","Fill=—","Direction=H","UseDPDF=Y")</f>
        <v>-741.25300000000004</v>
      </c>
      <c r="D29" s="13">
        <f>_xll.BDH("BLUE US Equity","T12_EBIT_AFT_OPER_LEASE_EXPN","FQ4 2019","FQ4 2019","Currency=USD","Period=FQ","BEST_FPERIOD_OVERRIDE=FQ","FILING_STATUS=MR","SCALING_FORMAT=MLN","FA_ADJUSTED=GAAP","Sort=A","Dates=H","DateFormat=P","Fill=—","Direction=H","UseDPDF=Y")</f>
        <v>-814.82600000000002</v>
      </c>
      <c r="E29" s="13">
        <f>_xll.BDH("BLUE US Equity","T12_EBIT_AFT_OPER_LEASE_EXPN","FQ1 2020","FQ1 2020","Currency=USD","Period=FQ","BEST_FPERIOD_OVERRIDE=FQ","FILING_STATUS=MR","SCALING_FORMAT=MLN","FA_ADJUSTED=GAAP","Sort=A","Dates=H","DateFormat=P","Fill=—","Direction=H","UseDPDF=Y")</f>
        <v>-847.077</v>
      </c>
      <c r="F29" s="13">
        <f>_xll.BDH("BLUE US Equity","T12_EBIT_AFT_OPER_LEASE_EXPN","FQ2 2020","FQ2 2020","Currency=USD","Period=FQ","BEST_FPERIOD_OVERRIDE=FQ","FILING_STATUS=MR","SCALING_FORMAT=MLN","FA_ADJUSTED=GAAP","Sort=A","Dates=H","DateFormat=P","Fill=—","Direction=H","UseDPDF=Y")</f>
        <v>-670.32</v>
      </c>
      <c r="G29" s="13">
        <f>_xll.BDH("BLUE US Equity","T12_EBIT_AFT_OPER_LEASE_EXPN","FQ3 2020","FQ3 2020","Currency=USD","Period=FQ","BEST_FPERIOD_OVERRIDE=FQ","FILING_STATUS=MR","SCALING_FORMAT=MLN","FA_ADJUSTED=GAAP","Sort=A","Dates=H","DateFormat=P","Fill=—","Direction=H","UseDPDF=Y")</f>
        <v>-649.59799999999996</v>
      </c>
      <c r="H29" s="13">
        <f>_xll.BDH("BLUE US Equity","T12_EBIT_AFT_OPER_LEASE_EXPN","FQ4 2020","FQ4 2020","Currency=USD","Period=FQ","BEST_FPERIOD_OVERRIDE=FQ","FILING_STATUS=MR","SCALING_FORMAT=MLN","FA_ADJUSTED=GAAP","Sort=A","Dates=H","DateFormat=P","Fill=—","Direction=H","UseDPDF=Y")</f>
        <v>-558.45100000000002</v>
      </c>
      <c r="I29" s="13">
        <f>_xll.BDH("BLUE US Equity","T12_EBIT_AFT_OPER_LEASE_EXPN","FQ1 2021","FQ1 2021","Currency=USD","Period=FQ","BEST_FPERIOD_OVERRIDE=FQ","FILING_STATUS=MR","SCALING_FORMAT=MLN","FA_ADJUSTED=GAAP","Sort=A","Dates=H","DateFormat=P","Fill=—","Direction=H","UseDPDF=Y")</f>
        <v>-501.12</v>
      </c>
      <c r="J29" s="13">
        <f>_xll.BDH("BLUE US Equity","T12_EBIT_AFT_OPER_LEASE_EXPN","FQ2 2021","FQ2 2021","Currency=USD","Period=FQ","BEST_FPERIOD_OVERRIDE=FQ","FILING_STATUS=MR","SCALING_FORMAT=MLN","FA_ADJUSTED=GAAP","Sort=A","Dates=H","DateFormat=P","Fill=—","Direction=H","UseDPDF=Y")</f>
        <v>-716.01300000000003</v>
      </c>
      <c r="K29" s="13">
        <f>_xll.BDH("BLUE US Equity","T12_EBIT_AFT_OPER_LEASE_EXPN","FQ3 2021","FQ3 2021","Currency=USD","Period=FQ","BEST_FPERIOD_OVERRIDE=FQ","FILING_STATUS=MR","SCALING_FORMAT=MLN","FA_ADJUSTED=GAAP","Sort=A","Dates=H","DateFormat=P","Fill=—","Direction=H","UseDPDF=Y")</f>
        <v>-680.76800000000003</v>
      </c>
      <c r="L29" s="13">
        <f>_xll.BDH("BLUE US Equity","T12_EBIT_AFT_OPER_LEASE_EXPN","FQ4 2021","FQ4 2021","Currency=USD","Period=FQ","BEST_FPERIOD_OVERRIDE=FQ","FILING_STATUS=MR","SCALING_FORMAT=MLN","FA_ADJUSTED=GAAP","Sort=A","Dates=H","DateFormat=P","Fill=—","Direction=H","UseDPDF=Y")</f>
        <v>-677.048</v>
      </c>
      <c r="M29" s="13">
        <f>_xll.BDH("BLUE US Equity","T12_EBIT_AFT_OPER_LEASE_EXPN","FQ1 2022","FQ1 2022","Currency=USD","Period=FQ","BEST_FPERIOD_OVERRIDE=FQ","FILING_STATUS=MR","SCALING_FORMAT=MLN","FA_ADJUSTED=GAAP","Sort=A","Dates=H","DateFormat=P","Fill=—","Direction=H","UseDPDF=Y")</f>
        <v>-651.29999999999995</v>
      </c>
      <c r="N29" s="13">
        <f>_xll.BDH("BLUE US Equity","T12_EBIT_AFT_OPER_LEASE_EXPN","FQ2 2022","FQ2 2022","Currency=USD","Period=FQ","BEST_FPERIOD_OVERRIDE=FQ","FILING_STATUS=MR","SCALING_FORMAT=MLN","FA_ADJUSTED=GAAP","Sort=A","Dates=H","DateFormat=P","Fill=—","Direction=H","UseDPDF=Y")</f>
        <v>-517.86199999999997</v>
      </c>
      <c r="O29" s="13">
        <f>_xll.BDH("BLUE US Equity","T12_EBIT_AFT_OPER_LEASE_EXPN","FQ3 2022","FQ3 2022","Currency=USD","Period=FQ","BEST_FPERIOD_OVERRIDE=FQ","FILING_STATUS=MR","SCALING_FORMAT=MLN","FA_ADJUSTED=GAAP","Sort=A","Dates=H","DateFormat=P","Fill=—","Direction=H","UseDPDF=Y")</f>
        <v>-448.19400000000002</v>
      </c>
      <c r="P29" s="13">
        <f>_xll.BDH("BLUE US Equity","T12_EBIT_AFT_OPER_LEASE_EXPN","FQ4 2022","FQ4 2022","Currency=USD","Period=FQ","BEST_FPERIOD_OVERRIDE=FQ","FILING_STATUS=MR","SCALING_FORMAT=MLN","FA_ADJUSTED=GAAP","Sort=A","Dates=H","DateFormat=P","Fill=—","Direction=H","UseDPDF=Y")</f>
        <v>-250.185</v>
      </c>
      <c r="Q29" s="13">
        <f>_xll.BDH("BLUE US Equity","T12_EBIT_AFT_OPER_LEASE_EXPN","FQ1 2023","FQ1 2023","Currency=USD","Period=FQ","BEST_FPERIOD_OVERRIDE=FQ","FILING_STATUS=MR","SCALING_FORMAT=MLN","FA_ADJUSTED=GAAP","Sort=A","Dates=H","DateFormat=P","Fill=—","Direction=H","UseDPDF=Y")</f>
        <v>-119.09399999999999</v>
      </c>
      <c r="R29" s="13">
        <f>_xll.BDH("BLUE US Equity","T12_EBIT_AFT_OPER_LEASE_EXPN","FQ2 2023","FQ2 2023","Currency=USD","Period=FQ","BEST_FPERIOD_OVERRIDE=FQ","FILING_STATUS=MR","SCALING_FORMAT=MLN","FA_ADJUSTED=GAAP","Sort=A","Dates=H","DateFormat=P","Fill=—","Direction=H","UseDPDF=Y")</f>
        <v>-83.411000000000001</v>
      </c>
      <c r="S29" s="13">
        <f>_xll.BDH("BLUE US Equity","T12_EBIT_AFT_OPER_LEASE_EXPN","FQ3 2023","FQ3 2023","Currency=USD","Period=FQ","BEST_FPERIOD_OVERRIDE=FQ","FILING_STATUS=MR","SCALING_FORMAT=MLN","FA_ADJUSTED=GAAP","Sort=A","Dates=H","DateFormat=P","Fill=—","Direction=H","UseDPDF=Y")</f>
        <v>-94.635999999999996</v>
      </c>
      <c r="T29" s="13">
        <f>_xll.BDH("BLUE US Equity","T12_EBIT_AFT_OPER_LEASE_EXPN","FQ4 2023","FQ4 2023","Currency=USD","Period=FQ","BEST_FPERIOD_OVERRIDE=FQ","FILING_STATUS=MR","SCALING_FORMAT=MLN","FA_ADJUSTED=GAAP","Sort=A","Dates=H","DateFormat=P","Fill=—","Direction=H","UseDPDF=Y")</f>
        <v>-239.65100000000001</v>
      </c>
      <c r="U29" s="13">
        <f>_xll.BDH("BLUE US Equity","T12_EBIT_AFT_OPER_LEASE_EXPN","FQ1 2024","FQ1 2024","Currency=USD","Period=FQ","BEST_FPERIOD_OVERRIDE=FQ","FILING_STATUS=MR","SCALING_FORMAT=MLN","FA_ADJUSTED=GAAP","Sort=A","Dates=H","DateFormat=P","Fill=—","Direction=H","UseDPDF=Y")</f>
        <v>-329.08800000000002</v>
      </c>
      <c r="V29" s="13">
        <f>_xll.BDH("BLUE US Equity","T12_EBIT_AFT_OPER_LEASE_EXPN","FQ2 2024","FQ2 2024","Currency=USD","Period=FQ","BEST_FPERIOD_OVERRIDE=FQ","FILING_STATUS=MR","SCALING_FORMAT=MLN","FA_ADJUSTED=GAAP","Sort=A","Dates=H","DateFormat=P","Fill=—","Direction=H","UseDPDF=Y")</f>
        <v>-345.76299999999998</v>
      </c>
      <c r="W29" s="13">
        <f>_xll.BDH("BLUE US Equity","T12_EBIT_AFT_OPER_LEASE_EXPN","FQ3 2024","FQ3 2024","Currency=USD","Period=FQ","BEST_FPERIOD_OVERRIDE=FQ","FILING_STATUS=MR","SCALING_FORMAT=MLN","FA_ADJUSTED=GAAP","Sort=A","Dates=H","DateFormat=P","Fill=—","Direction=H","UseDPDF=Y")</f>
        <v>-316.67599999999999</v>
      </c>
      <c r="X29" s="13">
        <f>_xll.BDH("BLUE US Equity","T12_EBIT_AFT_OPER_LEASE_EXPN","FQ4 2024","FQ4 2024","Currency=USD","Period=FQ","BEST_FPERIOD_OVERRIDE=FQ","FILING_STATUS=MR","SCALING_FORMAT=MLN","FA_ADJUSTED=GAAP","Sort=A","Dates=H","DateFormat=P","Fill=—","Direction=H","UseDPDF=Y")</f>
        <v>-270.46100000000001</v>
      </c>
      <c r="Y29" s="16">
        <v>-270.46100000000001</v>
      </c>
      <c r="Z29" s="13">
        <v>-82.625</v>
      </c>
      <c r="AA29" s="13">
        <v>-15.109</v>
      </c>
    </row>
    <row r="30" spans="1:27" x14ac:dyDescent="0.25">
      <c r="A30" s="7" t="s">
        <v>90</v>
      </c>
      <c r="B30" s="7"/>
      <c r="C30" s="7" t="s">
        <v>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4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27" width="11.855468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25">
      <c r="A2" s="8" t="s">
        <v>275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 t="s">
        <v>92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</row>
    <row r="5" spans="1:27" x14ac:dyDescent="0.25">
      <c r="A5" s="9" t="s">
        <v>33</v>
      </c>
      <c r="B5" s="9"/>
      <c r="C5" s="5" t="s">
        <v>34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  <c r="O5" s="5" t="s">
        <v>46</v>
      </c>
      <c r="P5" s="5" t="s">
        <v>47</v>
      </c>
      <c r="Q5" s="5" t="s">
        <v>48</v>
      </c>
      <c r="R5" s="5" t="s">
        <v>49</v>
      </c>
      <c r="S5" s="5" t="s">
        <v>50</v>
      </c>
      <c r="T5" s="5" t="s">
        <v>51</v>
      </c>
      <c r="U5" s="5" t="s">
        <v>52</v>
      </c>
      <c r="V5" s="5" t="s">
        <v>53</v>
      </c>
      <c r="W5" s="5" t="s">
        <v>54</v>
      </c>
      <c r="X5" s="5" t="s">
        <v>55</v>
      </c>
      <c r="Y5" s="5" t="s">
        <v>56</v>
      </c>
      <c r="Z5" s="5" t="s">
        <v>57</v>
      </c>
      <c r="AA5" s="5" t="s">
        <v>58</v>
      </c>
    </row>
    <row r="6" spans="1:27" x14ac:dyDescent="0.25">
      <c r="A6" s="6" t="s">
        <v>0</v>
      </c>
      <c r="B6" s="6" t="s">
        <v>70</v>
      </c>
      <c r="C6" s="19">
        <f>_xll.BDH("BLUE US Equity","SALES_REV_TURN","FQ2 2019","FQ2 2019","Currency=USD","Period=FQ","BEST_FPERIOD_OVERRIDE=FQ","FILING_STATUS=MR","SCALING_FORMAT=MLN","FA_ADJUSTED=Adjusted","Sort=A","Dates=H","DateFormat=P","Fill=—","Direction=H","UseDPDF=Y")</f>
        <v>13.295999999999999</v>
      </c>
      <c r="D6" s="19">
        <f>_xll.BDH("BLUE US Equity","SALES_REV_TURN","FQ3 2019","FQ3 2019","Currency=USD","Period=FQ","BEST_FPERIOD_OVERRIDE=FQ","FILING_STATUS=MR","SCALING_FORMAT=MLN","FA_ADJUSTED=Adjusted","Sort=A","Dates=H","DateFormat=P","Fill=—","Direction=H","UseDPDF=Y")</f>
        <v>8.91</v>
      </c>
      <c r="E6" s="19">
        <f>_xll.BDH("BLUE US Equity","SALES_REV_TURN","FQ4 2019","FQ4 2019","Currency=USD","Period=FQ","BEST_FPERIOD_OVERRIDE=FQ","FILING_STATUS=MR","SCALING_FORMAT=MLN","FA_ADJUSTED=Adjusted","Sort=A","Dates=H","DateFormat=P","Fill=—","Direction=H","UseDPDF=Y")</f>
        <v>9.9969999999999999</v>
      </c>
      <c r="F6" s="19">
        <f>_xll.BDH("BLUE US Equity","SALES_REV_TURN","FQ1 2020","FQ1 2020","Currency=USD","Period=FQ","BEST_FPERIOD_OVERRIDE=FQ","FILING_STATUS=MR","SCALING_FORMAT=MLN","FA_ADJUSTED=Adjusted","Sort=A","Dates=H","DateFormat=P","Fill=—","Direction=H","UseDPDF=Y")</f>
        <v>21.863</v>
      </c>
      <c r="G6" s="19">
        <f>_xll.BDH("BLUE US Equity","SALES_REV_TURN","FQ2 2020","FQ2 2020","Currency=USD","Period=FQ","BEST_FPERIOD_OVERRIDE=FQ","FILING_STATUS=MR","SCALING_FORMAT=MLN","FA_ADJUSTED=Adjusted","Sort=A","Dates=H","DateFormat=P","Fill=—","Direction=H","UseDPDF=Y")</f>
        <v>198.89</v>
      </c>
      <c r="H6" s="19">
        <f>_xll.BDH("BLUE US Equity","SALES_REV_TURN","FQ3 2020","FQ3 2020","Currency=USD","Period=FQ","BEST_FPERIOD_OVERRIDE=FQ","FILING_STATUS=MR","SCALING_FORMAT=MLN","FA_ADJUSTED=Adjusted","Sort=A","Dates=H","DateFormat=P","Fill=—","Direction=H","UseDPDF=Y")</f>
        <v>19.273</v>
      </c>
      <c r="I6" s="19">
        <f>_xll.BDH("BLUE US Equity","SALES_REV_TURN","FQ4 2020","FQ4 2020","Currency=USD","Period=FQ","BEST_FPERIOD_OVERRIDE=FQ","FILING_STATUS=MR","SCALING_FORMAT=MLN","FA_ADJUSTED=Adjusted","Sort=A","Dates=H","DateFormat=P","Fill=—","Direction=H","UseDPDF=Y")</f>
        <v>0</v>
      </c>
      <c r="J6" s="19">
        <f>_xll.BDH("BLUE US Equity","SALES_REV_TURN","FQ1 2021","FQ1 2021","Currency=USD","Period=FQ","BEST_FPERIOD_OVERRIDE=FQ","FILING_STATUS=MR","SCALING_FORMAT=MLN","FA_ADJUSTED=Adjusted","Sort=A","Dates=H","DateFormat=P","Fill=—","Direction=H","UseDPDF=Y")</f>
        <v>0.89400000000000002</v>
      </c>
      <c r="K6" s="19">
        <f>_xll.BDH("BLUE US Equity","SALES_REV_TURN","FQ2 2021","FQ2 2021","Currency=USD","Period=FQ","BEST_FPERIOD_OVERRIDE=FQ","FILING_STATUS=MR","SCALING_FORMAT=MLN","FA_ADJUSTED=Adjusted","Sort=A","Dates=H","DateFormat=P","Fill=—","Direction=H","UseDPDF=Y")</f>
        <v>7.4720000000000004</v>
      </c>
      <c r="L6" s="19">
        <f>_xll.BDH("BLUE US Equity","SALES_REV_TURN","FQ3 2021","FQ3 2021","Currency=USD","Period=FQ","BEST_FPERIOD_OVERRIDE=FQ","FILING_STATUS=MR","SCALING_FORMAT=MLN","FA_ADJUSTED=Adjusted","Sort=A","Dates=H","DateFormat=P","Fill=—","Direction=H","UseDPDF=Y")</f>
        <v>1.0189999999999999</v>
      </c>
      <c r="M6" s="19">
        <f>_xll.BDH("BLUE US Equity","SALES_REV_TURN","FQ4 2021","FQ4 2021","Currency=USD","Period=FQ","BEST_FPERIOD_OVERRIDE=FQ","FILING_STATUS=MR","SCALING_FORMAT=MLN","FA_ADJUSTED=Adjusted","Sort=A","Dates=H","DateFormat=P","Fill=—","Direction=H","UseDPDF=Y")</f>
        <v>1.6060000000000001</v>
      </c>
      <c r="N6" s="19">
        <f>_xll.BDH("BLUE US Equity","SALES_REV_TURN","FQ1 2022","FQ1 2022","Currency=USD","Period=FQ","BEST_FPERIOD_OVERRIDE=FQ","FILING_STATUS=MR","SCALING_FORMAT=MLN","FA_ADJUSTED=Adjusted","Sort=A","Dates=H","DateFormat=P","Fill=—","Direction=H","UseDPDF=Y")</f>
        <v>1.9450000000000001</v>
      </c>
      <c r="O6" s="19">
        <f>_xll.BDH("BLUE US Equity","SALES_REV_TURN","FQ2 2022","FQ2 2022","Currency=USD","Period=FQ","BEST_FPERIOD_OVERRIDE=FQ","FILING_STATUS=MR","SCALING_FORMAT=MLN","FA_ADJUSTED=Adjusted","Sort=A","Dates=H","DateFormat=P","Fill=—","Direction=H","UseDPDF=Y")</f>
        <v>1.5189999999999999</v>
      </c>
      <c r="P6" s="19">
        <f>_xll.BDH("BLUE US Equity","SALES_REV_TURN","FQ3 2022","FQ3 2022","Currency=USD","Period=FQ","BEST_FPERIOD_OVERRIDE=FQ","FILING_STATUS=MR","SCALING_FORMAT=MLN","FA_ADJUSTED=Adjusted","Sort=A","Dates=H","DateFormat=P","Fill=—","Direction=H","UseDPDF=Y")</f>
        <v>7.0999999999999994E-2</v>
      </c>
      <c r="Q6" s="19">
        <f>_xll.BDH("BLUE US Equity","SALES_REV_TURN","FQ4 2022","FQ4 2022","Currency=USD","Period=FQ","BEST_FPERIOD_OVERRIDE=FQ","FILING_STATUS=MR","SCALING_FORMAT=MLN","FA_ADJUSTED=Adjusted","Sort=A","Dates=H","DateFormat=P","Fill=—","Direction=H","UseDPDF=Y")</f>
        <v>6.2E-2</v>
      </c>
      <c r="R6" s="19">
        <f>_xll.BDH("BLUE US Equity","SALES_REV_TURN","FQ1 2023","FQ1 2023","Currency=USD","Period=FQ","BEST_FPERIOD_OVERRIDE=FQ","FILING_STATUS=MR","SCALING_FORMAT=MLN","FA_ADJUSTED=Adjusted","Sort=A","Dates=H","DateFormat=P","Fill=—","Direction=H","UseDPDF=Y")</f>
        <v>2.3809999999999998</v>
      </c>
      <c r="S6" s="19">
        <f>_xll.BDH("BLUE US Equity","SALES_REV_TURN","FQ2 2023","FQ2 2023","Currency=USD","Period=FQ","BEST_FPERIOD_OVERRIDE=FQ","FILING_STATUS=MR","SCALING_FORMAT=MLN","FA_ADJUSTED=Adjusted","Sort=A","Dates=H","DateFormat=P","Fill=—","Direction=H","UseDPDF=Y")</f>
        <v>6.89</v>
      </c>
      <c r="T6" s="19">
        <f>_xll.BDH("BLUE US Equity","SALES_REV_TURN","FQ3 2023","FQ3 2023","Currency=USD","Period=FQ","BEST_FPERIOD_OVERRIDE=FQ","FILING_STATUS=MR","SCALING_FORMAT=MLN","FA_ADJUSTED=Adjusted","Sort=A","Dates=H","DateFormat=P","Fill=—","Direction=H","UseDPDF=Y")</f>
        <v>12.391999999999999</v>
      </c>
      <c r="U6" s="19">
        <f>_xll.BDH("BLUE US Equity","SALES_REV_TURN","FQ4 2023","FQ4 2023","Currency=USD","Period=FQ","BEST_FPERIOD_OVERRIDE=FQ","FILING_STATUS=MR","SCALING_FORMAT=MLN","FA_ADJUSTED=Adjusted","Sort=A","Dates=H","DateFormat=P","Fill=—","Direction=H","UseDPDF=Y")</f>
        <v>7.8339999999999996</v>
      </c>
      <c r="V6" s="19">
        <f>_xll.BDH("BLUE US Equity","SALES_REV_TURN","FQ1 2024","FQ1 2024","Currency=USD","Period=FQ","BEST_FPERIOD_OVERRIDE=FQ","FILING_STATUS=MR","SCALING_FORMAT=MLN","FA_ADJUSTED=Adjusted","Sort=A","Dates=H","DateFormat=P","Fill=—","Direction=H","UseDPDF=Y")</f>
        <v>18.573</v>
      </c>
      <c r="W6" s="19">
        <f>_xll.BDH("BLUE US Equity","SALES_REV_TURN","FQ2 2024","FQ2 2024","Currency=USD","Period=FQ","BEST_FPERIOD_OVERRIDE=FQ","FILING_STATUS=MR","SCALING_FORMAT=MLN","FA_ADJUSTED=Adjusted","Sort=A","Dates=H","DateFormat=P","Fill=—","Direction=H","UseDPDF=Y")</f>
        <v>16.100999999999999</v>
      </c>
      <c r="X6" s="19">
        <f>_xll.BDH("BLUE US Equity","SALES_REV_TURN","FQ3 2024","FQ3 2024","Currency=USD","Period=FQ","BEST_FPERIOD_OVERRIDE=FQ","FILING_STATUS=MR","SCALING_FORMAT=MLN","FA_ADJUSTED=Adjusted","Sort=A","Dates=H","DateFormat=P","Fill=—","Direction=H","UseDPDF=Y")</f>
        <v>10.612</v>
      </c>
      <c r="Y6" s="19">
        <f>_xll.BDH("BLUE US Equity","SALES_REV_TURN","FQ4 2024","FQ4 2024","Currency=USD","Period=FQ","BEST_FPERIOD_OVERRIDE=FQ","FILING_STATUS=MR","SCALING_FORMAT=MLN","FA_ADJUSTED=Adjusted","Sort=A","Dates=H","DateFormat=P","Fill=—","Direction=H","UseDPDF=Y")</f>
        <v>38.521000000000001</v>
      </c>
      <c r="Z6" s="19">
        <v>36.517000000000003</v>
      </c>
      <c r="AA6" s="19">
        <v>57.783000000000001</v>
      </c>
    </row>
    <row r="7" spans="1:27" x14ac:dyDescent="0.25">
      <c r="A7" s="10" t="s">
        <v>276</v>
      </c>
      <c r="B7" s="10" t="s">
        <v>277</v>
      </c>
      <c r="C7" s="13" t="str">
        <f>_xll.BDH("BLUE US Equity","IS_SALES_AND_SERVICES_REVENUES","FQ2 2019","FQ2 2019","Currency=USD","Period=FQ","BEST_FPERIOD_OVERRIDE=FQ","FILING_STATUS=MR","SCALING_FORMAT=MLN","FA_ADJUSTED=Adjusted","Sort=A","Dates=H","DateFormat=P","Fill=—","Direction=H","UseDPDF=Y")</f>
        <v>—</v>
      </c>
      <c r="D7" s="13" t="str">
        <f>_xll.BDH("BLUE US Equity","IS_SALES_AND_SERVICES_REVENUES","FQ3 2019","FQ3 2019","Currency=USD","Period=FQ","BEST_FPERIOD_OVERRIDE=FQ","FILING_STATUS=MR","SCALING_FORMAT=MLN","FA_ADJUSTED=Adjusted","Sort=A","Dates=H","DateFormat=P","Fill=—","Direction=H","UseDPDF=Y")</f>
        <v>—</v>
      </c>
      <c r="E7" s="13" t="str">
        <f>_xll.BDH("BLUE US Equity","IS_SALES_AND_SERVICES_REVENUES","FQ4 2019","FQ4 2019","Currency=USD","Period=FQ","BEST_FPERIOD_OVERRIDE=FQ","FILING_STATUS=MR","SCALING_FORMAT=MLN","FA_ADJUSTED=Adjusted","Sort=A","Dates=H","DateFormat=P","Fill=—","Direction=H","UseDPDF=Y")</f>
        <v>—</v>
      </c>
      <c r="F7" s="13">
        <f>_xll.BDH("BLUE US Equity","IS_SALES_AND_SERVICES_REVENUES","FQ1 2020","FQ1 2020","Currency=USD","Period=FQ","BEST_FPERIOD_OVERRIDE=FQ","FILING_STATUS=MR","SCALING_FORMAT=MLN","FA_ADJUSTED=Adjusted","Sort=A","Dates=H","DateFormat=P","Fill=—","Direction=H","UseDPDF=Y")</f>
        <v>16.832999999999998</v>
      </c>
      <c r="G7" s="13">
        <f>_xll.BDH("BLUE US Equity","IS_SALES_AND_SERVICES_REVENUES","FQ2 2020","FQ2 2020","Currency=USD","Period=FQ","BEST_FPERIOD_OVERRIDE=FQ","FILING_STATUS=MR","SCALING_FORMAT=MLN","FA_ADJUSTED=Adjusted","Sort=A","Dates=H","DateFormat=P","Fill=—","Direction=H","UseDPDF=Y")</f>
        <v>78.356999999999999</v>
      </c>
      <c r="H7" s="13">
        <f>_xll.BDH("BLUE US Equity","IS_SALES_AND_SERVICES_REVENUES","FQ3 2020","FQ3 2020","Currency=USD","Period=FQ","BEST_FPERIOD_OVERRIDE=FQ","FILING_STATUS=MR","SCALING_FORMAT=MLN","FA_ADJUSTED=Adjusted","Sort=A","Dates=H","DateFormat=P","Fill=—","Direction=H","UseDPDF=Y")</f>
        <v>13.352</v>
      </c>
      <c r="I7" s="13">
        <f>_xll.BDH("BLUE US Equity","IS_SALES_AND_SERVICES_REVENUES","FQ4 2020","FQ4 2020","Currency=USD","Period=FQ","BEST_FPERIOD_OVERRIDE=FQ","FILING_STATUS=MR","SCALING_FORMAT=MLN","FA_ADJUSTED=Adjusted","Sort=A","Dates=H","DateFormat=P","Fill=—","Direction=H","UseDPDF=Y")</f>
        <v>0</v>
      </c>
      <c r="J7" s="13">
        <f>_xll.BDH("BLUE US Equity","IS_SALES_AND_SERVICES_REVENUES","FQ1 2021","FQ1 2021","Currency=USD","Period=FQ","BEST_FPERIOD_OVERRIDE=FQ","FILING_STATUS=MR","SCALING_FORMAT=MLN","FA_ADJUSTED=Adjusted","Sort=A","Dates=H","DateFormat=P","Fill=—","Direction=H","UseDPDF=Y")</f>
        <v>0.72399999999999998</v>
      </c>
      <c r="K7" s="13">
        <f>_xll.BDH("BLUE US Equity","IS_SALES_AND_SERVICES_REVENUES","FQ2 2021","FQ2 2021","Currency=USD","Period=FQ","BEST_FPERIOD_OVERRIDE=FQ","FILING_STATUS=MR","SCALING_FORMAT=MLN","FA_ADJUSTED=Adjusted","Sort=A","Dates=H","DateFormat=P","Fill=—","Direction=H","UseDPDF=Y")</f>
        <v>5.3140000000000001</v>
      </c>
      <c r="L7" s="13">
        <f>_xll.BDH("BLUE US Equity","IS_SALES_AND_SERVICES_REVENUES","FQ3 2021","FQ3 2021","Currency=USD","Period=FQ","BEST_FPERIOD_OVERRIDE=FQ","FILING_STATUS=MR","SCALING_FORMAT=MLN","FA_ADJUSTED=Adjusted","Sort=A","Dates=H","DateFormat=P","Fill=—","Direction=H","UseDPDF=Y")</f>
        <v>0.76800000000000002</v>
      </c>
      <c r="M7" s="13">
        <f>_xll.BDH("BLUE US Equity","IS_SALES_AND_SERVICES_REVENUES","FQ4 2021","FQ4 2021","Currency=USD","Period=FQ","BEST_FPERIOD_OVERRIDE=FQ","FILING_STATUS=MR","SCALING_FORMAT=MLN","FA_ADJUSTED=Adjusted","Sort=A","Dates=H","DateFormat=P","Fill=—","Direction=H","UseDPDF=Y")</f>
        <v>1.3580000000000001</v>
      </c>
      <c r="N7" s="13">
        <f>_xll.BDH("BLUE US Equity","IS_SALES_AND_SERVICES_REVENUES","FQ1 2022","FQ1 2022","Currency=USD","Period=FQ","BEST_FPERIOD_OVERRIDE=FQ","FILING_STATUS=MR","SCALING_FORMAT=MLN","FA_ADJUSTED=Adjusted","Sort=A","Dates=H","DateFormat=P","Fill=—","Direction=H","UseDPDF=Y")</f>
        <v>1.4079999999999999</v>
      </c>
      <c r="O7" s="13">
        <f>_xll.BDH("BLUE US Equity","IS_SALES_AND_SERVICES_REVENUES","FQ2 2022","FQ2 2022","Currency=USD","Period=FQ","BEST_FPERIOD_OVERRIDE=FQ","FILING_STATUS=MR","SCALING_FORMAT=MLN","FA_ADJUSTED=Adjusted","Sort=A","Dates=H","DateFormat=P","Fill=—","Direction=H","UseDPDF=Y")</f>
        <v>1.331</v>
      </c>
      <c r="P7" s="13">
        <f>_xll.BDH("BLUE US Equity","IS_SALES_AND_SERVICES_REVENUES","FQ3 2022","FQ3 2022","Currency=USD","Period=FQ","BEST_FPERIOD_OVERRIDE=FQ","FILING_STATUS=MR","SCALING_FORMAT=MLN","FA_ADJUSTED=Adjusted","Sort=A","Dates=H","DateFormat=P","Fill=—","Direction=H","UseDPDF=Y")</f>
        <v>0</v>
      </c>
      <c r="Q7" s="13">
        <f>_xll.BDH("BLUE US Equity","IS_SALES_AND_SERVICES_REVENUES","FQ4 2022","FQ4 2022","Currency=USD","Period=FQ","BEST_FPERIOD_OVERRIDE=FQ","FILING_STATUS=MR","SCALING_FORMAT=MLN","FA_ADJUSTED=Adjusted","Sort=A","Dates=H","DateFormat=P","Fill=—","Direction=H","UseDPDF=Y")</f>
        <v>0</v>
      </c>
      <c r="R7" s="13">
        <f>_xll.BDH("BLUE US Equity","IS_SALES_AND_SERVICES_REVENUES","FQ1 2023","FQ1 2023","Currency=USD","Period=FQ","BEST_FPERIOD_OVERRIDE=FQ","FILING_STATUS=MR","SCALING_FORMAT=MLN","FA_ADJUSTED=Adjusted","Sort=A","Dates=H","DateFormat=P","Fill=—","Direction=H","UseDPDF=Y")</f>
        <v>2.2959999999999998</v>
      </c>
      <c r="S7" s="13">
        <f>_xll.BDH("BLUE US Equity","IS_SALES_AND_SERVICES_REVENUES","FQ2 2023","FQ2 2023","Currency=USD","Period=FQ","BEST_FPERIOD_OVERRIDE=FQ","FILING_STATUS=MR","SCALING_FORMAT=MLN","FA_ADJUSTED=Adjusted","Sort=A","Dates=H","DateFormat=P","Fill=—","Direction=H","UseDPDF=Y")</f>
        <v>6.8369999999999997</v>
      </c>
      <c r="T7" s="13">
        <f>_xll.BDH("BLUE US Equity","IS_SALES_AND_SERVICES_REVENUES","FQ3 2023","FQ3 2023","Currency=USD","Period=FQ","BEST_FPERIOD_OVERRIDE=FQ","FILING_STATUS=MR","SCALING_FORMAT=MLN","FA_ADJUSTED=Adjusted","Sort=A","Dates=H","DateFormat=P","Fill=—","Direction=H","UseDPDF=Y")</f>
        <v>12.281000000000001</v>
      </c>
      <c r="U7" s="13">
        <f>_xll.BDH("BLUE US Equity","IS_SALES_AND_SERVICES_REVENUES","FQ4 2023","FQ4 2023","Currency=USD","Period=FQ","BEST_FPERIOD_OVERRIDE=FQ","FILING_STATUS=MR","SCALING_FORMAT=MLN","FA_ADJUSTED=Adjusted","Sort=A","Dates=H","DateFormat=P","Fill=—","Direction=H","UseDPDF=Y")</f>
        <v>7.6509999999999998</v>
      </c>
      <c r="V7" s="13">
        <f>_xll.BDH("BLUE US Equity","IS_SALES_AND_SERVICES_REVENUES","FQ1 2024","FQ1 2024","Currency=USD","Period=FQ","BEST_FPERIOD_OVERRIDE=FQ","FILING_STATUS=MR","SCALING_FORMAT=MLN","FA_ADJUSTED=Adjusted","Sort=A","Dates=H","DateFormat=P","Fill=—","Direction=H","UseDPDF=Y")</f>
        <v>18.561</v>
      </c>
      <c r="W7" s="13">
        <f>_xll.BDH("BLUE US Equity","IS_SALES_AND_SERVICES_REVENUES","FQ2 2024","FQ2 2024","Currency=USD","Period=FQ","BEST_FPERIOD_OVERRIDE=FQ","FILING_STATUS=MR","SCALING_FORMAT=MLN","FA_ADJUSTED=Adjusted","Sort=A","Dates=H","DateFormat=P","Fill=—","Direction=H","UseDPDF=Y")</f>
        <v>16.100999999999999</v>
      </c>
      <c r="X7" s="13">
        <f>_xll.BDH("BLUE US Equity","IS_SALES_AND_SERVICES_REVENUES","FQ3 2024","FQ3 2024","Currency=USD","Period=FQ","BEST_FPERIOD_OVERRIDE=FQ","FILING_STATUS=MR","SCALING_FORMAT=MLN","FA_ADJUSTED=Adjusted","Sort=A","Dates=H","DateFormat=P","Fill=—","Direction=H","UseDPDF=Y")</f>
        <v>10.612</v>
      </c>
      <c r="Y7" s="13">
        <f>_xll.BDH("BLUE US Equity","IS_SALES_AND_SERVICES_REVENUES","FQ4 2024","FQ4 2024","Currency=USD","Period=FQ","BEST_FPERIOD_OVERRIDE=FQ","FILING_STATUS=MR","SCALING_FORMAT=MLN","FA_ADJUSTED=Adjusted","Sort=A","Dates=H","DateFormat=P","Fill=—","Direction=H","UseDPDF=Y")</f>
        <v>38.521000000000001</v>
      </c>
      <c r="Z7" s="13"/>
      <c r="AA7" s="13"/>
    </row>
    <row r="8" spans="1:27" x14ac:dyDescent="0.25">
      <c r="A8" s="10" t="s">
        <v>278</v>
      </c>
      <c r="B8" s="10" t="s">
        <v>279</v>
      </c>
      <c r="C8" s="13">
        <f>_xll.BDH("BLUE US Equity","IS_OTHER_REVENUE","FQ2 2019","FQ2 2019","Currency=USD","Period=FQ","BEST_FPERIOD_OVERRIDE=FQ","FILING_STATUS=MR","SCALING_FORMAT=MLN","FA_ADJUSTED=Adjusted","Sort=A","Dates=H","DateFormat=P","Fill=—","Direction=H","UseDPDF=Y")</f>
        <v>13.295999999999999</v>
      </c>
      <c r="D8" s="13">
        <f>_xll.BDH("BLUE US Equity","IS_OTHER_REVENUE","FQ3 2019","FQ3 2019","Currency=USD","Period=FQ","BEST_FPERIOD_OVERRIDE=FQ","FILING_STATUS=MR","SCALING_FORMAT=MLN","FA_ADJUSTED=Adjusted","Sort=A","Dates=H","DateFormat=P","Fill=—","Direction=H","UseDPDF=Y")</f>
        <v>8.91</v>
      </c>
      <c r="E8" s="13">
        <f>_xll.BDH("BLUE US Equity","IS_OTHER_REVENUE","FQ4 2019","FQ4 2019","Currency=USD","Period=FQ","BEST_FPERIOD_OVERRIDE=FQ","FILING_STATUS=MR","SCALING_FORMAT=MLN","FA_ADJUSTED=Adjusted","Sort=A","Dates=H","DateFormat=P","Fill=—","Direction=H","UseDPDF=Y")</f>
        <v>9.9969999999999999</v>
      </c>
      <c r="F8" s="13">
        <f>_xll.BDH("BLUE US Equity","IS_OTHER_REVENUE","FQ1 2020","FQ1 2020","Currency=USD","Period=FQ","BEST_FPERIOD_OVERRIDE=FQ","FILING_STATUS=MR","SCALING_FORMAT=MLN","FA_ADJUSTED=Adjusted","Sort=A","Dates=H","DateFormat=P","Fill=—","Direction=H","UseDPDF=Y")</f>
        <v>5.03</v>
      </c>
      <c r="G8" s="13">
        <f>_xll.BDH("BLUE US Equity","IS_OTHER_REVENUE","FQ2 2020","FQ2 2020","Currency=USD","Period=FQ","BEST_FPERIOD_OVERRIDE=FQ","FILING_STATUS=MR","SCALING_FORMAT=MLN","FA_ADJUSTED=Adjusted","Sort=A","Dates=H","DateFormat=P","Fill=—","Direction=H","UseDPDF=Y")</f>
        <v>120.533</v>
      </c>
      <c r="H8" s="13">
        <f>_xll.BDH("BLUE US Equity","IS_OTHER_REVENUE","FQ3 2020","FQ3 2020","Currency=USD","Period=FQ","BEST_FPERIOD_OVERRIDE=FQ","FILING_STATUS=MR","SCALING_FORMAT=MLN","FA_ADJUSTED=Adjusted","Sort=A","Dates=H","DateFormat=P","Fill=—","Direction=H","UseDPDF=Y")</f>
        <v>5.9210000000000003</v>
      </c>
      <c r="I8" s="13" t="str">
        <f>_xll.BDH("BLUE US Equity","IS_OTHER_REVENUE","FQ4 2020","FQ4 2020","Currency=USD","Period=FQ","BEST_FPERIOD_OVERRIDE=FQ","FILING_STATUS=MR","SCALING_FORMAT=MLN","FA_ADJUSTED=Adjusted","Sort=A","Dates=H","DateFormat=P","Fill=—","Direction=H","UseDPDF=Y")</f>
        <v>—</v>
      </c>
      <c r="J8" s="13">
        <f>_xll.BDH("BLUE US Equity","IS_OTHER_REVENUE","FQ1 2021","FQ1 2021","Currency=USD","Period=FQ","BEST_FPERIOD_OVERRIDE=FQ","FILING_STATUS=MR","SCALING_FORMAT=MLN","FA_ADJUSTED=Adjusted","Sort=A","Dates=H","DateFormat=P","Fill=—","Direction=H","UseDPDF=Y")</f>
        <v>0.17</v>
      </c>
      <c r="K8" s="13">
        <f>_xll.BDH("BLUE US Equity","IS_OTHER_REVENUE","FQ2 2021","FQ2 2021","Currency=USD","Period=FQ","BEST_FPERIOD_OVERRIDE=FQ","FILING_STATUS=MR","SCALING_FORMAT=MLN","FA_ADJUSTED=Adjusted","Sort=A","Dates=H","DateFormat=P","Fill=—","Direction=H","UseDPDF=Y")</f>
        <v>2.1579999999999999</v>
      </c>
      <c r="L8" s="13">
        <f>_xll.BDH("BLUE US Equity","IS_OTHER_REVENUE","FQ3 2021","FQ3 2021","Currency=USD","Period=FQ","BEST_FPERIOD_OVERRIDE=FQ","FILING_STATUS=MR","SCALING_FORMAT=MLN","FA_ADJUSTED=Adjusted","Sort=A","Dates=H","DateFormat=P","Fill=—","Direction=H","UseDPDF=Y")</f>
        <v>0.251</v>
      </c>
      <c r="M8" s="13">
        <f>_xll.BDH("BLUE US Equity","IS_OTHER_REVENUE","FQ4 2021","FQ4 2021","Currency=USD","Period=FQ","BEST_FPERIOD_OVERRIDE=FQ","FILING_STATUS=MR","SCALING_FORMAT=MLN","FA_ADJUSTED=Adjusted","Sort=A","Dates=H","DateFormat=P","Fill=—","Direction=H","UseDPDF=Y")</f>
        <v>0.248</v>
      </c>
      <c r="N8" s="13">
        <f>_xll.BDH("BLUE US Equity","IS_OTHER_REVENUE","FQ1 2022","FQ1 2022","Currency=USD","Period=FQ","BEST_FPERIOD_OVERRIDE=FQ","FILING_STATUS=MR","SCALING_FORMAT=MLN","FA_ADJUSTED=Adjusted","Sort=A","Dates=H","DateFormat=P","Fill=—","Direction=H","UseDPDF=Y")</f>
        <v>0.53700000000000003</v>
      </c>
      <c r="O8" s="13">
        <f>_xll.BDH("BLUE US Equity","IS_OTHER_REVENUE","FQ2 2022","FQ2 2022","Currency=USD","Period=FQ","BEST_FPERIOD_OVERRIDE=FQ","FILING_STATUS=MR","SCALING_FORMAT=MLN","FA_ADJUSTED=Adjusted","Sort=A","Dates=H","DateFormat=P","Fill=—","Direction=H","UseDPDF=Y")</f>
        <v>0.188</v>
      </c>
      <c r="P8" s="13">
        <f>_xll.BDH("BLUE US Equity","IS_OTHER_REVENUE","FQ3 2022","FQ3 2022","Currency=USD","Period=FQ","BEST_FPERIOD_OVERRIDE=FQ","FILING_STATUS=MR","SCALING_FORMAT=MLN","FA_ADJUSTED=Adjusted","Sort=A","Dates=H","DateFormat=P","Fill=—","Direction=H","UseDPDF=Y")</f>
        <v>7.0999999999999994E-2</v>
      </c>
      <c r="Q8" s="13">
        <f>_xll.BDH("BLUE US Equity","IS_OTHER_REVENUE","FQ4 2022","FQ4 2022","Currency=USD","Period=FQ","BEST_FPERIOD_OVERRIDE=FQ","FILING_STATUS=MR","SCALING_FORMAT=MLN","FA_ADJUSTED=Adjusted","Sort=A","Dates=H","DateFormat=P","Fill=—","Direction=H","UseDPDF=Y")</f>
        <v>6.2E-2</v>
      </c>
      <c r="R8" s="13">
        <f>_xll.BDH("BLUE US Equity","IS_OTHER_REVENUE","FQ1 2023","FQ1 2023","Currency=USD","Period=FQ","BEST_FPERIOD_OVERRIDE=FQ","FILING_STATUS=MR","SCALING_FORMAT=MLN","FA_ADJUSTED=Adjusted","Sort=A","Dates=H","DateFormat=P","Fill=—","Direction=H","UseDPDF=Y")</f>
        <v>8.5000000000000006E-2</v>
      </c>
      <c r="S8" s="13">
        <f>_xll.BDH("BLUE US Equity","IS_OTHER_REVENUE","FQ2 2023","FQ2 2023","Currency=USD","Period=FQ","BEST_FPERIOD_OVERRIDE=FQ","FILING_STATUS=MR","SCALING_FORMAT=MLN","FA_ADJUSTED=Adjusted","Sort=A","Dates=H","DateFormat=P","Fill=—","Direction=H","UseDPDF=Y")</f>
        <v>5.2999999999999999E-2</v>
      </c>
      <c r="T8" s="13">
        <f>_xll.BDH("BLUE US Equity","IS_OTHER_REVENUE","FQ3 2023","FQ3 2023","Currency=USD","Period=FQ","BEST_FPERIOD_OVERRIDE=FQ","FILING_STATUS=MR","SCALING_FORMAT=MLN","FA_ADJUSTED=Adjusted","Sort=A","Dates=H","DateFormat=P","Fill=—","Direction=H","UseDPDF=Y")</f>
        <v>0.111</v>
      </c>
      <c r="U8" s="13">
        <f>_xll.BDH("BLUE US Equity","IS_OTHER_REVENUE","FQ4 2023","FQ4 2023","Currency=USD","Period=FQ","BEST_FPERIOD_OVERRIDE=FQ","FILING_STATUS=MR","SCALING_FORMAT=MLN","FA_ADJUSTED=Adjusted","Sort=A","Dates=H","DateFormat=P","Fill=—","Direction=H","UseDPDF=Y")</f>
        <v>0.183</v>
      </c>
      <c r="V8" s="13">
        <f>_xll.BDH("BLUE US Equity","IS_OTHER_REVENUE","FQ1 2024","FQ1 2024","Currency=USD","Period=FQ","BEST_FPERIOD_OVERRIDE=FQ","FILING_STATUS=MR","SCALING_FORMAT=MLN","FA_ADJUSTED=Adjusted","Sort=A","Dates=H","DateFormat=P","Fill=—","Direction=H","UseDPDF=Y")</f>
        <v>1.2E-2</v>
      </c>
      <c r="W8" s="13" t="str">
        <f>_xll.BDH("BLUE US Equity","IS_OTHER_REVENUE","FQ2 2024","FQ2 2024","Currency=USD","Period=FQ","BEST_FPERIOD_OVERRIDE=FQ","FILING_STATUS=MR","SCALING_FORMAT=MLN","FA_ADJUSTED=Adjusted","Sort=A","Dates=H","DateFormat=P","Fill=—","Direction=H","UseDPDF=Y")</f>
        <v>—</v>
      </c>
      <c r="X8" s="13" t="str">
        <f>_xll.BDH("BLUE US Equity","IS_OTHER_REVENUE","FQ3 2024","FQ3 2024","Currency=USD","Period=FQ","BEST_FPERIOD_OVERRIDE=FQ","FILING_STATUS=MR","SCALING_FORMAT=MLN","FA_ADJUSTED=Adjusted","Sort=A","Dates=H","DateFormat=P","Fill=—","Direction=H","UseDPDF=Y")</f>
        <v>—</v>
      </c>
      <c r="Y8" s="13" t="str">
        <f>_xll.BDH("BLUE US Equity","IS_OTHER_REVENUE","FQ4 2024","FQ4 2024","Currency=USD","Period=FQ","BEST_FPERIOD_OVERRIDE=FQ","FILING_STATUS=MR","SCALING_FORMAT=MLN","FA_ADJUSTED=Adjusted","Sort=A","Dates=H","DateFormat=P","Fill=—","Direction=H","UseDPDF=Y")</f>
        <v>—</v>
      </c>
      <c r="Z8" s="13"/>
      <c r="AA8" s="13"/>
    </row>
    <row r="9" spans="1:27" x14ac:dyDescent="0.25">
      <c r="A9" s="10" t="s">
        <v>280</v>
      </c>
      <c r="B9" s="10" t="s">
        <v>281</v>
      </c>
      <c r="C9" s="13" t="str">
        <f>_xll.BDH("BLUE US Equity","IS_COGS_TO_FE_AND_PP_AND_G","FQ2 2019","FQ2 2019","Currency=USD","Period=FQ","BEST_FPERIOD_OVERRIDE=FQ","FILING_STATUS=MR","SCALING_FORMAT=MLN","FA_ADJUSTED=Adjusted","Sort=A","Dates=H","DateFormat=P","Fill=—","Direction=H","UseDPDF=Y")</f>
        <v>—</v>
      </c>
      <c r="D9" s="13" t="str">
        <f>_xll.BDH("BLUE US Equity","IS_COGS_TO_FE_AND_PP_AND_G","FQ3 2019","FQ3 2019","Currency=USD","Period=FQ","BEST_FPERIOD_OVERRIDE=FQ","FILING_STATUS=MR","SCALING_FORMAT=MLN","FA_ADJUSTED=Adjusted","Sort=A","Dates=H","DateFormat=P","Fill=—","Direction=H","UseDPDF=Y")</f>
        <v>—</v>
      </c>
      <c r="E9" s="13" t="str">
        <f>_xll.BDH("BLUE US Equity","IS_COGS_TO_FE_AND_PP_AND_G","FQ4 2019","FQ4 2019","Currency=USD","Period=FQ","BEST_FPERIOD_OVERRIDE=FQ","FILING_STATUS=MR","SCALING_FORMAT=MLN","FA_ADJUSTED=Adjusted","Sort=A","Dates=H","DateFormat=P","Fill=—","Direction=H","UseDPDF=Y")</f>
        <v>—</v>
      </c>
      <c r="F9" s="13" t="str">
        <f>_xll.BDH("BLUE US Equity","IS_COGS_TO_FE_AND_PP_AND_G","FQ1 2020","FQ1 2020","Currency=USD","Period=FQ","BEST_FPERIOD_OVERRIDE=FQ","FILING_STATUS=MR","SCALING_FORMAT=MLN","FA_ADJUSTED=Adjusted","Sort=A","Dates=H","DateFormat=P","Fill=—","Direction=H","UseDPDF=Y")</f>
        <v>—</v>
      </c>
      <c r="G9" s="13" t="str">
        <f>_xll.BDH("BLUE US Equity","IS_COGS_TO_FE_AND_PP_AND_G","FQ2 2020","FQ2 2020","Currency=USD","Period=FQ","BEST_FPERIOD_OVERRIDE=FQ","FILING_STATUS=MR","SCALING_FORMAT=MLN","FA_ADJUSTED=Adjusted","Sort=A","Dates=H","DateFormat=P","Fill=—","Direction=H","UseDPDF=Y")</f>
        <v>—</v>
      </c>
      <c r="H9" s="13" t="str">
        <f>_xll.BDH("BLUE US Equity","IS_COGS_TO_FE_AND_PP_AND_G","FQ3 2020","FQ3 2020","Currency=USD","Period=FQ","BEST_FPERIOD_OVERRIDE=FQ","FILING_STATUS=MR","SCALING_FORMAT=MLN","FA_ADJUSTED=Adjusted","Sort=A","Dates=H","DateFormat=P","Fill=—","Direction=H","UseDPDF=Y")</f>
        <v>—</v>
      </c>
      <c r="I9" s="13">
        <f>_xll.BDH("BLUE US Equity","IS_COGS_TO_FE_AND_PP_AND_G","FQ4 2020","FQ4 2020","Currency=USD","Period=FQ","BEST_FPERIOD_OVERRIDE=FQ","FILING_STATUS=MR","SCALING_FORMAT=MLN","FA_ADJUSTED=Adjusted","Sort=A","Dates=H","DateFormat=P","Fill=—","Direction=H","UseDPDF=Y")</f>
        <v>0</v>
      </c>
      <c r="J9" s="13">
        <f>_xll.BDH("BLUE US Equity","IS_COGS_TO_FE_AND_PP_AND_G","FQ1 2021","FQ1 2021","Currency=USD","Period=FQ","BEST_FPERIOD_OVERRIDE=FQ","FILING_STATUS=MR","SCALING_FORMAT=MLN","FA_ADJUSTED=Adjusted","Sort=A","Dates=H","DateFormat=P","Fill=—","Direction=H","UseDPDF=Y")</f>
        <v>0.57599999999999996</v>
      </c>
      <c r="K9" s="13" t="str">
        <f>_xll.BDH("BLUE US Equity","IS_COGS_TO_FE_AND_PP_AND_G","FQ2 2021","FQ2 2021","Currency=USD","Period=FQ","BEST_FPERIOD_OVERRIDE=FQ","FILING_STATUS=MR","SCALING_FORMAT=MLN","FA_ADJUSTED=Adjusted","Sort=A","Dates=H","DateFormat=P","Fill=—","Direction=H","UseDPDF=Y")</f>
        <v>—</v>
      </c>
      <c r="L9" s="13">
        <f>_xll.BDH("BLUE US Equity","IS_COGS_TO_FE_AND_PP_AND_G","FQ3 2021","FQ3 2021","Currency=USD","Period=FQ","BEST_FPERIOD_OVERRIDE=FQ","FILING_STATUS=MR","SCALING_FORMAT=MLN","FA_ADJUSTED=Adjusted","Sort=A","Dates=H","DateFormat=P","Fill=—","Direction=H","UseDPDF=Y")</f>
        <v>19.385000000000002</v>
      </c>
      <c r="M9" s="13">
        <f>_xll.BDH("BLUE US Equity","IS_COGS_TO_FE_AND_PP_AND_G","FQ4 2021","FQ4 2021","Currency=USD","Period=FQ","BEST_FPERIOD_OVERRIDE=FQ","FILING_STATUS=MR","SCALING_FORMAT=MLN","FA_ADJUSTED=Adjusted","Sort=A","Dates=H","DateFormat=P","Fill=—","Direction=H","UseDPDF=Y")</f>
        <v>3.6819999999999999</v>
      </c>
      <c r="N9" s="13">
        <f>_xll.BDH("BLUE US Equity","IS_COGS_TO_FE_AND_PP_AND_G","FQ1 2022","FQ1 2022","Currency=USD","Period=FQ","BEST_FPERIOD_OVERRIDE=FQ","FILING_STATUS=MR","SCALING_FORMAT=MLN","FA_ADJUSTED=Adjusted","Sort=A","Dates=H","DateFormat=P","Fill=—","Direction=H","UseDPDF=Y")</f>
        <v>8.31</v>
      </c>
      <c r="O9" s="13">
        <f>_xll.BDH("BLUE US Equity","IS_COGS_TO_FE_AND_PP_AND_G","FQ2 2022","FQ2 2022","Currency=USD","Period=FQ","BEST_FPERIOD_OVERRIDE=FQ","FILING_STATUS=MR","SCALING_FORMAT=MLN","FA_ADJUSTED=Adjusted","Sort=A","Dates=H","DateFormat=P","Fill=—","Direction=H","UseDPDF=Y")</f>
        <v>1.7450000000000001</v>
      </c>
      <c r="P9" s="13" t="str">
        <f>_xll.BDH("BLUE US Equity","IS_COGS_TO_FE_AND_PP_AND_G","FQ3 2022","FQ3 2022","Currency=USD","Period=FQ","BEST_FPERIOD_OVERRIDE=FQ","FILING_STATUS=MR","SCALING_FORMAT=MLN","FA_ADJUSTED=Adjusted","Sort=A","Dates=H","DateFormat=P","Fill=—","Direction=H","UseDPDF=Y")</f>
        <v>—</v>
      </c>
      <c r="Q9" s="13">
        <f>_xll.BDH("BLUE US Equity","IS_COGS_TO_FE_AND_PP_AND_G","FQ4 2022","FQ4 2022","Currency=USD","Period=FQ","BEST_FPERIOD_OVERRIDE=FQ","FILING_STATUS=MR","SCALING_FORMAT=MLN","FA_ADJUSTED=Adjusted","Sort=A","Dates=H","DateFormat=P","Fill=—","Direction=H","UseDPDF=Y")</f>
        <v>2.1999999999999999E-2</v>
      </c>
      <c r="R9" s="13">
        <f>_xll.BDH("BLUE US Equity","IS_COGS_TO_FE_AND_PP_AND_G","FQ1 2023","FQ1 2023","Currency=USD","Period=FQ","BEST_FPERIOD_OVERRIDE=FQ","FILING_STATUS=MR","SCALING_FORMAT=MLN","FA_ADJUSTED=Adjusted","Sort=A","Dates=H","DateFormat=P","Fill=—","Direction=H","UseDPDF=Y")</f>
        <v>5.5119999999999996</v>
      </c>
      <c r="S9" s="13">
        <f>_xll.BDH("BLUE US Equity","IS_COGS_TO_FE_AND_PP_AND_G","FQ2 2023","FQ2 2023","Currency=USD","Period=FQ","BEST_FPERIOD_OVERRIDE=FQ","FILING_STATUS=MR","SCALING_FORMAT=MLN","FA_ADJUSTED=Adjusted","Sort=A","Dates=H","DateFormat=P","Fill=—","Direction=H","UseDPDF=Y")</f>
        <v>6.6970000000000001</v>
      </c>
      <c r="T9" s="13">
        <f>_xll.BDH("BLUE US Equity","IS_COGS_TO_FE_AND_PP_AND_G","FQ3 2023","FQ3 2023","Currency=USD","Period=FQ","BEST_FPERIOD_OVERRIDE=FQ","FILING_STATUS=MR","SCALING_FORMAT=MLN","FA_ADJUSTED=Adjusted","Sort=A","Dates=H","DateFormat=P","Fill=—","Direction=H","UseDPDF=Y")</f>
        <v>9.1259999999999994</v>
      </c>
      <c r="U9" s="13">
        <f>_xll.BDH("BLUE US Equity","IS_COGS_TO_FE_AND_PP_AND_G","FQ4 2023","FQ4 2023","Currency=USD","Period=FQ","BEST_FPERIOD_OVERRIDE=FQ","FILING_STATUS=MR","SCALING_FORMAT=MLN","FA_ADJUSTED=Adjusted","Sort=A","Dates=H","DateFormat=P","Fill=—","Direction=H","UseDPDF=Y")</f>
        <v>9.6319999999999997</v>
      </c>
      <c r="V9" s="13">
        <f>_xll.BDH("BLUE US Equity","IS_COGS_TO_FE_AND_PP_AND_G","FQ1 2024","FQ1 2024","Currency=USD","Period=FQ","BEST_FPERIOD_OVERRIDE=FQ","FILING_STATUS=MR","SCALING_FORMAT=MLN","FA_ADJUSTED=Adjusted","Sort=A","Dates=H","DateFormat=P","Fill=—","Direction=H","UseDPDF=Y")</f>
        <v>25.864000000000001</v>
      </c>
      <c r="W9" s="13">
        <f>_xll.BDH("BLUE US Equity","IS_COGS_TO_FE_AND_PP_AND_G","FQ2 2024","FQ2 2024","Currency=USD","Period=FQ","BEST_FPERIOD_OVERRIDE=FQ","FILING_STATUS=MR","SCALING_FORMAT=MLN","FA_ADJUSTED=Adjusted","Sort=A","Dates=H","DateFormat=P","Fill=—","Direction=H","UseDPDF=Y")</f>
        <v>28.946000000000002</v>
      </c>
      <c r="X9" s="13">
        <f>_xll.BDH("BLUE US Equity","IS_COGS_TO_FE_AND_PP_AND_G","FQ3 2024","FQ3 2024","Currency=USD","Period=FQ","BEST_FPERIOD_OVERRIDE=FQ","FILING_STATUS=MR","SCALING_FORMAT=MLN","FA_ADJUSTED=Adjusted","Sort=A","Dates=H","DateFormat=P","Fill=—","Direction=H","UseDPDF=Y")</f>
        <v>11.781000000000001</v>
      </c>
      <c r="Y9" s="13">
        <f>_xll.BDH("BLUE US Equity","IS_COGS_TO_FE_AND_PP_AND_G","FQ4 2024","FQ4 2024","Currency=USD","Period=FQ","BEST_FPERIOD_OVERRIDE=FQ","FILING_STATUS=MR","SCALING_FORMAT=MLN","FA_ADJUSTED=Adjusted","Sort=A","Dates=H","DateFormat=P","Fill=—","Direction=H","UseDPDF=Y")</f>
        <v>22.789000000000001</v>
      </c>
      <c r="Z9" s="13"/>
      <c r="AA9" s="13"/>
    </row>
    <row r="10" spans="1:27" x14ac:dyDescent="0.25">
      <c r="A10" s="10" t="s">
        <v>282</v>
      </c>
      <c r="B10" s="10" t="s">
        <v>283</v>
      </c>
      <c r="C10" s="13" t="str">
        <f>_xll.BDH("BLUE US Equity","IS_COG_AND_SERVICES_SOLD","FQ2 2019","FQ2 2019","Currency=USD","Period=FQ","BEST_FPERIOD_OVERRIDE=FQ","FILING_STATUS=MR","SCALING_FORMAT=MLN","FA_ADJUSTED=Adjusted","Sort=A","Dates=H","DateFormat=P","Fill=—","Direction=H","UseDPDF=Y")</f>
        <v>—</v>
      </c>
      <c r="D10" s="13" t="str">
        <f>_xll.BDH("BLUE US Equity","IS_COG_AND_SERVICES_SOLD","FQ3 2019","FQ3 2019","Currency=USD","Period=FQ","BEST_FPERIOD_OVERRIDE=FQ","FILING_STATUS=MR","SCALING_FORMAT=MLN","FA_ADJUSTED=Adjusted","Sort=A","Dates=H","DateFormat=P","Fill=—","Direction=H","UseDPDF=Y")</f>
        <v>—</v>
      </c>
      <c r="E10" s="13" t="str">
        <f>_xll.BDH("BLUE US Equity","IS_COG_AND_SERVICES_SOLD","FQ4 2019","FQ4 2019","Currency=USD","Period=FQ","BEST_FPERIOD_OVERRIDE=FQ","FILING_STATUS=MR","SCALING_FORMAT=MLN","FA_ADJUSTED=Adjusted","Sort=A","Dates=H","DateFormat=P","Fill=—","Direction=H","UseDPDF=Y")</f>
        <v>—</v>
      </c>
      <c r="F10" s="13" t="str">
        <f>_xll.BDH("BLUE US Equity","IS_COG_AND_SERVICES_SOLD","FQ1 2020","FQ1 2020","Currency=USD","Period=FQ","BEST_FPERIOD_OVERRIDE=FQ","FILING_STATUS=MR","SCALING_FORMAT=MLN","FA_ADJUSTED=Adjusted","Sort=A","Dates=H","DateFormat=P","Fill=—","Direction=H","UseDPDF=Y")</f>
        <v>—</v>
      </c>
      <c r="G10" s="13" t="str">
        <f>_xll.BDH("BLUE US Equity","IS_COG_AND_SERVICES_SOLD","FQ2 2020","FQ2 2020","Currency=USD","Period=FQ","BEST_FPERIOD_OVERRIDE=FQ","FILING_STATUS=MR","SCALING_FORMAT=MLN","FA_ADJUSTED=Adjusted","Sort=A","Dates=H","DateFormat=P","Fill=—","Direction=H","UseDPDF=Y")</f>
        <v>—</v>
      </c>
      <c r="H10" s="13" t="str">
        <f>_xll.BDH("BLUE US Equity","IS_COG_AND_SERVICES_SOLD","FQ3 2020","FQ3 2020","Currency=USD","Period=FQ","BEST_FPERIOD_OVERRIDE=FQ","FILING_STATUS=MR","SCALING_FORMAT=MLN","FA_ADJUSTED=Adjusted","Sort=A","Dates=H","DateFormat=P","Fill=—","Direction=H","UseDPDF=Y")</f>
        <v>—</v>
      </c>
      <c r="I10" s="13">
        <f>_xll.BDH("BLUE US Equity","IS_COG_AND_SERVICES_SOLD","FQ4 2020","FQ4 2020","Currency=USD","Period=FQ","BEST_FPERIOD_OVERRIDE=FQ","FILING_STATUS=MR","SCALING_FORMAT=MLN","FA_ADJUSTED=Adjusted","Sort=A","Dates=H","DateFormat=P","Fill=—","Direction=H","UseDPDF=Y")</f>
        <v>0</v>
      </c>
      <c r="J10" s="13">
        <f>_xll.BDH("BLUE US Equity","IS_COG_AND_SERVICES_SOLD","FQ1 2021","FQ1 2021","Currency=USD","Period=FQ","BEST_FPERIOD_OVERRIDE=FQ","FILING_STATUS=MR","SCALING_FORMAT=MLN","FA_ADJUSTED=Adjusted","Sort=A","Dates=H","DateFormat=P","Fill=—","Direction=H","UseDPDF=Y")</f>
        <v>0.57599999999999996</v>
      </c>
      <c r="K10" s="13" t="str">
        <f>_xll.BDH("BLUE US Equity","IS_COG_AND_SERVICES_SOLD","FQ2 2021","FQ2 2021","Currency=USD","Period=FQ","BEST_FPERIOD_OVERRIDE=FQ","FILING_STATUS=MR","SCALING_FORMAT=MLN","FA_ADJUSTED=Adjusted","Sort=A","Dates=H","DateFormat=P","Fill=—","Direction=H","UseDPDF=Y")</f>
        <v>—</v>
      </c>
      <c r="L10" s="13">
        <f>_xll.BDH("BLUE US Equity","IS_COG_AND_SERVICES_SOLD","FQ3 2021","FQ3 2021","Currency=USD","Period=FQ","BEST_FPERIOD_OVERRIDE=FQ","FILING_STATUS=MR","SCALING_FORMAT=MLN","FA_ADJUSTED=Adjusted","Sort=A","Dates=H","DateFormat=P","Fill=—","Direction=H","UseDPDF=Y")</f>
        <v>19.385000000000002</v>
      </c>
      <c r="M10" s="13">
        <f>_xll.BDH("BLUE US Equity","IS_COG_AND_SERVICES_SOLD","FQ4 2021","FQ4 2021","Currency=USD","Period=FQ","BEST_FPERIOD_OVERRIDE=FQ","FILING_STATUS=MR","SCALING_FORMAT=MLN","FA_ADJUSTED=Adjusted","Sort=A","Dates=H","DateFormat=P","Fill=—","Direction=H","UseDPDF=Y")</f>
        <v>3.6819999999999999</v>
      </c>
      <c r="N10" s="13">
        <f>_xll.BDH("BLUE US Equity","IS_COG_AND_SERVICES_SOLD","FQ1 2022","FQ1 2022","Currency=USD","Period=FQ","BEST_FPERIOD_OVERRIDE=FQ","FILING_STATUS=MR","SCALING_FORMAT=MLN","FA_ADJUSTED=Adjusted","Sort=A","Dates=H","DateFormat=P","Fill=—","Direction=H","UseDPDF=Y")</f>
        <v>8.31</v>
      </c>
      <c r="O10" s="13">
        <f>_xll.BDH("BLUE US Equity","IS_COG_AND_SERVICES_SOLD","FQ2 2022","FQ2 2022","Currency=USD","Period=FQ","BEST_FPERIOD_OVERRIDE=FQ","FILING_STATUS=MR","SCALING_FORMAT=MLN","FA_ADJUSTED=Adjusted","Sort=A","Dates=H","DateFormat=P","Fill=—","Direction=H","UseDPDF=Y")</f>
        <v>1.7450000000000001</v>
      </c>
      <c r="P10" s="13" t="str">
        <f>_xll.BDH("BLUE US Equity","IS_COG_AND_SERVICES_SOLD","FQ3 2022","FQ3 2022","Currency=USD","Period=FQ","BEST_FPERIOD_OVERRIDE=FQ","FILING_STATUS=MR","SCALING_FORMAT=MLN","FA_ADJUSTED=Adjusted","Sort=A","Dates=H","DateFormat=P","Fill=—","Direction=H","UseDPDF=Y")</f>
        <v>—</v>
      </c>
      <c r="Q10" s="13">
        <f>_xll.BDH("BLUE US Equity","IS_COG_AND_SERVICES_SOLD","FQ4 2022","FQ4 2022","Currency=USD","Period=FQ","BEST_FPERIOD_OVERRIDE=FQ","FILING_STATUS=MR","SCALING_FORMAT=MLN","FA_ADJUSTED=Adjusted","Sort=A","Dates=H","DateFormat=P","Fill=—","Direction=H","UseDPDF=Y")</f>
        <v>2.1999999999999999E-2</v>
      </c>
      <c r="R10" s="13">
        <f>_xll.BDH("BLUE US Equity","IS_COG_AND_SERVICES_SOLD","FQ1 2023","FQ1 2023","Currency=USD","Period=FQ","BEST_FPERIOD_OVERRIDE=FQ","FILING_STATUS=MR","SCALING_FORMAT=MLN","FA_ADJUSTED=Adjusted","Sort=A","Dates=H","DateFormat=P","Fill=—","Direction=H","UseDPDF=Y")</f>
        <v>5.5119999999999996</v>
      </c>
      <c r="S10" s="13">
        <f>_xll.BDH("BLUE US Equity","IS_COG_AND_SERVICES_SOLD","FQ2 2023","FQ2 2023","Currency=USD","Period=FQ","BEST_FPERIOD_OVERRIDE=FQ","FILING_STATUS=MR","SCALING_FORMAT=MLN","FA_ADJUSTED=Adjusted","Sort=A","Dates=H","DateFormat=P","Fill=—","Direction=H","UseDPDF=Y")</f>
        <v>6.6970000000000001</v>
      </c>
      <c r="T10" s="13">
        <f>_xll.BDH("BLUE US Equity","IS_COG_AND_SERVICES_SOLD","FQ3 2023","FQ3 2023","Currency=USD","Period=FQ","BEST_FPERIOD_OVERRIDE=FQ","FILING_STATUS=MR","SCALING_FORMAT=MLN","FA_ADJUSTED=Adjusted","Sort=A","Dates=H","DateFormat=P","Fill=—","Direction=H","UseDPDF=Y")</f>
        <v>9.1259999999999994</v>
      </c>
      <c r="U10" s="13">
        <f>_xll.BDH("BLUE US Equity","IS_COG_AND_SERVICES_SOLD","FQ4 2023","FQ4 2023","Currency=USD","Period=FQ","BEST_FPERIOD_OVERRIDE=FQ","FILING_STATUS=MR","SCALING_FORMAT=MLN","FA_ADJUSTED=Adjusted","Sort=A","Dates=H","DateFormat=P","Fill=—","Direction=H","UseDPDF=Y")</f>
        <v>9.6319999999999997</v>
      </c>
      <c r="V10" s="13">
        <f>_xll.BDH("BLUE US Equity","IS_COG_AND_SERVICES_SOLD","FQ1 2024","FQ1 2024","Currency=USD","Period=FQ","BEST_FPERIOD_OVERRIDE=FQ","FILING_STATUS=MR","SCALING_FORMAT=MLN","FA_ADJUSTED=Adjusted","Sort=A","Dates=H","DateFormat=P","Fill=—","Direction=H","UseDPDF=Y")</f>
        <v>25.864000000000001</v>
      </c>
      <c r="W10" s="13">
        <f>_xll.BDH("BLUE US Equity","IS_COG_AND_SERVICES_SOLD","FQ2 2024","FQ2 2024","Currency=USD","Period=FQ","BEST_FPERIOD_OVERRIDE=FQ","FILING_STATUS=MR","SCALING_FORMAT=MLN","FA_ADJUSTED=Adjusted","Sort=A","Dates=H","DateFormat=P","Fill=—","Direction=H","UseDPDF=Y")</f>
        <v>28.946000000000002</v>
      </c>
      <c r="X10" s="13">
        <f>_xll.BDH("BLUE US Equity","IS_COG_AND_SERVICES_SOLD","FQ3 2024","FQ3 2024","Currency=USD","Period=FQ","BEST_FPERIOD_OVERRIDE=FQ","FILING_STATUS=MR","SCALING_FORMAT=MLN","FA_ADJUSTED=Adjusted","Sort=A","Dates=H","DateFormat=P","Fill=—","Direction=H","UseDPDF=Y")</f>
        <v>11.781000000000001</v>
      </c>
      <c r="Y10" s="13">
        <f>_xll.BDH("BLUE US Equity","IS_COG_AND_SERVICES_SOLD","FQ4 2024","FQ4 2024","Currency=USD","Period=FQ","BEST_FPERIOD_OVERRIDE=FQ","FILING_STATUS=MR","SCALING_FORMAT=MLN","FA_ADJUSTED=Adjusted","Sort=A","Dates=H","DateFormat=P","Fill=—","Direction=H","UseDPDF=Y")</f>
        <v>22.789000000000001</v>
      </c>
      <c r="Z10" s="13"/>
      <c r="AA10" s="13"/>
    </row>
    <row r="11" spans="1:27" x14ac:dyDescent="0.25">
      <c r="A11" s="6" t="s">
        <v>2</v>
      </c>
      <c r="B11" s="6" t="s">
        <v>74</v>
      </c>
      <c r="C11" s="19" t="str">
        <f>_xll.BDH("BLUE US Equity","GROSS_PROFIT","FQ2 2019","FQ2 2019","Currency=USD","Period=FQ","BEST_FPERIOD_OVERRIDE=FQ","FILING_STATUS=MR","SCALING_FORMAT=MLN","FA_ADJUSTED=Adjusted","Sort=A","Dates=H","DateFormat=P","Fill=—","Direction=H","UseDPDF=Y")</f>
        <v>—</v>
      </c>
      <c r="D11" s="19" t="str">
        <f>_xll.BDH("BLUE US Equity","GROSS_PROFIT","FQ3 2019","FQ3 2019","Currency=USD","Period=FQ","BEST_FPERIOD_OVERRIDE=FQ","FILING_STATUS=MR","SCALING_FORMAT=MLN","FA_ADJUSTED=Adjusted","Sort=A","Dates=H","DateFormat=P","Fill=—","Direction=H","UseDPDF=Y")</f>
        <v>—</v>
      </c>
      <c r="E11" s="19" t="str">
        <f>_xll.BDH("BLUE US Equity","GROSS_PROFIT","FQ4 2019","FQ4 2019","Currency=USD","Period=FQ","BEST_FPERIOD_OVERRIDE=FQ","FILING_STATUS=MR","SCALING_FORMAT=MLN","FA_ADJUSTED=Adjusted","Sort=A","Dates=H","DateFormat=P","Fill=—","Direction=H","UseDPDF=Y")</f>
        <v>—</v>
      </c>
      <c r="F11" s="19" t="str">
        <f>_xll.BDH("BLUE US Equity","GROSS_PROFIT","FQ1 2020","FQ1 2020","Currency=USD","Period=FQ","BEST_FPERIOD_OVERRIDE=FQ","FILING_STATUS=MR","SCALING_FORMAT=MLN","FA_ADJUSTED=Adjusted","Sort=A","Dates=H","DateFormat=P","Fill=—","Direction=H","UseDPDF=Y")</f>
        <v>—</v>
      </c>
      <c r="G11" s="19" t="str">
        <f>_xll.BDH("BLUE US Equity","GROSS_PROFIT","FQ2 2020","FQ2 2020","Currency=USD","Period=FQ","BEST_FPERIOD_OVERRIDE=FQ","FILING_STATUS=MR","SCALING_FORMAT=MLN","FA_ADJUSTED=Adjusted","Sort=A","Dates=H","DateFormat=P","Fill=—","Direction=H","UseDPDF=Y")</f>
        <v>—</v>
      </c>
      <c r="H11" s="19" t="str">
        <f>_xll.BDH("BLUE US Equity","GROSS_PROFIT","FQ3 2020","FQ3 2020","Currency=USD","Period=FQ","BEST_FPERIOD_OVERRIDE=FQ","FILING_STATUS=MR","SCALING_FORMAT=MLN","FA_ADJUSTED=Adjusted","Sort=A","Dates=H","DateFormat=P","Fill=—","Direction=H","UseDPDF=Y")</f>
        <v>—</v>
      </c>
      <c r="I11" s="19">
        <f>_xll.BDH("BLUE US Equity","GROSS_PROFIT","FQ4 2020","FQ4 2020","Currency=USD","Period=FQ","BEST_FPERIOD_OVERRIDE=FQ","FILING_STATUS=MR","SCALING_FORMAT=MLN","FA_ADJUSTED=Adjusted","Sort=A","Dates=H","DateFormat=P","Fill=—","Direction=H","UseDPDF=Y")</f>
        <v>0</v>
      </c>
      <c r="J11" s="19">
        <f>_xll.BDH("BLUE US Equity","GROSS_PROFIT","FQ1 2021","FQ1 2021","Currency=USD","Period=FQ","BEST_FPERIOD_OVERRIDE=FQ","FILING_STATUS=MR","SCALING_FORMAT=MLN","FA_ADJUSTED=Adjusted","Sort=A","Dates=H","DateFormat=P","Fill=—","Direction=H","UseDPDF=Y")</f>
        <v>0.318</v>
      </c>
      <c r="K11" s="19" t="str">
        <f>_xll.BDH("BLUE US Equity","GROSS_PROFIT","FQ2 2021","FQ2 2021","Currency=USD","Period=FQ","BEST_FPERIOD_OVERRIDE=FQ","FILING_STATUS=MR","SCALING_FORMAT=MLN","FA_ADJUSTED=Adjusted","Sort=A","Dates=H","DateFormat=P","Fill=—","Direction=H","UseDPDF=Y")</f>
        <v>—</v>
      </c>
      <c r="L11" s="19">
        <f>_xll.BDH("BLUE US Equity","GROSS_PROFIT","FQ3 2021","FQ3 2021","Currency=USD","Period=FQ","BEST_FPERIOD_OVERRIDE=FQ","FILING_STATUS=MR","SCALING_FORMAT=MLN","FA_ADJUSTED=Adjusted","Sort=A","Dates=H","DateFormat=P","Fill=—","Direction=H","UseDPDF=Y")</f>
        <v>-18.366</v>
      </c>
      <c r="M11" s="19">
        <f>_xll.BDH("BLUE US Equity","GROSS_PROFIT","FQ4 2021","FQ4 2021","Currency=USD","Period=FQ","BEST_FPERIOD_OVERRIDE=FQ","FILING_STATUS=MR","SCALING_FORMAT=MLN","FA_ADJUSTED=Adjusted","Sort=A","Dates=H","DateFormat=P","Fill=—","Direction=H","UseDPDF=Y")</f>
        <v>-2.0760000000000001</v>
      </c>
      <c r="N11" s="19">
        <f>_xll.BDH("BLUE US Equity","GROSS_PROFIT","FQ1 2022","FQ1 2022","Currency=USD","Period=FQ","BEST_FPERIOD_OVERRIDE=FQ","FILING_STATUS=MR","SCALING_FORMAT=MLN","FA_ADJUSTED=Adjusted","Sort=A","Dates=H","DateFormat=P","Fill=—","Direction=H","UseDPDF=Y")</f>
        <v>-6.3650000000000002</v>
      </c>
      <c r="O11" s="19">
        <f>_xll.BDH("BLUE US Equity","GROSS_PROFIT","FQ2 2022","FQ2 2022","Currency=USD","Period=FQ","BEST_FPERIOD_OVERRIDE=FQ","FILING_STATUS=MR","SCALING_FORMAT=MLN","FA_ADJUSTED=Adjusted","Sort=A","Dates=H","DateFormat=P","Fill=—","Direction=H","UseDPDF=Y")</f>
        <v>-0.22600000000000001</v>
      </c>
      <c r="P11" s="19" t="str">
        <f>_xll.BDH("BLUE US Equity","GROSS_PROFIT","FQ3 2022","FQ3 2022","Currency=USD","Period=FQ","BEST_FPERIOD_OVERRIDE=FQ","FILING_STATUS=MR","SCALING_FORMAT=MLN","FA_ADJUSTED=Adjusted","Sort=A","Dates=H","DateFormat=P","Fill=—","Direction=H","UseDPDF=Y")</f>
        <v>—</v>
      </c>
      <c r="Q11" s="19">
        <f>_xll.BDH("BLUE US Equity","GROSS_PROFIT","FQ4 2022","FQ4 2022","Currency=USD","Period=FQ","BEST_FPERIOD_OVERRIDE=FQ","FILING_STATUS=MR","SCALING_FORMAT=MLN","FA_ADJUSTED=Adjusted","Sort=A","Dates=H","DateFormat=P","Fill=—","Direction=H","UseDPDF=Y")</f>
        <v>0.04</v>
      </c>
      <c r="R11" s="19">
        <f>_xll.BDH("BLUE US Equity","GROSS_PROFIT","FQ1 2023","FQ1 2023","Currency=USD","Period=FQ","BEST_FPERIOD_OVERRIDE=FQ","FILING_STATUS=MR","SCALING_FORMAT=MLN","FA_ADJUSTED=Adjusted","Sort=A","Dates=H","DateFormat=P","Fill=—","Direction=H","UseDPDF=Y")</f>
        <v>-3.1309999999999998</v>
      </c>
      <c r="S11" s="19">
        <f>_xll.BDH("BLUE US Equity","GROSS_PROFIT","FQ2 2023","FQ2 2023","Currency=USD","Period=FQ","BEST_FPERIOD_OVERRIDE=FQ","FILING_STATUS=MR","SCALING_FORMAT=MLN","FA_ADJUSTED=Adjusted","Sort=A","Dates=H","DateFormat=P","Fill=—","Direction=H","UseDPDF=Y")</f>
        <v>0.193</v>
      </c>
      <c r="T11" s="19">
        <f>_xll.BDH("BLUE US Equity","GROSS_PROFIT","FQ3 2023","FQ3 2023","Currency=USD","Period=FQ","BEST_FPERIOD_OVERRIDE=FQ","FILING_STATUS=MR","SCALING_FORMAT=MLN","FA_ADJUSTED=Adjusted","Sort=A","Dates=H","DateFormat=P","Fill=—","Direction=H","UseDPDF=Y")</f>
        <v>3.266</v>
      </c>
      <c r="U11" s="19">
        <f>_xll.BDH("BLUE US Equity","GROSS_PROFIT","FQ4 2023","FQ4 2023","Currency=USD","Period=FQ","BEST_FPERIOD_OVERRIDE=FQ","FILING_STATUS=MR","SCALING_FORMAT=MLN","FA_ADJUSTED=Adjusted","Sort=A","Dates=H","DateFormat=P","Fill=—","Direction=H","UseDPDF=Y")</f>
        <v>-1.798</v>
      </c>
      <c r="V11" s="19">
        <f>_xll.BDH("BLUE US Equity","GROSS_PROFIT","FQ1 2024","FQ1 2024","Currency=USD","Period=FQ","BEST_FPERIOD_OVERRIDE=FQ","FILING_STATUS=MR","SCALING_FORMAT=MLN","FA_ADJUSTED=Adjusted","Sort=A","Dates=H","DateFormat=P","Fill=—","Direction=H","UseDPDF=Y")</f>
        <v>-7.2910000000000004</v>
      </c>
      <c r="W11" s="19">
        <f>_xll.BDH("BLUE US Equity","GROSS_PROFIT","FQ2 2024","FQ2 2024","Currency=USD","Period=FQ","BEST_FPERIOD_OVERRIDE=FQ","FILING_STATUS=MR","SCALING_FORMAT=MLN","FA_ADJUSTED=Adjusted","Sort=A","Dates=H","DateFormat=P","Fill=—","Direction=H","UseDPDF=Y")</f>
        <v>-12.845000000000001</v>
      </c>
      <c r="X11" s="19">
        <f>_xll.BDH("BLUE US Equity","GROSS_PROFIT","FQ3 2024","FQ3 2024","Currency=USD","Period=FQ","BEST_FPERIOD_OVERRIDE=FQ","FILING_STATUS=MR","SCALING_FORMAT=MLN","FA_ADJUSTED=Adjusted","Sort=A","Dates=H","DateFormat=P","Fill=—","Direction=H","UseDPDF=Y")</f>
        <v>-1.169</v>
      </c>
      <c r="Y11" s="19">
        <f>_xll.BDH("BLUE US Equity","GROSS_PROFIT","FQ4 2024","FQ4 2024","Currency=USD","Period=FQ","BEST_FPERIOD_OVERRIDE=FQ","FILING_STATUS=MR","SCALING_FORMAT=MLN","FA_ADJUSTED=Adjusted","Sort=A","Dates=H","DateFormat=P","Fill=—","Direction=H","UseDPDF=Y")</f>
        <v>15.731999999999999</v>
      </c>
      <c r="Z11" s="19"/>
      <c r="AA11" s="19"/>
    </row>
    <row r="12" spans="1:27" x14ac:dyDescent="0.25">
      <c r="A12" s="10" t="s">
        <v>284</v>
      </c>
      <c r="B12" s="10" t="s">
        <v>285</v>
      </c>
      <c r="C12" s="13">
        <f>_xll.BDH("BLUE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D12" s="13">
        <f>_xll.BDH("BLUE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E12" s="13">
        <f>_xll.BDH("BLUE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F12" s="13">
        <f>_xll.BDH("BLUE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G12" s="13">
        <f>_xll.BDH("BLUE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H12" s="13">
        <f>_xll.BDH("BLUE US Equity","IS_OTHER_OPER_INC","FQ3 2020","FQ3 2020","Currency=USD","Period=FQ","BEST_FPERIOD_OVERRIDE=FQ","FILING_STATUS=MR","SCALING_FORMAT=MLN","FA_ADJUSTED=Adjusted","Sort=A","Dates=H","DateFormat=P","Fill=—","Direction=H","UseDPDF=Y")</f>
        <v>0</v>
      </c>
      <c r="I12" s="13">
        <f>_xll.BDH("BLUE US Equity","IS_OTHER_OPER_INC","FQ4 2020","FQ4 2020","Currency=USD","Period=FQ","BEST_FPERIOD_OVERRIDE=FQ","FILING_STATUS=MR","SCALING_FORMAT=MLN","FA_ADJUSTED=Adjusted","Sort=A","Dates=H","DateFormat=P","Fill=—","Direction=H","UseDPDF=Y")</f>
        <v>0</v>
      </c>
      <c r="J12" s="13">
        <f>_xll.BDH("BLUE US Equity","IS_OTHER_OPER_INC","FQ1 2021","FQ1 2021","Currency=USD","Period=FQ","BEST_FPERIOD_OVERRIDE=FQ","FILING_STATUS=MR","SCALING_FORMAT=MLN","FA_ADJUSTED=Adjusted","Sort=A","Dates=H","DateFormat=P","Fill=—","Direction=H","UseDPDF=Y")</f>
        <v>0</v>
      </c>
      <c r="K12" s="13">
        <f>_xll.BDH("BLUE US Equity","IS_OTHER_OPER_INC","FQ2 2021","FQ2 2021","Currency=USD","Period=FQ","BEST_FPERIOD_OVERRIDE=FQ","FILING_STATUS=MR","SCALING_FORMAT=MLN","FA_ADJUSTED=Adjusted","Sort=A","Dates=H","DateFormat=P","Fill=—","Direction=H","UseDPDF=Y")</f>
        <v>0</v>
      </c>
      <c r="L12" s="13">
        <f>_xll.BDH("BLUE US Equity","IS_OTHER_OPER_INC","FQ3 2021","FQ3 2021","Currency=USD","Period=FQ","BEST_FPERIOD_OVERRIDE=FQ","FILING_STATUS=MR","SCALING_FORMAT=MLN","FA_ADJUSTED=Adjusted","Sort=A","Dates=H","DateFormat=P","Fill=—","Direction=H","UseDPDF=Y")</f>
        <v>0</v>
      </c>
      <c r="M12" s="13">
        <f>_xll.BDH("BLUE US Equity","IS_OTHER_OPER_INC","FQ4 2021","FQ4 2021","Currency=USD","Period=FQ","BEST_FPERIOD_OVERRIDE=FQ","FILING_STATUS=MR","SCALING_FORMAT=MLN","FA_ADJUSTED=Adjusted","Sort=A","Dates=H","DateFormat=P","Fill=—","Direction=H","UseDPDF=Y")</f>
        <v>0</v>
      </c>
      <c r="N12" s="13">
        <f>_xll.BDH("BLUE US Equity","IS_OTHER_OPER_INC","FQ1 2022","FQ1 2022","Currency=USD","Period=FQ","BEST_FPERIOD_OVERRIDE=FQ","FILING_STATUS=MR","SCALING_FORMAT=MLN","FA_ADJUSTED=Adjusted","Sort=A","Dates=H","DateFormat=P","Fill=—","Direction=H","UseDPDF=Y")</f>
        <v>0</v>
      </c>
      <c r="O12" s="13">
        <f>_xll.BDH("BLUE US Equity","IS_OTHER_OPER_INC","FQ2 2022","FQ2 2022","Currency=USD","Period=FQ","BEST_FPERIOD_OVERRIDE=FQ","FILING_STATUS=MR","SCALING_FORMAT=MLN","FA_ADJUSTED=Adjusted","Sort=A","Dates=H","DateFormat=P","Fill=—","Direction=H","UseDPDF=Y")</f>
        <v>0</v>
      </c>
      <c r="P12" s="13">
        <f>_xll.BDH("BLUE US Equity","IS_OTHER_OPER_INC","FQ3 2022","FQ3 2022","Currency=USD","Period=FQ","BEST_FPERIOD_OVERRIDE=FQ","FILING_STATUS=MR","SCALING_FORMAT=MLN","FA_ADJUSTED=Adjusted","Sort=A","Dates=H","DateFormat=P","Fill=—","Direction=H","UseDPDF=Y")</f>
        <v>0</v>
      </c>
      <c r="Q12" s="13">
        <f>_xll.BDH("BLUE US Equity","IS_OTHER_OPER_INC","FQ4 2022","FQ4 2022","Currency=USD","Period=FQ","BEST_FPERIOD_OVERRIDE=FQ","FILING_STATUS=MR","SCALING_FORMAT=MLN","FA_ADJUSTED=Adjusted","Sort=A","Dates=H","DateFormat=P","Fill=—","Direction=H","UseDPDF=Y")</f>
        <v>0</v>
      </c>
      <c r="R12" s="13">
        <f>_xll.BDH("BLUE US Equity","IS_OTHER_OPER_INC","FQ1 2023","FQ1 2023","Currency=USD","Period=FQ","BEST_FPERIOD_OVERRIDE=FQ","FILING_STATUS=MR","SCALING_FORMAT=MLN","FA_ADJUSTED=Adjusted","Sort=A","Dates=H","DateFormat=P","Fill=—","Direction=H","UseDPDF=Y")</f>
        <v>0</v>
      </c>
      <c r="S12" s="13">
        <f>_xll.BDH("BLUE US Equity","IS_OTHER_OPER_INC","FQ2 2023","FQ2 2023","Currency=USD","Period=FQ","BEST_FPERIOD_OVERRIDE=FQ","FILING_STATUS=MR","SCALING_FORMAT=MLN","FA_ADJUSTED=Adjusted","Sort=A","Dates=H","DateFormat=P","Fill=—","Direction=H","UseDPDF=Y")</f>
        <v>0</v>
      </c>
      <c r="T12" s="13">
        <f>_xll.BDH("BLUE US Equity","IS_OTHER_OPER_INC","FQ3 2023","FQ3 2023","Currency=USD","Period=FQ","BEST_FPERIOD_OVERRIDE=FQ","FILING_STATUS=MR","SCALING_FORMAT=MLN","FA_ADJUSTED=Adjusted","Sort=A","Dates=H","DateFormat=P","Fill=—","Direction=H","UseDPDF=Y")</f>
        <v>0</v>
      </c>
      <c r="U12" s="13">
        <f>_xll.BDH("BLUE US Equity","IS_OTHER_OPER_INC","FQ4 2023","FQ4 2023","Currency=USD","Period=FQ","BEST_FPERIOD_OVERRIDE=FQ","FILING_STATUS=MR","SCALING_FORMAT=MLN","FA_ADJUSTED=Adjusted","Sort=A","Dates=H","DateFormat=P","Fill=—","Direction=H","UseDPDF=Y")</f>
        <v>0</v>
      </c>
      <c r="V12" s="13">
        <f>_xll.BDH("BLUE US Equity","IS_OTHER_OPER_INC","FQ1 2024","FQ1 2024","Currency=USD","Period=FQ","BEST_FPERIOD_OVERRIDE=FQ","FILING_STATUS=MR","SCALING_FORMAT=MLN","FA_ADJUSTED=Adjusted","Sort=A","Dates=H","DateFormat=P","Fill=—","Direction=H","UseDPDF=Y")</f>
        <v>0</v>
      </c>
      <c r="W12" s="13">
        <f>_xll.BDH("BLUE US Equity","IS_OTHER_OPER_INC","FQ2 2024","FQ2 2024","Currency=USD","Period=FQ","BEST_FPERIOD_OVERRIDE=FQ","FILING_STATUS=MR","SCALING_FORMAT=MLN","FA_ADJUSTED=Adjusted","Sort=A","Dates=H","DateFormat=P","Fill=—","Direction=H","UseDPDF=Y")</f>
        <v>0</v>
      </c>
      <c r="X12" s="13">
        <f>_xll.BDH("BLUE US Equity","IS_OTHER_OPER_INC","FQ3 2024","FQ3 2024","Currency=USD","Period=FQ","BEST_FPERIOD_OVERRIDE=FQ","FILING_STATUS=MR","SCALING_FORMAT=MLN","FA_ADJUSTED=Adjusted","Sort=A","Dates=H","DateFormat=P","Fill=—","Direction=H","UseDPDF=Y")</f>
        <v>0</v>
      </c>
      <c r="Y12" s="13">
        <f>_xll.BDH("BLUE US Equity","IS_OTHER_OPER_INC","FQ4 2024","FQ4 2024","Currency=USD","Period=FQ","BEST_FPERIOD_OVERRIDE=FQ","FILING_STATUS=MR","SCALING_FORMAT=MLN","FA_ADJUSTED=Adjusted","Sort=A","Dates=H","DateFormat=P","Fill=—","Direction=H","UseDPDF=Y")</f>
        <v>0</v>
      </c>
      <c r="Z12" s="13"/>
      <c r="AA12" s="13"/>
    </row>
    <row r="13" spans="1:27" x14ac:dyDescent="0.25">
      <c r="A13" s="10" t="s">
        <v>286</v>
      </c>
      <c r="B13" s="10" t="s">
        <v>287</v>
      </c>
      <c r="C13" s="13">
        <f>_xll.BDH("BLUE US Equity","IS_OPERATING_EXPN","FQ2 2019","FQ2 2019","Currency=USD","Period=FQ","BEST_FPERIOD_OVERRIDE=FQ","FILING_STATUS=MR","SCALING_FORMAT=MLN","FA_ADJUSTED=Adjusted","Sort=A","Dates=H","DateFormat=P","Fill=—","Direction=H","UseDPDF=Y")</f>
        <v>215.78399999999999</v>
      </c>
      <c r="D13" s="13">
        <f>_xll.BDH("BLUE US Equity","IS_OPERATING_EXPN","FQ3 2019","FQ3 2019","Currency=USD","Period=FQ","BEST_FPERIOD_OVERRIDE=FQ","FILING_STATUS=MR","SCALING_FORMAT=MLN","FA_ADJUSTED=Adjusted","Sort=A","Dates=H","DateFormat=P","Fill=—","Direction=H","UseDPDF=Y")</f>
        <v>218.524</v>
      </c>
      <c r="E13" s="13">
        <f>_xll.BDH("BLUE US Equity","IS_OPERATING_EXPN","FQ4 2019","FQ4 2019","Currency=USD","Period=FQ","BEST_FPERIOD_OVERRIDE=FQ","FILING_STATUS=MR","SCALING_FORMAT=MLN","FA_ADJUSTED=Adjusted","Sort=A","Dates=H","DateFormat=P","Fill=—","Direction=H","UseDPDF=Y")</f>
        <v>239.096</v>
      </c>
      <c r="F13" s="13">
        <f>_xll.BDH("BLUE US Equity","IS_OPERATING_EXPN","FQ1 2020","FQ1 2020","Currency=USD","Period=FQ","BEST_FPERIOD_OVERRIDE=FQ","FILING_STATUS=MR","SCALING_FORMAT=MLN","FA_ADJUSTED=Adjusted","Sort=A","Dates=H","DateFormat=P","Fill=—","Direction=H","UseDPDF=Y")</f>
        <v>228.39599999999999</v>
      </c>
      <c r="G13" s="13">
        <f>_xll.BDH("BLUE US Equity","IS_OPERATING_EXPN","FQ2 2020","FQ2 2020","Currency=USD","Period=FQ","BEST_FPERIOD_OVERRIDE=FQ","FILING_STATUS=MR","SCALING_FORMAT=MLN","FA_ADJUSTED=Adjusted","Sort=A","Dates=H","DateFormat=P","Fill=—","Direction=H","UseDPDF=Y")</f>
        <v>226.49</v>
      </c>
      <c r="H13" s="13">
        <f>_xll.BDH("BLUE US Equity","IS_OPERATING_EXPN","FQ3 2020","FQ3 2020","Currency=USD","Period=FQ","BEST_FPERIOD_OVERRIDE=FQ","FILING_STATUS=MR","SCALING_FORMAT=MLN","FA_ADJUSTED=Adjusted","Sort=A","Dates=H","DateFormat=P","Fill=—","Direction=H","UseDPDF=Y")</f>
        <v>209.79499999999999</v>
      </c>
      <c r="I13" s="13">
        <f>_xll.BDH("BLUE US Equity","IS_OPERATING_EXPN","FQ4 2020","FQ4 2020","Currency=USD","Period=FQ","BEST_FPERIOD_OVERRIDE=FQ","FILING_STATUS=MR","SCALING_FORMAT=MLN","FA_ADJUSTED=Adjusted","Sort=A","Dates=H","DateFormat=P","Fill=—","Direction=H","UseDPDF=Y")</f>
        <v>139.387</v>
      </c>
      <c r="J13" s="13">
        <f>_xll.BDH("BLUE US Equity","IS_OPERATING_EXPN","FQ1 2021","FQ1 2021","Currency=USD","Period=FQ","BEST_FPERIOD_OVERRIDE=FQ","FILING_STATUS=MR","SCALING_FORMAT=MLN","FA_ADJUSTED=Adjusted","Sort=A","Dates=H","DateFormat=P","Fill=—","Direction=H","UseDPDF=Y")</f>
        <v>174.41499999999999</v>
      </c>
      <c r="K13" s="13">
        <f>_xll.BDH("BLUE US Equity","IS_OPERATING_EXPN","FQ2 2021","FQ2 2021","Currency=USD","Period=FQ","BEST_FPERIOD_OVERRIDE=FQ","FILING_STATUS=MR","SCALING_FORMAT=MLN","FA_ADJUSTED=Adjusted","Sort=A","Dates=H","DateFormat=P","Fill=—","Direction=H","UseDPDF=Y")</f>
        <v>248.26300000000001</v>
      </c>
      <c r="L13" s="13">
        <f>_xll.BDH("BLUE US Equity","IS_OPERATING_EXPN","FQ3 2021","FQ3 2021","Currency=USD","Period=FQ","BEST_FPERIOD_OVERRIDE=FQ","FILING_STATUS=MR","SCALING_FORMAT=MLN","FA_ADJUSTED=Adjusted","Sort=A","Dates=H","DateFormat=P","Fill=—","Direction=H","UseDPDF=Y")</f>
        <v>115.908</v>
      </c>
      <c r="M13" s="13">
        <f>_xll.BDH("BLUE US Equity","IS_OPERATING_EXPN","FQ4 2021","FQ4 2021","Currency=USD","Period=FQ","BEST_FPERIOD_OVERRIDE=FQ","FILING_STATUS=MR","SCALING_FORMAT=MLN","FA_ADJUSTED=Adjusted","Sort=A","Dates=H","DateFormat=P","Fill=—","Direction=H","UseDPDF=Y")</f>
        <v>132.667</v>
      </c>
      <c r="N13" s="13">
        <f>_xll.BDH("BLUE US Equity","IS_OPERATING_EXPN","FQ1 2022","FQ1 2022","Currency=USD","Period=FQ","BEST_FPERIOD_OVERRIDE=FQ","FILING_STATUS=MR","SCALING_FORMAT=MLN","FA_ADJUSTED=Adjusted","Sort=A","Dates=H","DateFormat=P","Fill=—","Direction=H","UseDPDF=Y")</f>
        <v>111.473</v>
      </c>
      <c r="O13" s="13">
        <f>_xll.BDH("BLUE US Equity","IS_OPERATING_EXPN","FQ2 2022","FQ2 2022","Currency=USD","Period=FQ","BEST_FPERIOD_OVERRIDE=FQ","FILING_STATUS=MR","SCALING_FORMAT=MLN","FA_ADJUSTED=Adjusted","Sort=A","Dates=H","DateFormat=P","Fill=—","Direction=H","UseDPDF=Y")</f>
        <v>99.908000000000001</v>
      </c>
      <c r="P13" s="13">
        <f>_xll.BDH("BLUE US Equity","IS_OPERATING_EXPN","FQ3 2022","FQ3 2022","Currency=USD","Period=FQ","BEST_FPERIOD_OVERRIDE=FQ","FILING_STATUS=MR","SCALING_FORMAT=MLN","FA_ADJUSTED=Adjusted","Sort=A","Dates=H","DateFormat=P","Fill=—","Direction=H","UseDPDF=Y")</f>
        <v>86.551000000000002</v>
      </c>
      <c r="Q13" s="13">
        <f>_xll.BDH("BLUE US Equity","IS_OPERATING_EXPN","FQ4 2022","FQ4 2022","Currency=USD","Period=FQ","BEST_FPERIOD_OVERRIDE=FQ","FILING_STATUS=MR","SCALING_FORMAT=MLN","FA_ADJUSTED=Adjusted","Sort=A","Dates=H","DateFormat=P","Fill=—","Direction=H","UseDPDF=Y")</f>
        <v>42.832999999999998</v>
      </c>
      <c r="R13" s="13">
        <f>_xll.BDH("BLUE US Equity","IS_OPERATING_EXPN","FQ1 2023","FQ1 2023","Currency=USD","Period=FQ","BEST_FPERIOD_OVERRIDE=FQ","FILING_STATUS=MR","SCALING_FORMAT=MLN","FA_ADJUSTED=Adjusted","Sort=A","Dates=H","DateFormat=P","Fill=—","Direction=H","UseDPDF=Y")</f>
        <v>79.054000000000002</v>
      </c>
      <c r="S13" s="13">
        <f>_xll.BDH("BLUE US Equity","IS_OPERATING_EXPN","FQ2 2023","FQ2 2023","Currency=USD","Period=FQ","BEST_FPERIOD_OVERRIDE=FQ","FILING_STATUS=MR","SCALING_FORMAT=MLN","FA_ADJUSTED=Adjusted","Sort=A","Dates=H","DateFormat=P","Fill=—","Direction=H","UseDPDF=Y")</f>
        <v>71.91</v>
      </c>
      <c r="T13" s="13">
        <f>_xll.BDH("BLUE US Equity","IS_OPERATING_EXPN","FQ3 2023","FQ3 2023","Currency=USD","Period=FQ","BEST_FPERIOD_OVERRIDE=FQ","FILING_STATUS=MR","SCALING_FORMAT=MLN","FA_ADJUSTED=Adjusted","Sort=A","Dates=H","DateFormat=P","Fill=—","Direction=H","UseDPDF=Y")</f>
        <v>99.272000000000006</v>
      </c>
      <c r="U13" s="13">
        <f>_xll.BDH("BLUE US Equity","IS_OPERATING_EXPN","FQ4 2023","FQ4 2023","Currency=USD","Period=FQ","BEST_FPERIOD_OVERRIDE=FQ","FILING_STATUS=MR","SCALING_FORMAT=MLN","FA_ADJUSTED=Adjusted","Sort=A","Dates=H","DateFormat=P","Fill=—","Direction=H","UseDPDF=Y")</f>
        <v>80.875</v>
      </c>
      <c r="V13" s="13">
        <f>_xll.BDH("BLUE US Equity","IS_OPERATING_EXPN","FQ1 2024","FQ1 2024","Currency=USD","Period=FQ","BEST_FPERIOD_OVERRIDE=FQ","FILING_STATUS=MR","SCALING_FORMAT=MLN","FA_ADJUSTED=Adjusted","Sort=A","Dates=H","DateFormat=P","Fill=—","Direction=H","UseDPDF=Y")</f>
        <v>71.400999999999996</v>
      </c>
      <c r="W13" s="13">
        <f>_xll.BDH("BLUE US Equity","IS_OPERATING_EXPN","FQ2 2024","FQ2 2024","Currency=USD","Period=FQ","BEST_FPERIOD_OVERRIDE=FQ","FILING_STATUS=MR","SCALING_FORMAT=MLN","FA_ADJUSTED=Adjusted","Sort=A","Dates=H","DateFormat=P","Fill=—","Direction=H","UseDPDF=Y")</f>
        <v>75.546999999999997</v>
      </c>
      <c r="X13" s="13">
        <f>_xll.BDH("BLUE US Equity","IS_OPERATING_EXPN","FQ3 2024","FQ3 2024","Currency=USD","Period=FQ","BEST_FPERIOD_OVERRIDE=FQ","FILING_STATUS=MR","SCALING_FORMAT=MLN","FA_ADJUSTED=Adjusted","Sort=A","Dates=H","DateFormat=P","Fill=—","Direction=H","UseDPDF=Y")</f>
        <v>62.939</v>
      </c>
      <c r="Y13" s="13">
        <f>_xll.BDH("BLUE US Equity","IS_OPERATING_EXPN","FQ4 2024","FQ4 2024","Currency=USD","Period=FQ","BEST_FPERIOD_OVERRIDE=FQ","FILING_STATUS=MR","SCALING_FORMAT=MLN","FA_ADJUSTED=Adjusted","Sort=A","Dates=H","DateFormat=P","Fill=—","Direction=H","UseDPDF=Y")</f>
        <v>52.238999999999997</v>
      </c>
      <c r="Z13" s="13"/>
      <c r="AA13" s="13"/>
    </row>
    <row r="14" spans="1:27" x14ac:dyDescent="0.25">
      <c r="A14" s="10" t="s">
        <v>288</v>
      </c>
      <c r="B14" s="10" t="s">
        <v>289</v>
      </c>
      <c r="C14" s="13">
        <f>_xll.BDH("BLUE US Equity","IS_SGA_EXPENSE","FQ2 2019","FQ2 2019","Currency=USD","Period=FQ","BEST_FPERIOD_OVERRIDE=FQ","FILING_STATUS=MR","SCALING_FORMAT=MLN","FA_ADJUSTED=Adjusted","Sort=A","Dates=H","DateFormat=P","Fill=—","Direction=H","UseDPDF=Y")</f>
        <v>68.631</v>
      </c>
      <c r="D14" s="13">
        <f>_xll.BDH("BLUE US Equity","IS_SGA_EXPENSE","FQ3 2019","FQ3 2019","Currency=USD","Period=FQ","BEST_FPERIOD_OVERRIDE=FQ","FILING_STATUS=MR","SCALING_FORMAT=MLN","FA_ADJUSTED=Adjusted","Sort=A","Dates=H","DateFormat=P","Fill=—","Direction=H","UseDPDF=Y")</f>
        <v>66.25</v>
      </c>
      <c r="E14" s="13">
        <f>_xll.BDH("BLUE US Equity","IS_SGA_EXPENSE","FQ4 2019","FQ4 2019","Currency=USD","Period=FQ","BEST_FPERIOD_OVERRIDE=FQ","FILING_STATUS=MR","SCALING_FORMAT=MLN","FA_ADJUSTED=Adjusted","Sort=A","Dates=H","DateFormat=P","Fill=—","Direction=H","UseDPDF=Y")</f>
        <v>76.201999999999998</v>
      </c>
      <c r="F14" s="13">
        <f>_xll.BDH("BLUE US Equity","IS_SGA_EXPENSE","FQ1 2020","FQ1 2020","Currency=USD","Period=FQ","BEST_FPERIOD_OVERRIDE=FQ","FILING_STATUS=MR","SCALING_FORMAT=MLN","FA_ADJUSTED=Adjusted","Sort=A","Dates=H","DateFormat=P","Fill=—","Direction=H","UseDPDF=Y")</f>
        <v>73.248000000000005</v>
      </c>
      <c r="G14" s="13">
        <f>_xll.BDH("BLUE US Equity","IS_SGA_EXPENSE","FQ2 2020","FQ2 2020","Currency=USD","Period=FQ","BEST_FPERIOD_OVERRIDE=FQ","FILING_STATUS=MR","SCALING_FORMAT=MLN","FA_ADJUSTED=Adjusted","Sort=A","Dates=H","DateFormat=P","Fill=—","Direction=H","UseDPDF=Y")</f>
        <v>68.628</v>
      </c>
      <c r="H14" s="13">
        <f>_xll.BDH("BLUE US Equity","IS_SGA_EXPENSE","FQ3 2020","FQ3 2020","Currency=USD","Period=FQ","BEST_FPERIOD_OVERRIDE=FQ","FILING_STATUS=MR","SCALING_FORMAT=MLN","FA_ADJUSTED=Adjusted","Sort=A","Dates=H","DateFormat=P","Fill=—","Direction=H","UseDPDF=Y")</f>
        <v>68.046000000000006</v>
      </c>
      <c r="I14" s="13">
        <f>_xll.BDH("BLUE US Equity","IS_SGA_EXPENSE","FQ4 2020","FQ4 2020","Currency=USD","Period=FQ","BEST_FPERIOD_OVERRIDE=FQ","FILING_STATUS=MR","SCALING_FORMAT=MLN","FA_ADJUSTED=Adjusted","Sort=A","Dates=H","DateFormat=P","Fill=—","Direction=H","UseDPDF=Y")</f>
        <v>80.572000000000003</v>
      </c>
      <c r="J14" s="13">
        <f>_xll.BDH("BLUE US Equity","IS_SGA_EXPENSE","FQ1 2021","FQ1 2021","Currency=USD","Period=FQ","BEST_FPERIOD_OVERRIDE=FQ","FILING_STATUS=MR","SCALING_FORMAT=MLN","FA_ADJUSTED=Adjusted","Sort=A","Dates=H","DateFormat=P","Fill=—","Direction=H","UseDPDF=Y")</f>
        <v>63.569000000000003</v>
      </c>
      <c r="K14" s="13">
        <f>_xll.BDH("BLUE US Equity","IS_SGA_EXPENSE","FQ2 2021","FQ2 2021","Currency=USD","Period=FQ","BEST_FPERIOD_OVERRIDE=FQ","FILING_STATUS=MR","SCALING_FORMAT=MLN","FA_ADJUSTED=Adjusted","Sort=A","Dates=H","DateFormat=P","Fill=—","Direction=H","UseDPDF=Y")</f>
        <v>78.575999999999993</v>
      </c>
      <c r="L14" s="13">
        <f>_xll.BDH("BLUE US Equity","IS_SGA_EXPENSE","FQ3 2021","FQ3 2021","Currency=USD","Period=FQ","BEST_FPERIOD_OVERRIDE=FQ","FILING_STATUS=MR","SCALING_FORMAT=MLN","FA_ADJUSTED=Adjusted","Sort=A","Dates=H","DateFormat=P","Fill=—","Direction=H","UseDPDF=Y")</f>
        <v>42.228999999999999</v>
      </c>
      <c r="M14" s="13">
        <f>_xll.BDH("BLUE US Equity","IS_SGA_EXPENSE","FQ4 2021","FQ4 2021","Currency=USD","Period=FQ","BEST_FPERIOD_OVERRIDE=FQ","FILING_STATUS=MR","SCALING_FORMAT=MLN","FA_ADJUSTED=Adjusted","Sort=A","Dates=H","DateFormat=P","Fill=—","Direction=H","UseDPDF=Y")</f>
        <v>53.206000000000003</v>
      </c>
      <c r="N14" s="13">
        <f>_xll.BDH("BLUE US Equity","IS_SGA_EXPENSE","FQ1 2022","FQ1 2022","Currency=USD","Period=FQ","BEST_FPERIOD_OVERRIDE=FQ","FILING_STATUS=MR","SCALING_FORMAT=MLN","FA_ADJUSTED=Adjusted","Sort=A","Dates=H","DateFormat=P","Fill=—","Direction=H","UseDPDF=Y")</f>
        <v>36.106000000000002</v>
      </c>
      <c r="O14" s="13">
        <f>_xll.BDH("BLUE US Equity","IS_SGA_EXPENSE","FQ2 2022","FQ2 2022","Currency=USD","Period=FQ","BEST_FPERIOD_OVERRIDE=FQ","FILING_STATUS=MR","SCALING_FORMAT=MLN","FA_ADJUSTED=Adjusted","Sort=A","Dates=H","DateFormat=P","Fill=—","Direction=H","UseDPDF=Y")</f>
        <v>36.694000000000003</v>
      </c>
      <c r="P14" s="13">
        <f>_xll.BDH("BLUE US Equity","IS_SGA_EXPENSE","FQ3 2022","FQ3 2022","Currency=USD","Period=FQ","BEST_FPERIOD_OVERRIDE=FQ","FILING_STATUS=MR","SCALING_FORMAT=MLN","FA_ADJUSTED=Adjusted","Sort=A","Dates=H","DateFormat=P","Fill=—","Direction=H","UseDPDF=Y")</f>
        <v>33.402000000000001</v>
      </c>
      <c r="Q14" s="13">
        <f>_xll.BDH("BLUE US Equity","IS_SGA_EXPENSE","FQ4 2022","FQ4 2022","Currency=USD","Period=FQ","BEST_FPERIOD_OVERRIDE=FQ","FILING_STATUS=MR","SCALING_FORMAT=MLN","FA_ADJUSTED=Adjusted","Sort=A","Dates=H","DateFormat=P","Fill=—","Direction=H","UseDPDF=Y")</f>
        <v>34.124000000000002</v>
      </c>
      <c r="R14" s="13">
        <f>_xll.BDH("BLUE US Equity","IS_SGA_EXPENSE","FQ1 2023","FQ1 2023","Currency=USD","Period=FQ","BEST_FPERIOD_OVERRIDE=FQ","FILING_STATUS=MR","SCALING_FORMAT=MLN","FA_ADJUSTED=Adjusted","Sort=A","Dates=H","DateFormat=P","Fill=—","Direction=H","UseDPDF=Y")</f>
        <v>37.466999999999999</v>
      </c>
      <c r="S14" s="13">
        <f>_xll.BDH("BLUE US Equity","IS_SGA_EXPENSE","FQ2 2023","FQ2 2023","Currency=USD","Period=FQ","BEST_FPERIOD_OVERRIDE=FQ","FILING_STATUS=MR","SCALING_FORMAT=MLN","FA_ADJUSTED=Adjusted","Sort=A","Dates=H","DateFormat=P","Fill=—","Direction=H","UseDPDF=Y")</f>
        <v>40.462000000000003</v>
      </c>
      <c r="T14" s="13">
        <f>_xll.BDH("BLUE US Equity","IS_SGA_EXPENSE","FQ3 2023","FQ3 2023","Currency=USD","Period=FQ","BEST_FPERIOD_OVERRIDE=FQ","FILING_STATUS=MR","SCALING_FORMAT=MLN","FA_ADJUSTED=Adjusted","Sort=A","Dates=H","DateFormat=P","Fill=—","Direction=H","UseDPDF=Y")</f>
        <v>40.771000000000001</v>
      </c>
      <c r="U14" s="13">
        <f>_xll.BDH("BLUE US Equity","IS_SGA_EXPENSE","FQ4 2023","FQ4 2023","Currency=USD","Period=FQ","BEST_FPERIOD_OVERRIDE=FQ","FILING_STATUS=MR","SCALING_FORMAT=MLN","FA_ADJUSTED=Adjusted","Sort=A","Dates=H","DateFormat=P","Fill=—","Direction=H","UseDPDF=Y")</f>
        <v>47.103999999999999</v>
      </c>
      <c r="V14" s="13">
        <f>_xll.BDH("BLUE US Equity","IS_SGA_EXPENSE","FQ1 2024","FQ1 2024","Currency=USD","Period=FQ","BEST_FPERIOD_OVERRIDE=FQ","FILING_STATUS=MR","SCALING_FORMAT=MLN","FA_ADJUSTED=Adjusted","Sort=A","Dates=H","DateFormat=P","Fill=—","Direction=H","UseDPDF=Y")</f>
        <v>46.329000000000001</v>
      </c>
      <c r="W14" s="13">
        <f>_xll.BDH("BLUE US Equity","IS_SGA_EXPENSE","FQ2 2024","FQ2 2024","Currency=USD","Period=FQ","BEST_FPERIOD_OVERRIDE=FQ","FILING_STATUS=MR","SCALING_FORMAT=MLN","FA_ADJUSTED=Adjusted","Sort=A","Dates=H","DateFormat=P","Fill=—","Direction=H","UseDPDF=Y")</f>
        <v>50.384999999999998</v>
      </c>
      <c r="X14" s="13">
        <f>_xll.BDH("BLUE US Equity","IS_SGA_EXPENSE","FQ3 2024","FQ3 2024","Currency=USD","Period=FQ","BEST_FPERIOD_OVERRIDE=FQ","FILING_STATUS=MR","SCALING_FORMAT=MLN","FA_ADJUSTED=Adjusted","Sort=A","Dates=H","DateFormat=P","Fill=—","Direction=H","UseDPDF=Y")</f>
        <v>39.765000000000001</v>
      </c>
      <c r="Y14" s="13">
        <f>_xll.BDH("BLUE US Equity","IS_SGA_EXPENSE","FQ4 2024","FQ4 2024","Currency=USD","Period=FQ","BEST_FPERIOD_OVERRIDE=FQ","FILING_STATUS=MR","SCALING_FORMAT=MLN","FA_ADJUSTED=Adjusted","Sort=A","Dates=H","DateFormat=P","Fill=—","Direction=H","UseDPDF=Y")</f>
        <v>31.395</v>
      </c>
      <c r="Z14" s="13"/>
      <c r="AA14" s="13"/>
    </row>
    <row r="15" spans="1:27" x14ac:dyDescent="0.25">
      <c r="A15" s="11" t="s">
        <v>290</v>
      </c>
      <c r="B15" s="11" t="s">
        <v>291</v>
      </c>
      <c r="C15" s="25">
        <f>_xll.BDH("BLUE US Equity","IS_GENERAL_AND_ADMINISTRATIVE","FQ2 2019","FQ2 2019","Currency=USD","Period=FQ","BEST_FPERIOD_OVERRIDE=FQ","FILING_STATUS=MR","SCALING_FORMAT=MLN","FA_ADJUSTED=Adjusted","Sort=A","Dates=H","DateFormat=P","Fill=—","Direction=H","UseDPDF=Y")</f>
        <v>68.631</v>
      </c>
      <c r="D15" s="25">
        <f>_xll.BDH("BLUE US Equity","IS_GENERAL_AND_ADMINISTRATIVE","FQ3 2019","FQ3 2019","Currency=USD","Period=FQ","BEST_FPERIOD_OVERRIDE=FQ","FILING_STATUS=MR","SCALING_FORMAT=MLN","FA_ADJUSTED=Adjusted","Sort=A","Dates=H","DateFormat=P","Fill=—","Direction=H","UseDPDF=Y")</f>
        <v>66.25</v>
      </c>
      <c r="E15" s="25" t="str">
        <f>_xll.BDH("BLUE US Equity","IS_GENERAL_AND_ADMINISTRATIVE","FQ4 2019","FQ4 2019","Currency=USD","Period=FQ","BEST_FPERIOD_OVERRIDE=FQ","FILING_STATUS=MR","SCALING_FORMAT=MLN","FA_ADJUSTED=Adjusted","Sort=A","Dates=H","DateFormat=P","Fill=—","Direction=H","UseDPDF=Y")</f>
        <v>—</v>
      </c>
      <c r="F15" s="25" t="str">
        <f>_xll.BDH("BLUE US Equity","IS_GENERAL_AND_ADMINISTRATIVE","FQ1 2020","FQ1 2020","Currency=USD","Period=FQ","BEST_FPERIOD_OVERRIDE=FQ","FILING_STATUS=MR","SCALING_FORMAT=MLN","FA_ADJUSTED=Adjusted","Sort=A","Dates=H","DateFormat=P","Fill=—","Direction=H","UseDPDF=Y")</f>
        <v>—</v>
      </c>
      <c r="G15" s="25" t="str">
        <f>_xll.BDH("BLUE US Equity","IS_GENERAL_AND_ADMINISTRATIVE","FQ2 2020","FQ2 2020","Currency=USD","Period=FQ","BEST_FPERIOD_OVERRIDE=FQ","FILING_STATUS=MR","SCALING_FORMAT=MLN","FA_ADJUSTED=Adjusted","Sort=A","Dates=H","DateFormat=P","Fill=—","Direction=H","UseDPDF=Y")</f>
        <v>—</v>
      </c>
      <c r="H15" s="25" t="str">
        <f>_xll.BDH("BLUE US Equity","IS_GENERAL_AND_ADMINISTRATIVE","FQ3 2020","FQ3 2020","Currency=USD","Period=FQ","BEST_FPERIOD_OVERRIDE=FQ","FILING_STATUS=MR","SCALING_FORMAT=MLN","FA_ADJUSTED=Adjusted","Sort=A","Dates=H","DateFormat=P","Fill=—","Direction=H","UseDPDF=Y")</f>
        <v>—</v>
      </c>
      <c r="I15" s="25" t="str">
        <f>_xll.BDH("BLUE US Equity","IS_GENERAL_AND_ADMINISTRATIVE","FQ4 2020","FQ4 2020","Currency=USD","Period=FQ","BEST_FPERIOD_OVERRIDE=FQ","FILING_STATUS=MR","SCALING_FORMAT=MLN","FA_ADJUSTED=Adjusted","Sort=A","Dates=H","DateFormat=P","Fill=—","Direction=H","UseDPDF=Y")</f>
        <v>—</v>
      </c>
      <c r="J15" s="25" t="str">
        <f>_xll.BDH("BLUE US Equity","IS_GENERAL_AND_ADMINISTRATIVE","FQ1 2021","FQ1 2021","Currency=USD","Period=FQ","BEST_FPERIOD_OVERRIDE=FQ","FILING_STATUS=MR","SCALING_FORMAT=MLN","FA_ADJUSTED=Adjusted","Sort=A","Dates=H","DateFormat=P","Fill=—","Direction=H","UseDPDF=Y")</f>
        <v>—</v>
      </c>
      <c r="K15" s="25" t="str">
        <f>_xll.BDH("BLUE US Equity","IS_GENERAL_AND_ADMINISTRATIVE","FQ2 2021","FQ2 2021","Currency=USD","Period=FQ","BEST_FPERIOD_OVERRIDE=FQ","FILING_STATUS=MR","SCALING_FORMAT=MLN","FA_ADJUSTED=Adjusted","Sort=A","Dates=H","DateFormat=P","Fill=—","Direction=H","UseDPDF=Y")</f>
        <v>—</v>
      </c>
      <c r="L15" s="25" t="str">
        <f>_xll.BDH("BLUE US Equity","IS_GENERAL_AND_ADMINISTRATIVE","FQ3 2021","FQ3 2021","Currency=USD","Period=FQ","BEST_FPERIOD_OVERRIDE=FQ","FILING_STATUS=MR","SCALING_FORMAT=MLN","FA_ADJUSTED=Adjusted","Sort=A","Dates=H","DateFormat=P","Fill=—","Direction=H","UseDPDF=Y")</f>
        <v>—</v>
      </c>
      <c r="M15" s="25" t="str">
        <f>_xll.BDH("BLUE US Equity","IS_GENERAL_AND_ADMINISTRATIVE","FQ4 2021","FQ4 2021","Currency=USD","Period=FQ","BEST_FPERIOD_OVERRIDE=FQ","FILING_STATUS=MR","SCALING_FORMAT=MLN","FA_ADJUSTED=Adjusted","Sort=A","Dates=H","DateFormat=P","Fill=—","Direction=H","UseDPDF=Y")</f>
        <v>—</v>
      </c>
      <c r="N15" s="25" t="str">
        <f>_xll.BDH("BLUE US Equity","IS_GENERAL_AND_ADMINISTRATIVE","FQ1 2022","FQ1 2022","Currency=USD","Period=FQ","BEST_FPERIOD_OVERRIDE=FQ","FILING_STATUS=MR","SCALING_FORMAT=MLN","FA_ADJUSTED=Adjusted","Sort=A","Dates=H","DateFormat=P","Fill=—","Direction=H","UseDPDF=Y")</f>
        <v>—</v>
      </c>
      <c r="O15" s="25" t="str">
        <f>_xll.BDH("BLUE US Equity","IS_GENERAL_AND_ADMINISTRATIVE","FQ2 2022","FQ2 2022","Currency=USD","Period=FQ","BEST_FPERIOD_OVERRIDE=FQ","FILING_STATUS=MR","SCALING_FORMAT=MLN","FA_ADJUSTED=Adjusted","Sort=A","Dates=H","DateFormat=P","Fill=—","Direction=H","UseDPDF=Y")</f>
        <v>—</v>
      </c>
      <c r="P15" s="25" t="str">
        <f>_xll.BDH("BLUE US Equity","IS_GENERAL_AND_ADMINISTRATIVE","FQ3 2022","FQ3 2022","Currency=USD","Period=FQ","BEST_FPERIOD_OVERRIDE=FQ","FILING_STATUS=MR","SCALING_FORMAT=MLN","FA_ADJUSTED=Adjusted","Sort=A","Dates=H","DateFormat=P","Fill=—","Direction=H","UseDPDF=Y")</f>
        <v>—</v>
      </c>
      <c r="Q15" s="25" t="str">
        <f>_xll.BDH("BLUE US Equity","IS_GENERAL_AND_ADMINISTRATIVE","FQ4 2022","FQ4 2022","Currency=USD","Period=FQ","BEST_FPERIOD_OVERRIDE=FQ","FILING_STATUS=MR","SCALING_FORMAT=MLN","FA_ADJUSTED=Adjusted","Sort=A","Dates=H","DateFormat=P","Fill=—","Direction=H","UseDPDF=Y")</f>
        <v>—</v>
      </c>
      <c r="R15" s="25" t="str">
        <f>_xll.BDH("BLUE US Equity","IS_GENERAL_AND_ADMINISTRATIVE","FQ1 2023","FQ1 2023","Currency=USD","Period=FQ","BEST_FPERIOD_OVERRIDE=FQ","FILING_STATUS=MR","SCALING_FORMAT=MLN","FA_ADJUSTED=Adjusted","Sort=A","Dates=H","DateFormat=P","Fill=—","Direction=H","UseDPDF=Y")</f>
        <v>—</v>
      </c>
      <c r="S15" s="25" t="str">
        <f>_xll.BDH("BLUE US Equity","IS_GENERAL_AND_ADMINISTRATIVE","FQ2 2023","FQ2 2023","Currency=USD","Period=FQ","BEST_FPERIOD_OVERRIDE=FQ","FILING_STATUS=MR","SCALING_FORMAT=MLN","FA_ADJUSTED=Adjusted","Sort=A","Dates=H","DateFormat=P","Fill=—","Direction=H","UseDPDF=Y")</f>
        <v>—</v>
      </c>
      <c r="T15" s="25" t="str">
        <f>_xll.BDH("BLUE US Equity","IS_GENERAL_AND_ADMINISTRATIVE","FQ3 2023","FQ3 2023","Currency=USD","Period=FQ","BEST_FPERIOD_OVERRIDE=FQ","FILING_STATUS=MR","SCALING_FORMAT=MLN","FA_ADJUSTED=Adjusted","Sort=A","Dates=H","DateFormat=P","Fill=—","Direction=H","UseDPDF=Y")</f>
        <v>—</v>
      </c>
      <c r="U15" s="25" t="str">
        <f>_xll.BDH("BLUE US Equity","IS_GENERAL_AND_ADMINISTRATIVE","FQ4 2023","FQ4 2023","Currency=USD","Period=FQ","BEST_FPERIOD_OVERRIDE=FQ","FILING_STATUS=MR","SCALING_FORMAT=MLN","FA_ADJUSTED=Adjusted","Sort=A","Dates=H","DateFormat=P","Fill=—","Direction=H","UseDPDF=Y")</f>
        <v>—</v>
      </c>
      <c r="V15" s="25" t="str">
        <f>_xll.BDH("BLUE US Equity","IS_GENERAL_AND_ADMINISTRATIVE","FQ1 2024","FQ1 2024","Currency=USD","Period=FQ","BEST_FPERIOD_OVERRIDE=FQ","FILING_STATUS=MR","SCALING_FORMAT=MLN","FA_ADJUSTED=Adjusted","Sort=A","Dates=H","DateFormat=P","Fill=—","Direction=H","UseDPDF=Y")</f>
        <v>—</v>
      </c>
      <c r="W15" s="25" t="str">
        <f>_xll.BDH("BLUE US Equity","IS_GENERAL_AND_ADMINISTRATIVE","FQ2 2024","FQ2 2024","Currency=USD","Period=FQ","BEST_FPERIOD_OVERRIDE=FQ","FILING_STATUS=MR","SCALING_FORMAT=MLN","FA_ADJUSTED=Adjusted","Sort=A","Dates=H","DateFormat=P","Fill=—","Direction=H","UseDPDF=Y")</f>
        <v>—</v>
      </c>
      <c r="X15" s="25" t="str">
        <f>_xll.BDH("BLUE US Equity","IS_GENERAL_AND_ADMINISTRATIVE","FQ3 2024","FQ3 2024","Currency=USD","Period=FQ","BEST_FPERIOD_OVERRIDE=FQ","FILING_STATUS=MR","SCALING_FORMAT=MLN","FA_ADJUSTED=Adjusted","Sort=A","Dates=H","DateFormat=P","Fill=—","Direction=H","UseDPDF=Y")</f>
        <v>—</v>
      </c>
      <c r="Y15" s="25" t="str">
        <f>_xll.BDH("BLUE US Equity","IS_GENERAL_AND_ADMINISTRATIVE","FQ4 2024","FQ4 2024","Currency=USD","Period=FQ","BEST_FPERIOD_OVERRIDE=FQ","FILING_STATUS=MR","SCALING_FORMAT=MLN","FA_ADJUSTED=Adjusted","Sort=A","Dates=H","DateFormat=P","Fill=—","Direction=H","UseDPDF=Y")</f>
        <v>—</v>
      </c>
      <c r="Z15" s="25"/>
      <c r="AA15" s="25"/>
    </row>
    <row r="16" spans="1:27" x14ac:dyDescent="0.25">
      <c r="A16" s="10" t="s">
        <v>292</v>
      </c>
      <c r="B16" s="10" t="s">
        <v>293</v>
      </c>
      <c r="C16" s="13">
        <f>_xll.BDH("BLUE US Equity","IS_OPERATING_EXPENSES_RD","FQ2 2019","FQ2 2019","Currency=USD","Period=FQ","BEST_FPERIOD_OVERRIDE=FQ","FILING_STATUS=MR","SCALING_FORMAT=MLN","Sort=A","Dates=H","DateFormat=P","Fill=—","Direction=H","UseDPDF=Y")</f>
        <v>146.54</v>
      </c>
      <c r="D16" s="13">
        <f>_xll.BDH("BLUE US Equity","IS_OPERATING_EXPENSES_RD","FQ3 2019","FQ3 2019","Currency=USD","Period=FQ","BEST_FPERIOD_OVERRIDE=FQ","FILING_STATUS=MR","SCALING_FORMAT=MLN","Sort=A","Dates=H","DateFormat=P","Fill=—","Direction=H","UseDPDF=Y")</f>
        <v>151.41200000000001</v>
      </c>
      <c r="E16" s="13">
        <f>_xll.BDH("BLUE US Equity","IS_OPERATING_EXPENSES_RD","FQ4 2019","FQ4 2019","Currency=USD","Period=FQ","BEST_FPERIOD_OVERRIDE=FQ","FILING_STATUS=MR","SCALING_FORMAT=MLN","Sort=A","Dates=H","DateFormat=P","Fill=—","Direction=H","UseDPDF=Y")</f>
        <v>161.821</v>
      </c>
      <c r="F16" s="13">
        <f>_xll.BDH("BLUE US Equity","IS_OPERATING_EXPENSES_RD","FQ1 2020","FQ1 2020","Currency=USD","Period=FQ","BEST_FPERIOD_OVERRIDE=FQ","FILING_STATUS=MR","SCALING_FORMAT=MLN","Sort=A","Dates=H","DateFormat=P","Fill=—","Direction=H","UseDPDF=Y")</f>
        <v>154.12299999999999</v>
      </c>
      <c r="G16" s="13">
        <f>_xll.BDH("BLUE US Equity","IS_OPERATING_EXPENSES_RD","FQ2 2020","FQ2 2020","Currency=USD","Period=FQ","BEST_FPERIOD_OVERRIDE=FQ","FILING_STATUS=MR","SCALING_FORMAT=MLN","Sort=A","Dates=H","DateFormat=P","Fill=—","Direction=H","UseDPDF=Y")</f>
        <v>156.30799999999999</v>
      </c>
      <c r="H16" s="13">
        <f>_xll.BDH("BLUE US Equity","IS_OPERATING_EXPENSES_RD","FQ3 2020","FQ3 2020","Currency=USD","Period=FQ","BEST_FPERIOD_OVERRIDE=FQ","FILING_STATUS=MR","SCALING_FORMAT=MLN","Sort=A","Dates=H","DateFormat=P","Fill=—","Direction=H","UseDPDF=Y")</f>
        <v>140.43100000000001</v>
      </c>
      <c r="I16" s="13">
        <f>_xll.BDH("BLUE US Equity","IS_OPERATING_EXPENSES_RD","FQ4 2020","FQ4 2020","Currency=USD","Period=FQ","BEST_FPERIOD_OVERRIDE=FQ","FILING_STATUS=MR","SCALING_FORMAT=MLN","Sort=A","Dates=H","DateFormat=P","Fill=—","Direction=H","UseDPDF=Y")</f>
        <v>58.814999999999998</v>
      </c>
      <c r="J16" s="13">
        <f>_xll.BDH("BLUE US Equity","IS_OPERATING_EXPENSES_RD","FQ1 2021","FQ1 2021","Currency=USD","Period=FQ","BEST_FPERIOD_OVERRIDE=FQ","FILING_STATUS=MR","SCALING_FORMAT=MLN","Sort=A","Dates=H","DateFormat=P","Fill=—","Direction=H","UseDPDF=Y")</f>
        <v>82.843000000000004</v>
      </c>
      <c r="K16" s="13">
        <f>_xll.BDH("BLUE US Equity","IS_OPERATING_EXPENSES_RD","FQ2 2021","FQ2 2021","Currency=USD","Period=FQ","BEST_FPERIOD_OVERRIDE=FQ","FILING_STATUS=MR","SCALING_FORMAT=MLN","Sort=A","Dates=H","DateFormat=P","Fill=—","Direction=H","UseDPDF=Y")</f>
        <v>144.315</v>
      </c>
      <c r="L16" s="13">
        <f>_xll.BDH("BLUE US Equity","IS_OPERATING_EXPENSES_RD","FQ3 2021","FQ3 2021","Currency=USD","Period=FQ","BEST_FPERIOD_OVERRIDE=FQ","FILING_STATUS=MR","SCALING_FORMAT=MLN","Sort=A","Dates=H","DateFormat=P","Fill=—","Direction=H","UseDPDF=Y")</f>
        <v>73.679000000000002</v>
      </c>
      <c r="M16" s="13">
        <f>_xll.BDH("BLUE US Equity","IS_OPERATING_EXPENSES_RD","FQ4 2021","FQ4 2021","Currency=USD","Period=FQ","BEST_FPERIOD_OVERRIDE=FQ","FILING_STATUS=MR","SCALING_FORMAT=MLN","Sort=A","Dates=H","DateFormat=P","Fill=—","Direction=H","UseDPDF=Y")</f>
        <v>79.384</v>
      </c>
      <c r="N16" s="13">
        <f>_xll.BDH("BLUE US Equity","IS_OPERATING_EXPENSES_RD","FQ1 2022","FQ1 2022","Currency=USD","Period=FQ","BEST_FPERIOD_OVERRIDE=FQ","FILING_STATUS=MR","SCALING_FORMAT=MLN","Sort=A","Dates=H","DateFormat=P","Fill=—","Direction=H","UseDPDF=Y")</f>
        <v>77.875</v>
      </c>
      <c r="O16" s="13">
        <f>_xll.BDH("BLUE US Equity","IS_OPERATING_EXPENSES_RD","FQ2 2022","FQ2 2022","Currency=USD","Period=FQ","BEST_FPERIOD_OVERRIDE=FQ","FILING_STATUS=MR","SCALING_FORMAT=MLN","Sort=A","Dates=H","DateFormat=P","Fill=—","Direction=H","UseDPDF=Y")</f>
        <v>63.841000000000001</v>
      </c>
      <c r="P16" s="13">
        <f>_xll.BDH("BLUE US Equity","IS_OPERATING_EXPENSES_RD","FQ3 2022","FQ3 2022","Currency=USD","Period=FQ","BEST_FPERIOD_OVERRIDE=FQ","FILING_STATUS=MR","SCALING_FORMAT=MLN","Sort=A","Dates=H","DateFormat=P","Fill=—","Direction=H","UseDPDF=Y")</f>
        <v>53.149000000000001</v>
      </c>
      <c r="Q16" s="13">
        <f>_xll.BDH("BLUE US Equity","IS_OPERATING_EXPENSES_RD","FQ4 2022","FQ4 2022","Currency=USD","Period=FQ","BEST_FPERIOD_OVERRIDE=FQ","FILING_STATUS=MR","SCALING_FORMAT=MLN","Sort=A","Dates=H","DateFormat=P","Fill=—","Direction=H","UseDPDF=Y")</f>
        <v>5.5739999999999998</v>
      </c>
      <c r="R16" s="13">
        <f>_xll.BDH("BLUE US Equity","IS_OPERATING_EXPENSES_RD","FQ1 2023","FQ1 2023","Currency=USD","Period=FQ","BEST_FPERIOD_OVERRIDE=FQ","FILING_STATUS=MR","SCALING_FORMAT=MLN","Sort=A","Dates=H","DateFormat=P","Fill=—","Direction=H","UseDPDF=Y")</f>
        <v>41.587000000000003</v>
      </c>
      <c r="S16" s="13">
        <f>_xll.BDH("BLUE US Equity","IS_OPERATING_EXPENSES_RD","FQ2 2023","FQ2 2023","Currency=USD","Period=FQ","BEST_FPERIOD_OVERRIDE=FQ","FILING_STATUS=MR","SCALING_FORMAT=MLN","Sort=A","Dates=H","DateFormat=P","Fill=—","Direction=H","UseDPDF=Y")</f>
        <v>31.448</v>
      </c>
      <c r="T16" s="13">
        <f>_xll.BDH("BLUE US Equity","IS_OPERATING_EXPENSES_RD","FQ3 2023","FQ3 2023","Currency=USD","Period=FQ","BEST_FPERIOD_OVERRIDE=FQ","FILING_STATUS=MR","SCALING_FORMAT=MLN","Sort=A","Dates=H","DateFormat=P","Fill=—","Direction=H","UseDPDF=Y")</f>
        <v>58.500999999999998</v>
      </c>
      <c r="U16" s="13">
        <f>_xll.BDH("BLUE US Equity","IS_OPERATING_EXPENSES_RD","FQ4 2023","FQ4 2023","Currency=USD","Period=FQ","BEST_FPERIOD_OVERRIDE=FQ","FILING_STATUS=MR","SCALING_FORMAT=MLN","Sort=A","Dates=H","DateFormat=P","Fill=—","Direction=H","UseDPDF=Y")</f>
        <v>33.771000000000001</v>
      </c>
      <c r="V16" s="13">
        <f>_xll.BDH("BLUE US Equity","IS_OPERATING_EXPENSES_RD","FQ1 2024","FQ1 2024","Currency=USD","Period=FQ","BEST_FPERIOD_OVERRIDE=FQ","FILING_STATUS=MR","SCALING_FORMAT=MLN","Sort=A","Dates=H","DateFormat=P","Fill=—","Direction=H","UseDPDF=Y")</f>
        <v>25.071999999999999</v>
      </c>
      <c r="W16" s="13">
        <f>_xll.BDH("BLUE US Equity","IS_OPERATING_EXPENSES_RD","FQ2 2024","FQ2 2024","Currency=USD","Period=FQ","BEST_FPERIOD_OVERRIDE=FQ","FILING_STATUS=MR","SCALING_FORMAT=MLN","Sort=A","Dates=H","DateFormat=P","Fill=—","Direction=H","UseDPDF=Y")</f>
        <v>25.161999999999999</v>
      </c>
      <c r="X16" s="13">
        <f>_xll.BDH("BLUE US Equity","IS_OPERATING_EXPENSES_RD","FQ3 2024","FQ3 2024","Currency=USD","Period=FQ","BEST_FPERIOD_OVERRIDE=FQ","FILING_STATUS=MR","SCALING_FORMAT=MLN","Sort=A","Dates=H","DateFormat=P","Fill=—","Direction=H","UseDPDF=Y")</f>
        <v>23.173999999999999</v>
      </c>
      <c r="Y16" s="13">
        <f>_xll.BDH("BLUE US Equity","IS_OPERATING_EXPENSES_RD","FQ4 2024","FQ4 2024","Currency=USD","Period=FQ","BEST_FPERIOD_OVERRIDE=FQ","FILING_STATUS=MR","SCALING_FORMAT=MLN","Sort=A","Dates=H","DateFormat=P","Fill=—","Direction=H","UseDPDF=Y")</f>
        <v>20.844000000000001</v>
      </c>
      <c r="Z16" s="13"/>
      <c r="AA16" s="13"/>
    </row>
    <row r="17" spans="1:27" x14ac:dyDescent="0.25">
      <c r="A17" s="10" t="s">
        <v>294</v>
      </c>
      <c r="B17" s="10" t="s">
        <v>295</v>
      </c>
      <c r="C17" s="13">
        <f>_xll.BDH("BLUE US Equity","IS_OTHER_OPERATING_EXPENSES","FQ2 2019","FQ2 2019","Currency=USD","Period=FQ","BEST_FPERIOD_OVERRIDE=FQ","FILING_STATUS=MR","SCALING_FORMAT=MLN","FA_ADJUSTED=Adjusted","Sort=A","Dates=H","DateFormat=P","Fill=—","Direction=H","UseDPDF=Y")</f>
        <v>0.61299999999999999</v>
      </c>
      <c r="D17" s="13">
        <f>_xll.BDH("BLUE US Equity","IS_OTHER_OPERATING_EXPENSES","FQ3 2019","FQ3 2019","Currency=USD","Period=FQ","BEST_FPERIOD_OVERRIDE=FQ","FILING_STATUS=MR","SCALING_FORMAT=MLN","FA_ADJUSTED=Adjusted","Sort=A","Dates=H","DateFormat=P","Fill=—","Direction=H","UseDPDF=Y")</f>
        <v>0.86199999999999999</v>
      </c>
      <c r="E17" s="13">
        <f>_xll.BDH("BLUE US Equity","IS_OTHER_OPERATING_EXPENSES","FQ4 2019","FQ4 2019","Currency=USD","Period=FQ","BEST_FPERIOD_OVERRIDE=FQ","FILING_STATUS=MR","SCALING_FORMAT=MLN","FA_ADJUSTED=Adjusted","Sort=A","Dates=H","DateFormat=P","Fill=—","Direction=H","UseDPDF=Y")</f>
        <v>1.073</v>
      </c>
      <c r="F17" s="13">
        <f>_xll.BDH("BLUE US Equity","IS_OTHER_OPERATING_EXPENSES","FQ1 2020","FQ1 2020","Currency=USD","Period=FQ","BEST_FPERIOD_OVERRIDE=FQ","FILING_STATUS=MR","SCALING_FORMAT=MLN","FA_ADJUSTED=Adjusted","Sort=A","Dates=H","DateFormat=P","Fill=—","Direction=H","UseDPDF=Y")</f>
        <v>1.0249999999999999</v>
      </c>
      <c r="G17" s="13">
        <f>_xll.BDH("BLUE US Equity","IS_OTHER_OPERATING_EXPENSES","FQ2 2020","FQ2 2020","Currency=USD","Period=FQ","BEST_FPERIOD_OVERRIDE=FQ","FILING_STATUS=MR","SCALING_FORMAT=MLN","FA_ADJUSTED=Adjusted","Sort=A","Dates=H","DateFormat=P","Fill=—","Direction=H","UseDPDF=Y")</f>
        <v>1.554</v>
      </c>
      <c r="H17" s="13">
        <f>_xll.BDH("BLUE US Equity","IS_OTHER_OPERATING_EXPENSES","FQ3 2020","FQ3 2020","Currency=USD","Period=FQ","BEST_FPERIOD_OVERRIDE=FQ","FILING_STATUS=MR","SCALING_FORMAT=MLN","FA_ADJUSTED=Adjusted","Sort=A","Dates=H","DateFormat=P","Fill=—","Direction=H","UseDPDF=Y")</f>
        <v>1.3180000000000001</v>
      </c>
      <c r="I17" s="13">
        <f>_xll.BDH("BLUE US Equity","IS_OTHER_OPERATING_EXPENSES","FQ4 2020","FQ4 2020","Currency=USD","Period=FQ","BEST_FPERIOD_OVERRIDE=FQ","FILING_STATUS=MR","SCALING_FORMAT=MLN","FA_ADJUSTED=Adjusted","Sort=A","Dates=H","DateFormat=P","Fill=—","Direction=H","UseDPDF=Y")</f>
        <v>0</v>
      </c>
      <c r="J17" s="13">
        <f>_xll.BDH("BLUE US Equity","IS_OTHER_OPERATING_EXPENSES","FQ1 2021","FQ1 2021","Currency=USD","Period=FQ","BEST_FPERIOD_OVERRIDE=FQ","FILING_STATUS=MR","SCALING_FORMAT=MLN","FA_ADJUSTED=Adjusted","Sort=A","Dates=H","DateFormat=P","Fill=—","Direction=H","UseDPDF=Y")</f>
        <v>28.003</v>
      </c>
      <c r="K17" s="13">
        <f>_xll.BDH("BLUE US Equity","IS_OTHER_OPERATING_EXPENSES","FQ2 2021","FQ2 2021","Currency=USD","Period=FQ","BEST_FPERIOD_OVERRIDE=FQ","FILING_STATUS=MR","SCALING_FORMAT=MLN","FA_ADJUSTED=Adjusted","Sort=A","Dates=H","DateFormat=P","Fill=—","Direction=H","UseDPDF=Y")</f>
        <v>25.372</v>
      </c>
      <c r="L17" s="13">
        <f>_xll.BDH("BLUE US Equity","IS_OTHER_OPERATING_EXPENSES","FQ3 2021","FQ3 2021","Currency=USD","Period=FQ","BEST_FPERIOD_OVERRIDE=FQ","FILING_STATUS=MR","SCALING_FORMAT=MLN","FA_ADJUSTED=Adjusted","Sort=A","Dates=H","DateFormat=P","Fill=—","Direction=H","UseDPDF=Y")</f>
        <v>0</v>
      </c>
      <c r="M17" s="13">
        <f>_xll.BDH("BLUE US Equity","IS_OTHER_OPERATING_EXPENSES","FQ4 2021","FQ4 2021","Currency=USD","Period=FQ","BEST_FPERIOD_OVERRIDE=FQ","FILING_STATUS=MR","SCALING_FORMAT=MLN","FA_ADJUSTED=Adjusted","Sort=A","Dates=H","DateFormat=P","Fill=—","Direction=H","UseDPDF=Y")</f>
        <v>7.6999999999999999E-2</v>
      </c>
      <c r="N17" s="13">
        <f>_xll.BDH("BLUE US Equity","IS_OTHER_OPERATING_EXPENSES","FQ1 2022","FQ1 2022","Currency=USD","Period=FQ","BEST_FPERIOD_OVERRIDE=FQ","FILING_STATUS=MR","SCALING_FORMAT=MLN","FA_ADJUSTED=Adjusted","Sort=A","Dates=H","DateFormat=P","Fill=—","Direction=H","UseDPDF=Y")</f>
        <v>-2.508</v>
      </c>
      <c r="O17" s="13">
        <f>_xll.BDH("BLUE US Equity","IS_OTHER_OPERATING_EXPENSES","FQ2 2022","FQ2 2022","Currency=USD","Period=FQ","BEST_FPERIOD_OVERRIDE=FQ","FILING_STATUS=MR","SCALING_FORMAT=MLN","FA_ADJUSTED=Adjusted","Sort=A","Dates=H","DateFormat=P","Fill=—","Direction=H","UseDPDF=Y")</f>
        <v>-0.627</v>
      </c>
      <c r="P17" s="13">
        <f>_xll.BDH("BLUE US Equity","IS_OTHER_OPERATING_EXPENSES","FQ3 2022","FQ3 2022","Currency=USD","Period=FQ","BEST_FPERIOD_OVERRIDE=FQ","FILING_STATUS=MR","SCALING_FORMAT=MLN","FA_ADJUSTED=Adjusted","Sort=A","Dates=H","DateFormat=P","Fill=—","Direction=H","UseDPDF=Y")</f>
        <v>0</v>
      </c>
      <c r="Q17" s="13">
        <f>_xll.BDH("BLUE US Equity","IS_OTHER_OPERATING_EXPENSES","FQ4 2022","FQ4 2022","Currency=USD","Period=FQ","BEST_FPERIOD_OVERRIDE=FQ","FILING_STATUS=MR","SCALING_FORMAT=MLN","FA_ADJUSTED=Adjusted","Sort=A","Dates=H","DateFormat=P","Fill=—","Direction=H","UseDPDF=Y")</f>
        <v>3.1349999999999998</v>
      </c>
      <c r="R17" s="13">
        <f>_xll.BDH("BLUE US Equity","IS_OTHER_OPERATING_EXPENSES","FQ1 2023","FQ1 2023","Currency=USD","Period=FQ","BEST_FPERIOD_OVERRIDE=FQ","FILING_STATUS=MR","SCALING_FORMAT=MLN","FA_ADJUSTED=Adjusted","Sort=A","Dates=H","DateFormat=P","Fill=—","Direction=H","UseDPDF=Y")</f>
        <v>0</v>
      </c>
      <c r="S17" s="13">
        <f>_xll.BDH("BLUE US Equity","IS_OTHER_OPERATING_EXPENSES","FQ2 2023","FQ2 2023","Currency=USD","Period=FQ","BEST_FPERIOD_OVERRIDE=FQ","FILING_STATUS=MR","SCALING_FORMAT=MLN","FA_ADJUSTED=Adjusted","Sort=A","Dates=H","DateFormat=P","Fill=—","Direction=H","UseDPDF=Y")</f>
        <v>0</v>
      </c>
      <c r="T17" s="13">
        <f>_xll.BDH("BLUE US Equity","IS_OTHER_OPERATING_EXPENSES","FQ3 2023","FQ3 2023","Currency=USD","Period=FQ","BEST_FPERIOD_OVERRIDE=FQ","FILING_STATUS=MR","SCALING_FORMAT=MLN","FA_ADJUSTED=Adjusted","Sort=A","Dates=H","DateFormat=P","Fill=—","Direction=H","UseDPDF=Y")</f>
        <v>0</v>
      </c>
      <c r="U17" s="13">
        <f>_xll.BDH("BLUE US Equity","IS_OTHER_OPERATING_EXPENSES","FQ4 2023","FQ4 2023","Currency=USD","Period=FQ","BEST_FPERIOD_OVERRIDE=FQ","FILING_STATUS=MR","SCALING_FORMAT=MLN","FA_ADJUSTED=Adjusted","Sort=A","Dates=H","DateFormat=P","Fill=—","Direction=H","UseDPDF=Y")</f>
        <v>0</v>
      </c>
      <c r="V17" s="13">
        <f>_xll.BDH("BLUE US Equity","IS_OTHER_OPERATING_EXPENSES","FQ1 2024","FQ1 2024","Currency=USD","Period=FQ","BEST_FPERIOD_OVERRIDE=FQ","FILING_STATUS=MR","SCALING_FORMAT=MLN","FA_ADJUSTED=Adjusted","Sort=A","Dates=H","DateFormat=P","Fill=—","Direction=H","UseDPDF=Y")</f>
        <v>0</v>
      </c>
      <c r="W17" s="13">
        <f>_xll.BDH("BLUE US Equity","IS_OTHER_OPERATING_EXPENSES","FQ2 2024","FQ2 2024","Currency=USD","Period=FQ","BEST_FPERIOD_OVERRIDE=FQ","FILING_STATUS=MR","SCALING_FORMAT=MLN","FA_ADJUSTED=Adjusted","Sort=A","Dates=H","DateFormat=P","Fill=—","Direction=H","UseDPDF=Y")</f>
        <v>0</v>
      </c>
      <c r="X17" s="13">
        <f>_xll.BDH("BLUE US Equity","IS_OTHER_OPERATING_EXPENSES","FQ3 2024","FQ3 2024","Currency=USD","Period=FQ","BEST_FPERIOD_OVERRIDE=FQ","FILING_STATUS=MR","SCALING_FORMAT=MLN","FA_ADJUSTED=Adjusted","Sort=A","Dates=H","DateFormat=P","Fill=—","Direction=H","UseDPDF=Y")</f>
        <v>0</v>
      </c>
      <c r="Y17" s="13">
        <f>_xll.BDH("BLUE US Equity","IS_OTHER_OPERATING_EXPENSES","FQ4 2024","FQ4 2024","Currency=USD","Period=FQ","BEST_FPERIOD_OVERRIDE=FQ","FILING_STATUS=MR","SCALING_FORMAT=MLN","FA_ADJUSTED=Adjusted","Sort=A","Dates=H","DateFormat=P","Fill=—","Direction=H","UseDPDF=Y")</f>
        <v>0</v>
      </c>
      <c r="Z17" s="13"/>
      <c r="AA17" s="13"/>
    </row>
    <row r="18" spans="1:27" x14ac:dyDescent="0.25">
      <c r="A18" s="6" t="s">
        <v>296</v>
      </c>
      <c r="B18" s="6" t="s">
        <v>99</v>
      </c>
      <c r="C18" s="19">
        <f>_xll.BDH("BLUE US Equity","IS_OPER_INC","FQ2 2019","FQ2 2019","Currency=USD","Period=FQ","BEST_FPERIOD_OVERRIDE=FQ","FILING_STATUS=MR","SCALING_FORMAT=MLN","FA_ADJUSTED=Adjusted","Sort=A","Dates=H","DateFormat=P","Fill=—","Direction=H","UseDPDF=Y")</f>
        <v>-202.488</v>
      </c>
      <c r="D18" s="19">
        <f>_xll.BDH("BLUE US Equity","IS_OPER_INC","FQ3 2019","FQ3 2019","Currency=USD","Period=FQ","BEST_FPERIOD_OVERRIDE=FQ","FILING_STATUS=MR","SCALING_FORMAT=MLN","FA_ADJUSTED=Adjusted","Sort=A","Dates=H","DateFormat=P","Fill=—","Direction=H","UseDPDF=Y")</f>
        <v>-209.614</v>
      </c>
      <c r="E18" s="19">
        <f>_xll.BDH("BLUE US Equity","IS_OPER_INC","FQ4 2019","FQ4 2019","Currency=USD","Period=FQ","BEST_FPERIOD_OVERRIDE=FQ","FILING_STATUS=MR","SCALING_FORMAT=MLN","FA_ADJUSTED=Adjusted","Sort=A","Dates=H","DateFormat=P","Fill=—","Direction=H","UseDPDF=Y")</f>
        <v>-229.09899999999999</v>
      </c>
      <c r="F18" s="19">
        <f>_xll.BDH("BLUE US Equity","IS_OPER_INC","FQ1 2020","FQ1 2020","Currency=USD","Period=FQ","BEST_FPERIOD_OVERRIDE=FQ","FILING_STATUS=MR","SCALING_FORMAT=MLN","FA_ADJUSTED=Adjusted","Sort=A","Dates=H","DateFormat=P","Fill=—","Direction=H","UseDPDF=Y")</f>
        <v>-206.53299999999999</v>
      </c>
      <c r="G18" s="19">
        <f>_xll.BDH("BLUE US Equity","IS_OPER_INC","FQ2 2020","FQ2 2020","Currency=USD","Period=FQ","BEST_FPERIOD_OVERRIDE=FQ","FILING_STATUS=MR","SCALING_FORMAT=MLN","FA_ADJUSTED=Adjusted","Sort=A","Dates=H","DateFormat=P","Fill=—","Direction=H","UseDPDF=Y")</f>
        <v>-27.6</v>
      </c>
      <c r="H18" s="19">
        <f>_xll.BDH("BLUE US Equity","IS_OPER_INC","FQ3 2020","FQ3 2020","Currency=USD","Period=FQ","BEST_FPERIOD_OVERRIDE=FQ","FILING_STATUS=MR","SCALING_FORMAT=MLN","FA_ADJUSTED=Adjusted","Sort=A","Dates=H","DateFormat=P","Fill=—","Direction=H","UseDPDF=Y")</f>
        <v>-190.52199999999999</v>
      </c>
      <c r="I18" s="19">
        <f>_xll.BDH("BLUE US Equity","IS_OPER_INC","FQ4 2020","FQ4 2020","Currency=USD","Period=FQ","BEST_FPERIOD_OVERRIDE=FQ","FILING_STATUS=MR","SCALING_FORMAT=MLN","FA_ADJUSTED=Adjusted","Sort=A","Dates=H","DateFormat=P","Fill=—","Direction=H","UseDPDF=Y")</f>
        <v>-139.387</v>
      </c>
      <c r="J18" s="19">
        <f>_xll.BDH("BLUE US Equity","IS_OPER_INC","FQ1 2021","FQ1 2021","Currency=USD","Period=FQ","BEST_FPERIOD_OVERRIDE=FQ","FILING_STATUS=MR","SCALING_FORMAT=MLN","FA_ADJUSTED=Adjusted","Sort=A","Dates=H","DateFormat=P","Fill=—","Direction=H","UseDPDF=Y")</f>
        <v>-174.09700000000001</v>
      </c>
      <c r="K18" s="19">
        <f>_xll.BDH("BLUE US Equity","IS_OPER_INC","FQ2 2021","FQ2 2021","Currency=USD","Period=FQ","BEST_FPERIOD_OVERRIDE=FQ","FILING_STATUS=MR","SCALING_FORMAT=MLN","FA_ADJUSTED=Adjusted","Sort=A","Dates=H","DateFormat=P","Fill=—","Direction=H","UseDPDF=Y")</f>
        <v>-240.791</v>
      </c>
      <c r="L18" s="19">
        <f>_xll.BDH("BLUE US Equity","IS_OPER_INC","FQ3 2021","FQ3 2021","Currency=USD","Period=FQ","BEST_FPERIOD_OVERRIDE=FQ","FILING_STATUS=MR","SCALING_FORMAT=MLN","FA_ADJUSTED=Adjusted","Sort=A","Dates=H","DateFormat=P","Fill=—","Direction=H","UseDPDF=Y")</f>
        <v>-134.274</v>
      </c>
      <c r="M18" s="19">
        <f>_xll.BDH("BLUE US Equity","IS_OPER_INC","FQ4 2021","FQ4 2021","Currency=USD","Period=FQ","BEST_FPERIOD_OVERRIDE=FQ","FILING_STATUS=MR","SCALING_FORMAT=MLN","FA_ADJUSTED=Adjusted","Sort=A","Dates=H","DateFormat=P","Fill=—","Direction=H","UseDPDF=Y")</f>
        <v>-134.74299999999999</v>
      </c>
      <c r="N18" s="19">
        <f>_xll.BDH("BLUE US Equity","IS_OPER_INC","FQ1 2022","FQ1 2022","Currency=USD","Period=FQ","BEST_FPERIOD_OVERRIDE=FQ","FILING_STATUS=MR","SCALING_FORMAT=MLN","FA_ADJUSTED=Adjusted","Sort=A","Dates=H","DateFormat=P","Fill=—","Direction=H","UseDPDF=Y")</f>
        <v>-117.83799999999999</v>
      </c>
      <c r="O18" s="19">
        <f>_xll.BDH("BLUE US Equity","IS_OPER_INC","FQ2 2022","FQ2 2022","Currency=USD","Period=FQ","BEST_FPERIOD_OVERRIDE=FQ","FILING_STATUS=MR","SCALING_FORMAT=MLN","FA_ADJUSTED=Adjusted","Sort=A","Dates=H","DateFormat=P","Fill=—","Direction=H","UseDPDF=Y")</f>
        <v>-100.134</v>
      </c>
      <c r="P18" s="19">
        <f>_xll.BDH("BLUE US Equity","IS_OPER_INC","FQ3 2022","FQ3 2022","Currency=USD","Period=FQ","BEST_FPERIOD_OVERRIDE=FQ","FILING_STATUS=MR","SCALING_FORMAT=MLN","FA_ADJUSTED=Adjusted","Sort=A","Dates=H","DateFormat=P","Fill=—","Direction=H","UseDPDF=Y")</f>
        <v>-86.48</v>
      </c>
      <c r="Q18" s="19">
        <f>_xll.BDH("BLUE US Equity","IS_OPER_INC","FQ4 2022","FQ4 2022","Currency=USD","Period=FQ","BEST_FPERIOD_OVERRIDE=FQ","FILING_STATUS=MR","SCALING_FORMAT=MLN","FA_ADJUSTED=Adjusted","Sort=A","Dates=H","DateFormat=P","Fill=—","Direction=H","UseDPDF=Y")</f>
        <v>-42.792999999999999</v>
      </c>
      <c r="R18" s="19">
        <f>_xll.BDH("BLUE US Equity","IS_OPER_INC","FQ1 2023","FQ1 2023","Currency=USD","Period=FQ","BEST_FPERIOD_OVERRIDE=FQ","FILING_STATUS=MR","SCALING_FORMAT=MLN","FA_ADJUSTED=Adjusted","Sort=A","Dates=H","DateFormat=P","Fill=—","Direction=H","UseDPDF=Y")</f>
        <v>-82.185000000000002</v>
      </c>
      <c r="S18" s="19">
        <f>_xll.BDH("BLUE US Equity","IS_OPER_INC","FQ2 2023","FQ2 2023","Currency=USD","Period=FQ","BEST_FPERIOD_OVERRIDE=FQ","FILING_STATUS=MR","SCALING_FORMAT=MLN","FA_ADJUSTED=Adjusted","Sort=A","Dates=H","DateFormat=P","Fill=—","Direction=H","UseDPDF=Y")</f>
        <v>-71.716999999999999</v>
      </c>
      <c r="T18" s="19">
        <f>_xll.BDH("BLUE US Equity","IS_OPER_INC","FQ3 2023","FQ3 2023","Currency=USD","Period=FQ","BEST_FPERIOD_OVERRIDE=FQ","FILING_STATUS=MR","SCALING_FORMAT=MLN","FA_ADJUSTED=Adjusted","Sort=A","Dates=H","DateFormat=P","Fill=—","Direction=H","UseDPDF=Y")</f>
        <v>-96.006</v>
      </c>
      <c r="U18" s="19">
        <f>_xll.BDH("BLUE US Equity","IS_OPER_INC","FQ4 2023","FQ4 2023","Currency=USD","Period=FQ","BEST_FPERIOD_OVERRIDE=FQ","FILING_STATUS=MR","SCALING_FORMAT=MLN","FA_ADJUSTED=Adjusted","Sort=A","Dates=H","DateFormat=P","Fill=—","Direction=H","UseDPDF=Y")</f>
        <v>-82.673000000000002</v>
      </c>
      <c r="V18" s="19">
        <f>_xll.BDH("BLUE US Equity","IS_OPER_INC","FQ1 2024","FQ1 2024","Currency=USD","Period=FQ","BEST_FPERIOD_OVERRIDE=FQ","FILING_STATUS=MR","SCALING_FORMAT=MLN","FA_ADJUSTED=Adjusted","Sort=A","Dates=H","DateFormat=P","Fill=—","Direction=H","UseDPDF=Y")</f>
        <v>-78.691999999999993</v>
      </c>
      <c r="W18" s="19">
        <f>_xll.BDH("BLUE US Equity","IS_OPER_INC","FQ2 2024","FQ2 2024","Currency=USD","Period=FQ","BEST_FPERIOD_OVERRIDE=FQ","FILING_STATUS=MR","SCALING_FORMAT=MLN","FA_ADJUSTED=Adjusted","Sort=A","Dates=H","DateFormat=P","Fill=—","Direction=H","UseDPDF=Y")</f>
        <v>-88.391999999999996</v>
      </c>
      <c r="X18" s="19">
        <f>_xll.BDH("BLUE US Equity","IS_OPER_INC","FQ3 2024","FQ3 2024","Currency=USD","Period=FQ","BEST_FPERIOD_OVERRIDE=FQ","FILING_STATUS=MR","SCALING_FORMAT=MLN","FA_ADJUSTED=Adjusted","Sort=A","Dates=H","DateFormat=P","Fill=—","Direction=H","UseDPDF=Y")</f>
        <v>-64.108000000000004</v>
      </c>
      <c r="Y18" s="19">
        <f>_xll.BDH("BLUE US Equity","IS_OPER_INC","FQ4 2024","FQ4 2024","Currency=USD","Period=FQ","BEST_FPERIOD_OVERRIDE=FQ","FILING_STATUS=MR","SCALING_FORMAT=MLN","FA_ADJUSTED=Adjusted","Sort=A","Dates=H","DateFormat=P","Fill=—","Direction=H","UseDPDF=Y")</f>
        <v>-36.506999999999998</v>
      </c>
      <c r="Z18" s="19">
        <v>-44.716999999999999</v>
      </c>
      <c r="AA18" s="19">
        <v>-24.567</v>
      </c>
    </row>
    <row r="19" spans="1:27" x14ac:dyDescent="0.25">
      <c r="A19" s="10" t="s">
        <v>297</v>
      </c>
      <c r="B19" s="10" t="s">
        <v>298</v>
      </c>
      <c r="C19" s="13">
        <f>_xll.BDH("BLUE US Equity","IS_NONOP_INCOME_LOSS","FQ2 2019","FQ2 2019","Currency=USD","Period=FQ","BEST_FPERIOD_OVERRIDE=FQ","FILING_STATUS=MR","SCALING_FORMAT=MLN","FA_ADJUSTED=Adjusted","Sort=A","Dates=H","DateFormat=P","Fill=—","Direction=H","UseDPDF=Y")</f>
        <v>-6.4509999999999996</v>
      </c>
      <c r="D19" s="13">
        <f>_xll.BDH("BLUE US Equity","IS_NONOP_INCOME_LOSS","FQ3 2019","FQ3 2019","Currency=USD","Period=FQ","BEST_FPERIOD_OVERRIDE=FQ","FILING_STATUS=MR","SCALING_FORMAT=MLN","FA_ADJUSTED=Adjusted","Sort=A","Dates=H","DateFormat=P","Fill=—","Direction=H","UseDPDF=Y")</f>
        <v>-4.1189999999999998</v>
      </c>
      <c r="E19" s="13">
        <f>_xll.BDH("BLUE US Equity","IS_NONOP_INCOME_LOSS","FQ4 2019","FQ4 2019","Currency=USD","Period=FQ","BEST_FPERIOD_OVERRIDE=FQ","FILING_STATUS=MR","SCALING_FORMAT=MLN","FA_ADJUSTED=Adjusted","Sort=A","Dates=H","DateFormat=P","Fill=—","Direction=H","UseDPDF=Y")</f>
        <v>-7.39</v>
      </c>
      <c r="F19" s="13">
        <f>_xll.BDH("BLUE US Equity","IS_NONOP_INCOME_LOSS","FQ1 2020","FQ1 2020","Currency=USD","Period=FQ","BEST_FPERIOD_OVERRIDE=FQ","FILING_STATUS=MR","SCALING_FORMAT=MLN","FA_ADJUSTED=Adjusted","Sort=A","Dates=H","DateFormat=P","Fill=—","Direction=H","UseDPDF=Y")</f>
        <v>-0.90800000000000003</v>
      </c>
      <c r="G19" s="13">
        <f>_xll.BDH("BLUE US Equity","IS_NONOP_INCOME_LOSS","FQ2 2020","FQ2 2020","Currency=USD","Period=FQ","BEST_FPERIOD_OVERRIDE=FQ","FILING_STATUS=MR","SCALING_FORMAT=MLN","FA_ADJUSTED=Adjusted","Sort=A","Dates=H","DateFormat=P","Fill=—","Direction=H","UseDPDF=Y")</f>
        <v>-4.49</v>
      </c>
      <c r="H19" s="13">
        <f>_xll.BDH("BLUE US Equity","IS_NONOP_INCOME_LOSS","FQ3 2020","FQ3 2020","Currency=USD","Period=FQ","BEST_FPERIOD_OVERRIDE=FQ","FILING_STATUS=MR","SCALING_FORMAT=MLN","FA_ADJUSTED=Adjusted","Sort=A","Dates=H","DateFormat=P","Fill=—","Direction=H","UseDPDF=Y")</f>
        <v>4.7220000000000004</v>
      </c>
      <c r="I19" s="13">
        <f>_xll.BDH("BLUE US Equity","IS_NONOP_INCOME_LOSS","FQ4 2020","FQ4 2020","Currency=USD","Period=FQ","BEST_FPERIOD_OVERRIDE=FQ","FILING_STATUS=MR","SCALING_FORMAT=MLN","FA_ADJUSTED=Adjusted","Sort=A","Dates=H","DateFormat=P","Fill=—","Direction=H","UseDPDF=Y")</f>
        <v>-3.319</v>
      </c>
      <c r="J19" s="13">
        <f>_xll.BDH("BLUE US Equity","IS_NONOP_INCOME_LOSS","FQ1 2021","FQ1 2021","Currency=USD","Period=FQ","BEST_FPERIOD_OVERRIDE=FQ","FILING_STATUS=MR","SCALING_FORMAT=MLN","FA_ADJUSTED=Adjusted","Sort=A","Dates=H","DateFormat=P","Fill=—","Direction=H","UseDPDF=Y")</f>
        <v>-24.655999999999999</v>
      </c>
      <c r="K19" s="13">
        <f>_xll.BDH("BLUE US Equity","IS_NONOP_INCOME_LOSS","FQ2 2021","FQ2 2021","Currency=USD","Period=FQ","BEST_FPERIOD_OVERRIDE=FQ","FILING_STATUS=MR","SCALING_FORMAT=MLN","FA_ADJUSTED=Adjusted","Sort=A","Dates=H","DateFormat=P","Fill=—","Direction=H","UseDPDF=Y")</f>
        <v>0.64800000000000002</v>
      </c>
      <c r="L19" s="13">
        <f>_xll.BDH("BLUE US Equity","IS_NONOP_INCOME_LOSS","FQ3 2021","FQ3 2021","Currency=USD","Period=FQ","BEST_FPERIOD_OVERRIDE=FQ","FILING_STATUS=MR","SCALING_FORMAT=MLN","FA_ADJUSTED=Adjusted","Sort=A","Dates=H","DateFormat=P","Fill=—","Direction=H","UseDPDF=Y")</f>
        <v>27.263000000000002</v>
      </c>
      <c r="M19" s="13">
        <f>_xll.BDH("BLUE US Equity","IS_NONOP_INCOME_LOSS","FQ4 2021","FQ4 2021","Currency=USD","Period=FQ","BEST_FPERIOD_OVERRIDE=FQ","FILING_STATUS=MR","SCALING_FORMAT=MLN","FA_ADJUSTED=Adjusted","Sort=A","Dates=H","DateFormat=P","Fill=—","Direction=H","UseDPDF=Y")</f>
        <v>-3.4289999999999998</v>
      </c>
      <c r="N19" s="13">
        <f>_xll.BDH("BLUE US Equity","IS_NONOP_INCOME_LOSS","FQ1 2022","FQ1 2022","Currency=USD","Period=FQ","BEST_FPERIOD_OVERRIDE=FQ","FILING_STATUS=MR","SCALING_FORMAT=MLN","FA_ADJUSTED=Adjusted","Sort=A","Dates=H","DateFormat=P","Fill=—","Direction=H","UseDPDF=Y")</f>
        <v>1.806</v>
      </c>
      <c r="O19" s="13">
        <f>_xll.BDH("BLUE US Equity","IS_NONOP_INCOME_LOSS","FQ2 2022","FQ2 2022","Currency=USD","Period=FQ","BEST_FPERIOD_OVERRIDE=FQ","FILING_STATUS=MR","SCALING_FORMAT=MLN","FA_ADJUSTED=Adjusted","Sort=A","Dates=H","DateFormat=P","Fill=—","Direction=H","UseDPDF=Y")</f>
        <v>-7.2619999999999996</v>
      </c>
      <c r="P19" s="13">
        <f>_xll.BDH("BLUE US Equity","IS_NONOP_INCOME_LOSS","FQ3 2022","FQ3 2022","Currency=USD","Period=FQ","BEST_FPERIOD_OVERRIDE=FQ","FILING_STATUS=MR","SCALING_FORMAT=MLN","FA_ADJUSTED=Adjusted","Sort=A","Dates=H","DateFormat=P","Fill=—","Direction=H","UseDPDF=Y")</f>
        <v>-11.403</v>
      </c>
      <c r="Q19" s="13">
        <f>_xll.BDH("BLUE US Equity","IS_NONOP_INCOME_LOSS","FQ4 2022","FQ4 2022","Currency=USD","Period=FQ","BEST_FPERIOD_OVERRIDE=FQ","FILING_STATUS=MR","SCALING_FORMAT=MLN","FA_ADJUSTED=Adjusted","Sort=A","Dates=H","DateFormat=P","Fill=—","Direction=H","UseDPDF=Y")</f>
        <v>-3.101</v>
      </c>
      <c r="R19" s="13">
        <f>_xll.BDH("BLUE US Equity","IS_NONOP_INCOME_LOSS","FQ1 2023","FQ1 2023","Currency=USD","Period=FQ","BEST_FPERIOD_OVERRIDE=FQ","FILING_STATUS=MR","SCALING_FORMAT=MLN","FA_ADJUSTED=Adjusted","Sort=A","Dates=H","DateFormat=P","Fill=—","Direction=H","UseDPDF=Y")</f>
        <v>-8.1850000000000005</v>
      </c>
      <c r="S19" s="13">
        <f>_xll.BDH("BLUE US Equity","IS_NONOP_INCOME_LOSS","FQ2 2023","FQ2 2023","Currency=USD","Period=FQ","BEST_FPERIOD_OVERRIDE=FQ","FILING_STATUS=MR","SCALING_FORMAT=MLN","FA_ADJUSTED=Adjusted","Sort=A","Dates=H","DateFormat=P","Fill=—","Direction=H","UseDPDF=Y")</f>
        <v>-8.8480000000000008</v>
      </c>
      <c r="T19" s="13">
        <f>_xll.BDH("BLUE US Equity","IS_NONOP_INCOME_LOSS","FQ3 2023","FQ3 2023","Currency=USD","Period=FQ","BEST_FPERIOD_OVERRIDE=FQ","FILING_STATUS=MR","SCALING_FORMAT=MLN","FA_ADJUSTED=Adjusted","Sort=A","Dates=H","DateFormat=P","Fill=—","Direction=H","UseDPDF=Y")</f>
        <v>-8.7739999999999991</v>
      </c>
      <c r="U19" s="13">
        <f>_xll.BDH("BLUE US Equity","IS_NONOP_INCOME_LOSS","FQ4 2023","FQ4 2023","Currency=USD","Period=FQ","BEST_FPERIOD_OVERRIDE=FQ","FILING_STATUS=MR","SCALING_FORMAT=MLN","FA_ADJUSTED=Adjusted","Sort=A","Dates=H","DateFormat=P","Fill=—","Direction=H","UseDPDF=Y")</f>
        <v>5.8869999999999996</v>
      </c>
      <c r="V19" s="13">
        <f>_xll.BDH("BLUE US Equity","IS_NONOP_INCOME_LOSS","FQ1 2024","FQ1 2024","Currency=USD","Period=FQ","BEST_FPERIOD_OVERRIDE=FQ","FILING_STATUS=MR","SCALING_FORMAT=MLN","FA_ADJUSTED=Adjusted","Sort=A","Dates=H","DateFormat=P","Fill=—","Direction=H","UseDPDF=Y")</f>
        <v>-8.8879999999999999</v>
      </c>
      <c r="W19" s="13">
        <f>_xll.BDH("BLUE US Equity","IS_NONOP_INCOME_LOSS","FQ2 2024","FQ2 2024","Currency=USD","Period=FQ","BEST_FPERIOD_OVERRIDE=FQ","FILING_STATUS=MR","SCALING_FORMAT=MLN","FA_ADJUSTED=Adjusted","Sort=A","Dates=H","DateFormat=P","Fill=—","Direction=H","UseDPDF=Y")</f>
        <v>-7.02</v>
      </c>
      <c r="X19" s="13">
        <f>_xll.BDH("BLUE US Equity","IS_NONOP_INCOME_LOSS","FQ3 2024","FQ3 2024","Currency=USD","Period=FQ","BEST_FPERIOD_OVERRIDE=FQ","FILING_STATUS=MR","SCALING_FORMAT=MLN","FA_ADJUSTED=Adjusted","Sort=A","Dates=H","DateFormat=P","Fill=—","Direction=H","UseDPDF=Y")</f>
        <v>-6.0529999999999999</v>
      </c>
      <c r="Y19" s="13">
        <f>_xll.BDH("BLUE US Equity","IS_NONOP_INCOME_LOSS","FQ4 2024","FQ4 2024","Currency=USD","Period=FQ","BEST_FPERIOD_OVERRIDE=FQ","FILING_STATUS=MR","SCALING_FORMAT=MLN","FA_ADJUSTED=Adjusted","Sort=A","Dates=H","DateFormat=P","Fill=—","Direction=H","UseDPDF=Y")</f>
        <v>-7.8550000000000004</v>
      </c>
      <c r="Z19" s="13"/>
      <c r="AA19" s="13"/>
    </row>
    <row r="20" spans="1:27" x14ac:dyDescent="0.25">
      <c r="A20" s="10" t="s">
        <v>299</v>
      </c>
      <c r="B20" s="10" t="s">
        <v>300</v>
      </c>
      <c r="C20" s="13">
        <f>_xll.BDH("BLUE US Equity","IS_NET_INTEREST_EXPENSE","FQ2 2019","FQ2 2019","Currency=USD","Period=FQ","BEST_FPERIOD_OVERRIDE=FQ","FILING_STATUS=MR","SCALING_FORMAT=MLN","FA_ADJUSTED=Adjusted","Sort=A","Dates=H","DateFormat=P","Fill=—","Direction=H","UseDPDF=Y")</f>
        <v>-9.3870000000000005</v>
      </c>
      <c r="D20" s="13">
        <f>_xll.BDH("BLUE US Equity","IS_NET_INTEREST_EXPENSE","FQ3 2019","FQ3 2019","Currency=USD","Period=FQ","BEST_FPERIOD_OVERRIDE=FQ","FILING_STATUS=MR","SCALING_FORMAT=MLN","FA_ADJUSTED=Adjusted","Sort=A","Dates=H","DateFormat=P","Fill=—","Direction=H","UseDPDF=Y")</f>
        <v>-8.4169999999999998</v>
      </c>
      <c r="E20" s="13">
        <f>_xll.BDH("BLUE US Equity","IS_NET_INTEREST_EXPENSE","FQ4 2019","FQ4 2019","Currency=USD","Period=FQ","BEST_FPERIOD_OVERRIDE=FQ","FILING_STATUS=MR","SCALING_FORMAT=MLN","FA_ADJUSTED=Adjusted","Sort=A","Dates=H","DateFormat=P","Fill=—","Direction=H","UseDPDF=Y")</f>
        <v>-6.8550000000000004</v>
      </c>
      <c r="F20" s="13">
        <f>_xll.BDH("BLUE US Equity","IS_NET_INTEREST_EXPENSE","FQ1 2020","FQ1 2020","Currency=USD","Period=FQ","BEST_FPERIOD_OVERRIDE=FQ","FILING_STATUS=MR","SCALING_FORMAT=MLN","FA_ADJUSTED=Adjusted","Sort=A","Dates=H","DateFormat=P","Fill=—","Direction=H","UseDPDF=Y")</f>
        <v>-5.3550000000000004</v>
      </c>
      <c r="G20" s="13">
        <f>_xll.BDH("BLUE US Equity","IS_NET_INTEREST_EXPENSE","FQ2 2020","FQ2 2020","Currency=USD","Period=FQ","BEST_FPERIOD_OVERRIDE=FQ","FILING_STATUS=MR","SCALING_FORMAT=MLN","FA_ADJUSTED=Adjusted","Sort=A","Dates=H","DateFormat=P","Fill=—","Direction=H","UseDPDF=Y")</f>
        <v>-2.9390000000000001</v>
      </c>
      <c r="H20" s="13">
        <f>_xll.BDH("BLUE US Equity","IS_NET_INTEREST_EXPENSE","FQ3 2020","FQ3 2020","Currency=USD","Period=FQ","BEST_FPERIOD_OVERRIDE=FQ","FILING_STATUS=MR","SCALING_FORMAT=MLN","FA_ADJUSTED=Adjusted","Sort=A","Dates=H","DateFormat=P","Fill=—","Direction=H","UseDPDF=Y")</f>
        <v>-1.964</v>
      </c>
      <c r="I20" s="13">
        <f>_xll.BDH("BLUE US Equity","IS_NET_INTEREST_EXPENSE","FQ4 2020","FQ4 2020","Currency=USD","Period=FQ","BEST_FPERIOD_OVERRIDE=FQ","FILING_STATUS=MR","SCALING_FORMAT=MLN","FA_ADJUSTED=Adjusted","Sort=A","Dates=H","DateFormat=P","Fill=—","Direction=H","UseDPDF=Y")</f>
        <v>-0.64100000000000001</v>
      </c>
      <c r="J20" s="13">
        <f>_xll.BDH("BLUE US Equity","IS_NET_INTEREST_EXPENSE","FQ1 2021","FQ1 2021","Currency=USD","Period=FQ","BEST_FPERIOD_OVERRIDE=FQ","FILING_STATUS=MR","SCALING_FORMAT=MLN","FA_ADJUSTED=Adjusted","Sort=A","Dates=H","DateFormat=P","Fill=—","Direction=H","UseDPDF=Y")</f>
        <v>-0.35499999999999998</v>
      </c>
      <c r="K20" s="13">
        <f>_xll.BDH("BLUE US Equity","IS_NET_INTEREST_EXPENSE","FQ2 2021","FQ2 2021","Currency=USD","Period=FQ","BEST_FPERIOD_OVERRIDE=FQ","FILING_STATUS=MR","SCALING_FORMAT=MLN","FA_ADJUSTED=Adjusted","Sort=A","Dates=H","DateFormat=P","Fill=—","Direction=H","UseDPDF=Y")</f>
        <v>-0.439</v>
      </c>
      <c r="L20" s="13">
        <f>_xll.BDH("BLUE US Equity","IS_NET_INTEREST_EXPENSE","FQ3 2021","FQ3 2021","Currency=USD","Period=FQ","BEST_FPERIOD_OVERRIDE=FQ","FILING_STATUS=MR","SCALING_FORMAT=MLN","FA_ADJUSTED=Adjusted","Sort=A","Dates=H","DateFormat=P","Fill=—","Direction=H","UseDPDF=Y")</f>
        <v>-0.16</v>
      </c>
      <c r="M20" s="13">
        <f>_xll.BDH("BLUE US Equity","IS_NET_INTEREST_EXPENSE","FQ4 2021","FQ4 2021","Currency=USD","Period=FQ","BEST_FPERIOD_OVERRIDE=FQ","FILING_STATUS=MR","SCALING_FORMAT=MLN","FA_ADJUSTED=Adjusted","Sort=A","Dates=H","DateFormat=P","Fill=—","Direction=H","UseDPDF=Y")</f>
        <v>-0.14599999999999999</v>
      </c>
      <c r="N20" s="13">
        <f>_xll.BDH("BLUE US Equity","IS_NET_INTEREST_EXPENSE","FQ1 2022","FQ1 2022","Currency=USD","Period=FQ","BEST_FPERIOD_OVERRIDE=FQ","FILING_STATUS=MR","SCALING_FORMAT=MLN","FA_ADJUSTED=Adjusted","Sort=A","Dates=H","DateFormat=P","Fill=—","Direction=H","UseDPDF=Y")</f>
        <v>-0.106</v>
      </c>
      <c r="O20" s="13">
        <f>_xll.BDH("BLUE US Equity","IS_NET_INTEREST_EXPENSE","FQ2 2022","FQ2 2022","Currency=USD","Period=FQ","BEST_FPERIOD_OVERRIDE=FQ","FILING_STATUS=MR","SCALING_FORMAT=MLN","FA_ADJUSTED=Adjusted","Sort=A","Dates=H","DateFormat=P","Fill=—","Direction=H","UseDPDF=Y")</f>
        <v>-0.17399999999999999</v>
      </c>
      <c r="P20" s="13">
        <f>_xll.BDH("BLUE US Equity","IS_NET_INTEREST_EXPENSE","FQ3 2022","FQ3 2022","Currency=USD","Period=FQ","BEST_FPERIOD_OVERRIDE=FQ","FILING_STATUS=MR","SCALING_FORMAT=MLN","FA_ADJUSTED=Adjusted","Sort=A","Dates=H","DateFormat=P","Fill=—","Direction=H","UseDPDF=Y")</f>
        <v>-0.38300000000000001</v>
      </c>
      <c r="Q20" s="13">
        <f>_xll.BDH("BLUE US Equity","IS_NET_INTEREST_EXPENSE","FQ4 2022","FQ4 2022","Currency=USD","Period=FQ","BEST_FPERIOD_OVERRIDE=FQ","FILING_STATUS=MR","SCALING_FORMAT=MLN","FA_ADJUSTED=Adjusted","Sort=A","Dates=H","DateFormat=P","Fill=—","Direction=H","UseDPDF=Y")</f>
        <v>5.9530000000000003</v>
      </c>
      <c r="R20" s="13">
        <f>_xll.BDH("BLUE US Equity","IS_NET_INTEREST_EXPENSE","FQ1 2023","FQ1 2023","Currency=USD","Period=FQ","BEST_FPERIOD_OVERRIDE=FQ","FILING_STATUS=MR","SCALING_FORMAT=MLN","FA_ADJUSTED=Adjusted","Sort=A","Dates=H","DateFormat=P","Fill=—","Direction=H","UseDPDF=Y")</f>
        <v>1.4419999999999999</v>
      </c>
      <c r="S20" s="13">
        <f>_xll.BDH("BLUE US Equity","IS_NET_INTEREST_EXPENSE","FQ2 2023","FQ2 2023","Currency=USD","Period=FQ","BEST_FPERIOD_OVERRIDE=FQ","FILING_STATUS=MR","SCALING_FORMAT=MLN","FA_ADJUSTED=Adjusted","Sort=A","Dates=H","DateFormat=P","Fill=—","Direction=H","UseDPDF=Y")</f>
        <v>1.071</v>
      </c>
      <c r="T20" s="13">
        <f>_xll.BDH("BLUE US Equity","IS_NET_INTEREST_EXPENSE","FQ3 2023","FQ3 2023","Currency=USD","Period=FQ","BEST_FPERIOD_OVERRIDE=FQ","FILING_STATUS=MR","SCALING_FORMAT=MLN","FA_ADJUSTED=Adjusted","Sort=A","Dates=H","DateFormat=P","Fill=—","Direction=H","UseDPDF=Y")</f>
        <v>1.857</v>
      </c>
      <c r="U20" s="13">
        <f>_xll.BDH("BLUE US Equity","IS_NET_INTEREST_EXPENSE","FQ4 2023","FQ4 2023","Currency=USD","Period=FQ","BEST_FPERIOD_OVERRIDE=FQ","FILING_STATUS=MR","SCALING_FORMAT=MLN","FA_ADJUSTED=Adjusted","Sort=A","Dates=H","DateFormat=P","Fill=—","Direction=H","UseDPDF=Y")</f>
        <v>14.442</v>
      </c>
      <c r="V20" s="13">
        <f>_xll.BDH("BLUE US Equity","IS_NET_INTEREST_EXPENSE","FQ1 2024","FQ1 2024","Currency=USD","Period=FQ","BEST_FPERIOD_OVERRIDE=FQ","FILING_STATUS=MR","SCALING_FORMAT=MLN","FA_ADJUSTED=Adjusted","Sort=A","Dates=H","DateFormat=P","Fill=—","Direction=H","UseDPDF=Y")</f>
        <v>2.2770000000000001</v>
      </c>
      <c r="W20" s="13">
        <f>_xll.BDH("BLUE US Equity","IS_NET_INTEREST_EXPENSE","FQ2 2024","FQ2 2024","Currency=USD","Period=FQ","BEST_FPERIOD_OVERRIDE=FQ","FILING_STATUS=MR","SCALING_FORMAT=MLN","FA_ADJUSTED=Adjusted","Sort=A","Dates=H","DateFormat=P","Fill=—","Direction=H","UseDPDF=Y")</f>
        <v>2.6160000000000001</v>
      </c>
      <c r="X20" s="13">
        <f>_xll.BDH("BLUE US Equity","IS_NET_INTEREST_EXPENSE","FQ3 2024","FQ3 2024","Currency=USD","Period=FQ","BEST_FPERIOD_OVERRIDE=FQ","FILING_STATUS=MR","SCALING_FORMAT=MLN","FA_ADJUSTED=Adjusted","Sort=A","Dates=H","DateFormat=P","Fill=—","Direction=H","UseDPDF=Y")</f>
        <v>4.1379999999999999</v>
      </c>
      <c r="Y20" s="13">
        <f>_xll.BDH("BLUE US Equity","IS_NET_INTEREST_EXPENSE","FQ4 2024","FQ4 2024","Currency=USD","Period=FQ","BEST_FPERIOD_OVERRIDE=FQ","FILING_STATUS=MR","SCALING_FORMAT=MLN","FA_ADJUSTED=Adjusted","Sort=A","Dates=H","DateFormat=P","Fill=—","Direction=H","UseDPDF=Y")</f>
        <v>5.33</v>
      </c>
      <c r="Z20" s="13"/>
      <c r="AA20" s="13"/>
    </row>
    <row r="21" spans="1:27" x14ac:dyDescent="0.25">
      <c r="A21" s="11" t="s">
        <v>301</v>
      </c>
      <c r="B21" s="11" t="s">
        <v>302</v>
      </c>
      <c r="C21" s="25">
        <f>_xll.BDH("BLUE US Equity","IS_INT_EXPENSE","FQ2 2019","FQ2 2019","Currency=USD","Period=FQ","BEST_FPERIOD_OVERRIDE=FQ","FILING_STATUS=MR","SCALING_FORMAT=MLN","FA_ADJUSTED=Adjusted","Sort=A","Dates=H","DateFormat=P","Fill=—","Direction=H","UseDPDF=Y")</f>
        <v>0</v>
      </c>
      <c r="D21" s="25">
        <f>_xll.BDH("BLUE US Equity","IS_INT_EXPENSE","FQ3 2019","FQ3 2019","Currency=USD","Period=FQ","BEST_FPERIOD_OVERRIDE=FQ","FILING_STATUS=MR","SCALING_FORMAT=MLN","FA_ADJUSTED=Adjusted","Sort=A","Dates=H","DateFormat=P","Fill=—","Direction=H","UseDPDF=Y")</f>
        <v>0</v>
      </c>
      <c r="E21" s="25">
        <f>_xll.BDH("BLUE US Equity","IS_INT_EXPENSE","FQ4 2019","FQ4 2019","Currency=USD","Period=FQ","BEST_FPERIOD_OVERRIDE=FQ","FILING_STATUS=MR","SCALING_FORMAT=MLN","FA_ADJUSTED=Adjusted","Sort=A","Dates=H","DateFormat=P","Fill=—","Direction=H","UseDPDF=Y")</f>
        <v>0</v>
      </c>
      <c r="F21" s="25">
        <f>_xll.BDH("BLUE US Equity","IS_INT_EXPENSE","FQ1 2020","FQ1 2020","Currency=USD","Period=FQ","BEST_FPERIOD_OVERRIDE=FQ","FILING_STATUS=MR","SCALING_FORMAT=MLN","FA_ADJUSTED=Adjusted","Sort=A","Dates=H","DateFormat=P","Fill=—","Direction=H","UseDPDF=Y")</f>
        <v>0</v>
      </c>
      <c r="G21" s="25">
        <f>_xll.BDH("BLUE US Equity","IS_INT_EXPENSE","FQ2 2020","FQ2 2020","Currency=USD","Period=FQ","BEST_FPERIOD_OVERRIDE=FQ","FILING_STATUS=MR","SCALING_FORMAT=MLN","FA_ADJUSTED=Adjusted","Sort=A","Dates=H","DateFormat=P","Fill=—","Direction=H","UseDPDF=Y")</f>
        <v>0</v>
      </c>
      <c r="H21" s="25">
        <f>_xll.BDH("BLUE US Equity","IS_INT_EXPENSE","FQ3 2020","FQ3 2020","Currency=USD","Period=FQ","BEST_FPERIOD_OVERRIDE=FQ","FILING_STATUS=MR","SCALING_FORMAT=MLN","FA_ADJUSTED=Adjusted","Sort=A","Dates=H","DateFormat=P","Fill=—","Direction=H","UseDPDF=Y")</f>
        <v>0</v>
      </c>
      <c r="I21" s="25">
        <f>_xll.BDH("BLUE US Equity","IS_INT_EXPENSE","FQ4 2020","FQ4 2020","Currency=USD","Period=FQ","BEST_FPERIOD_OVERRIDE=FQ","FILING_STATUS=MR","SCALING_FORMAT=MLN","FA_ADJUSTED=Adjusted","Sort=A","Dates=H","DateFormat=P","Fill=—","Direction=H","UseDPDF=Y")</f>
        <v>0</v>
      </c>
      <c r="J21" s="25">
        <f>_xll.BDH("BLUE US Equity","IS_INT_EXPENSE","FQ1 2021","FQ1 2021","Currency=USD","Period=FQ","BEST_FPERIOD_OVERRIDE=FQ","FILING_STATUS=MR","SCALING_FORMAT=MLN","FA_ADJUSTED=Adjusted","Sort=A","Dates=H","DateFormat=P","Fill=—","Direction=H","UseDPDF=Y")</f>
        <v>0</v>
      </c>
      <c r="K21" s="25">
        <f>_xll.BDH("BLUE US Equity","IS_INT_EXPENSE","FQ2 2021","FQ2 2021","Currency=USD","Period=FQ","BEST_FPERIOD_OVERRIDE=FQ","FILING_STATUS=MR","SCALING_FORMAT=MLN","FA_ADJUSTED=Adjusted","Sort=A","Dates=H","DateFormat=P","Fill=—","Direction=H","UseDPDF=Y")</f>
        <v>0</v>
      </c>
      <c r="L21" s="25">
        <f>_xll.BDH("BLUE US Equity","IS_INT_EXPENSE","FQ3 2021","FQ3 2021","Currency=USD","Period=FQ","BEST_FPERIOD_OVERRIDE=FQ","FILING_STATUS=MR","SCALING_FORMAT=MLN","FA_ADJUSTED=Adjusted","Sort=A","Dates=H","DateFormat=P","Fill=—","Direction=H","UseDPDF=Y")</f>
        <v>0</v>
      </c>
      <c r="M21" s="25">
        <f>_xll.BDH("BLUE US Equity","IS_INT_EXPENSE","FQ4 2021","FQ4 2021","Currency=USD","Period=FQ","BEST_FPERIOD_OVERRIDE=FQ","FILING_STATUS=MR","SCALING_FORMAT=MLN","FA_ADJUSTED=Adjusted","Sort=A","Dates=H","DateFormat=P","Fill=—","Direction=H","UseDPDF=Y")</f>
        <v>0</v>
      </c>
      <c r="N21" s="25">
        <f>_xll.BDH("BLUE US Equity","IS_INT_EXPENSE","FQ1 2022","FQ1 2022","Currency=USD","Period=FQ","BEST_FPERIOD_OVERRIDE=FQ","FILING_STATUS=MR","SCALING_FORMAT=MLN","FA_ADJUSTED=Adjusted","Sort=A","Dates=H","DateFormat=P","Fill=—","Direction=H","UseDPDF=Y")</f>
        <v>0</v>
      </c>
      <c r="O21" s="25">
        <f>_xll.BDH("BLUE US Equity","IS_INT_EXPENSE","FQ2 2022","FQ2 2022","Currency=USD","Period=FQ","BEST_FPERIOD_OVERRIDE=FQ","FILING_STATUS=MR","SCALING_FORMAT=MLN","FA_ADJUSTED=Adjusted","Sort=A","Dates=H","DateFormat=P","Fill=—","Direction=H","UseDPDF=Y")</f>
        <v>0</v>
      </c>
      <c r="P21" s="25">
        <f>_xll.BDH("BLUE US Equity","IS_INT_EXPENSE","FQ3 2022","FQ3 2022","Currency=USD","Period=FQ","BEST_FPERIOD_OVERRIDE=FQ","FILING_STATUS=MR","SCALING_FORMAT=MLN","FA_ADJUSTED=Adjusted","Sort=A","Dates=H","DateFormat=P","Fill=—","Direction=H","UseDPDF=Y")</f>
        <v>0</v>
      </c>
      <c r="Q21" s="25">
        <f>_xll.BDH("BLUE US Equity","IS_INT_EXPENSE","FQ4 2022","FQ4 2022","Currency=USD","Period=FQ","BEST_FPERIOD_OVERRIDE=FQ","FILING_STATUS=MR","SCALING_FORMAT=MLN","FA_ADJUSTED=Adjusted","Sort=A","Dates=H","DateFormat=P","Fill=—","Direction=H","UseDPDF=Y")</f>
        <v>6.3220000000000001</v>
      </c>
      <c r="R21" s="25">
        <f>_xll.BDH("BLUE US Equity","IS_INT_EXPENSE","FQ1 2023","FQ1 2023","Currency=USD","Period=FQ","BEST_FPERIOD_OVERRIDE=FQ","FILING_STATUS=MR","SCALING_FORMAT=MLN","FA_ADJUSTED=Adjusted","Sort=A","Dates=H","DateFormat=P","Fill=—","Direction=H","UseDPDF=Y")</f>
        <v>4.2699999999999996</v>
      </c>
      <c r="S21" s="25">
        <f>_xll.BDH("BLUE US Equity","IS_INT_EXPENSE","FQ2 2023","FQ2 2023","Currency=USD","Period=FQ","BEST_FPERIOD_OVERRIDE=FQ","FILING_STATUS=MR","SCALING_FORMAT=MLN","FA_ADJUSTED=Adjusted","Sort=A","Dates=H","DateFormat=P","Fill=—","Direction=H","UseDPDF=Y")</f>
        <v>3.75</v>
      </c>
      <c r="T21" s="25">
        <f>_xll.BDH("BLUE US Equity","IS_INT_EXPENSE","FQ3 2023","FQ3 2023","Currency=USD","Period=FQ","BEST_FPERIOD_OVERRIDE=FQ","FILING_STATUS=MR","SCALING_FORMAT=MLN","FA_ADJUSTED=Adjusted","Sort=A","Dates=H","DateFormat=P","Fill=—","Direction=H","UseDPDF=Y")</f>
        <v>4.3109999999999999</v>
      </c>
      <c r="U21" s="25">
        <f>_xll.BDH("BLUE US Equity","IS_INT_EXPENSE","FQ4 2023","FQ4 2023","Currency=USD","Period=FQ","BEST_FPERIOD_OVERRIDE=FQ","FILING_STATUS=MR","SCALING_FORMAT=MLN","FA_ADJUSTED=Adjusted","Sort=A","Dates=H","DateFormat=P","Fill=—","Direction=H","UseDPDF=Y")</f>
        <v>16.353000000000002</v>
      </c>
      <c r="V21" s="25">
        <f>_xll.BDH("BLUE US Equity","IS_INT_EXPENSE","FQ1 2024","FQ1 2024","Currency=USD","Period=FQ","BEST_FPERIOD_OVERRIDE=FQ","FILING_STATUS=MR","SCALING_FORMAT=MLN","FA_ADJUSTED=Adjusted","Sort=A","Dates=H","DateFormat=P","Fill=—","Direction=H","UseDPDF=Y")</f>
        <v>4.8559999999999999</v>
      </c>
      <c r="W21" s="25">
        <f>_xll.BDH("BLUE US Equity","IS_INT_EXPENSE","FQ2 2024","FQ2 2024","Currency=USD","Period=FQ","BEST_FPERIOD_OVERRIDE=FQ","FILING_STATUS=MR","SCALING_FORMAT=MLN","FA_ADJUSTED=Adjusted","Sort=A","Dates=H","DateFormat=P","Fill=—","Direction=H","UseDPDF=Y")</f>
        <v>5.4530000000000003</v>
      </c>
      <c r="X21" s="25">
        <f>_xll.BDH("BLUE US Equity","IS_INT_EXPENSE","FQ3 2024","FQ3 2024","Currency=USD","Period=FQ","BEST_FPERIOD_OVERRIDE=FQ","FILING_STATUS=MR","SCALING_FORMAT=MLN","FA_ADJUSTED=Adjusted","Sort=A","Dates=H","DateFormat=P","Fill=—","Direction=H","UseDPDF=Y")</f>
        <v>5.7779999999999996</v>
      </c>
      <c r="Y21" s="25">
        <f>_xll.BDH("BLUE US Equity","IS_INT_EXPENSE","FQ4 2024","FQ4 2024","Currency=USD","Period=FQ","BEST_FPERIOD_OVERRIDE=FQ","FILING_STATUS=MR","SCALING_FORMAT=MLN","FA_ADJUSTED=Adjusted","Sort=A","Dates=H","DateFormat=P","Fill=—","Direction=H","UseDPDF=Y")</f>
        <v>6.492</v>
      </c>
      <c r="Z21" s="25"/>
      <c r="AA21" s="25"/>
    </row>
    <row r="22" spans="1:27" x14ac:dyDescent="0.25">
      <c r="A22" s="11" t="s">
        <v>303</v>
      </c>
      <c r="B22" s="11" t="s">
        <v>304</v>
      </c>
      <c r="C22" s="25">
        <f>_xll.BDH("BLUE US Equity","IS_INT_INC","FQ2 2019","FQ2 2019","Currency=USD","Period=FQ","BEST_FPERIOD_OVERRIDE=FQ","FILING_STATUS=MR","SCALING_FORMAT=MLN","FA_ADJUSTED=Adjusted","Sort=A","Dates=H","DateFormat=P","Fill=—","Direction=H","UseDPDF=Y")</f>
        <v>9.3870000000000005</v>
      </c>
      <c r="D22" s="25">
        <f>_xll.BDH("BLUE US Equity","IS_INT_INC","FQ3 2019","FQ3 2019","Currency=USD","Period=FQ","BEST_FPERIOD_OVERRIDE=FQ","FILING_STATUS=MR","SCALING_FORMAT=MLN","FA_ADJUSTED=Adjusted","Sort=A","Dates=H","DateFormat=P","Fill=—","Direction=H","UseDPDF=Y")</f>
        <v>8.4169999999999998</v>
      </c>
      <c r="E22" s="25">
        <f>_xll.BDH("BLUE US Equity","IS_INT_INC","FQ4 2019","FQ4 2019","Currency=USD","Period=FQ","BEST_FPERIOD_OVERRIDE=FQ","FILING_STATUS=MR","SCALING_FORMAT=MLN","FA_ADJUSTED=Adjusted","Sort=A","Dates=H","DateFormat=P","Fill=—","Direction=H","UseDPDF=Y")</f>
        <v>6.8550000000000004</v>
      </c>
      <c r="F22" s="25">
        <f>_xll.BDH("BLUE US Equity","IS_INT_INC","FQ1 2020","FQ1 2020","Currency=USD","Period=FQ","BEST_FPERIOD_OVERRIDE=FQ","FILING_STATUS=MR","SCALING_FORMAT=MLN","FA_ADJUSTED=Adjusted","Sort=A","Dates=H","DateFormat=P","Fill=—","Direction=H","UseDPDF=Y")</f>
        <v>5.3550000000000004</v>
      </c>
      <c r="G22" s="25">
        <f>_xll.BDH("BLUE US Equity","IS_INT_INC","FQ2 2020","FQ2 2020","Currency=USD","Period=FQ","BEST_FPERIOD_OVERRIDE=FQ","FILING_STATUS=MR","SCALING_FORMAT=MLN","FA_ADJUSTED=Adjusted","Sort=A","Dates=H","DateFormat=P","Fill=—","Direction=H","UseDPDF=Y")</f>
        <v>2.9390000000000001</v>
      </c>
      <c r="H22" s="25">
        <f>_xll.BDH("BLUE US Equity","IS_INT_INC","FQ3 2020","FQ3 2020","Currency=USD","Period=FQ","BEST_FPERIOD_OVERRIDE=FQ","FILING_STATUS=MR","SCALING_FORMAT=MLN","FA_ADJUSTED=Adjusted","Sort=A","Dates=H","DateFormat=P","Fill=—","Direction=H","UseDPDF=Y")</f>
        <v>1.964</v>
      </c>
      <c r="I22" s="25">
        <f>_xll.BDH("BLUE US Equity","IS_INT_INC","FQ4 2020","FQ4 2020","Currency=USD","Period=FQ","BEST_FPERIOD_OVERRIDE=FQ","FILING_STATUS=MR","SCALING_FORMAT=MLN","FA_ADJUSTED=Adjusted","Sort=A","Dates=H","DateFormat=P","Fill=—","Direction=H","UseDPDF=Y")</f>
        <v>0.64100000000000001</v>
      </c>
      <c r="J22" s="25">
        <f>_xll.BDH("BLUE US Equity","IS_INT_INC","FQ1 2021","FQ1 2021","Currency=USD","Period=FQ","BEST_FPERIOD_OVERRIDE=FQ","FILING_STATUS=MR","SCALING_FORMAT=MLN","FA_ADJUSTED=Adjusted","Sort=A","Dates=H","DateFormat=P","Fill=—","Direction=H","UseDPDF=Y")</f>
        <v>0.35499999999999998</v>
      </c>
      <c r="K22" s="25">
        <f>_xll.BDH("BLUE US Equity","IS_INT_INC","FQ2 2021","FQ2 2021","Currency=USD","Period=FQ","BEST_FPERIOD_OVERRIDE=FQ","FILING_STATUS=MR","SCALING_FORMAT=MLN","FA_ADJUSTED=Adjusted","Sort=A","Dates=H","DateFormat=P","Fill=—","Direction=H","UseDPDF=Y")</f>
        <v>0.439</v>
      </c>
      <c r="L22" s="25">
        <f>_xll.BDH("BLUE US Equity","IS_INT_INC","FQ3 2021","FQ3 2021","Currency=USD","Period=FQ","BEST_FPERIOD_OVERRIDE=FQ","FILING_STATUS=MR","SCALING_FORMAT=MLN","FA_ADJUSTED=Adjusted","Sort=A","Dates=H","DateFormat=P","Fill=—","Direction=H","UseDPDF=Y")</f>
        <v>0.16</v>
      </c>
      <c r="M22" s="25">
        <f>_xll.BDH("BLUE US Equity","IS_INT_INC","FQ4 2021","FQ4 2021","Currency=USD","Period=FQ","BEST_FPERIOD_OVERRIDE=FQ","FILING_STATUS=MR","SCALING_FORMAT=MLN","FA_ADJUSTED=Adjusted","Sort=A","Dates=H","DateFormat=P","Fill=—","Direction=H","UseDPDF=Y")</f>
        <v>0.14599999999999999</v>
      </c>
      <c r="N22" s="25">
        <f>_xll.BDH("BLUE US Equity","IS_INT_INC","FQ1 2022","FQ1 2022","Currency=USD","Period=FQ","BEST_FPERIOD_OVERRIDE=FQ","FILING_STATUS=MR","SCALING_FORMAT=MLN","FA_ADJUSTED=Adjusted","Sort=A","Dates=H","DateFormat=P","Fill=—","Direction=H","UseDPDF=Y")</f>
        <v>0.106</v>
      </c>
      <c r="O22" s="25">
        <f>_xll.BDH("BLUE US Equity","IS_INT_INC","FQ2 2022","FQ2 2022","Currency=USD","Period=FQ","BEST_FPERIOD_OVERRIDE=FQ","FILING_STATUS=MR","SCALING_FORMAT=MLN","FA_ADJUSTED=Adjusted","Sort=A","Dates=H","DateFormat=P","Fill=—","Direction=H","UseDPDF=Y")</f>
        <v>0.17399999999999999</v>
      </c>
      <c r="P22" s="25">
        <f>_xll.BDH("BLUE US Equity","IS_INT_INC","FQ3 2022","FQ3 2022","Currency=USD","Period=FQ","BEST_FPERIOD_OVERRIDE=FQ","FILING_STATUS=MR","SCALING_FORMAT=MLN","FA_ADJUSTED=Adjusted","Sort=A","Dates=H","DateFormat=P","Fill=—","Direction=H","UseDPDF=Y")</f>
        <v>0.38300000000000001</v>
      </c>
      <c r="Q22" s="25">
        <f>_xll.BDH("BLUE US Equity","IS_INT_INC","FQ4 2022","FQ4 2022","Currency=USD","Period=FQ","BEST_FPERIOD_OVERRIDE=FQ","FILING_STATUS=MR","SCALING_FORMAT=MLN","FA_ADJUSTED=Adjusted","Sort=A","Dates=H","DateFormat=P","Fill=—","Direction=H","UseDPDF=Y")</f>
        <v>0.36899999999999999</v>
      </c>
      <c r="R22" s="25">
        <f>_xll.BDH("BLUE US Equity","IS_INT_INC","FQ1 2023","FQ1 2023","Currency=USD","Period=FQ","BEST_FPERIOD_OVERRIDE=FQ","FILING_STATUS=MR","SCALING_FORMAT=MLN","FA_ADJUSTED=Adjusted","Sort=A","Dates=H","DateFormat=P","Fill=—","Direction=H","UseDPDF=Y")</f>
        <v>2.8279999999999998</v>
      </c>
      <c r="S22" s="25">
        <f>_xll.BDH("BLUE US Equity","IS_INT_INC","FQ2 2023","FQ2 2023","Currency=USD","Period=FQ","BEST_FPERIOD_OVERRIDE=FQ","FILING_STATUS=MR","SCALING_FORMAT=MLN","FA_ADJUSTED=Adjusted","Sort=A","Dates=H","DateFormat=P","Fill=—","Direction=H","UseDPDF=Y")</f>
        <v>2.6789999999999998</v>
      </c>
      <c r="T22" s="25">
        <f>_xll.BDH("BLUE US Equity","IS_INT_INC","FQ3 2023","FQ3 2023","Currency=USD","Period=FQ","BEST_FPERIOD_OVERRIDE=FQ","FILING_STATUS=MR","SCALING_FORMAT=MLN","FA_ADJUSTED=Adjusted","Sort=A","Dates=H","DateFormat=P","Fill=—","Direction=H","UseDPDF=Y")</f>
        <v>2.4540000000000002</v>
      </c>
      <c r="U22" s="25">
        <f>_xll.BDH("BLUE US Equity","IS_INT_INC","FQ4 2023","FQ4 2023","Currency=USD","Period=FQ","BEST_FPERIOD_OVERRIDE=FQ","FILING_STATUS=MR","SCALING_FORMAT=MLN","FA_ADJUSTED=Adjusted","Sort=A","Dates=H","DateFormat=P","Fill=—","Direction=H","UseDPDF=Y")</f>
        <v>1.911</v>
      </c>
      <c r="V22" s="25">
        <f>_xll.BDH("BLUE US Equity","IS_INT_INC","FQ1 2024","FQ1 2024","Currency=USD","Period=FQ","BEST_FPERIOD_OVERRIDE=FQ","FILING_STATUS=MR","SCALING_FORMAT=MLN","FA_ADJUSTED=Adjusted","Sort=A","Dates=H","DateFormat=P","Fill=—","Direction=H","UseDPDF=Y")</f>
        <v>2.5790000000000002</v>
      </c>
      <c r="W22" s="25">
        <f>_xll.BDH("BLUE US Equity","IS_INT_INC","FQ2 2024","FQ2 2024","Currency=USD","Period=FQ","BEST_FPERIOD_OVERRIDE=FQ","FILING_STATUS=MR","SCALING_FORMAT=MLN","FA_ADJUSTED=Adjusted","Sort=A","Dates=H","DateFormat=P","Fill=—","Direction=H","UseDPDF=Y")</f>
        <v>2.8370000000000002</v>
      </c>
      <c r="X22" s="25">
        <f>_xll.BDH("BLUE US Equity","IS_INT_INC","FQ3 2024","FQ3 2024","Currency=USD","Period=FQ","BEST_FPERIOD_OVERRIDE=FQ","FILING_STATUS=MR","SCALING_FORMAT=MLN","FA_ADJUSTED=Adjusted","Sort=A","Dates=H","DateFormat=P","Fill=—","Direction=H","UseDPDF=Y")</f>
        <v>1.64</v>
      </c>
      <c r="Y22" s="25">
        <f>_xll.BDH("BLUE US Equity","IS_INT_INC","FQ4 2024","FQ4 2024","Currency=USD","Period=FQ","BEST_FPERIOD_OVERRIDE=FQ","FILING_STATUS=MR","SCALING_FORMAT=MLN","FA_ADJUSTED=Adjusted","Sort=A","Dates=H","DateFormat=P","Fill=—","Direction=H","UseDPDF=Y")</f>
        <v>1.1619999999999999</v>
      </c>
      <c r="Z22" s="25"/>
      <c r="AA22" s="25"/>
    </row>
    <row r="23" spans="1:27" x14ac:dyDescent="0.25">
      <c r="A23" s="10" t="s">
        <v>305</v>
      </c>
      <c r="B23" s="10" t="s">
        <v>306</v>
      </c>
      <c r="C23" s="13">
        <f>_xll.BDH("BLUE US Equity","IS_OTHER_NON_OPERATING_INC_LOSS","FQ2 2019","FQ2 2019","Currency=USD","Period=FQ","BEST_FPERIOD_OVERRIDE=FQ","FILING_STATUS=MR","SCALING_FORMAT=MLN","FA_ADJUSTED=Adjusted","Sort=A","Dates=H","DateFormat=P","Fill=—","Direction=H","UseDPDF=Y")</f>
        <v>2.9359999999999999</v>
      </c>
      <c r="D23" s="13">
        <f>_xll.BDH("BLUE US Equity","IS_OTHER_NON_OPERATING_INC_LOSS","FQ3 2019","FQ3 2019","Currency=USD","Period=FQ","BEST_FPERIOD_OVERRIDE=FQ","FILING_STATUS=MR","SCALING_FORMAT=MLN","FA_ADJUSTED=Adjusted","Sort=A","Dates=H","DateFormat=P","Fill=—","Direction=H","UseDPDF=Y")</f>
        <v>4.298</v>
      </c>
      <c r="E23" s="13">
        <f>_xll.BDH("BLUE US Equity","IS_OTHER_NON_OPERATING_INC_LOSS","FQ4 2019","FQ4 2019","Currency=USD","Period=FQ","BEST_FPERIOD_OVERRIDE=FQ","FILING_STATUS=MR","SCALING_FORMAT=MLN","FA_ADJUSTED=Adjusted","Sort=A","Dates=H","DateFormat=P","Fill=—","Direction=H","UseDPDF=Y")</f>
        <v>-0.53500000000000003</v>
      </c>
      <c r="F23" s="13">
        <f>_xll.BDH("BLUE US Equity","IS_OTHER_NON_OPERATING_INC_LOSS","FQ1 2020","FQ1 2020","Currency=USD","Period=FQ","BEST_FPERIOD_OVERRIDE=FQ","FILING_STATUS=MR","SCALING_FORMAT=MLN","FA_ADJUSTED=Adjusted","Sort=A","Dates=H","DateFormat=P","Fill=—","Direction=H","UseDPDF=Y")</f>
        <v>4.4470000000000001</v>
      </c>
      <c r="G23" s="13">
        <f>_xll.BDH("BLUE US Equity","IS_OTHER_NON_OPERATING_INC_LOSS","FQ2 2020","FQ2 2020","Currency=USD","Period=FQ","BEST_FPERIOD_OVERRIDE=FQ","FILING_STATUS=MR","SCALING_FORMAT=MLN","FA_ADJUSTED=Adjusted","Sort=A","Dates=H","DateFormat=P","Fill=—","Direction=H","UseDPDF=Y")</f>
        <v>-1.5509999999999999</v>
      </c>
      <c r="H23" s="13">
        <f>_xll.BDH("BLUE US Equity","IS_OTHER_NON_OPERATING_INC_LOSS","FQ3 2020","FQ3 2020","Currency=USD","Period=FQ","BEST_FPERIOD_OVERRIDE=FQ","FILING_STATUS=MR","SCALING_FORMAT=MLN","FA_ADJUSTED=Adjusted","Sort=A","Dates=H","DateFormat=P","Fill=—","Direction=H","UseDPDF=Y")</f>
        <v>6.6859999999999999</v>
      </c>
      <c r="I23" s="13">
        <f>_xll.BDH("BLUE US Equity","IS_OTHER_NON_OPERATING_INC_LOSS","FQ4 2020","FQ4 2020","Currency=USD","Period=FQ","BEST_FPERIOD_OVERRIDE=FQ","FILING_STATUS=MR","SCALING_FORMAT=MLN","FA_ADJUSTED=Adjusted","Sort=A","Dates=H","DateFormat=P","Fill=—","Direction=H","UseDPDF=Y")</f>
        <v>-2.6779999999999999</v>
      </c>
      <c r="J23" s="13">
        <f>_xll.BDH("BLUE US Equity","IS_OTHER_NON_OPERATING_INC_LOSS","FQ1 2021","FQ1 2021","Currency=USD","Period=FQ","BEST_FPERIOD_OVERRIDE=FQ","FILING_STATUS=MR","SCALING_FORMAT=MLN","FA_ADJUSTED=Adjusted","Sort=A","Dates=H","DateFormat=P","Fill=—","Direction=H","UseDPDF=Y")</f>
        <v>-24.300999999999998</v>
      </c>
      <c r="K23" s="13">
        <f>_xll.BDH("BLUE US Equity","IS_OTHER_NON_OPERATING_INC_LOSS","FQ2 2021","FQ2 2021","Currency=USD","Period=FQ","BEST_FPERIOD_OVERRIDE=FQ","FILING_STATUS=MR","SCALING_FORMAT=MLN","FA_ADJUSTED=Adjusted","Sort=A","Dates=H","DateFormat=P","Fill=—","Direction=H","UseDPDF=Y")</f>
        <v>1.087</v>
      </c>
      <c r="L23" s="13">
        <f>_xll.BDH("BLUE US Equity","IS_OTHER_NON_OPERATING_INC_LOSS","FQ3 2021","FQ3 2021","Currency=USD","Period=FQ","BEST_FPERIOD_OVERRIDE=FQ","FILING_STATUS=MR","SCALING_FORMAT=MLN","FA_ADJUSTED=Adjusted","Sort=A","Dates=H","DateFormat=P","Fill=—","Direction=H","UseDPDF=Y")</f>
        <v>27.422999999999998</v>
      </c>
      <c r="M23" s="13">
        <f>_xll.BDH("BLUE US Equity","IS_OTHER_NON_OPERATING_INC_LOSS","FQ4 2021","FQ4 2021","Currency=USD","Period=FQ","BEST_FPERIOD_OVERRIDE=FQ","FILING_STATUS=MR","SCALING_FORMAT=MLN","FA_ADJUSTED=Adjusted","Sort=A","Dates=H","DateFormat=P","Fill=—","Direction=H","UseDPDF=Y")</f>
        <v>-3.2829999999999999</v>
      </c>
      <c r="N23" s="13">
        <f>_xll.BDH("BLUE US Equity","IS_OTHER_NON_OPERATING_INC_LOSS","FQ1 2022","FQ1 2022","Currency=USD","Period=FQ","BEST_FPERIOD_OVERRIDE=FQ","FILING_STATUS=MR","SCALING_FORMAT=MLN","FA_ADJUSTED=Adjusted","Sort=A","Dates=H","DateFormat=P","Fill=—","Direction=H","UseDPDF=Y")</f>
        <v>1.9119999999999999</v>
      </c>
      <c r="O23" s="13">
        <f>_xll.BDH("BLUE US Equity","IS_OTHER_NON_OPERATING_INC_LOSS","FQ2 2022","FQ2 2022","Currency=USD","Period=FQ","BEST_FPERIOD_OVERRIDE=FQ","FILING_STATUS=MR","SCALING_FORMAT=MLN","FA_ADJUSTED=Adjusted","Sort=A","Dates=H","DateFormat=P","Fill=—","Direction=H","UseDPDF=Y")</f>
        <v>-7.0880000000000001</v>
      </c>
      <c r="P23" s="13">
        <f>_xll.BDH("BLUE US Equity","IS_OTHER_NON_OPERATING_INC_LOSS","FQ3 2022","FQ3 2022","Currency=USD","Period=FQ","BEST_FPERIOD_OVERRIDE=FQ","FILING_STATUS=MR","SCALING_FORMAT=MLN","FA_ADJUSTED=Adjusted","Sort=A","Dates=H","DateFormat=P","Fill=—","Direction=H","UseDPDF=Y")</f>
        <v>-11.02</v>
      </c>
      <c r="Q23" s="13">
        <f>_xll.BDH("BLUE US Equity","IS_OTHER_NON_OPERATING_INC_LOSS","FQ4 2022","FQ4 2022","Currency=USD","Period=FQ","BEST_FPERIOD_OVERRIDE=FQ","FILING_STATUS=MR","SCALING_FORMAT=MLN","FA_ADJUSTED=Adjusted","Sort=A","Dates=H","DateFormat=P","Fill=—","Direction=H","UseDPDF=Y")</f>
        <v>-9.0540000000000003</v>
      </c>
      <c r="R23" s="13">
        <f>_xll.BDH("BLUE US Equity","IS_OTHER_NON_OPERATING_INC_LOSS","FQ1 2023","FQ1 2023","Currency=USD","Period=FQ","BEST_FPERIOD_OVERRIDE=FQ","FILING_STATUS=MR","SCALING_FORMAT=MLN","FA_ADJUSTED=Adjusted","Sort=A","Dates=H","DateFormat=P","Fill=—","Direction=H","UseDPDF=Y")</f>
        <v>-9.6270000000000007</v>
      </c>
      <c r="S23" s="13">
        <f>_xll.BDH("BLUE US Equity","IS_OTHER_NON_OPERATING_INC_LOSS","FQ2 2023","FQ2 2023","Currency=USD","Period=FQ","BEST_FPERIOD_OVERRIDE=FQ","FILING_STATUS=MR","SCALING_FORMAT=MLN","FA_ADJUSTED=Adjusted","Sort=A","Dates=H","DateFormat=P","Fill=—","Direction=H","UseDPDF=Y")</f>
        <v>-9.9190000000000005</v>
      </c>
      <c r="T23" s="13">
        <f>_xll.BDH("BLUE US Equity","IS_OTHER_NON_OPERATING_INC_LOSS","FQ3 2023","FQ3 2023","Currency=USD","Period=FQ","BEST_FPERIOD_OVERRIDE=FQ","FILING_STATUS=MR","SCALING_FORMAT=MLN","FA_ADJUSTED=Adjusted","Sort=A","Dates=H","DateFormat=P","Fill=—","Direction=H","UseDPDF=Y")</f>
        <v>-10.631</v>
      </c>
      <c r="U23" s="13">
        <f>_xll.BDH("BLUE US Equity","IS_OTHER_NON_OPERATING_INC_LOSS","FQ4 2023","FQ4 2023","Currency=USD","Period=FQ","BEST_FPERIOD_OVERRIDE=FQ","FILING_STATUS=MR","SCALING_FORMAT=MLN","FA_ADJUSTED=Adjusted","Sort=A","Dates=H","DateFormat=P","Fill=—","Direction=H","UseDPDF=Y")</f>
        <v>-8.5549999999999997</v>
      </c>
      <c r="V23" s="13">
        <f>_xll.BDH("BLUE US Equity","IS_OTHER_NON_OPERATING_INC_LOSS","FQ1 2024","FQ1 2024","Currency=USD","Period=FQ","BEST_FPERIOD_OVERRIDE=FQ","FILING_STATUS=MR","SCALING_FORMAT=MLN","FA_ADJUSTED=Adjusted","Sort=A","Dates=H","DateFormat=P","Fill=—","Direction=H","UseDPDF=Y")</f>
        <v>-11.164999999999999</v>
      </c>
      <c r="W23" s="13">
        <f>_xll.BDH("BLUE US Equity","IS_OTHER_NON_OPERATING_INC_LOSS","FQ2 2024","FQ2 2024","Currency=USD","Period=FQ","BEST_FPERIOD_OVERRIDE=FQ","FILING_STATUS=MR","SCALING_FORMAT=MLN","FA_ADJUSTED=Adjusted","Sort=A","Dates=H","DateFormat=P","Fill=—","Direction=H","UseDPDF=Y")</f>
        <v>-9.6359999999999992</v>
      </c>
      <c r="X23" s="13">
        <f>_xll.BDH("BLUE US Equity","IS_OTHER_NON_OPERATING_INC_LOSS","FQ3 2024","FQ3 2024","Currency=USD","Period=FQ","BEST_FPERIOD_OVERRIDE=FQ","FILING_STATUS=MR","SCALING_FORMAT=MLN","FA_ADJUSTED=Adjusted","Sort=A","Dates=H","DateFormat=P","Fill=—","Direction=H","UseDPDF=Y")</f>
        <v>-10.191000000000001</v>
      </c>
      <c r="Y23" s="13">
        <f>_xll.BDH("BLUE US Equity","IS_OTHER_NON_OPERATING_INC_LOSS","FQ4 2024","FQ4 2024","Currency=USD","Period=FQ","BEST_FPERIOD_OVERRIDE=FQ","FILING_STATUS=MR","SCALING_FORMAT=MLN","FA_ADJUSTED=Adjusted","Sort=A","Dates=H","DateFormat=P","Fill=—","Direction=H","UseDPDF=Y")</f>
        <v>-13.185</v>
      </c>
      <c r="Z23" s="13"/>
      <c r="AA23" s="13"/>
    </row>
    <row r="24" spans="1:27" x14ac:dyDescent="0.25">
      <c r="A24" s="6" t="s">
        <v>307</v>
      </c>
      <c r="B24" s="6" t="s">
        <v>157</v>
      </c>
      <c r="C24" s="19">
        <f>_xll.BDH("BLUE US Equity","PRETAX_INC","FQ2 2019","FQ2 2019","Currency=USD","Period=FQ","BEST_FPERIOD_OVERRIDE=FQ","FILING_STATUS=MR","SCALING_FORMAT=MLN","FA_ADJUSTED=Adjusted","Sort=A","Dates=H","DateFormat=P","Fill=—","Direction=H","UseDPDF=Y")</f>
        <v>-196.03700000000001</v>
      </c>
      <c r="D24" s="19">
        <f>_xll.BDH("BLUE US Equity","PRETAX_INC","FQ3 2019","FQ3 2019","Currency=USD","Period=FQ","BEST_FPERIOD_OVERRIDE=FQ","FILING_STATUS=MR","SCALING_FORMAT=MLN","FA_ADJUSTED=Adjusted","Sort=A","Dates=H","DateFormat=P","Fill=—","Direction=H","UseDPDF=Y")</f>
        <v>-205.495</v>
      </c>
      <c r="E24" s="19">
        <f>_xll.BDH("BLUE US Equity","PRETAX_INC","FQ4 2019","FQ4 2019","Currency=USD","Period=FQ","BEST_FPERIOD_OVERRIDE=FQ","FILING_STATUS=MR","SCALING_FORMAT=MLN","FA_ADJUSTED=Adjusted","Sort=A","Dates=H","DateFormat=P","Fill=—","Direction=H","UseDPDF=Y")</f>
        <v>-221.709</v>
      </c>
      <c r="F24" s="19">
        <f>_xll.BDH("BLUE US Equity","PRETAX_INC","FQ1 2020","FQ1 2020","Currency=USD","Period=FQ","BEST_FPERIOD_OVERRIDE=FQ","FILING_STATUS=MR","SCALING_FORMAT=MLN","FA_ADJUSTED=Adjusted","Sort=A","Dates=H","DateFormat=P","Fill=—","Direction=H","UseDPDF=Y")</f>
        <v>-205.625</v>
      </c>
      <c r="G24" s="19">
        <f>_xll.BDH("BLUE US Equity","PRETAX_INC","FQ2 2020","FQ2 2020","Currency=USD","Period=FQ","BEST_FPERIOD_OVERRIDE=FQ","FILING_STATUS=MR","SCALING_FORMAT=MLN","FA_ADJUSTED=Adjusted","Sort=A","Dates=H","DateFormat=P","Fill=—","Direction=H","UseDPDF=Y")</f>
        <v>-23.11</v>
      </c>
      <c r="H24" s="19">
        <f>_xll.BDH("BLUE US Equity","PRETAX_INC","FQ3 2020","FQ3 2020","Currency=USD","Period=FQ","BEST_FPERIOD_OVERRIDE=FQ","FILING_STATUS=MR","SCALING_FORMAT=MLN","FA_ADJUSTED=Adjusted","Sort=A","Dates=H","DateFormat=P","Fill=—","Direction=H","UseDPDF=Y")</f>
        <v>-195.244</v>
      </c>
      <c r="I24" s="19">
        <f>_xll.BDH("BLUE US Equity","PRETAX_INC","FQ4 2020","FQ4 2020","Currency=USD","Period=FQ","BEST_FPERIOD_OVERRIDE=FQ","FILING_STATUS=MR","SCALING_FORMAT=MLN","FA_ADJUSTED=Adjusted","Sort=A","Dates=H","DateFormat=P","Fill=—","Direction=H","UseDPDF=Y")</f>
        <v>-136.06800000000001</v>
      </c>
      <c r="J24" s="19">
        <f>_xll.BDH("BLUE US Equity","PRETAX_INC","FQ1 2021","FQ1 2021","Currency=USD","Period=FQ","BEST_FPERIOD_OVERRIDE=FQ","FILING_STATUS=MR","SCALING_FORMAT=MLN","FA_ADJUSTED=Adjusted","Sort=A","Dates=H","DateFormat=P","Fill=—","Direction=H","UseDPDF=Y")</f>
        <v>-149.441</v>
      </c>
      <c r="K24" s="19">
        <f>_xll.BDH("BLUE US Equity","PRETAX_INC","FQ2 2021","FQ2 2021","Currency=USD","Period=FQ","BEST_FPERIOD_OVERRIDE=FQ","FILING_STATUS=MR","SCALING_FORMAT=MLN","FA_ADJUSTED=Adjusted","Sort=A","Dates=H","DateFormat=P","Fill=—","Direction=H","UseDPDF=Y")</f>
        <v>-241.43899999999999</v>
      </c>
      <c r="L24" s="19">
        <f>_xll.BDH("BLUE US Equity","PRETAX_INC","FQ3 2021","FQ3 2021","Currency=USD","Period=FQ","BEST_FPERIOD_OVERRIDE=FQ","FILING_STATUS=MR","SCALING_FORMAT=MLN","FA_ADJUSTED=Adjusted","Sort=A","Dates=H","DateFormat=P","Fill=—","Direction=H","UseDPDF=Y")</f>
        <v>-161.53700000000001</v>
      </c>
      <c r="M24" s="19">
        <f>_xll.BDH("BLUE US Equity","PRETAX_INC","FQ4 2021","FQ4 2021","Currency=USD","Period=FQ","BEST_FPERIOD_OVERRIDE=FQ","FILING_STATUS=MR","SCALING_FORMAT=MLN","FA_ADJUSTED=Adjusted","Sort=A","Dates=H","DateFormat=P","Fill=—","Direction=H","UseDPDF=Y")</f>
        <v>-131.31399999999999</v>
      </c>
      <c r="N24" s="19">
        <f>_xll.BDH("BLUE US Equity","PRETAX_INC","FQ1 2022","FQ1 2022","Currency=USD","Period=FQ","BEST_FPERIOD_OVERRIDE=FQ","FILING_STATUS=MR","SCALING_FORMAT=MLN","FA_ADJUSTED=Adjusted","Sort=A","Dates=H","DateFormat=P","Fill=—","Direction=H","UseDPDF=Y")</f>
        <v>-119.64400000000001</v>
      </c>
      <c r="O24" s="19">
        <f>_xll.BDH("BLUE US Equity","PRETAX_INC","FQ2 2022","FQ2 2022","Currency=USD","Period=FQ","BEST_FPERIOD_OVERRIDE=FQ","FILING_STATUS=MR","SCALING_FORMAT=MLN","FA_ADJUSTED=Adjusted","Sort=A","Dates=H","DateFormat=P","Fill=—","Direction=H","UseDPDF=Y")</f>
        <v>-92.872</v>
      </c>
      <c r="P24" s="19">
        <f>_xll.BDH("BLUE US Equity","PRETAX_INC","FQ3 2022","FQ3 2022","Currency=USD","Period=FQ","BEST_FPERIOD_OVERRIDE=FQ","FILING_STATUS=MR","SCALING_FORMAT=MLN","FA_ADJUSTED=Adjusted","Sort=A","Dates=H","DateFormat=P","Fill=—","Direction=H","UseDPDF=Y")</f>
        <v>-75.076999999999998</v>
      </c>
      <c r="Q24" s="19">
        <f>_xll.BDH("BLUE US Equity","PRETAX_INC","FQ4 2022","FQ4 2022","Currency=USD","Period=FQ","BEST_FPERIOD_OVERRIDE=FQ","FILING_STATUS=MR","SCALING_FORMAT=MLN","FA_ADJUSTED=Adjusted","Sort=A","Dates=H","DateFormat=P","Fill=—","Direction=H","UseDPDF=Y")</f>
        <v>-39.692</v>
      </c>
      <c r="R24" s="19">
        <f>_xll.BDH("BLUE US Equity","PRETAX_INC","FQ1 2023","FQ1 2023","Currency=USD","Period=FQ","BEST_FPERIOD_OVERRIDE=FQ","FILING_STATUS=MR","SCALING_FORMAT=MLN","FA_ADJUSTED=Adjusted","Sort=A","Dates=H","DateFormat=P","Fill=—","Direction=H","UseDPDF=Y")</f>
        <v>-74</v>
      </c>
      <c r="S24" s="19">
        <f>_xll.BDH("BLUE US Equity","PRETAX_INC","FQ2 2023","FQ2 2023","Currency=USD","Period=FQ","BEST_FPERIOD_OVERRIDE=FQ","FILING_STATUS=MR","SCALING_FORMAT=MLN","FA_ADJUSTED=Adjusted","Sort=A","Dates=H","DateFormat=P","Fill=—","Direction=H","UseDPDF=Y")</f>
        <v>-62.869</v>
      </c>
      <c r="T24" s="19">
        <f>_xll.BDH("BLUE US Equity","PRETAX_INC","FQ3 2023","FQ3 2023","Currency=USD","Period=FQ","BEST_FPERIOD_OVERRIDE=FQ","FILING_STATUS=MR","SCALING_FORMAT=MLN","FA_ADJUSTED=Adjusted","Sort=A","Dates=H","DateFormat=P","Fill=—","Direction=H","UseDPDF=Y")</f>
        <v>-87.231999999999999</v>
      </c>
      <c r="U24" s="19">
        <f>_xll.BDH("BLUE US Equity","PRETAX_INC","FQ4 2023","FQ4 2023","Currency=USD","Period=FQ","BEST_FPERIOD_OVERRIDE=FQ","FILING_STATUS=MR","SCALING_FORMAT=MLN","FA_ADJUSTED=Adjusted","Sort=A","Dates=H","DateFormat=P","Fill=—","Direction=H","UseDPDF=Y")</f>
        <v>-88.56</v>
      </c>
      <c r="V24" s="19">
        <f>_xll.BDH("BLUE US Equity","PRETAX_INC","FQ1 2024","FQ1 2024","Currency=USD","Period=FQ","BEST_FPERIOD_OVERRIDE=FQ","FILING_STATUS=MR","SCALING_FORMAT=MLN","FA_ADJUSTED=Adjusted","Sort=A","Dates=H","DateFormat=P","Fill=—","Direction=H","UseDPDF=Y")</f>
        <v>-69.804000000000002</v>
      </c>
      <c r="W24" s="19">
        <f>_xll.BDH("BLUE US Equity","PRETAX_INC","FQ2 2024","FQ2 2024","Currency=USD","Period=FQ","BEST_FPERIOD_OVERRIDE=FQ","FILING_STATUS=MR","SCALING_FORMAT=MLN","FA_ADJUSTED=Adjusted","Sort=A","Dates=H","DateFormat=P","Fill=—","Direction=H","UseDPDF=Y")</f>
        <v>-81.372</v>
      </c>
      <c r="X24" s="19">
        <f>_xll.BDH("BLUE US Equity","PRETAX_INC","FQ3 2024","FQ3 2024","Currency=USD","Period=FQ","BEST_FPERIOD_OVERRIDE=FQ","FILING_STATUS=MR","SCALING_FORMAT=MLN","FA_ADJUSTED=Adjusted","Sort=A","Dates=H","DateFormat=P","Fill=—","Direction=H","UseDPDF=Y")</f>
        <v>-58.055</v>
      </c>
      <c r="Y24" s="19">
        <f>_xll.BDH("BLUE US Equity","PRETAX_INC","FQ4 2024","FQ4 2024","Currency=USD","Period=FQ","BEST_FPERIOD_OVERRIDE=FQ","FILING_STATUS=MR","SCALING_FORMAT=MLN","FA_ADJUSTED=Adjusted","Sort=A","Dates=H","DateFormat=P","Fill=—","Direction=H","UseDPDF=Y")</f>
        <v>-28.652000000000001</v>
      </c>
      <c r="Z24" s="19">
        <v>-42.18</v>
      </c>
      <c r="AA24" s="19">
        <v>-18.186</v>
      </c>
    </row>
    <row r="25" spans="1:27" x14ac:dyDescent="0.25">
      <c r="A25" s="10" t="s">
        <v>308</v>
      </c>
      <c r="B25" s="10" t="s">
        <v>309</v>
      </c>
      <c r="C25" s="13">
        <f>_xll.BDH("BLUE US Equity","IS_ABNORMAL_ITEM","FQ2 2019","FQ2 2019","Currency=USD","Period=FQ","BEST_FPERIOD_OVERRIDE=FQ","FILING_STATUS=MR","SCALING_FORMAT=MLN","Sort=A","Dates=H","DateFormat=P","Fill=—","Direction=H","UseDPDF=Y")</f>
        <v>0.214</v>
      </c>
      <c r="D25" s="13">
        <f>_xll.BDH("BLUE US Equity","IS_ABNORMAL_ITEM","FQ3 2019","FQ3 2019","Currency=USD","Period=FQ","BEST_FPERIOD_OVERRIDE=FQ","FILING_STATUS=MR","SCALING_FORMAT=MLN","Sort=A","Dates=H","DateFormat=P","Fill=—","Direction=H","UseDPDF=Y")</f>
        <v>0.80200000000000005</v>
      </c>
      <c r="E25" s="13">
        <f>_xll.BDH("BLUE US Equity","IS_ABNORMAL_ITEM","FQ4 2019","FQ4 2019","Currency=USD","Period=FQ","BEST_FPERIOD_OVERRIDE=FQ","FILING_STATUS=MR","SCALING_FORMAT=MLN","Sort=A","Dates=H","DateFormat=P","Fill=—","Direction=H","UseDPDF=Y")</f>
        <v>1.4350000000000001</v>
      </c>
      <c r="F25" s="13">
        <f>_xll.BDH("BLUE US Equity","IS_ABNORMAL_ITEM","FQ1 2020","FQ1 2020","Currency=USD","Period=FQ","BEST_FPERIOD_OVERRIDE=FQ","FILING_STATUS=MR","SCALING_FORMAT=MLN","Sort=A","Dates=H","DateFormat=P","Fill=—","Direction=H","UseDPDF=Y")</f>
        <v>-3.1080000000000001</v>
      </c>
      <c r="G25" s="13">
        <f>_xll.BDH("BLUE US Equity","IS_ABNORMAL_ITEM","FQ2 2020","FQ2 2020","Currency=USD","Period=FQ","BEST_FPERIOD_OVERRIDE=FQ","FILING_STATUS=MR","SCALING_FORMAT=MLN","Sort=A","Dates=H","DateFormat=P","Fill=—","Direction=H","UseDPDF=Y")</f>
        <v>-1.655</v>
      </c>
      <c r="H25" s="13">
        <f>_xll.BDH("BLUE US Equity","IS_ABNORMAL_ITEM","FQ3 2020","FQ3 2020","Currency=USD","Period=FQ","BEST_FPERIOD_OVERRIDE=FQ","FILING_STATUS=MR","SCALING_FORMAT=MLN","Sort=A","Dates=H","DateFormat=P","Fill=—","Direction=H","UseDPDF=Y")</f>
        <v>-0.82799999999999996</v>
      </c>
      <c r="I25" s="13">
        <f>_xll.BDH("BLUE US Equity","IS_ABNORMAL_ITEM","FQ4 2020","FQ4 2020","Currency=USD","Period=FQ","BEST_FPERIOD_OVERRIDE=FQ","FILING_STATUS=MR","SCALING_FORMAT=MLN","Sort=A","Dates=H","DateFormat=P","Fill=—","Direction=H","UseDPDF=Y")</f>
        <v>0</v>
      </c>
      <c r="J25" s="13">
        <f>_xll.BDH("BLUE US Equity","IS_ABNORMAL_ITEM","FQ1 2021","FQ1 2021","Currency=USD","Period=FQ","BEST_FPERIOD_OVERRIDE=FQ","FILING_STATUS=MR","SCALING_FORMAT=MLN","Sort=A","Dates=H","DateFormat=P","Fill=—","Direction=H","UseDPDF=Y")</f>
        <v>-28.003</v>
      </c>
      <c r="K25" s="13">
        <f>_xll.BDH("BLUE US Equity","IS_ABNORMAL_ITEM","FQ2 2021","FQ2 2021","Currency=USD","Period=FQ","BEST_FPERIOD_OVERRIDE=FQ","FILING_STATUS=MR","SCALING_FORMAT=MLN","Sort=A","Dates=H","DateFormat=P","Fill=—","Direction=H","UseDPDF=Y")</f>
        <v>4.7E-2</v>
      </c>
      <c r="L25" s="13">
        <f>_xll.BDH("BLUE US Equity","IS_ABNORMAL_ITEM","FQ3 2021","FQ3 2021","Currency=USD","Period=FQ","BEST_FPERIOD_OVERRIDE=FQ","FILING_STATUS=MR","SCALING_FORMAT=MLN","Sort=A","Dates=H","DateFormat=P","Fill=—","Direction=H","UseDPDF=Y")</f>
        <v>-8.59</v>
      </c>
      <c r="M25" s="13">
        <f>_xll.BDH("BLUE US Equity","IS_ABNORMAL_ITEM","FQ4 2021","FQ4 2021","Currency=USD","Period=FQ","BEST_FPERIOD_OVERRIDE=FQ","FILING_STATUS=MR","SCALING_FORMAT=MLN","Sort=A","Dates=H","DateFormat=P","Fill=—","Direction=H","UseDPDF=Y")</f>
        <v>0.92400000000000004</v>
      </c>
      <c r="N25" s="13">
        <f>_xll.BDH("BLUE US Equity","IS_ABNORMAL_ITEM","FQ1 2022","FQ1 2022","Currency=USD","Period=FQ","BEST_FPERIOD_OVERRIDE=FQ","FILING_STATUS=MR","SCALING_FORMAT=MLN","Sort=A","Dates=H","DateFormat=P","Fill=—","Direction=H","UseDPDF=Y")</f>
        <v>2.508</v>
      </c>
      <c r="O25" s="13">
        <f>_xll.BDH("BLUE US Equity","IS_ABNORMAL_ITEM","FQ2 2022","FQ2 2022","Currency=USD","Period=FQ","BEST_FPERIOD_OVERRIDE=FQ","FILING_STATUS=MR","SCALING_FORMAT=MLN","Sort=A","Dates=H","DateFormat=P","Fill=—","Direction=H","UseDPDF=Y")</f>
        <v>7.266</v>
      </c>
      <c r="P25" s="13">
        <f>_xll.BDH("BLUE US Equity","IS_ABNORMAL_ITEM","FQ3 2022","FQ3 2022","Currency=USD","Period=FQ","BEST_FPERIOD_OVERRIDE=FQ","FILING_STATUS=MR","SCALING_FORMAT=MLN","Sort=A","Dates=H","DateFormat=P","Fill=—","Direction=H","UseDPDF=Y")</f>
        <v>1.4359999999999999</v>
      </c>
      <c r="Q25" s="13">
        <f>_xll.BDH("BLUE US Equity","IS_ABNORMAL_ITEM","FQ4 2022","FQ4 2022","Currency=USD","Period=FQ","BEST_FPERIOD_OVERRIDE=FQ","FILING_STATUS=MR","SCALING_FORMAT=MLN","Sort=A","Dates=H","DateFormat=P","Fill=—","Direction=H","UseDPDF=Y")</f>
        <v>-108.27</v>
      </c>
      <c r="R25" s="13">
        <f>_xll.BDH("BLUE US Equity","IS_ABNORMAL_ITEM","FQ1 2023","FQ1 2023","Currency=USD","Period=FQ","BEST_FPERIOD_OVERRIDE=FQ","FILING_STATUS=MR","SCALING_FORMAT=MLN","Sort=A","Dates=H","DateFormat=P","Fill=—","Direction=H","UseDPDF=Y")</f>
        <v>-92.93</v>
      </c>
      <c r="S25" s="13">
        <f>_xll.BDH("BLUE US Equity","IS_ABNORMAL_ITEM","FQ2 2023","FQ2 2023","Currency=USD","Period=FQ","BEST_FPERIOD_OVERRIDE=FQ","FILING_STATUS=MR","SCALING_FORMAT=MLN","Sort=A","Dates=H","DateFormat=P","Fill=—","Direction=H","UseDPDF=Y")</f>
        <v>0</v>
      </c>
      <c r="T25" s="13">
        <f>_xll.BDH("BLUE US Equity","IS_ABNORMAL_ITEM","FQ3 2023","FQ3 2023","Currency=USD","Period=FQ","BEST_FPERIOD_OVERRIDE=FQ","FILING_STATUS=MR","SCALING_FORMAT=MLN","Sort=A","Dates=H","DateFormat=P","Fill=—","Direction=H","UseDPDF=Y")</f>
        <v>0</v>
      </c>
      <c r="U25" s="13">
        <f>_xll.BDH("BLUE US Equity","IS_ABNORMAL_ITEM","FQ4 2023","FQ4 2023","Currency=USD","Period=FQ","BEST_FPERIOD_OVERRIDE=FQ","FILING_STATUS=MR","SCALING_FORMAT=MLN","Sort=A","Dates=H","DateFormat=P","Fill=—","Direction=H","UseDPDF=Y")</f>
        <v>0</v>
      </c>
      <c r="V25" s="13">
        <f>_xll.BDH("BLUE US Equity","IS_ABNORMAL_ITEM","FQ1 2024","FQ1 2024","Currency=USD","Period=FQ","BEST_FPERIOD_OVERRIDE=FQ","FILING_STATUS=MR","SCALING_FORMAT=MLN","Sort=A","Dates=H","DateFormat=P","Fill=—","Direction=H","UseDPDF=Y")</f>
        <v>0</v>
      </c>
      <c r="W25" s="13">
        <f>_xll.BDH("BLUE US Equity","IS_ABNORMAL_ITEM","FQ2 2024","FQ2 2024","Currency=USD","Period=FQ","BEST_FPERIOD_OVERRIDE=FQ","FILING_STATUS=MR","SCALING_FORMAT=MLN","Sort=A","Dates=H","DateFormat=P","Fill=—","Direction=H","UseDPDF=Y")</f>
        <v>0</v>
      </c>
      <c r="X25" s="13">
        <f>_xll.BDH("BLUE US Equity","IS_ABNORMAL_ITEM","FQ3 2024","FQ3 2024","Currency=USD","Period=FQ","BEST_FPERIOD_OVERRIDE=FQ","FILING_STATUS=MR","SCALING_FORMAT=MLN","Sort=A","Dates=H","DateFormat=P","Fill=—","Direction=H","UseDPDF=Y")</f>
        <v>2.8109999999999999</v>
      </c>
      <c r="Y25" s="13">
        <f>_xll.BDH("BLUE US Equity","IS_ABNORMAL_ITEM","FQ4 2024","FQ4 2024","Currency=USD","Period=FQ","BEST_FPERIOD_OVERRIDE=FQ","FILING_STATUS=MR","SCALING_FORMAT=MLN","Sort=A","Dates=H","DateFormat=P","Fill=—","Direction=H","UseDPDF=Y")</f>
        <v>-4.9000000000000002E-2</v>
      </c>
      <c r="Z25" s="13"/>
      <c r="AA25" s="13"/>
    </row>
    <row r="26" spans="1:27" x14ac:dyDescent="0.25">
      <c r="A26" s="10" t="s">
        <v>310</v>
      </c>
      <c r="B26" s="10" t="s">
        <v>311</v>
      </c>
      <c r="C26" s="13">
        <f>_xll.BDH("BLUE US Equity","IS_MERGER_ACQUISITION_EXPENSE","FQ2 2019","FQ2 2019","Currency=USD","Period=FQ","BEST_FPERIOD_OVERRIDE=FQ","FILING_STATUS=MR","SCALING_FORMAT=MLN","Sort=A","Dates=H","DateFormat=P","Fill=—","Direction=H","UseDPDF=Y")</f>
        <v>0.214</v>
      </c>
      <c r="D26" s="13">
        <f>_xll.BDH("BLUE US Equity","IS_MERGER_ACQUISITION_EXPENSE","FQ3 2019","FQ3 2019","Currency=USD","Period=FQ","BEST_FPERIOD_OVERRIDE=FQ","FILING_STATUS=MR","SCALING_FORMAT=MLN","Sort=A","Dates=H","DateFormat=P","Fill=—","Direction=H","UseDPDF=Y")</f>
        <v>0.80200000000000005</v>
      </c>
      <c r="E26" s="13">
        <f>_xll.BDH("BLUE US Equity","IS_MERGER_ACQUISITION_EXPENSE","FQ4 2019","FQ4 2019","Currency=USD","Period=FQ","BEST_FPERIOD_OVERRIDE=FQ","FILING_STATUS=MR","SCALING_FORMAT=MLN","Sort=A","Dates=H","DateFormat=P","Fill=—","Direction=H","UseDPDF=Y")</f>
        <v>1.4350000000000001</v>
      </c>
      <c r="F26" s="13">
        <f>_xll.BDH("BLUE US Equity","IS_MERGER_ACQUISITION_EXPENSE","FQ1 2020","FQ1 2020","Currency=USD","Period=FQ","BEST_FPERIOD_OVERRIDE=FQ","FILING_STATUS=MR","SCALING_FORMAT=MLN","Sort=A","Dates=H","DateFormat=P","Fill=—","Direction=H","UseDPDF=Y")</f>
        <v>-3.1080000000000001</v>
      </c>
      <c r="G26" s="13">
        <f>_xll.BDH("BLUE US Equity","IS_MERGER_ACQUISITION_EXPENSE","FQ2 2020","FQ2 2020","Currency=USD","Period=FQ","BEST_FPERIOD_OVERRIDE=FQ","FILING_STATUS=MR","SCALING_FORMAT=MLN","Sort=A","Dates=H","DateFormat=P","Fill=—","Direction=H","UseDPDF=Y")</f>
        <v>-1.655</v>
      </c>
      <c r="H26" s="13">
        <f>_xll.BDH("BLUE US Equity","IS_MERGER_ACQUISITION_EXPENSE","FQ3 2020","FQ3 2020","Currency=USD","Period=FQ","BEST_FPERIOD_OVERRIDE=FQ","FILING_STATUS=MR","SCALING_FORMAT=MLN","Sort=A","Dates=H","DateFormat=P","Fill=—","Direction=H","UseDPDF=Y")</f>
        <v>-0.82799999999999996</v>
      </c>
      <c r="I26" s="13" t="str">
        <f>_xll.BDH("BLUE US Equity","IS_MERGER_ACQUISITION_EXPENSE","FQ4 2020","FQ4 2020","Currency=USD","Period=FQ","BEST_FPERIOD_OVERRIDE=FQ","FILING_STATUS=MR","SCALING_FORMAT=MLN","Sort=A","Dates=H","DateFormat=P","Fill=—","Direction=H","UseDPDF=Y")</f>
        <v>—</v>
      </c>
      <c r="J26" s="13">
        <f>_xll.BDH("BLUE US Equity","IS_MERGER_ACQUISITION_EXPENSE","FQ1 2021","FQ1 2021","Currency=USD","Period=FQ","BEST_FPERIOD_OVERRIDE=FQ","FILING_STATUS=MR","SCALING_FORMAT=MLN","Sort=A","Dates=H","DateFormat=P","Fill=—","Direction=H","UseDPDF=Y")</f>
        <v>0.36899999999999999</v>
      </c>
      <c r="K26" s="13">
        <f>_xll.BDH("BLUE US Equity","IS_MERGER_ACQUISITION_EXPENSE","FQ2 2021","FQ2 2021","Currency=USD","Period=FQ","BEST_FPERIOD_OVERRIDE=FQ","FILING_STATUS=MR","SCALING_FORMAT=MLN","Sort=A","Dates=H","DateFormat=P","Fill=—","Direction=H","UseDPDF=Y")</f>
        <v>4.7E-2</v>
      </c>
      <c r="L26" s="13" t="str">
        <f>_xll.BDH("BLUE US Equity","IS_MERGER_ACQUISITION_EXPENSE","FQ3 2021","FQ3 2021","Currency=USD","Period=FQ","BEST_FPERIOD_OVERRIDE=FQ","FILING_STATUS=MR","SCALING_FORMAT=MLN","Sort=A","Dates=H","DateFormat=P","Fill=—","Direction=H","UseDPDF=Y")</f>
        <v>—</v>
      </c>
      <c r="M26" s="13">
        <f>_xll.BDH("BLUE US Equity","IS_MERGER_ACQUISITION_EXPENSE","FQ4 2021","FQ4 2021","Currency=USD","Period=FQ","BEST_FPERIOD_OVERRIDE=FQ","FILING_STATUS=MR","SCALING_FORMAT=MLN","Sort=A","Dates=H","DateFormat=P","Fill=—","Direction=H","UseDPDF=Y")</f>
        <v>-7.6999999999999999E-2</v>
      </c>
      <c r="N26" s="13" t="str">
        <f>_xll.BDH("BLUE US Equity","IS_MERGER_ACQUISITION_EXPENSE","FQ1 2022","FQ1 2022","Currency=USD","Period=FQ","BEST_FPERIOD_OVERRIDE=FQ","FILING_STATUS=MR","SCALING_FORMAT=MLN","Sort=A","Dates=H","DateFormat=P","Fill=—","Direction=H","UseDPDF=Y")</f>
        <v>—</v>
      </c>
      <c r="O26" s="13" t="str">
        <f>_xll.BDH("BLUE US Equity","IS_MERGER_ACQUISITION_EXPENSE","FQ2 2022","FQ2 2022","Currency=USD","Period=FQ","BEST_FPERIOD_OVERRIDE=FQ","FILING_STATUS=MR","SCALING_FORMAT=MLN","Sort=A","Dates=H","DateFormat=P","Fill=—","Direction=H","UseDPDF=Y")</f>
        <v>—</v>
      </c>
      <c r="P26" s="13" t="str">
        <f>_xll.BDH("BLUE US Equity","IS_MERGER_ACQUISITION_EXPENSE","FQ3 2022","FQ3 2022","Currency=USD","Period=FQ","BEST_FPERIOD_OVERRIDE=FQ","FILING_STATUS=MR","SCALING_FORMAT=MLN","Sort=A","Dates=H","DateFormat=P","Fill=—","Direction=H","UseDPDF=Y")</f>
        <v>—</v>
      </c>
      <c r="Q26" s="13" t="str">
        <f>_xll.BDH("BLUE US Equity","IS_MERGER_ACQUISITION_EXPENSE","FQ4 2022","FQ4 2022","Currency=USD","Period=FQ","BEST_FPERIOD_OVERRIDE=FQ","FILING_STATUS=MR","SCALING_FORMAT=MLN","Sort=A","Dates=H","DateFormat=P","Fill=—","Direction=H","UseDPDF=Y")</f>
        <v>—</v>
      </c>
      <c r="R26" s="13" t="str">
        <f>_xll.BDH("BLUE US Equity","IS_MERGER_ACQUISITION_EXPENSE","FQ1 2023","FQ1 2023","Currency=USD","Period=FQ","BEST_FPERIOD_OVERRIDE=FQ","FILING_STATUS=MR","SCALING_FORMAT=MLN","Sort=A","Dates=H","DateFormat=P","Fill=—","Direction=H","UseDPDF=Y")</f>
        <v>—</v>
      </c>
      <c r="S26" s="13" t="str">
        <f>_xll.BDH("BLUE US Equity","IS_MERGER_ACQUISITION_EXPENSE","FQ2 2023","FQ2 2023","Currency=USD","Period=FQ","BEST_FPERIOD_OVERRIDE=FQ","FILING_STATUS=MR","SCALING_FORMAT=MLN","Sort=A","Dates=H","DateFormat=P","Fill=—","Direction=H","UseDPDF=Y")</f>
        <v>—</v>
      </c>
      <c r="T26" s="13" t="str">
        <f>_xll.BDH("BLUE US Equity","IS_MERGER_ACQUISITION_EXPENSE","FQ3 2023","FQ3 2023","Currency=USD","Period=FQ","BEST_FPERIOD_OVERRIDE=FQ","FILING_STATUS=MR","SCALING_FORMAT=MLN","Sort=A","Dates=H","DateFormat=P","Fill=—","Direction=H","UseDPDF=Y")</f>
        <v>—</v>
      </c>
      <c r="U26" s="13" t="str">
        <f>_xll.BDH("BLUE US Equity","IS_MERGER_ACQUISITION_EXPENSE","FQ4 2023","FQ4 2023","Currency=USD","Period=FQ","BEST_FPERIOD_OVERRIDE=FQ","FILING_STATUS=MR","SCALING_FORMAT=MLN","Sort=A","Dates=H","DateFormat=P","Fill=—","Direction=H","UseDPDF=Y")</f>
        <v>—</v>
      </c>
      <c r="V26" s="13" t="str">
        <f>_xll.BDH("BLUE US Equity","IS_MERGER_ACQUISITION_EXPENSE","FQ1 2024","FQ1 2024","Currency=USD","Period=FQ","BEST_FPERIOD_OVERRIDE=FQ","FILING_STATUS=MR","SCALING_FORMAT=MLN","Sort=A","Dates=H","DateFormat=P","Fill=—","Direction=H","UseDPDF=Y")</f>
        <v>—</v>
      </c>
      <c r="W26" s="13" t="str">
        <f>_xll.BDH("BLUE US Equity","IS_MERGER_ACQUISITION_EXPENSE","FQ2 2024","FQ2 2024","Currency=USD","Period=FQ","BEST_FPERIOD_OVERRIDE=FQ","FILING_STATUS=MR","SCALING_FORMAT=MLN","Sort=A","Dates=H","DateFormat=P","Fill=—","Direction=H","UseDPDF=Y")</f>
        <v>—</v>
      </c>
      <c r="X26" s="13" t="str">
        <f>_xll.BDH("BLUE US Equity","IS_MERGER_ACQUISITION_EXPENSE","FQ3 2024","FQ3 2024","Currency=USD","Period=FQ","BEST_FPERIOD_OVERRIDE=FQ","FILING_STATUS=MR","SCALING_FORMAT=MLN","Sort=A","Dates=H","DateFormat=P","Fill=—","Direction=H","UseDPDF=Y")</f>
        <v>—</v>
      </c>
      <c r="Y26" s="13" t="str">
        <f>_xll.BDH("BLUE US Equity","IS_MERGER_ACQUISITION_EXPENSE","FQ4 2024","FQ4 2024","Currency=USD","Period=FQ","BEST_FPERIOD_OVERRIDE=FQ","FILING_STATUS=MR","SCALING_FORMAT=MLN","Sort=A","Dates=H","DateFormat=P","Fill=—","Direction=H","UseDPDF=Y")</f>
        <v>—</v>
      </c>
      <c r="Z26" s="13"/>
      <c r="AA26" s="13"/>
    </row>
    <row r="27" spans="1:27" x14ac:dyDescent="0.25">
      <c r="A27" s="10" t="s">
        <v>312</v>
      </c>
      <c r="B27" s="10" t="s">
        <v>313</v>
      </c>
      <c r="C27" s="13" t="str">
        <f>_xll.BDH("BLUE US Equity","IS_RESTRUCTURING_EXPENSES","FQ2 2019","FQ2 2019","Currency=USD","Period=FQ","BEST_FPERIOD_OVERRIDE=FQ","FILING_STATUS=MR","SCALING_FORMAT=MLN","Sort=A","Dates=H","DateFormat=P","Fill=—","Direction=H","UseDPDF=Y")</f>
        <v>—</v>
      </c>
      <c r="D27" s="13" t="str">
        <f>_xll.BDH("BLUE US Equity","IS_RESTRUCTURING_EXPENSES","FQ3 2019","FQ3 2019","Currency=USD","Period=FQ","BEST_FPERIOD_OVERRIDE=FQ","FILING_STATUS=MR","SCALING_FORMAT=MLN","Sort=A","Dates=H","DateFormat=P","Fill=—","Direction=H","UseDPDF=Y")</f>
        <v>—</v>
      </c>
      <c r="E27" s="13" t="str">
        <f>_xll.BDH("BLUE US Equity","IS_RESTRUCTURING_EXPENSES","FQ4 2019","FQ4 2019","Currency=USD","Period=FQ","BEST_FPERIOD_OVERRIDE=FQ","FILING_STATUS=MR","SCALING_FORMAT=MLN","Sort=A","Dates=H","DateFormat=P","Fill=—","Direction=H","UseDPDF=Y")</f>
        <v>—</v>
      </c>
      <c r="F27" s="13" t="str">
        <f>_xll.BDH("BLUE US Equity","IS_RESTRUCTURING_EXPENSES","FQ1 2020","FQ1 2020","Currency=USD","Period=FQ","BEST_FPERIOD_OVERRIDE=FQ","FILING_STATUS=MR","SCALING_FORMAT=MLN","Sort=A","Dates=H","DateFormat=P","Fill=—","Direction=H","UseDPDF=Y")</f>
        <v>—</v>
      </c>
      <c r="G27" s="13" t="str">
        <f>_xll.BDH("BLUE US Equity","IS_RESTRUCTURING_EXPENSES","FQ2 2020","FQ2 2020","Currency=USD","Period=FQ","BEST_FPERIOD_OVERRIDE=FQ","FILING_STATUS=MR","SCALING_FORMAT=MLN","Sort=A","Dates=H","DateFormat=P","Fill=—","Direction=H","UseDPDF=Y")</f>
        <v>—</v>
      </c>
      <c r="H27" s="13" t="str">
        <f>_xll.BDH("BLUE US Equity","IS_RESTRUCTURING_EXPENSES","FQ3 2020","FQ3 2020","Currency=USD","Period=FQ","BEST_FPERIOD_OVERRIDE=FQ","FILING_STATUS=MR","SCALING_FORMAT=MLN","Sort=A","Dates=H","DateFormat=P","Fill=—","Direction=H","UseDPDF=Y")</f>
        <v>—</v>
      </c>
      <c r="I27" s="13" t="str">
        <f>_xll.BDH("BLUE US Equity","IS_RESTRUCTURING_EXPENSES","FQ4 2020","FQ4 2020","Currency=USD","Period=FQ","BEST_FPERIOD_OVERRIDE=FQ","FILING_STATUS=MR","SCALING_FORMAT=MLN","Sort=A","Dates=H","DateFormat=P","Fill=—","Direction=H","UseDPDF=Y")</f>
        <v>—</v>
      </c>
      <c r="J27" s="13" t="str">
        <f>_xll.BDH("BLUE US Equity","IS_RESTRUCTURING_EXPENSES","FQ1 2021","FQ1 2021","Currency=USD","Period=FQ","BEST_FPERIOD_OVERRIDE=FQ","FILING_STATUS=MR","SCALING_FORMAT=MLN","Sort=A","Dates=H","DateFormat=P","Fill=—","Direction=H","UseDPDF=Y")</f>
        <v>—</v>
      </c>
      <c r="K27" s="13" t="str">
        <f>_xll.BDH("BLUE US Equity","IS_RESTRUCTURING_EXPENSES","FQ2 2021","FQ2 2021","Currency=USD","Period=FQ","BEST_FPERIOD_OVERRIDE=FQ","FILING_STATUS=MR","SCALING_FORMAT=MLN","Sort=A","Dates=H","DateFormat=P","Fill=—","Direction=H","UseDPDF=Y")</f>
        <v>—</v>
      </c>
      <c r="L27" s="13">
        <f>_xll.BDH("BLUE US Equity","IS_RESTRUCTURING_EXPENSES","FQ3 2021","FQ3 2021","Currency=USD","Period=FQ","BEST_FPERIOD_OVERRIDE=FQ","FILING_STATUS=MR","SCALING_FORMAT=MLN","Sort=A","Dates=H","DateFormat=P","Fill=—","Direction=H","UseDPDF=Y")</f>
        <v>20.175000000000001</v>
      </c>
      <c r="M27" s="13">
        <f>_xll.BDH("BLUE US Equity","IS_RESTRUCTURING_EXPENSES","FQ4 2021","FQ4 2021","Currency=USD","Period=FQ","BEST_FPERIOD_OVERRIDE=FQ","FILING_STATUS=MR","SCALING_FORMAT=MLN","Sort=A","Dates=H","DateFormat=P","Fill=—","Direction=H","UseDPDF=Y")</f>
        <v>1.0009999999999999</v>
      </c>
      <c r="N27" s="13" t="str">
        <f>_xll.BDH("BLUE US Equity","IS_RESTRUCTURING_EXPENSES","FQ1 2022","FQ1 2022","Currency=USD","Period=FQ","BEST_FPERIOD_OVERRIDE=FQ","FILING_STATUS=MR","SCALING_FORMAT=MLN","Sort=A","Dates=H","DateFormat=P","Fill=—","Direction=H","UseDPDF=Y")</f>
        <v>—</v>
      </c>
      <c r="O27" s="13">
        <f>_xll.BDH("BLUE US Equity","IS_RESTRUCTURING_EXPENSES","FQ2 2022","FQ2 2022","Currency=USD","Period=FQ","BEST_FPERIOD_OVERRIDE=FQ","FILING_STATUS=MR","SCALING_FORMAT=MLN","Sort=A","Dates=H","DateFormat=P","Fill=—","Direction=H","UseDPDF=Y")</f>
        <v>6.6390000000000002</v>
      </c>
      <c r="P27" s="13">
        <f>_xll.BDH("BLUE US Equity","IS_RESTRUCTURING_EXPENSES","FQ3 2022","FQ3 2022","Currency=USD","Period=FQ","BEST_FPERIOD_OVERRIDE=FQ","FILING_STATUS=MR","SCALING_FORMAT=MLN","Sort=A","Dates=H","DateFormat=P","Fill=—","Direction=H","UseDPDF=Y")</f>
        <v>-1.6990000000000001</v>
      </c>
      <c r="Q27" s="13" t="str">
        <f>_xll.BDH("BLUE US Equity","IS_RESTRUCTURING_EXPENSES","FQ4 2022","FQ4 2022","Currency=USD","Period=FQ","BEST_FPERIOD_OVERRIDE=FQ","FILING_STATUS=MR","SCALING_FORMAT=MLN","Sort=A","Dates=H","DateFormat=P","Fill=—","Direction=H","UseDPDF=Y")</f>
        <v>—</v>
      </c>
      <c r="R27" s="13" t="str">
        <f>_xll.BDH("BLUE US Equity","IS_RESTRUCTURING_EXPENSES","FQ1 2023","FQ1 2023","Currency=USD","Period=FQ","BEST_FPERIOD_OVERRIDE=FQ","FILING_STATUS=MR","SCALING_FORMAT=MLN","Sort=A","Dates=H","DateFormat=P","Fill=—","Direction=H","UseDPDF=Y")</f>
        <v>—</v>
      </c>
      <c r="S27" s="13" t="str">
        <f>_xll.BDH("BLUE US Equity","IS_RESTRUCTURING_EXPENSES","FQ2 2023","FQ2 2023","Currency=USD","Period=FQ","BEST_FPERIOD_OVERRIDE=FQ","FILING_STATUS=MR","SCALING_FORMAT=MLN","Sort=A","Dates=H","DateFormat=P","Fill=—","Direction=H","UseDPDF=Y")</f>
        <v>—</v>
      </c>
      <c r="T27" s="13" t="str">
        <f>_xll.BDH("BLUE US Equity","IS_RESTRUCTURING_EXPENSES","FQ3 2023","FQ3 2023","Currency=USD","Period=FQ","BEST_FPERIOD_OVERRIDE=FQ","FILING_STATUS=MR","SCALING_FORMAT=MLN","Sort=A","Dates=H","DateFormat=P","Fill=—","Direction=H","UseDPDF=Y")</f>
        <v>—</v>
      </c>
      <c r="U27" s="13" t="str">
        <f>_xll.BDH("BLUE US Equity","IS_RESTRUCTURING_EXPENSES","FQ4 2023","FQ4 2023","Currency=USD","Period=FQ","BEST_FPERIOD_OVERRIDE=FQ","FILING_STATUS=MR","SCALING_FORMAT=MLN","Sort=A","Dates=H","DateFormat=P","Fill=—","Direction=H","UseDPDF=Y")</f>
        <v>—</v>
      </c>
      <c r="V27" s="13" t="str">
        <f>_xll.BDH("BLUE US Equity","IS_RESTRUCTURING_EXPENSES","FQ1 2024","FQ1 2024","Currency=USD","Period=FQ","BEST_FPERIOD_OVERRIDE=FQ","FILING_STATUS=MR","SCALING_FORMAT=MLN","Sort=A","Dates=H","DateFormat=P","Fill=—","Direction=H","UseDPDF=Y")</f>
        <v>—</v>
      </c>
      <c r="W27" s="13" t="str">
        <f>_xll.BDH("BLUE US Equity","IS_RESTRUCTURING_EXPENSES","FQ2 2024","FQ2 2024","Currency=USD","Period=FQ","BEST_FPERIOD_OVERRIDE=FQ","FILING_STATUS=MR","SCALING_FORMAT=MLN","Sort=A","Dates=H","DateFormat=P","Fill=—","Direction=H","UseDPDF=Y")</f>
        <v>—</v>
      </c>
      <c r="X27" s="13">
        <f>_xll.BDH("BLUE US Equity","IS_RESTRUCTURING_EXPENSES","FQ3 2024","FQ3 2024","Currency=USD","Period=FQ","BEST_FPERIOD_OVERRIDE=FQ","FILING_STATUS=MR","SCALING_FORMAT=MLN","Sort=A","Dates=H","DateFormat=P","Fill=—","Direction=H","UseDPDF=Y")</f>
        <v>2.8109999999999999</v>
      </c>
      <c r="Y27" s="13">
        <f>_xll.BDH("BLUE US Equity","IS_RESTRUCTURING_EXPENSES","FQ4 2024","FQ4 2024","Currency=USD","Period=FQ","BEST_FPERIOD_OVERRIDE=FQ","FILING_STATUS=MR","SCALING_FORMAT=MLN","Sort=A","Dates=H","DateFormat=P","Fill=—","Direction=H","UseDPDF=Y")</f>
        <v>-4.9000000000000002E-2</v>
      </c>
      <c r="Z27" s="13"/>
      <c r="AA27" s="13"/>
    </row>
    <row r="28" spans="1:27" x14ac:dyDescent="0.25">
      <c r="A28" s="10" t="s">
        <v>314</v>
      </c>
      <c r="B28" s="10" t="s">
        <v>315</v>
      </c>
      <c r="C28" s="13" t="str">
        <f>_xll.BDH("BLUE US Equity","IS_GAIN_LOSS_ON_INVESTMENTS","FQ2 2019","FQ2 2019","Currency=USD","Period=FQ","BEST_FPERIOD_OVERRIDE=FQ","FILING_STATUS=MR","SCALING_FORMAT=MLN","Sort=A","Dates=H","DateFormat=P","Fill=—","Direction=H","UseDPDF=Y")</f>
        <v>—</v>
      </c>
      <c r="D28" s="13" t="str">
        <f>_xll.BDH("BLUE US Equity","IS_GAIN_LOSS_ON_INVESTMENTS","FQ3 2019","FQ3 2019","Currency=USD","Period=FQ","BEST_FPERIOD_OVERRIDE=FQ","FILING_STATUS=MR","SCALING_FORMAT=MLN","Sort=A","Dates=H","DateFormat=P","Fill=—","Direction=H","UseDPDF=Y")</f>
        <v>—</v>
      </c>
      <c r="E28" s="13" t="str">
        <f>_xll.BDH("BLUE US Equity","IS_GAIN_LOSS_ON_INVESTMENTS","FQ4 2019","FQ4 2019","Currency=USD","Period=FQ","BEST_FPERIOD_OVERRIDE=FQ","FILING_STATUS=MR","SCALING_FORMAT=MLN","Sort=A","Dates=H","DateFormat=P","Fill=—","Direction=H","UseDPDF=Y")</f>
        <v>—</v>
      </c>
      <c r="F28" s="13" t="str">
        <f>_xll.BDH("BLUE US Equity","IS_GAIN_LOSS_ON_INVESTMENTS","FQ1 2020","FQ1 2020","Currency=USD","Period=FQ","BEST_FPERIOD_OVERRIDE=FQ","FILING_STATUS=MR","SCALING_FORMAT=MLN","Sort=A","Dates=H","DateFormat=P","Fill=—","Direction=H","UseDPDF=Y")</f>
        <v>—</v>
      </c>
      <c r="G28" s="13" t="str">
        <f>_xll.BDH("BLUE US Equity","IS_GAIN_LOSS_ON_INVESTMENTS","FQ2 2020","FQ2 2020","Currency=USD","Period=FQ","BEST_FPERIOD_OVERRIDE=FQ","FILING_STATUS=MR","SCALING_FORMAT=MLN","Sort=A","Dates=H","DateFormat=P","Fill=—","Direction=H","UseDPDF=Y")</f>
        <v>—</v>
      </c>
      <c r="H28" s="13" t="str">
        <f>_xll.BDH("BLUE US Equity","IS_GAIN_LOSS_ON_INVESTMENTS","FQ3 2020","FQ3 2020","Currency=USD","Period=FQ","BEST_FPERIOD_OVERRIDE=FQ","FILING_STATUS=MR","SCALING_FORMAT=MLN","Sort=A","Dates=H","DateFormat=P","Fill=—","Direction=H","UseDPDF=Y")</f>
        <v>—</v>
      </c>
      <c r="I28" s="13" t="str">
        <f>_xll.BDH("BLUE US Equity","IS_GAIN_LOSS_ON_INVESTMENTS","FQ4 2020","FQ4 2020","Currency=USD","Period=FQ","BEST_FPERIOD_OVERRIDE=FQ","FILING_STATUS=MR","SCALING_FORMAT=MLN","Sort=A","Dates=H","DateFormat=P","Fill=—","Direction=H","UseDPDF=Y")</f>
        <v>—</v>
      </c>
      <c r="J28" s="13">
        <f>_xll.BDH("BLUE US Equity","IS_GAIN_LOSS_ON_INVESTMENTS","FQ1 2021","FQ1 2021","Currency=USD","Period=FQ","BEST_FPERIOD_OVERRIDE=FQ","FILING_STATUS=MR","SCALING_FORMAT=MLN","Sort=A","Dates=H","DateFormat=P","Fill=—","Direction=H","UseDPDF=Y")</f>
        <v>-28.372</v>
      </c>
      <c r="K28" s="13" t="str">
        <f>_xll.BDH("BLUE US Equity","IS_GAIN_LOSS_ON_INVESTMENTS","FQ2 2021","FQ2 2021","Currency=USD","Period=FQ","BEST_FPERIOD_OVERRIDE=FQ","FILING_STATUS=MR","SCALING_FORMAT=MLN","Sort=A","Dates=H","DateFormat=P","Fill=—","Direction=H","UseDPDF=Y")</f>
        <v>—</v>
      </c>
      <c r="L28" s="13">
        <f>_xll.BDH("BLUE US Equity","IS_GAIN_LOSS_ON_INVESTMENTS","FQ3 2021","FQ3 2021","Currency=USD","Period=FQ","BEST_FPERIOD_OVERRIDE=FQ","FILING_STATUS=MR","SCALING_FORMAT=MLN","Sort=A","Dates=H","DateFormat=P","Fill=—","Direction=H","UseDPDF=Y")</f>
        <v>-28.765000000000001</v>
      </c>
      <c r="M28" s="13" t="str">
        <f>_xll.BDH("BLUE US Equity","IS_GAIN_LOSS_ON_INVESTMENTS","FQ4 2021","FQ4 2021","Currency=USD","Period=FQ","BEST_FPERIOD_OVERRIDE=FQ","FILING_STATUS=MR","SCALING_FORMAT=MLN","Sort=A","Dates=H","DateFormat=P","Fill=—","Direction=H","UseDPDF=Y")</f>
        <v>—</v>
      </c>
      <c r="N28" s="13">
        <f>_xll.BDH("BLUE US Equity","IS_GAIN_LOSS_ON_INVESTMENTS","FQ1 2022","FQ1 2022","Currency=USD","Period=FQ","BEST_FPERIOD_OVERRIDE=FQ","FILING_STATUS=MR","SCALING_FORMAT=MLN","Sort=A","Dates=H","DateFormat=P","Fill=—","Direction=H","UseDPDF=Y")</f>
        <v>2.508</v>
      </c>
      <c r="O28" s="13">
        <f>_xll.BDH("BLUE US Equity","IS_GAIN_LOSS_ON_INVESTMENTS","FQ2 2022","FQ2 2022","Currency=USD","Period=FQ","BEST_FPERIOD_OVERRIDE=FQ","FILING_STATUS=MR","SCALING_FORMAT=MLN","Sort=A","Dates=H","DateFormat=P","Fill=—","Direction=H","UseDPDF=Y")</f>
        <v>0.627</v>
      </c>
      <c r="P28" s="13">
        <f>_xll.BDH("BLUE US Equity","IS_GAIN_LOSS_ON_INVESTMENTS","FQ3 2022","FQ3 2022","Currency=USD","Period=FQ","BEST_FPERIOD_OVERRIDE=FQ","FILING_STATUS=MR","SCALING_FORMAT=MLN","Sort=A","Dates=H","DateFormat=P","Fill=—","Direction=H","UseDPDF=Y")</f>
        <v>3.1349999999999998</v>
      </c>
      <c r="Q28" s="13">
        <f>_xll.BDH("BLUE US Equity","IS_GAIN_LOSS_ON_INVESTMENTS","FQ4 2022","FQ4 2022","Currency=USD","Period=FQ","BEST_FPERIOD_OVERRIDE=FQ","FILING_STATUS=MR","SCALING_FORMAT=MLN","Sort=A","Dates=H","DateFormat=P","Fill=—","Direction=H","UseDPDF=Y")</f>
        <v>-6.27</v>
      </c>
      <c r="R28" s="13" t="str">
        <f>_xll.BDH("BLUE US Equity","IS_GAIN_LOSS_ON_INVESTMENTS","FQ1 2023","FQ1 2023","Currency=USD","Period=FQ","BEST_FPERIOD_OVERRIDE=FQ","FILING_STATUS=MR","SCALING_FORMAT=MLN","Sort=A","Dates=H","DateFormat=P","Fill=—","Direction=H","UseDPDF=Y")</f>
        <v>—</v>
      </c>
      <c r="S28" s="13" t="str">
        <f>_xll.BDH("BLUE US Equity","IS_GAIN_LOSS_ON_INVESTMENTS","FQ2 2023","FQ2 2023","Currency=USD","Period=FQ","BEST_FPERIOD_OVERRIDE=FQ","FILING_STATUS=MR","SCALING_FORMAT=MLN","Sort=A","Dates=H","DateFormat=P","Fill=—","Direction=H","UseDPDF=Y")</f>
        <v>—</v>
      </c>
      <c r="T28" s="13" t="str">
        <f>_xll.BDH("BLUE US Equity","IS_GAIN_LOSS_ON_INVESTMENTS","FQ3 2023","FQ3 2023","Currency=USD","Period=FQ","BEST_FPERIOD_OVERRIDE=FQ","FILING_STATUS=MR","SCALING_FORMAT=MLN","Sort=A","Dates=H","DateFormat=P","Fill=—","Direction=H","UseDPDF=Y")</f>
        <v>—</v>
      </c>
      <c r="U28" s="13" t="str">
        <f>_xll.BDH("BLUE US Equity","IS_GAIN_LOSS_ON_INVESTMENTS","FQ4 2023","FQ4 2023","Currency=USD","Period=FQ","BEST_FPERIOD_OVERRIDE=FQ","FILING_STATUS=MR","SCALING_FORMAT=MLN","Sort=A","Dates=H","DateFormat=P","Fill=—","Direction=H","UseDPDF=Y")</f>
        <v>—</v>
      </c>
      <c r="V28" s="13" t="str">
        <f>_xll.BDH("BLUE US Equity","IS_GAIN_LOSS_ON_INVESTMENTS","FQ1 2024","FQ1 2024","Currency=USD","Period=FQ","BEST_FPERIOD_OVERRIDE=FQ","FILING_STATUS=MR","SCALING_FORMAT=MLN","Sort=A","Dates=H","DateFormat=P","Fill=—","Direction=H","UseDPDF=Y")</f>
        <v>—</v>
      </c>
      <c r="W28" s="13" t="str">
        <f>_xll.BDH("BLUE US Equity","IS_GAIN_LOSS_ON_INVESTMENTS","FQ2 2024","FQ2 2024","Currency=USD","Period=FQ","BEST_FPERIOD_OVERRIDE=FQ","FILING_STATUS=MR","SCALING_FORMAT=MLN","Sort=A","Dates=H","DateFormat=P","Fill=—","Direction=H","UseDPDF=Y")</f>
        <v>—</v>
      </c>
      <c r="X28" s="13" t="str">
        <f>_xll.BDH("BLUE US Equity","IS_GAIN_LOSS_ON_INVESTMENTS","FQ3 2024","FQ3 2024","Currency=USD","Period=FQ","BEST_FPERIOD_OVERRIDE=FQ","FILING_STATUS=MR","SCALING_FORMAT=MLN","Sort=A","Dates=H","DateFormat=P","Fill=—","Direction=H","UseDPDF=Y")</f>
        <v>—</v>
      </c>
      <c r="Y28" s="13" t="str">
        <f>_xll.BDH("BLUE US Equity","IS_GAIN_LOSS_ON_INVESTMENTS","FQ4 2024","FQ4 2024","Currency=USD","Period=FQ","BEST_FPERIOD_OVERRIDE=FQ","FILING_STATUS=MR","SCALING_FORMAT=MLN","Sort=A","Dates=H","DateFormat=P","Fill=—","Direction=H","UseDPDF=Y")</f>
        <v>—</v>
      </c>
      <c r="Z28" s="13"/>
      <c r="AA28" s="13"/>
    </row>
    <row r="29" spans="1:27" x14ac:dyDescent="0.25">
      <c r="A29" s="10" t="s">
        <v>316</v>
      </c>
      <c r="B29" s="10" t="s">
        <v>317</v>
      </c>
      <c r="C29" s="13" t="str">
        <f>_xll.BDH("BLUE US Equity","IS_OTHER_ONE_TIME_ITEMS","FQ2 2019","FQ2 2019","Currency=USD","Period=FQ","BEST_FPERIOD_OVERRIDE=FQ","FILING_STATUS=MR","SCALING_FORMAT=MLN","Sort=A","Dates=H","DateFormat=P","Fill=—","Direction=H","UseDPDF=Y")</f>
        <v>—</v>
      </c>
      <c r="D29" s="13" t="str">
        <f>_xll.BDH("BLUE US Equity","IS_OTHER_ONE_TIME_ITEMS","FQ3 2019","FQ3 2019","Currency=USD","Period=FQ","BEST_FPERIOD_OVERRIDE=FQ","FILING_STATUS=MR","SCALING_FORMAT=MLN","Sort=A","Dates=H","DateFormat=P","Fill=—","Direction=H","UseDPDF=Y")</f>
        <v>—</v>
      </c>
      <c r="E29" s="13" t="str">
        <f>_xll.BDH("BLUE US Equity","IS_OTHER_ONE_TIME_ITEMS","FQ4 2019","FQ4 2019","Currency=USD","Period=FQ","BEST_FPERIOD_OVERRIDE=FQ","FILING_STATUS=MR","SCALING_FORMAT=MLN","Sort=A","Dates=H","DateFormat=P","Fill=—","Direction=H","UseDPDF=Y")</f>
        <v>—</v>
      </c>
      <c r="F29" s="13" t="str">
        <f>_xll.BDH("BLUE US Equity","IS_OTHER_ONE_TIME_ITEMS","FQ1 2020","FQ1 2020","Currency=USD","Period=FQ","BEST_FPERIOD_OVERRIDE=FQ","FILING_STATUS=MR","SCALING_FORMAT=MLN","Sort=A","Dates=H","DateFormat=P","Fill=—","Direction=H","UseDPDF=Y")</f>
        <v>—</v>
      </c>
      <c r="G29" s="13" t="str">
        <f>_xll.BDH("BLUE US Equity","IS_OTHER_ONE_TIME_ITEMS","FQ2 2020","FQ2 2020","Currency=USD","Period=FQ","BEST_FPERIOD_OVERRIDE=FQ","FILING_STATUS=MR","SCALING_FORMAT=MLN","Sort=A","Dates=H","DateFormat=P","Fill=—","Direction=H","UseDPDF=Y")</f>
        <v>—</v>
      </c>
      <c r="H29" s="13" t="str">
        <f>_xll.BDH("BLUE US Equity","IS_OTHER_ONE_TIME_ITEMS","FQ3 2020","FQ3 2020","Currency=USD","Period=FQ","BEST_FPERIOD_OVERRIDE=FQ","FILING_STATUS=MR","SCALING_FORMAT=MLN","Sort=A","Dates=H","DateFormat=P","Fill=—","Direction=H","UseDPDF=Y")</f>
        <v>—</v>
      </c>
      <c r="I29" s="13" t="str">
        <f>_xll.BDH("BLUE US Equity","IS_OTHER_ONE_TIME_ITEMS","FQ4 2020","FQ4 2020","Currency=USD","Period=FQ","BEST_FPERIOD_OVERRIDE=FQ","FILING_STATUS=MR","SCALING_FORMAT=MLN","Sort=A","Dates=H","DateFormat=P","Fill=—","Direction=H","UseDPDF=Y")</f>
        <v>—</v>
      </c>
      <c r="J29" s="13" t="str">
        <f>_xll.BDH("BLUE US Equity","IS_OTHER_ONE_TIME_ITEMS","FQ1 2021","FQ1 2021","Currency=USD","Period=FQ","BEST_FPERIOD_OVERRIDE=FQ","FILING_STATUS=MR","SCALING_FORMAT=MLN","Sort=A","Dates=H","DateFormat=P","Fill=—","Direction=H","UseDPDF=Y")</f>
        <v>—</v>
      </c>
      <c r="K29" s="13" t="str">
        <f>_xll.BDH("BLUE US Equity","IS_OTHER_ONE_TIME_ITEMS","FQ2 2021","FQ2 2021","Currency=USD","Period=FQ","BEST_FPERIOD_OVERRIDE=FQ","FILING_STATUS=MR","SCALING_FORMAT=MLN","Sort=A","Dates=H","DateFormat=P","Fill=—","Direction=H","UseDPDF=Y")</f>
        <v>—</v>
      </c>
      <c r="L29" s="13" t="str">
        <f>_xll.BDH("BLUE US Equity","IS_OTHER_ONE_TIME_ITEMS","FQ3 2021","FQ3 2021","Currency=USD","Period=FQ","BEST_FPERIOD_OVERRIDE=FQ","FILING_STATUS=MR","SCALING_FORMAT=MLN","Sort=A","Dates=H","DateFormat=P","Fill=—","Direction=H","UseDPDF=Y")</f>
        <v>—</v>
      </c>
      <c r="M29" s="13" t="str">
        <f>_xll.BDH("BLUE US Equity","IS_OTHER_ONE_TIME_ITEMS","FQ4 2021","FQ4 2021","Currency=USD","Period=FQ","BEST_FPERIOD_OVERRIDE=FQ","FILING_STATUS=MR","SCALING_FORMAT=MLN","Sort=A","Dates=H","DateFormat=P","Fill=—","Direction=H","UseDPDF=Y")</f>
        <v>—</v>
      </c>
      <c r="N29" s="13" t="str">
        <f>_xll.BDH("BLUE US Equity","IS_OTHER_ONE_TIME_ITEMS","FQ1 2022","FQ1 2022","Currency=USD","Period=FQ","BEST_FPERIOD_OVERRIDE=FQ","FILING_STATUS=MR","SCALING_FORMAT=MLN","Sort=A","Dates=H","DateFormat=P","Fill=—","Direction=H","UseDPDF=Y")</f>
        <v>—</v>
      </c>
      <c r="O29" s="13" t="str">
        <f>_xll.BDH("BLUE US Equity","IS_OTHER_ONE_TIME_ITEMS","FQ2 2022","FQ2 2022","Currency=USD","Period=FQ","BEST_FPERIOD_OVERRIDE=FQ","FILING_STATUS=MR","SCALING_FORMAT=MLN","Sort=A","Dates=H","DateFormat=P","Fill=—","Direction=H","UseDPDF=Y")</f>
        <v>—</v>
      </c>
      <c r="P29" s="13" t="str">
        <f>_xll.BDH("BLUE US Equity","IS_OTHER_ONE_TIME_ITEMS","FQ3 2022","FQ3 2022","Currency=USD","Period=FQ","BEST_FPERIOD_OVERRIDE=FQ","FILING_STATUS=MR","SCALING_FORMAT=MLN","Sort=A","Dates=H","DateFormat=P","Fill=—","Direction=H","UseDPDF=Y")</f>
        <v>—</v>
      </c>
      <c r="Q29" s="13">
        <f>_xll.BDH("BLUE US Equity","IS_OTHER_ONE_TIME_ITEMS","FQ4 2022","FQ4 2022","Currency=USD","Period=FQ","BEST_FPERIOD_OVERRIDE=FQ","FILING_STATUS=MR","SCALING_FORMAT=MLN","Sort=A","Dates=H","DateFormat=P","Fill=—","Direction=H","UseDPDF=Y")</f>
        <v>-102</v>
      </c>
      <c r="R29" s="13">
        <f>_xll.BDH("BLUE US Equity","IS_OTHER_ONE_TIME_ITEMS","FQ1 2023","FQ1 2023","Currency=USD","Period=FQ","BEST_FPERIOD_OVERRIDE=FQ","FILING_STATUS=MR","SCALING_FORMAT=MLN","Sort=A","Dates=H","DateFormat=P","Fill=—","Direction=H","UseDPDF=Y")</f>
        <v>-92.93</v>
      </c>
      <c r="S29" s="13" t="str">
        <f>_xll.BDH("BLUE US Equity","IS_OTHER_ONE_TIME_ITEMS","FQ2 2023","FQ2 2023","Currency=USD","Period=FQ","BEST_FPERIOD_OVERRIDE=FQ","FILING_STATUS=MR","SCALING_FORMAT=MLN","Sort=A","Dates=H","DateFormat=P","Fill=—","Direction=H","UseDPDF=Y")</f>
        <v>—</v>
      </c>
      <c r="T29" s="13" t="str">
        <f>_xll.BDH("BLUE US Equity","IS_OTHER_ONE_TIME_ITEMS","FQ3 2023","FQ3 2023","Currency=USD","Period=FQ","BEST_FPERIOD_OVERRIDE=FQ","FILING_STATUS=MR","SCALING_FORMAT=MLN","Sort=A","Dates=H","DateFormat=P","Fill=—","Direction=H","UseDPDF=Y")</f>
        <v>—</v>
      </c>
      <c r="U29" s="13" t="str">
        <f>_xll.BDH("BLUE US Equity","IS_OTHER_ONE_TIME_ITEMS","FQ4 2023","FQ4 2023","Currency=USD","Period=FQ","BEST_FPERIOD_OVERRIDE=FQ","FILING_STATUS=MR","SCALING_FORMAT=MLN","Sort=A","Dates=H","DateFormat=P","Fill=—","Direction=H","UseDPDF=Y")</f>
        <v>—</v>
      </c>
      <c r="V29" s="13" t="str">
        <f>_xll.BDH("BLUE US Equity","IS_OTHER_ONE_TIME_ITEMS","FQ1 2024","FQ1 2024","Currency=USD","Period=FQ","BEST_FPERIOD_OVERRIDE=FQ","FILING_STATUS=MR","SCALING_FORMAT=MLN","Sort=A","Dates=H","DateFormat=P","Fill=—","Direction=H","UseDPDF=Y")</f>
        <v>—</v>
      </c>
      <c r="W29" s="13" t="str">
        <f>_xll.BDH("BLUE US Equity","IS_OTHER_ONE_TIME_ITEMS","FQ2 2024","FQ2 2024","Currency=USD","Period=FQ","BEST_FPERIOD_OVERRIDE=FQ","FILING_STATUS=MR","SCALING_FORMAT=MLN","Sort=A","Dates=H","DateFormat=P","Fill=—","Direction=H","UseDPDF=Y")</f>
        <v>—</v>
      </c>
      <c r="X29" s="13" t="str">
        <f>_xll.BDH("BLUE US Equity","IS_OTHER_ONE_TIME_ITEMS","FQ3 2024","FQ3 2024","Currency=USD","Period=FQ","BEST_FPERIOD_OVERRIDE=FQ","FILING_STATUS=MR","SCALING_FORMAT=MLN","Sort=A","Dates=H","DateFormat=P","Fill=—","Direction=H","UseDPDF=Y")</f>
        <v>—</v>
      </c>
      <c r="Y29" s="13" t="str">
        <f>_xll.BDH("BLUE US Equity","IS_OTHER_ONE_TIME_ITEMS","FQ4 2024","FQ4 2024","Currency=USD","Period=FQ","BEST_FPERIOD_OVERRIDE=FQ","FILING_STATUS=MR","SCALING_FORMAT=MLN","Sort=A","Dates=H","DateFormat=P","Fill=—","Direction=H","UseDPDF=Y")</f>
        <v>—</v>
      </c>
      <c r="Z29" s="13"/>
      <c r="AA29" s="13"/>
    </row>
    <row r="30" spans="1:27" x14ac:dyDescent="0.25">
      <c r="A30" s="6" t="s">
        <v>318</v>
      </c>
      <c r="B30" s="6" t="s">
        <v>157</v>
      </c>
      <c r="C30" s="19">
        <f>_xll.BDH("BLUE US Equity","PRETAX_INC","FQ2 2019","FQ2 2019","Currency=USD","Period=FQ","BEST_FPERIOD_OVERRIDE=FQ","FILING_STATUS=MR","SCALING_FORMAT=MLN","FA_ADJUSTED=GAAP","Sort=A","Dates=H","DateFormat=P","Fill=—","Direction=H","UseDPDF=Y")</f>
        <v>-196.251</v>
      </c>
      <c r="D30" s="19">
        <f>_xll.BDH("BLUE US Equity","PRETAX_INC","FQ3 2019","FQ3 2019","Currency=USD","Period=FQ","BEST_FPERIOD_OVERRIDE=FQ","FILING_STATUS=MR","SCALING_FORMAT=MLN","FA_ADJUSTED=GAAP","Sort=A","Dates=H","DateFormat=P","Fill=—","Direction=H","UseDPDF=Y")</f>
        <v>-206.297</v>
      </c>
      <c r="E30" s="19">
        <f>_xll.BDH("BLUE US Equity","PRETAX_INC","FQ4 2019","FQ4 2019","Currency=USD","Period=FQ","BEST_FPERIOD_OVERRIDE=FQ","FILING_STATUS=MR","SCALING_FORMAT=MLN","FA_ADJUSTED=GAAP","Sort=A","Dates=H","DateFormat=P","Fill=—","Direction=H","UseDPDF=Y")</f>
        <v>-223.14400000000001</v>
      </c>
      <c r="F30" s="19">
        <f>_xll.BDH("BLUE US Equity","PRETAX_INC","FQ1 2020","FQ1 2020","Currency=USD","Period=FQ","BEST_FPERIOD_OVERRIDE=FQ","FILING_STATUS=MR","SCALING_FORMAT=MLN","FA_ADJUSTED=GAAP","Sort=A","Dates=H","DateFormat=P","Fill=—","Direction=H","UseDPDF=Y")</f>
        <v>-202.517</v>
      </c>
      <c r="G30" s="19">
        <f>_xll.BDH("BLUE US Equity","PRETAX_INC","FQ2 2020","FQ2 2020","Currency=USD","Period=FQ","BEST_FPERIOD_OVERRIDE=FQ","FILING_STATUS=MR","SCALING_FORMAT=MLN","FA_ADJUSTED=GAAP","Sort=A","Dates=H","DateFormat=P","Fill=—","Direction=H","UseDPDF=Y")</f>
        <v>-21.454999999999998</v>
      </c>
      <c r="H30" s="19">
        <f>_xll.BDH("BLUE US Equity","PRETAX_INC","FQ3 2020","FQ3 2020","Currency=USD","Period=FQ","BEST_FPERIOD_OVERRIDE=FQ","FILING_STATUS=MR","SCALING_FORMAT=MLN","FA_ADJUSTED=GAAP","Sort=A","Dates=H","DateFormat=P","Fill=—","Direction=H","UseDPDF=Y")</f>
        <v>-194.416</v>
      </c>
      <c r="I30" s="19">
        <f>_xll.BDH("BLUE US Equity","PRETAX_INC","FQ4 2020","FQ4 2020","Currency=USD","Period=FQ","BEST_FPERIOD_OVERRIDE=FQ","FILING_STATUS=MR","SCALING_FORMAT=MLN","FA_ADJUSTED=GAAP","Sort=A","Dates=H","DateFormat=P","Fill=—","Direction=H","UseDPDF=Y")</f>
        <v>-136.06800000000001</v>
      </c>
      <c r="J30" s="19">
        <f>_xll.BDH("BLUE US Equity","PRETAX_INC","FQ1 2021","FQ1 2021","Currency=USD","Period=FQ","BEST_FPERIOD_OVERRIDE=FQ","FILING_STATUS=MR","SCALING_FORMAT=MLN","FA_ADJUSTED=GAAP","Sort=A","Dates=H","DateFormat=P","Fill=—","Direction=H","UseDPDF=Y")</f>
        <v>-121.438</v>
      </c>
      <c r="K30" s="19">
        <f>_xll.BDH("BLUE US Equity","PRETAX_INC","FQ2 2021","FQ2 2021","Currency=USD","Period=FQ","BEST_FPERIOD_OVERRIDE=FQ","FILING_STATUS=MR","SCALING_FORMAT=MLN","FA_ADJUSTED=GAAP","Sort=A","Dates=H","DateFormat=P","Fill=—","Direction=H","UseDPDF=Y")</f>
        <v>-241.48599999999999</v>
      </c>
      <c r="L30" s="19">
        <f>_xll.BDH("BLUE US Equity","PRETAX_INC","FQ3 2021","FQ3 2021","Currency=USD","Period=FQ","BEST_FPERIOD_OVERRIDE=FQ","FILING_STATUS=MR","SCALING_FORMAT=MLN","FA_ADJUSTED=GAAP","Sort=A","Dates=H","DateFormat=P","Fill=—","Direction=H","UseDPDF=Y")</f>
        <v>-152.947</v>
      </c>
      <c r="M30" s="19">
        <f>_xll.BDH("BLUE US Equity","PRETAX_INC","FQ4 2021","FQ4 2021","Currency=USD","Period=FQ","BEST_FPERIOD_OVERRIDE=FQ","FILING_STATUS=MR","SCALING_FORMAT=MLN","FA_ADJUSTED=GAAP","Sort=A","Dates=H","DateFormat=P","Fill=—","Direction=H","UseDPDF=Y")</f>
        <v>-132.238</v>
      </c>
      <c r="N30" s="19">
        <f>_xll.BDH("BLUE US Equity","PRETAX_INC","FQ1 2022","FQ1 2022","Currency=USD","Period=FQ","BEST_FPERIOD_OVERRIDE=FQ","FILING_STATUS=MR","SCALING_FORMAT=MLN","FA_ADJUSTED=GAAP","Sort=A","Dates=H","DateFormat=P","Fill=—","Direction=H","UseDPDF=Y")</f>
        <v>-122.152</v>
      </c>
      <c r="O30" s="19">
        <f>_xll.BDH("BLUE US Equity","PRETAX_INC","FQ2 2022","FQ2 2022","Currency=USD","Period=FQ","BEST_FPERIOD_OVERRIDE=FQ","FILING_STATUS=MR","SCALING_FORMAT=MLN","FA_ADJUSTED=GAAP","Sort=A","Dates=H","DateFormat=P","Fill=—","Direction=H","UseDPDF=Y")</f>
        <v>-100.13800000000001</v>
      </c>
      <c r="P30" s="19">
        <f>_xll.BDH("BLUE US Equity","PRETAX_INC","FQ3 2022","FQ3 2022","Currency=USD","Period=FQ","BEST_FPERIOD_OVERRIDE=FQ","FILING_STATUS=MR","SCALING_FORMAT=MLN","FA_ADJUSTED=GAAP","Sort=A","Dates=H","DateFormat=P","Fill=—","Direction=H","UseDPDF=Y")</f>
        <v>-76.513000000000005</v>
      </c>
      <c r="Q30" s="19">
        <f>_xll.BDH("BLUE US Equity","PRETAX_INC","FQ4 2022","FQ4 2022","Currency=USD","Period=FQ","BEST_FPERIOD_OVERRIDE=FQ","FILING_STATUS=MR","SCALING_FORMAT=MLN","FA_ADJUSTED=GAAP","Sort=A","Dates=H","DateFormat=P","Fill=—","Direction=H","UseDPDF=Y")</f>
        <v>68.578000000000003</v>
      </c>
      <c r="R30" s="19">
        <f>_xll.BDH("BLUE US Equity","PRETAX_INC","FQ1 2023","FQ1 2023","Currency=USD","Period=FQ","BEST_FPERIOD_OVERRIDE=FQ","FILING_STATUS=MR","SCALING_FORMAT=MLN","FA_ADJUSTED=GAAP","Sort=A","Dates=H","DateFormat=P","Fill=—","Direction=H","UseDPDF=Y")</f>
        <v>18.93</v>
      </c>
      <c r="S30" s="19">
        <f>_xll.BDH("BLUE US Equity","PRETAX_INC","FQ2 2023","FQ2 2023","Currency=USD","Period=FQ","BEST_FPERIOD_OVERRIDE=FQ","FILING_STATUS=MR","SCALING_FORMAT=MLN","FA_ADJUSTED=GAAP","Sort=A","Dates=H","DateFormat=P","Fill=—","Direction=H","UseDPDF=Y")</f>
        <v>-62.869</v>
      </c>
      <c r="T30" s="19">
        <f>_xll.BDH("BLUE US Equity","PRETAX_INC","FQ3 2023","FQ3 2023","Currency=USD","Period=FQ","BEST_FPERIOD_OVERRIDE=FQ","FILING_STATUS=MR","SCALING_FORMAT=MLN","FA_ADJUSTED=GAAP","Sort=A","Dates=H","DateFormat=P","Fill=—","Direction=H","UseDPDF=Y")</f>
        <v>-87.231999999999999</v>
      </c>
      <c r="U30" s="19">
        <f>_xll.BDH("BLUE US Equity","PRETAX_INC","FQ4 2023","FQ4 2023","Currency=USD","Period=FQ","BEST_FPERIOD_OVERRIDE=FQ","FILING_STATUS=MR","SCALING_FORMAT=MLN","FA_ADJUSTED=GAAP","Sort=A","Dates=H","DateFormat=P","Fill=—","Direction=H","UseDPDF=Y")</f>
        <v>-88.56</v>
      </c>
      <c r="V30" s="19">
        <f>_xll.BDH("BLUE US Equity","PRETAX_INC","FQ1 2024","FQ1 2024","Currency=USD","Period=FQ","BEST_FPERIOD_OVERRIDE=FQ","FILING_STATUS=MR","SCALING_FORMAT=MLN","FA_ADJUSTED=GAAP","Sort=A","Dates=H","DateFormat=P","Fill=—","Direction=H","UseDPDF=Y")</f>
        <v>-69.804000000000002</v>
      </c>
      <c r="W30" s="19">
        <f>_xll.BDH("BLUE US Equity","PRETAX_INC","FQ2 2024","FQ2 2024","Currency=USD","Period=FQ","BEST_FPERIOD_OVERRIDE=FQ","FILING_STATUS=MR","SCALING_FORMAT=MLN","FA_ADJUSTED=GAAP","Sort=A","Dates=H","DateFormat=P","Fill=—","Direction=H","UseDPDF=Y")</f>
        <v>-81.372</v>
      </c>
      <c r="X30" s="19">
        <f>_xll.BDH("BLUE US Equity","PRETAX_INC","FQ3 2024","FQ3 2024","Currency=USD","Period=FQ","BEST_FPERIOD_OVERRIDE=FQ","FILING_STATUS=MR","SCALING_FORMAT=MLN","FA_ADJUSTED=GAAP","Sort=A","Dates=H","DateFormat=P","Fill=—","Direction=H","UseDPDF=Y")</f>
        <v>-60.866</v>
      </c>
      <c r="Y30" s="19">
        <f>_xll.BDH("BLUE US Equity","PRETAX_INC","FQ4 2024","FQ4 2024","Currency=USD","Period=FQ","BEST_FPERIOD_OVERRIDE=FQ","FILING_STATUS=MR","SCALING_FORMAT=MLN","FA_ADJUSTED=GAAP","Sort=A","Dates=H","DateFormat=P","Fill=—","Direction=H","UseDPDF=Y")</f>
        <v>-28.603000000000002</v>
      </c>
      <c r="Z30" s="19">
        <v>-42.18</v>
      </c>
      <c r="AA30" s="19">
        <v>-18.186</v>
      </c>
    </row>
    <row r="31" spans="1:27" x14ac:dyDescent="0.25">
      <c r="A31" s="10" t="s">
        <v>319</v>
      </c>
      <c r="B31" s="10" t="s">
        <v>320</v>
      </c>
      <c r="C31" s="13">
        <f>_xll.BDH("BLUE US Equity","IS_INC_TAX_EXP","FQ2 2019","FQ2 2019","Currency=USD","Period=FQ","BEST_FPERIOD_OVERRIDE=FQ","FILING_STATUS=MR","SCALING_FORMAT=MLN","FA_ADJUSTED=GAAP","Sort=A","Dates=H","DateFormat=P","Fill=—","Direction=H","UseDPDF=Y")</f>
        <v>-0.46899999999999997</v>
      </c>
      <c r="D31" s="13">
        <f>_xll.BDH("BLUE US Equity","IS_INC_TAX_EXP","FQ3 2019","FQ3 2019","Currency=USD","Period=FQ","BEST_FPERIOD_OVERRIDE=FQ","FILING_STATUS=MR","SCALING_FORMAT=MLN","FA_ADJUSTED=GAAP","Sort=A","Dates=H","DateFormat=P","Fill=—","Direction=H","UseDPDF=Y")</f>
        <v>-0.26400000000000001</v>
      </c>
      <c r="E31" s="13">
        <f>_xll.BDH("BLUE US Equity","IS_INC_TAX_EXP","FQ4 2019","FQ4 2019","Currency=USD","Period=FQ","BEST_FPERIOD_OVERRIDE=FQ","FILING_STATUS=MR","SCALING_FORMAT=MLN","FA_ADJUSTED=GAAP","Sort=A","Dates=H","DateFormat=P","Fill=—","Direction=H","UseDPDF=Y")</f>
        <v>0.20300000000000001</v>
      </c>
      <c r="F31" s="13">
        <f>_xll.BDH("BLUE US Equity","IS_INC_TAX_EXP","FQ1 2020","FQ1 2020","Currency=USD","Period=FQ","BEST_FPERIOD_OVERRIDE=FQ","FILING_STATUS=MR","SCALING_FORMAT=MLN","FA_ADJUSTED=GAAP","Sort=A","Dates=H","DateFormat=P","Fill=—","Direction=H","UseDPDF=Y")</f>
        <v>9.4E-2</v>
      </c>
      <c r="G31" s="13">
        <f>_xll.BDH("BLUE US Equity","IS_INC_TAX_EXP","FQ2 2020","FQ2 2020","Currency=USD","Period=FQ","BEST_FPERIOD_OVERRIDE=FQ","FILING_STATUS=MR","SCALING_FORMAT=MLN","FA_ADJUSTED=GAAP","Sort=A","Dates=H","DateFormat=P","Fill=—","Direction=H","UseDPDF=Y")</f>
        <v>0.01</v>
      </c>
      <c r="H31" s="13">
        <f>_xll.BDH("BLUE US Equity","IS_INC_TAX_EXP","FQ3 2020","FQ3 2020","Currency=USD","Period=FQ","BEST_FPERIOD_OVERRIDE=FQ","FILING_STATUS=MR","SCALING_FORMAT=MLN","FA_ADJUSTED=GAAP","Sort=A","Dates=H","DateFormat=P","Fill=—","Direction=H","UseDPDF=Y")</f>
        <v>0.32900000000000001</v>
      </c>
      <c r="I31" s="13">
        <f>_xll.BDH("BLUE US Equity","IS_INC_TAX_EXP","FQ4 2020","FQ4 2020","Currency=USD","Period=FQ","BEST_FPERIOD_OVERRIDE=FQ","FILING_STATUS=MR","SCALING_FORMAT=MLN","FA_ADJUSTED=GAAP","Sort=A","Dates=H","DateFormat=P","Fill=—","Direction=H","UseDPDF=Y")</f>
        <v>0.253</v>
      </c>
      <c r="J31" s="13">
        <f>_xll.BDH("BLUE US Equity","IS_INC_TAX_EXP","FQ1 2021","FQ1 2021","Currency=USD","Period=FQ","BEST_FPERIOD_OVERRIDE=FQ","FILING_STATUS=MR","SCALING_FORMAT=MLN","FA_ADJUSTED=GAAP","Sort=A","Dates=H","DateFormat=P","Fill=—","Direction=H","UseDPDF=Y")</f>
        <v>6.6000000000000003E-2</v>
      </c>
      <c r="K31" s="13">
        <f>_xll.BDH("BLUE US Equity","IS_INC_TAX_EXP","FQ2 2021","FQ2 2021","Currency=USD","Period=FQ","BEST_FPERIOD_OVERRIDE=FQ","FILING_STATUS=MR","SCALING_FORMAT=MLN","FA_ADJUSTED=GAAP","Sort=A","Dates=H","DateFormat=P","Fill=—","Direction=H","UseDPDF=Y")</f>
        <v>0.216</v>
      </c>
      <c r="L31" s="13">
        <f>_xll.BDH("BLUE US Equity","IS_INC_TAX_EXP","FQ3 2021","FQ3 2021","Currency=USD","Period=FQ","BEST_FPERIOD_OVERRIDE=FQ","FILING_STATUS=MR","SCALING_FORMAT=MLN","FA_ADJUSTED=GAAP","Sort=A","Dates=H","DateFormat=P","Fill=—","Direction=H","UseDPDF=Y")</f>
        <v>-0.113</v>
      </c>
      <c r="M31" s="13">
        <f>_xll.BDH("BLUE US Equity","IS_INC_TAX_EXP","FQ4 2021","FQ4 2021","Currency=USD","Period=FQ","BEST_FPERIOD_OVERRIDE=FQ","FILING_STATUS=MR","SCALING_FORMAT=MLN","FA_ADJUSTED=GAAP","Sort=A","Dates=H","DateFormat=P","Fill=—","Direction=H","UseDPDF=Y")</f>
        <v>8.8999999999999996E-2</v>
      </c>
      <c r="N31" s="13">
        <f>_xll.BDH("BLUE US Equity","IS_INC_TAX_EXP","FQ1 2022","FQ1 2022","Currency=USD","Period=FQ","BEST_FPERIOD_OVERRIDE=FQ","FILING_STATUS=MR","SCALING_FORMAT=MLN","FA_ADJUSTED=GAAP","Sort=A","Dates=H","DateFormat=P","Fill=—","Direction=H","UseDPDF=Y")</f>
        <v>0</v>
      </c>
      <c r="O31" s="13">
        <f>_xll.BDH("BLUE US Equity","IS_INC_TAX_EXP","FQ2 2022","FQ2 2022","Currency=USD","Period=FQ","BEST_FPERIOD_OVERRIDE=FQ","FILING_STATUS=MR","SCALING_FORMAT=MLN","FA_ADJUSTED=GAAP","Sort=A","Dates=H","DateFormat=P","Fill=—","Direction=H","UseDPDF=Y")</f>
        <v>0</v>
      </c>
      <c r="P31" s="13">
        <f>_xll.BDH("BLUE US Equity","IS_INC_TAX_EXP","FQ3 2022","FQ3 2022","Currency=USD","Period=FQ","BEST_FPERIOD_OVERRIDE=FQ","FILING_STATUS=MR","SCALING_FORMAT=MLN","FA_ADJUSTED=GAAP","Sort=A","Dates=H","DateFormat=P","Fill=—","Direction=H","UseDPDF=Y")</f>
        <v>7.0000000000000001E-3</v>
      </c>
      <c r="Q31" s="13">
        <f>_xll.BDH("BLUE US Equity","IS_INC_TAX_EXP","FQ4 2022","FQ4 2022","Currency=USD","Period=FQ","BEST_FPERIOD_OVERRIDE=FQ","FILING_STATUS=MR","SCALING_FORMAT=MLN","FA_ADJUSTED=GAAP","Sort=A","Dates=H","DateFormat=P","Fill=—","Direction=H","UseDPDF=Y")</f>
        <v>0.11</v>
      </c>
      <c r="R31" s="13">
        <f>_xll.BDH("BLUE US Equity","IS_INC_TAX_EXP","FQ1 2023","FQ1 2023","Currency=USD","Period=FQ","BEST_FPERIOD_OVERRIDE=FQ","FILING_STATUS=MR","SCALING_FORMAT=MLN","FA_ADJUSTED=GAAP","Sort=A","Dates=H","DateFormat=P","Fill=—","Direction=H","UseDPDF=Y")</f>
        <v>0</v>
      </c>
      <c r="S31" s="13">
        <f>_xll.BDH("BLUE US Equity","IS_INC_TAX_EXP","FQ2 2023","FQ2 2023","Currency=USD","Period=FQ","BEST_FPERIOD_OVERRIDE=FQ","FILING_STATUS=MR","SCALING_FORMAT=MLN","FA_ADJUSTED=GAAP","Sort=A","Dates=H","DateFormat=P","Fill=—","Direction=H","UseDPDF=Y")</f>
        <v>-0.08</v>
      </c>
      <c r="T31" s="13">
        <f>_xll.BDH("BLUE US Equity","IS_INC_TAX_EXP","FQ3 2023","FQ3 2023","Currency=USD","Period=FQ","BEST_FPERIOD_OVERRIDE=FQ","FILING_STATUS=MR","SCALING_FORMAT=MLN","FA_ADJUSTED=GAAP","Sort=A","Dates=H","DateFormat=P","Fill=—","Direction=H","UseDPDF=Y")</f>
        <v>0</v>
      </c>
      <c r="U31" s="13">
        <f>_xll.BDH("BLUE US Equity","IS_INC_TAX_EXP","FQ4 2023","FQ4 2023","Currency=USD","Period=FQ","BEST_FPERIOD_OVERRIDE=FQ","FILING_STATUS=MR","SCALING_FORMAT=MLN","FA_ADJUSTED=GAAP","Sort=A","Dates=H","DateFormat=P","Fill=—","Direction=H","UseDPDF=Y")</f>
        <v>-4.5999999999999999E-2</v>
      </c>
      <c r="V31" s="13">
        <f>_xll.BDH("BLUE US Equity","IS_INC_TAX_EXP","FQ1 2024","FQ1 2024","Currency=USD","Period=FQ","BEST_FPERIOD_OVERRIDE=FQ","FILING_STATUS=MR","SCALING_FORMAT=MLN","FA_ADJUSTED=GAAP","Sort=A","Dates=H","DateFormat=P","Fill=—","Direction=H","UseDPDF=Y")</f>
        <v>0</v>
      </c>
      <c r="W31" s="13">
        <f>_xll.BDH("BLUE US Equity","IS_INC_TAX_EXP","FQ2 2024","FQ2 2024","Currency=USD","Period=FQ","BEST_FPERIOD_OVERRIDE=FQ","FILING_STATUS=MR","SCALING_FORMAT=MLN","FA_ADJUSTED=GAAP","Sort=A","Dates=H","DateFormat=P","Fill=—","Direction=H","UseDPDF=Y")</f>
        <v>2.1000000000000001E-2</v>
      </c>
      <c r="X31" s="13">
        <f>_xll.BDH("BLUE US Equity","IS_INC_TAX_EXP","FQ3 2024","FQ3 2024","Currency=USD","Period=FQ","BEST_FPERIOD_OVERRIDE=FQ","FILING_STATUS=MR","SCALING_FORMAT=MLN","FA_ADJUSTED=GAAP","Sort=A","Dates=H","DateFormat=P","Fill=—","Direction=H","UseDPDF=Y")</f>
        <v>-5.8000000000000003E-2</v>
      </c>
      <c r="Y31" s="13">
        <f>_xll.BDH("BLUE US Equity","IS_INC_TAX_EXP","FQ4 2024","FQ4 2024","Currency=USD","Period=FQ","BEST_FPERIOD_OVERRIDE=FQ","FILING_STATUS=MR","SCALING_FORMAT=MLN","FA_ADJUSTED=GAAP","Sort=A","Dates=H","DateFormat=P","Fill=—","Direction=H","UseDPDF=Y")</f>
        <v>0.107</v>
      </c>
      <c r="Z31" s="13"/>
      <c r="AA31" s="13"/>
    </row>
    <row r="32" spans="1:27" x14ac:dyDescent="0.25">
      <c r="A32" s="10" t="s">
        <v>321</v>
      </c>
      <c r="B32" s="10" t="s">
        <v>322</v>
      </c>
      <c r="C32" s="13" t="str">
        <f>_xll.BDH("BLUE US Equity","IS_CURRENT_INCOME_TAX_BENEFIT","FQ2 2019","FQ2 2019","Currency=USD","Period=FQ","BEST_FPERIOD_OVERRIDE=FQ","FILING_STATUS=MR","SCALING_FORMAT=MLN","Sort=A","Dates=H","DateFormat=P","Fill=—","Direction=H","UseDPDF=Y")</f>
        <v>—</v>
      </c>
      <c r="D32" s="13" t="str">
        <f>_xll.BDH("BLUE US Equity","IS_CURRENT_INCOME_TAX_BENEFIT","FQ3 2019","FQ3 2019","Currency=USD","Period=FQ","BEST_FPERIOD_OVERRIDE=FQ","FILING_STATUS=MR","SCALING_FORMAT=MLN","Sort=A","Dates=H","DateFormat=P","Fill=—","Direction=H","UseDPDF=Y")</f>
        <v>—</v>
      </c>
      <c r="E32" s="13" t="str">
        <f>_xll.BDH("BLUE US Equity","IS_CURRENT_INCOME_TAX_BENEFIT","FQ4 2019","FQ4 2019","Currency=USD","Period=FQ","BEST_FPERIOD_OVERRIDE=FQ","FILING_STATUS=MR","SCALING_FORMAT=MLN","Sort=A","Dates=H","DateFormat=P","Fill=—","Direction=H","UseDPDF=Y")</f>
        <v>—</v>
      </c>
      <c r="F32" s="13" t="str">
        <f>_xll.BDH("BLUE US Equity","IS_CURRENT_INCOME_TAX_BENEFIT","FQ1 2020","FQ1 2020","Currency=USD","Period=FQ","BEST_FPERIOD_OVERRIDE=FQ","FILING_STATUS=MR","SCALING_FORMAT=MLN","Sort=A","Dates=H","DateFormat=P","Fill=—","Direction=H","UseDPDF=Y")</f>
        <v>—</v>
      </c>
      <c r="G32" s="13" t="str">
        <f>_xll.BDH("BLUE US Equity","IS_CURRENT_INCOME_TAX_BENEFIT","FQ2 2020","FQ2 2020","Currency=USD","Period=FQ","BEST_FPERIOD_OVERRIDE=FQ","FILING_STATUS=MR","SCALING_FORMAT=MLN","Sort=A","Dates=H","DateFormat=P","Fill=—","Direction=H","UseDPDF=Y")</f>
        <v>—</v>
      </c>
      <c r="H32" s="13" t="str">
        <f>_xll.BDH("BLUE US Equity","IS_CURRENT_INCOME_TAX_BENEFIT","FQ3 2020","FQ3 2020","Currency=USD","Period=FQ","BEST_FPERIOD_OVERRIDE=FQ","FILING_STATUS=MR","SCALING_FORMAT=MLN","Sort=A","Dates=H","DateFormat=P","Fill=—","Direction=H","UseDPDF=Y")</f>
        <v>—</v>
      </c>
      <c r="I32" s="13" t="str">
        <f>_xll.BDH("BLUE US Equity","IS_CURRENT_INCOME_TAX_BENEFIT","FQ4 2020","FQ4 2020","Currency=USD","Period=FQ","BEST_FPERIOD_OVERRIDE=FQ","FILING_STATUS=MR","SCALING_FORMAT=MLN","Sort=A","Dates=H","DateFormat=P","Fill=—","Direction=H","UseDPDF=Y")</f>
        <v>—</v>
      </c>
      <c r="J32" s="13" t="str">
        <f>_xll.BDH("BLUE US Equity","IS_CURRENT_INCOME_TAX_BENEFIT","FQ1 2021","FQ1 2021","Currency=USD","Period=FQ","BEST_FPERIOD_OVERRIDE=FQ","FILING_STATUS=MR","SCALING_FORMAT=MLN","Sort=A","Dates=H","DateFormat=P","Fill=—","Direction=H","UseDPDF=Y")</f>
        <v>—</v>
      </c>
      <c r="K32" s="13" t="str">
        <f>_xll.BDH("BLUE US Equity","IS_CURRENT_INCOME_TAX_BENEFIT","FQ2 2021","FQ2 2021","Currency=USD","Period=FQ","BEST_FPERIOD_OVERRIDE=FQ","FILING_STATUS=MR","SCALING_FORMAT=MLN","Sort=A","Dates=H","DateFormat=P","Fill=—","Direction=H","UseDPDF=Y")</f>
        <v>—</v>
      </c>
      <c r="L32" s="13" t="str">
        <f>_xll.BDH("BLUE US Equity","IS_CURRENT_INCOME_TAX_BENEFIT","FQ3 2021","FQ3 2021","Currency=USD","Period=FQ","BEST_FPERIOD_OVERRIDE=FQ","FILING_STATUS=MR","SCALING_FORMAT=MLN","Sort=A","Dates=H","DateFormat=P","Fill=—","Direction=H","UseDPDF=Y")</f>
        <v>—</v>
      </c>
      <c r="M32" s="13" t="str">
        <f>_xll.BDH("BLUE US Equity","IS_CURRENT_INCOME_TAX_BENEFIT","FQ4 2021","FQ4 2021","Currency=USD","Period=FQ","BEST_FPERIOD_OVERRIDE=FQ","FILING_STATUS=MR","SCALING_FORMAT=MLN","Sort=A","Dates=H","DateFormat=P","Fill=—","Direction=H","UseDPDF=Y")</f>
        <v>—</v>
      </c>
      <c r="N32" s="13" t="str">
        <f>_xll.BDH("BLUE US Equity","IS_CURRENT_INCOME_TAX_BENEFIT","FQ1 2022","FQ1 2022","Currency=USD","Period=FQ","BEST_FPERIOD_OVERRIDE=FQ","FILING_STATUS=MR","SCALING_FORMAT=MLN","Sort=A","Dates=H","DateFormat=P","Fill=—","Direction=H","UseDPDF=Y")</f>
        <v>—</v>
      </c>
      <c r="O32" s="13">
        <f>_xll.BDH("BLUE US Equity","IS_CURRENT_INCOME_TAX_BENEFIT","FQ2 2022","FQ2 2022","Currency=USD","Period=FQ","BEST_FPERIOD_OVERRIDE=FQ","FILING_STATUS=MR","SCALING_FORMAT=MLN","Sort=A","Dates=H","DateFormat=P","Fill=—","Direction=H","UseDPDF=Y")</f>
        <v>0</v>
      </c>
      <c r="P32" s="13" t="str">
        <f>_xll.BDH("BLUE US Equity","IS_CURRENT_INCOME_TAX_BENEFIT","FQ3 2022","FQ3 2022","Currency=USD","Period=FQ","BEST_FPERIOD_OVERRIDE=FQ","FILING_STATUS=MR","SCALING_FORMAT=MLN","Sort=A","Dates=H","DateFormat=P","Fill=—","Direction=H","UseDPDF=Y")</f>
        <v>—</v>
      </c>
      <c r="Q32" s="13">
        <f>_xll.BDH("BLUE US Equity","IS_CURRENT_INCOME_TAX_BENEFIT","FQ4 2022","FQ4 2022","Currency=USD","Period=FQ","BEST_FPERIOD_OVERRIDE=FQ","FILING_STATUS=MR","SCALING_FORMAT=MLN","Sort=A","Dates=H","DateFormat=P","Fill=—","Direction=H","UseDPDF=Y")</f>
        <v>0.11</v>
      </c>
      <c r="R32" s="13">
        <f>_xll.BDH("BLUE US Equity","IS_CURRENT_INCOME_TAX_BENEFIT","FQ1 2023","FQ1 2023","Currency=USD","Period=FQ","BEST_FPERIOD_OVERRIDE=FQ","FILING_STATUS=MR","SCALING_FORMAT=MLN","Sort=A","Dates=H","DateFormat=P","Fill=—","Direction=H","UseDPDF=Y")</f>
        <v>0</v>
      </c>
      <c r="S32" s="13" t="str">
        <f>_xll.BDH("BLUE US Equity","IS_CURRENT_INCOME_TAX_BENEFIT","FQ2 2023","FQ2 2023","Currency=USD","Period=FQ","BEST_FPERIOD_OVERRIDE=FQ","FILING_STATUS=MR","SCALING_FORMAT=MLN","Sort=A","Dates=H","DateFormat=P","Fill=—","Direction=H","UseDPDF=Y")</f>
        <v>—</v>
      </c>
      <c r="T32" s="13" t="str">
        <f>_xll.BDH("BLUE US Equity","IS_CURRENT_INCOME_TAX_BENEFIT","FQ3 2023","FQ3 2023","Currency=USD","Period=FQ","BEST_FPERIOD_OVERRIDE=FQ","FILING_STATUS=MR","SCALING_FORMAT=MLN","Sort=A","Dates=H","DateFormat=P","Fill=—","Direction=H","UseDPDF=Y")</f>
        <v>—</v>
      </c>
      <c r="U32" s="13" t="str">
        <f>_xll.BDH("BLUE US Equity","IS_CURRENT_INCOME_TAX_BENEFIT","FQ4 2023","FQ4 2023","Currency=USD","Period=FQ","BEST_FPERIOD_OVERRIDE=FQ","FILING_STATUS=MR","SCALING_FORMAT=MLN","Sort=A","Dates=H","DateFormat=P","Fill=—","Direction=H","UseDPDF=Y")</f>
        <v>—</v>
      </c>
      <c r="V32" s="13">
        <f>_xll.BDH("BLUE US Equity","IS_CURRENT_INCOME_TAX_BENEFIT","FQ1 2024","FQ1 2024","Currency=USD","Period=FQ","BEST_FPERIOD_OVERRIDE=FQ","FILING_STATUS=MR","SCALING_FORMAT=MLN","Sort=A","Dates=H","DateFormat=P","Fill=—","Direction=H","UseDPDF=Y")</f>
        <v>0</v>
      </c>
      <c r="W32" s="13" t="str">
        <f>_xll.BDH("BLUE US Equity","IS_CURRENT_INCOME_TAX_BENEFIT","FQ2 2024","FQ2 2024","Currency=USD","Period=FQ","BEST_FPERIOD_OVERRIDE=FQ","FILING_STATUS=MR","SCALING_FORMAT=MLN","Sort=A","Dates=H","DateFormat=P","Fill=—","Direction=H","UseDPDF=Y")</f>
        <v>—</v>
      </c>
      <c r="X32" s="13" t="str">
        <f>_xll.BDH("BLUE US Equity","IS_CURRENT_INCOME_TAX_BENEFIT","FQ3 2024","FQ3 2024","Currency=USD","Period=FQ","BEST_FPERIOD_OVERRIDE=FQ","FILING_STATUS=MR","SCALING_FORMAT=MLN","Sort=A","Dates=H","DateFormat=P","Fill=—","Direction=H","UseDPDF=Y")</f>
        <v>—</v>
      </c>
      <c r="Y32" s="13" t="str">
        <f>_xll.BDH("BLUE US Equity","IS_CURRENT_INCOME_TAX_BENEFIT","FQ4 2024","FQ4 2024","Currency=USD","Period=FQ","BEST_FPERIOD_OVERRIDE=FQ","FILING_STATUS=MR","SCALING_FORMAT=MLN","Sort=A","Dates=H","DateFormat=P","Fill=—","Direction=H","UseDPDF=Y")</f>
        <v>—</v>
      </c>
      <c r="Z32" s="13"/>
      <c r="AA32" s="13"/>
    </row>
    <row r="33" spans="1:27" x14ac:dyDescent="0.25">
      <c r="A33" s="10" t="s">
        <v>323</v>
      </c>
      <c r="B33" s="10" t="s">
        <v>324</v>
      </c>
      <c r="C33" s="13" t="str">
        <f>_xll.BDH("BLUE US Equity","IS_DEFERRED_INCOME_TAX_BENEFIT","FQ2 2019","FQ2 2019","Currency=USD","Period=FQ","BEST_FPERIOD_OVERRIDE=FQ","FILING_STATUS=MR","SCALING_FORMAT=MLN","Sort=A","Dates=H","DateFormat=P","Fill=—","Direction=H","UseDPDF=Y")</f>
        <v>—</v>
      </c>
      <c r="D33" s="13" t="str">
        <f>_xll.BDH("BLUE US Equity","IS_DEFERRED_INCOME_TAX_BENEFIT","FQ3 2019","FQ3 2019","Currency=USD","Period=FQ","BEST_FPERIOD_OVERRIDE=FQ","FILING_STATUS=MR","SCALING_FORMAT=MLN","Sort=A","Dates=H","DateFormat=P","Fill=—","Direction=H","UseDPDF=Y")</f>
        <v>—</v>
      </c>
      <c r="E33" s="13" t="str">
        <f>_xll.BDH("BLUE US Equity","IS_DEFERRED_INCOME_TAX_BENEFIT","FQ4 2019","FQ4 2019","Currency=USD","Period=FQ","BEST_FPERIOD_OVERRIDE=FQ","FILING_STATUS=MR","SCALING_FORMAT=MLN","Sort=A","Dates=H","DateFormat=P","Fill=—","Direction=H","UseDPDF=Y")</f>
        <v>—</v>
      </c>
      <c r="F33" s="13" t="str">
        <f>_xll.BDH("BLUE US Equity","IS_DEFERRED_INCOME_TAX_BENEFIT","FQ1 2020","FQ1 2020","Currency=USD","Period=FQ","BEST_FPERIOD_OVERRIDE=FQ","FILING_STATUS=MR","SCALING_FORMAT=MLN","Sort=A","Dates=H","DateFormat=P","Fill=—","Direction=H","UseDPDF=Y")</f>
        <v>—</v>
      </c>
      <c r="G33" s="13" t="str">
        <f>_xll.BDH("BLUE US Equity","IS_DEFERRED_INCOME_TAX_BENEFIT","FQ2 2020","FQ2 2020","Currency=USD","Period=FQ","BEST_FPERIOD_OVERRIDE=FQ","FILING_STATUS=MR","SCALING_FORMAT=MLN","Sort=A","Dates=H","DateFormat=P","Fill=—","Direction=H","UseDPDF=Y")</f>
        <v>—</v>
      </c>
      <c r="H33" s="13" t="str">
        <f>_xll.BDH("BLUE US Equity","IS_DEFERRED_INCOME_TAX_BENEFIT","FQ3 2020","FQ3 2020","Currency=USD","Period=FQ","BEST_FPERIOD_OVERRIDE=FQ","FILING_STATUS=MR","SCALING_FORMAT=MLN","Sort=A","Dates=H","DateFormat=P","Fill=—","Direction=H","UseDPDF=Y")</f>
        <v>—</v>
      </c>
      <c r="I33" s="13" t="str">
        <f>_xll.BDH("BLUE US Equity","IS_DEFERRED_INCOME_TAX_BENEFIT","FQ4 2020","FQ4 2020","Currency=USD","Period=FQ","BEST_FPERIOD_OVERRIDE=FQ","FILING_STATUS=MR","SCALING_FORMAT=MLN","Sort=A","Dates=H","DateFormat=P","Fill=—","Direction=H","UseDPDF=Y")</f>
        <v>—</v>
      </c>
      <c r="J33" s="13" t="str">
        <f>_xll.BDH("BLUE US Equity","IS_DEFERRED_INCOME_TAX_BENEFIT","FQ1 2021","FQ1 2021","Currency=USD","Period=FQ","BEST_FPERIOD_OVERRIDE=FQ","FILING_STATUS=MR","SCALING_FORMAT=MLN","Sort=A","Dates=H","DateFormat=P","Fill=—","Direction=H","UseDPDF=Y")</f>
        <v>—</v>
      </c>
      <c r="K33" s="13" t="str">
        <f>_xll.BDH("BLUE US Equity","IS_DEFERRED_INCOME_TAX_BENEFIT","FQ2 2021","FQ2 2021","Currency=USD","Period=FQ","BEST_FPERIOD_OVERRIDE=FQ","FILING_STATUS=MR","SCALING_FORMAT=MLN","Sort=A","Dates=H","DateFormat=P","Fill=—","Direction=H","UseDPDF=Y")</f>
        <v>—</v>
      </c>
      <c r="L33" s="13" t="str">
        <f>_xll.BDH("BLUE US Equity","IS_DEFERRED_INCOME_TAX_BENEFIT","FQ3 2021","FQ3 2021","Currency=USD","Period=FQ","BEST_FPERIOD_OVERRIDE=FQ","FILING_STATUS=MR","SCALING_FORMAT=MLN","Sort=A","Dates=H","DateFormat=P","Fill=—","Direction=H","UseDPDF=Y")</f>
        <v>—</v>
      </c>
      <c r="M33" s="13" t="str">
        <f>_xll.BDH("BLUE US Equity","IS_DEFERRED_INCOME_TAX_BENEFIT","FQ4 2021","FQ4 2021","Currency=USD","Period=FQ","BEST_FPERIOD_OVERRIDE=FQ","FILING_STATUS=MR","SCALING_FORMAT=MLN","Sort=A","Dates=H","DateFormat=P","Fill=—","Direction=H","UseDPDF=Y")</f>
        <v>—</v>
      </c>
      <c r="N33" s="13" t="str">
        <f>_xll.BDH("BLUE US Equity","IS_DEFERRED_INCOME_TAX_BENEFIT","FQ1 2022","FQ1 2022","Currency=USD","Period=FQ","BEST_FPERIOD_OVERRIDE=FQ","FILING_STATUS=MR","SCALING_FORMAT=MLN","Sort=A","Dates=H","DateFormat=P","Fill=—","Direction=H","UseDPDF=Y")</f>
        <v>—</v>
      </c>
      <c r="O33" s="13">
        <f>_xll.BDH("BLUE US Equity","IS_DEFERRED_INCOME_TAX_BENEFIT","FQ2 2022","FQ2 2022","Currency=USD","Period=FQ","BEST_FPERIOD_OVERRIDE=FQ","FILING_STATUS=MR","SCALING_FORMAT=MLN","Sort=A","Dates=H","DateFormat=P","Fill=—","Direction=H","UseDPDF=Y")</f>
        <v>0</v>
      </c>
      <c r="P33" s="13" t="str">
        <f>_xll.BDH("BLUE US Equity","IS_DEFERRED_INCOME_TAX_BENEFIT","FQ3 2022","FQ3 2022","Currency=USD","Period=FQ","BEST_FPERIOD_OVERRIDE=FQ","FILING_STATUS=MR","SCALING_FORMAT=MLN","Sort=A","Dates=H","DateFormat=P","Fill=—","Direction=H","UseDPDF=Y")</f>
        <v>—</v>
      </c>
      <c r="Q33" s="13" t="str">
        <f>_xll.BDH("BLUE US Equity","IS_DEFERRED_INCOME_TAX_BENEFIT","FQ4 2022","FQ4 2022","Currency=USD","Period=FQ","BEST_FPERIOD_OVERRIDE=FQ","FILING_STATUS=MR","SCALING_FORMAT=MLN","Sort=A","Dates=H","DateFormat=P","Fill=—","Direction=H","UseDPDF=Y")</f>
        <v>—</v>
      </c>
      <c r="R33" s="13">
        <f>_xll.BDH("BLUE US Equity","IS_DEFERRED_INCOME_TAX_BENEFIT","FQ1 2023","FQ1 2023","Currency=USD","Period=FQ","BEST_FPERIOD_OVERRIDE=FQ","FILING_STATUS=MR","SCALING_FORMAT=MLN","Sort=A","Dates=H","DateFormat=P","Fill=—","Direction=H","UseDPDF=Y")</f>
        <v>0</v>
      </c>
      <c r="S33" s="13" t="str">
        <f>_xll.BDH("BLUE US Equity","IS_DEFERRED_INCOME_TAX_BENEFIT","FQ2 2023","FQ2 2023","Currency=USD","Period=FQ","BEST_FPERIOD_OVERRIDE=FQ","FILING_STATUS=MR","SCALING_FORMAT=MLN","Sort=A","Dates=H","DateFormat=P","Fill=—","Direction=H","UseDPDF=Y")</f>
        <v>—</v>
      </c>
      <c r="T33" s="13" t="str">
        <f>_xll.BDH("BLUE US Equity","IS_DEFERRED_INCOME_TAX_BENEFIT","FQ3 2023","FQ3 2023","Currency=USD","Period=FQ","BEST_FPERIOD_OVERRIDE=FQ","FILING_STATUS=MR","SCALING_FORMAT=MLN","Sort=A","Dates=H","DateFormat=P","Fill=—","Direction=H","UseDPDF=Y")</f>
        <v>—</v>
      </c>
      <c r="U33" s="13" t="str">
        <f>_xll.BDH("BLUE US Equity","IS_DEFERRED_INCOME_TAX_BENEFIT","FQ4 2023","FQ4 2023","Currency=USD","Period=FQ","BEST_FPERIOD_OVERRIDE=FQ","FILING_STATUS=MR","SCALING_FORMAT=MLN","Sort=A","Dates=H","DateFormat=P","Fill=—","Direction=H","UseDPDF=Y")</f>
        <v>—</v>
      </c>
      <c r="V33" s="13">
        <f>_xll.BDH("BLUE US Equity","IS_DEFERRED_INCOME_TAX_BENEFIT","FQ1 2024","FQ1 2024","Currency=USD","Period=FQ","BEST_FPERIOD_OVERRIDE=FQ","FILING_STATUS=MR","SCALING_FORMAT=MLN","Sort=A","Dates=H","DateFormat=P","Fill=—","Direction=H","UseDPDF=Y")</f>
        <v>0</v>
      </c>
      <c r="W33" s="13" t="str">
        <f>_xll.BDH("BLUE US Equity","IS_DEFERRED_INCOME_TAX_BENEFIT","FQ2 2024","FQ2 2024","Currency=USD","Period=FQ","BEST_FPERIOD_OVERRIDE=FQ","FILING_STATUS=MR","SCALING_FORMAT=MLN","Sort=A","Dates=H","DateFormat=P","Fill=—","Direction=H","UseDPDF=Y")</f>
        <v>—</v>
      </c>
      <c r="X33" s="13" t="str">
        <f>_xll.BDH("BLUE US Equity","IS_DEFERRED_INCOME_TAX_BENEFIT","FQ3 2024","FQ3 2024","Currency=USD","Period=FQ","BEST_FPERIOD_OVERRIDE=FQ","FILING_STATUS=MR","SCALING_FORMAT=MLN","Sort=A","Dates=H","DateFormat=P","Fill=—","Direction=H","UseDPDF=Y")</f>
        <v>—</v>
      </c>
      <c r="Y33" s="13" t="str">
        <f>_xll.BDH("BLUE US Equity","IS_DEFERRED_INCOME_TAX_BENEFIT","FQ4 2024","FQ4 2024","Currency=USD","Period=FQ","BEST_FPERIOD_OVERRIDE=FQ","FILING_STATUS=MR","SCALING_FORMAT=MLN","Sort=A","Dates=H","DateFormat=P","Fill=—","Direction=H","UseDPDF=Y")</f>
        <v>—</v>
      </c>
      <c r="Z33" s="13"/>
      <c r="AA33" s="13"/>
    </row>
    <row r="34" spans="1:27" x14ac:dyDescent="0.25">
      <c r="A34" s="6" t="s">
        <v>325</v>
      </c>
      <c r="B34" s="6" t="s">
        <v>326</v>
      </c>
      <c r="C34" s="19">
        <f>_xll.BDH("BLUE US Equity","IS_INC_BEF_XO_ITEM","FQ2 2019","FQ2 2019","Currency=USD","Period=FQ","BEST_FPERIOD_OVERRIDE=FQ","FILING_STATUS=MR","SCALING_FORMAT=MLN","Sort=A","Dates=H","DateFormat=P","Fill=—","Direction=H","UseDPDF=Y")</f>
        <v>-195.78200000000001</v>
      </c>
      <c r="D34" s="19">
        <f>_xll.BDH("BLUE US Equity","IS_INC_BEF_XO_ITEM","FQ3 2019","FQ3 2019","Currency=USD","Period=FQ","BEST_FPERIOD_OVERRIDE=FQ","FILING_STATUS=MR","SCALING_FORMAT=MLN","Sort=A","Dates=H","DateFormat=P","Fill=—","Direction=H","UseDPDF=Y")</f>
        <v>-206.03299999999999</v>
      </c>
      <c r="E34" s="19">
        <f>_xll.BDH("BLUE US Equity","IS_INC_BEF_XO_ITEM","FQ4 2019","FQ4 2019","Currency=USD","Period=FQ","BEST_FPERIOD_OVERRIDE=FQ","FILING_STATUS=MR","SCALING_FORMAT=MLN","Sort=A","Dates=H","DateFormat=P","Fill=—","Direction=H","UseDPDF=Y")</f>
        <v>-223.34700000000001</v>
      </c>
      <c r="F34" s="19">
        <f>_xll.BDH("BLUE US Equity","IS_INC_BEF_XO_ITEM","FQ1 2020","FQ1 2020","Currency=USD","Period=FQ","BEST_FPERIOD_OVERRIDE=FQ","FILING_STATUS=MR","SCALING_FORMAT=MLN","Sort=A","Dates=H","DateFormat=P","Fill=—","Direction=H","UseDPDF=Y")</f>
        <v>-202.61099999999999</v>
      </c>
      <c r="G34" s="19">
        <f>_xll.BDH("BLUE US Equity","IS_INC_BEF_XO_ITEM","FQ2 2020","FQ2 2020","Currency=USD","Period=FQ","BEST_FPERIOD_OVERRIDE=FQ","FILING_STATUS=MR","SCALING_FORMAT=MLN","Sort=A","Dates=H","DateFormat=P","Fill=—","Direction=H","UseDPDF=Y")</f>
        <v>-21.465</v>
      </c>
      <c r="H34" s="19">
        <f>_xll.BDH("BLUE US Equity","IS_INC_BEF_XO_ITEM","FQ3 2020","FQ3 2020","Currency=USD","Period=FQ","BEST_FPERIOD_OVERRIDE=FQ","FILING_STATUS=MR","SCALING_FORMAT=MLN","Sort=A","Dates=H","DateFormat=P","Fill=—","Direction=H","UseDPDF=Y")</f>
        <v>-194.745</v>
      </c>
      <c r="I34" s="19">
        <f>_xll.BDH("BLUE US Equity","IS_INC_BEF_XO_ITEM","FQ4 2020","FQ4 2020","Currency=USD","Period=FQ","BEST_FPERIOD_OVERRIDE=FQ","FILING_STATUS=MR","SCALING_FORMAT=MLN","Sort=A","Dates=H","DateFormat=P","Fill=—","Direction=H","UseDPDF=Y")</f>
        <v>-136.321</v>
      </c>
      <c r="J34" s="19">
        <f>_xll.BDH("BLUE US Equity","IS_INC_BEF_XO_ITEM","FQ1 2021","FQ1 2021","Currency=USD","Period=FQ","BEST_FPERIOD_OVERRIDE=FQ","FILING_STATUS=MR","SCALING_FORMAT=MLN","Sort=A","Dates=H","DateFormat=P","Fill=—","Direction=H","UseDPDF=Y")</f>
        <v>-121.504</v>
      </c>
      <c r="K34" s="19">
        <f>_xll.BDH("BLUE US Equity","IS_INC_BEF_XO_ITEM","FQ2 2021","FQ2 2021","Currency=USD","Period=FQ","BEST_FPERIOD_OVERRIDE=FQ","FILING_STATUS=MR","SCALING_FORMAT=MLN","Sort=A","Dates=H","DateFormat=P","Fill=—","Direction=H","UseDPDF=Y")</f>
        <v>-241.702</v>
      </c>
      <c r="L34" s="19">
        <f>_xll.BDH("BLUE US Equity","IS_INC_BEF_XO_ITEM","FQ3 2021","FQ3 2021","Currency=USD","Period=FQ","BEST_FPERIOD_OVERRIDE=FQ","FILING_STATUS=MR","SCALING_FORMAT=MLN","Sort=A","Dates=H","DateFormat=P","Fill=—","Direction=H","UseDPDF=Y")</f>
        <v>-152.834</v>
      </c>
      <c r="M34" s="19">
        <f>_xll.BDH("BLUE US Equity","IS_INC_BEF_XO_ITEM","FQ4 2021","FQ4 2021","Currency=USD","Period=FQ","BEST_FPERIOD_OVERRIDE=FQ","FILING_STATUS=MR","SCALING_FORMAT=MLN","Sort=A","Dates=H","DateFormat=P","Fill=—","Direction=H","UseDPDF=Y")</f>
        <v>-132.327</v>
      </c>
      <c r="N34" s="19">
        <f>_xll.BDH("BLUE US Equity","IS_INC_BEF_XO_ITEM","FQ1 2022","FQ1 2022","Currency=USD","Period=FQ","BEST_FPERIOD_OVERRIDE=FQ","FILING_STATUS=MR","SCALING_FORMAT=MLN","Sort=A","Dates=H","DateFormat=P","Fill=—","Direction=H","UseDPDF=Y")</f>
        <v>-122.152</v>
      </c>
      <c r="O34" s="19">
        <f>_xll.BDH("BLUE US Equity","IS_INC_BEF_XO_ITEM","FQ2 2022","FQ2 2022","Currency=USD","Period=FQ","BEST_FPERIOD_OVERRIDE=FQ","FILING_STATUS=MR","SCALING_FORMAT=MLN","Sort=A","Dates=H","DateFormat=P","Fill=—","Direction=H","UseDPDF=Y")</f>
        <v>-100.13800000000001</v>
      </c>
      <c r="P34" s="19">
        <f>_xll.BDH("BLUE US Equity","IS_INC_BEF_XO_ITEM","FQ3 2022","FQ3 2022","Currency=USD","Period=FQ","BEST_FPERIOD_OVERRIDE=FQ","FILING_STATUS=MR","SCALING_FORMAT=MLN","Sort=A","Dates=H","DateFormat=P","Fill=—","Direction=H","UseDPDF=Y")</f>
        <v>-76.52</v>
      </c>
      <c r="Q34" s="19">
        <f>_xll.BDH("BLUE US Equity","IS_INC_BEF_XO_ITEM","FQ4 2022","FQ4 2022","Currency=USD","Period=FQ","BEST_FPERIOD_OVERRIDE=FQ","FILING_STATUS=MR","SCALING_FORMAT=MLN","Sort=A","Dates=H","DateFormat=P","Fill=—","Direction=H","UseDPDF=Y")</f>
        <v>68.468000000000004</v>
      </c>
      <c r="R34" s="19">
        <f>_xll.BDH("BLUE US Equity","IS_INC_BEF_XO_ITEM","FQ1 2023","FQ1 2023","Currency=USD","Period=FQ","BEST_FPERIOD_OVERRIDE=FQ","FILING_STATUS=MR","SCALING_FORMAT=MLN","Sort=A","Dates=H","DateFormat=P","Fill=—","Direction=H","UseDPDF=Y")</f>
        <v>18.93</v>
      </c>
      <c r="S34" s="19">
        <f>_xll.BDH("BLUE US Equity","IS_INC_BEF_XO_ITEM","FQ2 2023","FQ2 2023","Currency=USD","Period=FQ","BEST_FPERIOD_OVERRIDE=FQ","FILING_STATUS=MR","SCALING_FORMAT=MLN","Sort=A","Dates=H","DateFormat=P","Fill=—","Direction=H","UseDPDF=Y")</f>
        <v>-62.789000000000001</v>
      </c>
      <c r="T34" s="19">
        <f>_xll.BDH("BLUE US Equity","IS_INC_BEF_XO_ITEM","FQ3 2023","FQ3 2023","Currency=USD","Period=FQ","BEST_FPERIOD_OVERRIDE=FQ","FILING_STATUS=MR","SCALING_FORMAT=MLN","Sort=A","Dates=H","DateFormat=P","Fill=—","Direction=H","UseDPDF=Y")</f>
        <v>-87.231999999999999</v>
      </c>
      <c r="U34" s="19">
        <f>_xll.BDH("BLUE US Equity","IS_INC_BEF_XO_ITEM","FQ4 2023","FQ4 2023","Currency=USD","Period=FQ","BEST_FPERIOD_OVERRIDE=FQ","FILING_STATUS=MR","SCALING_FORMAT=MLN","Sort=A","Dates=H","DateFormat=P","Fill=—","Direction=H","UseDPDF=Y")</f>
        <v>-88.513999999999996</v>
      </c>
      <c r="V34" s="19">
        <f>_xll.BDH("BLUE US Equity","IS_INC_BEF_XO_ITEM","FQ1 2024","FQ1 2024","Currency=USD","Period=FQ","BEST_FPERIOD_OVERRIDE=FQ","FILING_STATUS=MR","SCALING_FORMAT=MLN","Sort=A","Dates=H","DateFormat=P","Fill=—","Direction=H","UseDPDF=Y")</f>
        <v>-69.804000000000002</v>
      </c>
      <c r="W34" s="19">
        <f>_xll.BDH("BLUE US Equity","IS_INC_BEF_XO_ITEM","FQ2 2024","FQ2 2024","Currency=USD","Period=FQ","BEST_FPERIOD_OVERRIDE=FQ","FILING_STATUS=MR","SCALING_FORMAT=MLN","Sort=A","Dates=H","DateFormat=P","Fill=—","Direction=H","UseDPDF=Y")</f>
        <v>-81.393000000000001</v>
      </c>
      <c r="X34" s="19">
        <f>_xll.BDH("BLUE US Equity","IS_INC_BEF_XO_ITEM","FQ3 2024","FQ3 2024","Currency=USD","Period=FQ","BEST_FPERIOD_OVERRIDE=FQ","FILING_STATUS=MR","SCALING_FORMAT=MLN","Sort=A","Dates=H","DateFormat=P","Fill=—","Direction=H","UseDPDF=Y")</f>
        <v>-60.808</v>
      </c>
      <c r="Y34" s="19">
        <f>_xll.BDH("BLUE US Equity","IS_INC_BEF_XO_ITEM","FQ4 2024","FQ4 2024","Currency=USD","Period=FQ","BEST_FPERIOD_OVERRIDE=FQ","FILING_STATUS=MR","SCALING_FORMAT=MLN","Sort=A","Dates=H","DateFormat=P","Fill=—","Direction=H","UseDPDF=Y")</f>
        <v>-28.71</v>
      </c>
      <c r="Z34" s="19">
        <v>-39.979999999999997</v>
      </c>
      <c r="AA34" s="19">
        <v>-16.265999999999998</v>
      </c>
    </row>
    <row r="35" spans="1:27" x14ac:dyDescent="0.25">
      <c r="A35" s="10" t="s">
        <v>327</v>
      </c>
      <c r="B35" s="10" t="s">
        <v>328</v>
      </c>
      <c r="C35" s="13">
        <f>_xll.BDH("BLUE US Equity","XO_GL_NET_OF_TAX","FQ2 2019","FQ2 2019","Currency=USD","Period=FQ","BEST_FPERIOD_OVERRIDE=FQ","FILING_STATUS=MR","SCALING_FORMAT=MLN","Sort=A","Dates=H","DateFormat=P","Fill=—","Direction=H","UseDPDF=Y")</f>
        <v>0</v>
      </c>
      <c r="D35" s="13">
        <f>_xll.BDH("BLUE US Equity","XO_GL_NET_OF_TAX","FQ3 2019","FQ3 2019","Currency=USD","Period=FQ","BEST_FPERIOD_OVERRIDE=FQ","FILING_STATUS=MR","SCALING_FORMAT=MLN","Sort=A","Dates=H","DateFormat=P","Fill=—","Direction=H","UseDPDF=Y")</f>
        <v>0</v>
      </c>
      <c r="E35" s="13">
        <f>_xll.BDH("BLUE US Equity","XO_GL_NET_OF_TAX","FQ4 2019","FQ4 2019","Currency=USD","Period=FQ","BEST_FPERIOD_OVERRIDE=FQ","FILING_STATUS=MR","SCALING_FORMAT=MLN","Sort=A","Dates=H","DateFormat=P","Fill=—","Direction=H","UseDPDF=Y")</f>
        <v>0</v>
      </c>
      <c r="F35" s="13">
        <f>_xll.BDH("BLUE US Equity","XO_GL_NET_OF_TAX","FQ1 2020","FQ1 2020","Currency=USD","Period=FQ","BEST_FPERIOD_OVERRIDE=FQ","FILING_STATUS=MR","SCALING_FORMAT=MLN","Sort=A","Dates=H","DateFormat=P","Fill=—","Direction=H","UseDPDF=Y")</f>
        <v>0</v>
      </c>
      <c r="G35" s="13">
        <f>_xll.BDH("BLUE US Equity","XO_GL_NET_OF_TAX","FQ2 2020","FQ2 2020","Currency=USD","Period=FQ","BEST_FPERIOD_OVERRIDE=FQ","FILING_STATUS=MR","SCALING_FORMAT=MLN","Sort=A","Dates=H","DateFormat=P","Fill=—","Direction=H","UseDPDF=Y")</f>
        <v>0</v>
      </c>
      <c r="H35" s="13">
        <f>_xll.BDH("BLUE US Equity","XO_GL_NET_OF_TAX","FQ3 2020","FQ3 2020","Currency=USD","Period=FQ","BEST_FPERIOD_OVERRIDE=FQ","FILING_STATUS=MR","SCALING_FORMAT=MLN","Sort=A","Dates=H","DateFormat=P","Fill=—","Direction=H","UseDPDF=Y")</f>
        <v>0</v>
      </c>
      <c r="I35" s="13">
        <f>_xll.BDH("BLUE US Equity","XO_GL_NET_OF_TAX","FQ4 2020","FQ4 2020","Currency=USD","Period=FQ","BEST_FPERIOD_OVERRIDE=FQ","FILING_STATUS=MR","SCALING_FORMAT=MLN","Sort=A","Dates=H","DateFormat=P","Fill=—","Direction=H","UseDPDF=Y")</f>
        <v>63.552999999999997</v>
      </c>
      <c r="J35" s="13">
        <f>_xll.BDH("BLUE US Equity","XO_GL_NET_OF_TAX","FQ1 2021","FQ1 2021","Currency=USD","Period=FQ","BEST_FPERIOD_OVERRIDE=FQ","FILING_STATUS=MR","SCALING_FORMAT=MLN","Sort=A","Dates=H","DateFormat=P","Fill=—","Direction=H","UseDPDF=Y")</f>
        <v>84.304000000000002</v>
      </c>
      <c r="K35" s="13">
        <f>_xll.BDH("BLUE US Equity","XO_GL_NET_OF_TAX","FQ2 2021","FQ2 2021","Currency=USD","Period=FQ","BEST_FPERIOD_OVERRIDE=FQ","FILING_STATUS=MR","SCALING_FORMAT=MLN","Sort=A","Dates=H","DateFormat=P","Fill=—","Direction=H","UseDPDF=Y")</f>
        <v>0</v>
      </c>
      <c r="L35" s="13">
        <f>_xll.BDH("BLUE US Equity","XO_GL_NET_OF_TAX","FQ3 2021","FQ3 2021","Currency=USD","Period=FQ","BEST_FPERIOD_OVERRIDE=FQ","FILING_STATUS=MR","SCALING_FORMAT=MLN","Sort=A","Dates=H","DateFormat=P","Fill=—","Direction=H","UseDPDF=Y")</f>
        <v>63.981999999999999</v>
      </c>
      <c r="M35" s="13">
        <f>_xll.BDH("BLUE US Equity","XO_GL_NET_OF_TAX","FQ4 2021","FQ4 2021","Currency=USD","Period=FQ","BEST_FPERIOD_OVERRIDE=FQ","FILING_STATUS=MR","SCALING_FORMAT=MLN","Sort=A","Dates=H","DateFormat=P","Fill=—","Direction=H","UseDPDF=Y")</f>
        <v>22.725000000000001</v>
      </c>
      <c r="N35" s="13">
        <f>_xll.BDH("BLUE US Equity","XO_GL_NET_OF_TAX","FQ1 2022","FQ1 2022","Currency=USD","Period=FQ","BEST_FPERIOD_OVERRIDE=FQ","FILING_STATUS=MR","SCALING_FORMAT=MLN","Sort=A","Dates=H","DateFormat=P","Fill=—","Direction=H","UseDPDF=Y")</f>
        <v>0</v>
      </c>
      <c r="O35" s="13">
        <f>_xll.BDH("BLUE US Equity","XO_GL_NET_OF_TAX","FQ2 2022","FQ2 2022","Currency=USD","Period=FQ","BEST_FPERIOD_OVERRIDE=FQ","FILING_STATUS=MR","SCALING_FORMAT=MLN","Sort=A","Dates=H","DateFormat=P","Fill=—","Direction=H","UseDPDF=Y")</f>
        <v>0</v>
      </c>
      <c r="P35" s="13">
        <f>_xll.BDH("BLUE US Equity","XO_GL_NET_OF_TAX","FQ3 2022","FQ3 2022","Currency=USD","Period=FQ","BEST_FPERIOD_OVERRIDE=FQ","FILING_STATUS=MR","SCALING_FORMAT=MLN","Sort=A","Dates=H","DateFormat=P","Fill=—","Direction=H","UseDPDF=Y")</f>
        <v>0</v>
      </c>
      <c r="Q35" s="13">
        <f>_xll.BDH("BLUE US Equity","XO_GL_NET_OF_TAX","FQ4 2022","FQ4 2022","Currency=USD","Period=FQ","BEST_FPERIOD_OVERRIDE=FQ","FILING_STATUS=MR","SCALING_FORMAT=MLN","Sort=A","Dates=H","DateFormat=P","Fill=—","Direction=H","UseDPDF=Y")</f>
        <v>0</v>
      </c>
      <c r="R35" s="13">
        <f>_xll.BDH("BLUE US Equity","XO_GL_NET_OF_TAX","FQ1 2023","FQ1 2023","Currency=USD","Period=FQ","BEST_FPERIOD_OVERRIDE=FQ","FILING_STATUS=MR","SCALING_FORMAT=MLN","Sort=A","Dates=H","DateFormat=P","Fill=—","Direction=H","UseDPDF=Y")</f>
        <v>0</v>
      </c>
      <c r="S35" s="13">
        <f>_xll.BDH("BLUE US Equity","XO_GL_NET_OF_TAX","FQ2 2023","FQ2 2023","Currency=USD","Period=FQ","BEST_FPERIOD_OVERRIDE=FQ","FILING_STATUS=MR","SCALING_FORMAT=MLN","Sort=A","Dates=H","DateFormat=P","Fill=—","Direction=H","UseDPDF=Y")</f>
        <v>0</v>
      </c>
      <c r="T35" s="13">
        <f>_xll.BDH("BLUE US Equity","XO_GL_NET_OF_TAX","FQ3 2023","FQ3 2023","Currency=USD","Period=FQ","BEST_FPERIOD_OVERRIDE=FQ","FILING_STATUS=MR","SCALING_FORMAT=MLN","Sort=A","Dates=H","DateFormat=P","Fill=—","Direction=H","UseDPDF=Y")</f>
        <v>0</v>
      </c>
      <c r="U35" s="13">
        <f>_xll.BDH("BLUE US Equity","XO_GL_NET_OF_TAX","FQ4 2023","FQ4 2023","Currency=USD","Period=FQ","BEST_FPERIOD_OVERRIDE=FQ","FILING_STATUS=MR","SCALING_FORMAT=MLN","Sort=A","Dates=H","DateFormat=P","Fill=—","Direction=H","UseDPDF=Y")</f>
        <v>0</v>
      </c>
      <c r="V35" s="13">
        <f>_xll.BDH("BLUE US Equity","XO_GL_NET_OF_TAX","FQ1 2024","FQ1 2024","Currency=USD","Period=FQ","BEST_FPERIOD_OVERRIDE=FQ","FILING_STATUS=MR","SCALING_FORMAT=MLN","Sort=A","Dates=H","DateFormat=P","Fill=—","Direction=H","UseDPDF=Y")</f>
        <v>0</v>
      </c>
      <c r="W35" s="13">
        <f>_xll.BDH("BLUE US Equity","XO_GL_NET_OF_TAX","FQ2 2024","FQ2 2024","Currency=USD","Period=FQ","BEST_FPERIOD_OVERRIDE=FQ","FILING_STATUS=MR","SCALING_FORMAT=MLN","Sort=A","Dates=H","DateFormat=P","Fill=—","Direction=H","UseDPDF=Y")</f>
        <v>0</v>
      </c>
      <c r="X35" s="13">
        <f>_xll.BDH("BLUE US Equity","XO_GL_NET_OF_TAX","FQ3 2024","FQ3 2024","Currency=USD","Period=FQ","BEST_FPERIOD_OVERRIDE=FQ","FILING_STATUS=MR","SCALING_FORMAT=MLN","Sort=A","Dates=H","DateFormat=P","Fill=—","Direction=H","UseDPDF=Y")</f>
        <v>0</v>
      </c>
      <c r="Y35" s="13">
        <f>_xll.BDH("BLUE US Equity","XO_GL_NET_OF_TAX","FQ4 2024","FQ4 2024","Currency=USD","Period=FQ","BEST_FPERIOD_OVERRIDE=FQ","FILING_STATUS=MR","SCALING_FORMAT=MLN","Sort=A","Dates=H","DateFormat=P","Fill=—","Direction=H","UseDPDF=Y")</f>
        <v>0</v>
      </c>
      <c r="Z35" s="13"/>
      <c r="AA35" s="13"/>
    </row>
    <row r="36" spans="1:27" x14ac:dyDescent="0.25">
      <c r="A36" s="10" t="s">
        <v>329</v>
      </c>
      <c r="B36" s="10" t="s">
        <v>330</v>
      </c>
      <c r="C36" s="13">
        <f>_xll.BDH("BLUE US Equity","IS_DISCONTINUED_OPERATIONS","FQ2 2019","FQ2 2019","Currency=USD","Period=FQ","BEST_FPERIOD_OVERRIDE=FQ","FILING_STATUS=MR","SCALING_FORMAT=MLN","Sort=A","Dates=H","DateFormat=P","Fill=—","Direction=H","UseDPDF=Y")</f>
        <v>0</v>
      </c>
      <c r="D36" s="13">
        <f>_xll.BDH("BLUE US Equity","IS_DISCONTINUED_OPERATIONS","FQ3 2019","FQ3 2019","Currency=USD","Period=FQ","BEST_FPERIOD_OVERRIDE=FQ","FILING_STATUS=MR","SCALING_FORMAT=MLN","Sort=A","Dates=H","DateFormat=P","Fill=—","Direction=H","UseDPDF=Y")</f>
        <v>0</v>
      </c>
      <c r="E36" s="13">
        <f>_xll.BDH("BLUE US Equity","IS_DISCONTINUED_OPERATIONS","FQ4 2019","FQ4 2019","Currency=USD","Period=FQ","BEST_FPERIOD_OVERRIDE=FQ","FILING_STATUS=MR","SCALING_FORMAT=MLN","Sort=A","Dates=H","DateFormat=P","Fill=—","Direction=H","UseDPDF=Y")</f>
        <v>0</v>
      </c>
      <c r="F36" s="13">
        <f>_xll.BDH("BLUE US Equity","IS_DISCONTINUED_OPERATIONS","FQ1 2020","FQ1 2020","Currency=USD","Period=FQ","BEST_FPERIOD_OVERRIDE=FQ","FILING_STATUS=MR","SCALING_FORMAT=MLN","Sort=A","Dates=H","DateFormat=P","Fill=—","Direction=H","UseDPDF=Y")</f>
        <v>0</v>
      </c>
      <c r="G36" s="13">
        <f>_xll.BDH("BLUE US Equity","IS_DISCONTINUED_OPERATIONS","FQ2 2020","FQ2 2020","Currency=USD","Period=FQ","BEST_FPERIOD_OVERRIDE=FQ","FILING_STATUS=MR","SCALING_FORMAT=MLN","Sort=A","Dates=H","DateFormat=P","Fill=—","Direction=H","UseDPDF=Y")</f>
        <v>0</v>
      </c>
      <c r="H36" s="13">
        <f>_xll.BDH("BLUE US Equity","IS_DISCONTINUED_OPERATIONS","FQ3 2020","FQ3 2020","Currency=USD","Period=FQ","BEST_FPERIOD_OVERRIDE=FQ","FILING_STATUS=MR","SCALING_FORMAT=MLN","Sort=A","Dates=H","DateFormat=P","Fill=—","Direction=H","UseDPDF=Y")</f>
        <v>0</v>
      </c>
      <c r="I36" s="13">
        <f>_xll.BDH("BLUE US Equity","IS_DISCONTINUED_OPERATIONS","FQ4 2020","FQ4 2020","Currency=USD","Period=FQ","BEST_FPERIOD_OVERRIDE=FQ","FILING_STATUS=MR","SCALING_FORMAT=MLN","Sort=A","Dates=H","DateFormat=P","Fill=—","Direction=H","UseDPDF=Y")</f>
        <v>63.552999999999997</v>
      </c>
      <c r="J36" s="13">
        <f>_xll.BDH("BLUE US Equity","IS_DISCONTINUED_OPERATIONS","FQ1 2021","FQ1 2021","Currency=USD","Period=FQ","BEST_FPERIOD_OVERRIDE=FQ","FILING_STATUS=MR","SCALING_FORMAT=MLN","Sort=A","Dates=H","DateFormat=P","Fill=—","Direction=H","UseDPDF=Y")</f>
        <v>84.304000000000002</v>
      </c>
      <c r="K36" s="13">
        <f>_xll.BDH("BLUE US Equity","IS_DISCONTINUED_OPERATIONS","FQ2 2021","FQ2 2021","Currency=USD","Period=FQ","BEST_FPERIOD_OVERRIDE=FQ","FILING_STATUS=MR","SCALING_FORMAT=MLN","Sort=A","Dates=H","DateFormat=P","Fill=—","Direction=H","UseDPDF=Y")</f>
        <v>0</v>
      </c>
      <c r="L36" s="13">
        <f>_xll.BDH("BLUE US Equity","IS_DISCONTINUED_OPERATIONS","FQ3 2021","FQ3 2021","Currency=USD","Period=FQ","BEST_FPERIOD_OVERRIDE=FQ","FILING_STATUS=MR","SCALING_FORMAT=MLN","Sort=A","Dates=H","DateFormat=P","Fill=—","Direction=H","UseDPDF=Y")</f>
        <v>63.981999999999999</v>
      </c>
      <c r="M36" s="13">
        <f>_xll.BDH("BLUE US Equity","IS_DISCONTINUED_OPERATIONS","FQ4 2021","FQ4 2021","Currency=USD","Period=FQ","BEST_FPERIOD_OVERRIDE=FQ","FILING_STATUS=MR","SCALING_FORMAT=MLN","Sort=A","Dates=H","DateFormat=P","Fill=—","Direction=H","UseDPDF=Y")</f>
        <v>22.725000000000001</v>
      </c>
      <c r="N36" s="13">
        <f>_xll.BDH("BLUE US Equity","IS_DISCONTINUED_OPERATIONS","FQ1 2022","FQ1 2022","Currency=USD","Period=FQ","BEST_FPERIOD_OVERRIDE=FQ","FILING_STATUS=MR","SCALING_FORMAT=MLN","Sort=A","Dates=H","DateFormat=P","Fill=—","Direction=H","UseDPDF=Y")</f>
        <v>0</v>
      </c>
      <c r="O36" s="13">
        <f>_xll.BDH("BLUE US Equity","IS_DISCONTINUED_OPERATIONS","FQ2 2022","FQ2 2022","Currency=USD","Period=FQ","BEST_FPERIOD_OVERRIDE=FQ","FILING_STATUS=MR","SCALING_FORMAT=MLN","Sort=A","Dates=H","DateFormat=P","Fill=—","Direction=H","UseDPDF=Y")</f>
        <v>0</v>
      </c>
      <c r="P36" s="13">
        <f>_xll.BDH("BLUE US Equity","IS_DISCONTINUED_OPERATIONS","FQ3 2022","FQ3 2022","Currency=USD","Period=FQ","BEST_FPERIOD_OVERRIDE=FQ","FILING_STATUS=MR","SCALING_FORMAT=MLN","Sort=A","Dates=H","DateFormat=P","Fill=—","Direction=H","UseDPDF=Y")</f>
        <v>0</v>
      </c>
      <c r="Q36" s="13">
        <f>_xll.BDH("BLUE US Equity","IS_DISCONTINUED_OPERATIONS","FQ4 2022","FQ4 2022","Currency=USD","Period=FQ","BEST_FPERIOD_OVERRIDE=FQ","FILING_STATUS=MR","SCALING_FORMAT=MLN","Sort=A","Dates=H","DateFormat=P","Fill=—","Direction=H","UseDPDF=Y")</f>
        <v>0</v>
      </c>
      <c r="R36" s="13">
        <f>_xll.BDH("BLUE US Equity","IS_DISCONTINUED_OPERATIONS","FQ1 2023","FQ1 2023","Currency=USD","Period=FQ","BEST_FPERIOD_OVERRIDE=FQ","FILING_STATUS=MR","SCALING_FORMAT=MLN","Sort=A","Dates=H","DateFormat=P","Fill=—","Direction=H","UseDPDF=Y")</f>
        <v>0</v>
      </c>
      <c r="S36" s="13">
        <f>_xll.BDH("BLUE US Equity","IS_DISCONTINUED_OPERATIONS","FQ2 2023","FQ2 2023","Currency=USD","Period=FQ","BEST_FPERIOD_OVERRIDE=FQ","FILING_STATUS=MR","SCALING_FORMAT=MLN","Sort=A","Dates=H","DateFormat=P","Fill=—","Direction=H","UseDPDF=Y")</f>
        <v>0</v>
      </c>
      <c r="T36" s="13">
        <f>_xll.BDH("BLUE US Equity","IS_DISCONTINUED_OPERATIONS","FQ3 2023","FQ3 2023","Currency=USD","Period=FQ","BEST_FPERIOD_OVERRIDE=FQ","FILING_STATUS=MR","SCALING_FORMAT=MLN","Sort=A","Dates=H","DateFormat=P","Fill=—","Direction=H","UseDPDF=Y")</f>
        <v>0</v>
      </c>
      <c r="U36" s="13">
        <f>_xll.BDH("BLUE US Equity","IS_DISCONTINUED_OPERATIONS","FQ4 2023","FQ4 2023","Currency=USD","Period=FQ","BEST_FPERIOD_OVERRIDE=FQ","FILING_STATUS=MR","SCALING_FORMAT=MLN","Sort=A","Dates=H","DateFormat=P","Fill=—","Direction=H","UseDPDF=Y")</f>
        <v>0</v>
      </c>
      <c r="V36" s="13">
        <f>_xll.BDH("BLUE US Equity","IS_DISCONTINUED_OPERATIONS","FQ1 2024","FQ1 2024","Currency=USD","Period=FQ","BEST_FPERIOD_OVERRIDE=FQ","FILING_STATUS=MR","SCALING_FORMAT=MLN","Sort=A","Dates=H","DateFormat=P","Fill=—","Direction=H","UseDPDF=Y")</f>
        <v>0</v>
      </c>
      <c r="W36" s="13">
        <f>_xll.BDH("BLUE US Equity","IS_DISCONTINUED_OPERATIONS","FQ2 2024","FQ2 2024","Currency=USD","Period=FQ","BEST_FPERIOD_OVERRIDE=FQ","FILING_STATUS=MR","SCALING_FORMAT=MLN","Sort=A","Dates=H","DateFormat=P","Fill=—","Direction=H","UseDPDF=Y")</f>
        <v>0</v>
      </c>
      <c r="X36" s="13">
        <f>_xll.BDH("BLUE US Equity","IS_DISCONTINUED_OPERATIONS","FQ3 2024","FQ3 2024","Currency=USD","Period=FQ","BEST_FPERIOD_OVERRIDE=FQ","FILING_STATUS=MR","SCALING_FORMAT=MLN","Sort=A","Dates=H","DateFormat=P","Fill=—","Direction=H","UseDPDF=Y")</f>
        <v>0</v>
      </c>
      <c r="Y36" s="13">
        <f>_xll.BDH("BLUE US Equity","IS_DISCONTINUED_OPERATIONS","FQ4 2024","FQ4 2024","Currency=USD","Period=FQ","BEST_FPERIOD_OVERRIDE=FQ","FILING_STATUS=MR","SCALING_FORMAT=MLN","Sort=A","Dates=H","DateFormat=P","Fill=—","Direction=H","UseDPDF=Y")</f>
        <v>0</v>
      </c>
      <c r="Z36" s="13"/>
      <c r="AA36" s="13"/>
    </row>
    <row r="37" spans="1:27" x14ac:dyDescent="0.25">
      <c r="A37" s="10" t="s">
        <v>331</v>
      </c>
      <c r="B37" s="10" t="s">
        <v>332</v>
      </c>
      <c r="C37" s="13">
        <f>_xll.BDH("BLUE US Equity","EXTRAORD_ITEMS_ACCOUNTING_CHANGS","FQ2 2019","FQ2 2019","Currency=USD","Period=FQ","BEST_FPERIOD_OVERRIDE=FQ","FILING_STATUS=MR","SCALING_FORMAT=MLN","Sort=A","Dates=H","DateFormat=P","Fill=—","Direction=H","UseDPDF=Y")</f>
        <v>0</v>
      </c>
      <c r="D37" s="13">
        <f>_xll.BDH("BLUE US Equity","EXTRAORD_ITEMS_ACCOUNTING_CHANGS","FQ3 2019","FQ3 2019","Currency=USD","Period=FQ","BEST_FPERIOD_OVERRIDE=FQ","FILING_STATUS=MR","SCALING_FORMAT=MLN","Sort=A","Dates=H","DateFormat=P","Fill=—","Direction=H","UseDPDF=Y")</f>
        <v>0</v>
      </c>
      <c r="E37" s="13">
        <f>_xll.BDH("BLUE US Equity","EXTRAORD_ITEMS_ACCOUNTING_CHANGS","FQ4 2019","FQ4 2019","Currency=USD","Period=FQ","BEST_FPERIOD_OVERRIDE=FQ","FILING_STATUS=MR","SCALING_FORMAT=MLN","Sort=A","Dates=H","DateFormat=P","Fill=—","Direction=H","UseDPDF=Y")</f>
        <v>0</v>
      </c>
      <c r="F37" s="13">
        <f>_xll.BDH("BLUE US Equity","EXTRAORD_ITEMS_ACCOUNTING_CHANGS","FQ1 2020","FQ1 2020","Currency=USD","Period=FQ","BEST_FPERIOD_OVERRIDE=FQ","FILING_STATUS=MR","SCALING_FORMAT=MLN","Sort=A","Dates=H","DateFormat=P","Fill=—","Direction=H","UseDPDF=Y")</f>
        <v>0</v>
      </c>
      <c r="G37" s="13">
        <f>_xll.BDH("BLUE US Equity","EXTRAORD_ITEMS_ACCOUNTING_CHANGS","FQ2 2020","FQ2 2020","Currency=USD","Period=FQ","BEST_FPERIOD_OVERRIDE=FQ","FILING_STATUS=MR","SCALING_FORMAT=MLN","Sort=A","Dates=H","DateFormat=P","Fill=—","Direction=H","UseDPDF=Y")</f>
        <v>0</v>
      </c>
      <c r="H37" s="13">
        <f>_xll.BDH("BLUE US Equity","EXTRAORD_ITEMS_ACCOUNTING_CHANGS","FQ3 2020","FQ3 2020","Currency=USD","Period=FQ","BEST_FPERIOD_OVERRIDE=FQ","FILING_STATUS=MR","SCALING_FORMAT=MLN","Sort=A","Dates=H","DateFormat=P","Fill=—","Direction=H","UseDPDF=Y")</f>
        <v>0</v>
      </c>
      <c r="I37" s="13">
        <f>_xll.BDH("BLUE US Equity","EXTRAORD_ITEMS_ACCOUNTING_CHANGS","FQ4 2020","FQ4 2020","Currency=USD","Period=FQ","BEST_FPERIOD_OVERRIDE=FQ","FILING_STATUS=MR","SCALING_FORMAT=MLN","Sort=A","Dates=H","DateFormat=P","Fill=—","Direction=H","UseDPDF=Y")</f>
        <v>0</v>
      </c>
      <c r="J37" s="13">
        <f>_xll.BDH("BLUE US Equity","EXTRAORD_ITEMS_ACCOUNTING_CHANGS","FQ1 2021","FQ1 2021","Currency=USD","Period=FQ","BEST_FPERIOD_OVERRIDE=FQ","FILING_STATUS=MR","SCALING_FORMAT=MLN","Sort=A","Dates=H","DateFormat=P","Fill=—","Direction=H","UseDPDF=Y")</f>
        <v>0</v>
      </c>
      <c r="K37" s="13">
        <f>_xll.BDH("BLUE US Equity","EXTRAORD_ITEMS_ACCOUNTING_CHANGS","FQ2 2021","FQ2 2021","Currency=USD","Period=FQ","BEST_FPERIOD_OVERRIDE=FQ","FILING_STATUS=MR","SCALING_FORMAT=MLN","Sort=A","Dates=H","DateFormat=P","Fill=—","Direction=H","UseDPDF=Y")</f>
        <v>0</v>
      </c>
      <c r="L37" s="13">
        <f>_xll.BDH("BLUE US Equity","EXTRAORD_ITEMS_ACCOUNTING_CHANGS","FQ3 2021","FQ3 2021","Currency=USD","Period=FQ","BEST_FPERIOD_OVERRIDE=FQ","FILING_STATUS=MR","SCALING_FORMAT=MLN","Sort=A","Dates=H","DateFormat=P","Fill=—","Direction=H","UseDPDF=Y")</f>
        <v>0</v>
      </c>
      <c r="M37" s="13">
        <f>_xll.BDH("BLUE US Equity","EXTRAORD_ITEMS_ACCOUNTING_CHANGS","FQ4 2021","FQ4 2021","Currency=USD","Period=FQ","BEST_FPERIOD_OVERRIDE=FQ","FILING_STATUS=MR","SCALING_FORMAT=MLN","Sort=A","Dates=H","DateFormat=P","Fill=—","Direction=H","UseDPDF=Y")</f>
        <v>0</v>
      </c>
      <c r="N37" s="13">
        <f>_xll.BDH("BLUE US Equity","EXTRAORD_ITEMS_ACCOUNTING_CHANGS","FQ1 2022","FQ1 2022","Currency=USD","Period=FQ","BEST_FPERIOD_OVERRIDE=FQ","FILING_STATUS=MR","SCALING_FORMAT=MLN","Sort=A","Dates=H","DateFormat=P","Fill=—","Direction=H","UseDPDF=Y")</f>
        <v>0</v>
      </c>
      <c r="O37" s="13">
        <f>_xll.BDH("BLUE US Equity","EXTRAORD_ITEMS_ACCOUNTING_CHANGS","FQ2 2022","FQ2 2022","Currency=USD","Period=FQ","BEST_FPERIOD_OVERRIDE=FQ","FILING_STATUS=MR","SCALING_FORMAT=MLN","Sort=A","Dates=H","DateFormat=P","Fill=—","Direction=H","UseDPDF=Y")</f>
        <v>0</v>
      </c>
      <c r="P37" s="13">
        <f>_xll.BDH("BLUE US Equity","EXTRAORD_ITEMS_ACCOUNTING_CHANGS","FQ3 2022","FQ3 2022","Currency=USD","Period=FQ","BEST_FPERIOD_OVERRIDE=FQ","FILING_STATUS=MR","SCALING_FORMAT=MLN","Sort=A","Dates=H","DateFormat=P","Fill=—","Direction=H","UseDPDF=Y")</f>
        <v>0</v>
      </c>
      <c r="Q37" s="13">
        <f>_xll.BDH("BLUE US Equity","EXTRAORD_ITEMS_ACCOUNTING_CHANGS","FQ4 2022","FQ4 2022","Currency=USD","Period=FQ","BEST_FPERIOD_OVERRIDE=FQ","FILING_STATUS=MR","SCALING_FORMAT=MLN","Sort=A","Dates=H","DateFormat=P","Fill=—","Direction=H","UseDPDF=Y")</f>
        <v>0</v>
      </c>
      <c r="R37" s="13">
        <f>_xll.BDH("BLUE US Equity","EXTRAORD_ITEMS_ACCOUNTING_CHANGS","FQ1 2023","FQ1 2023","Currency=USD","Period=FQ","BEST_FPERIOD_OVERRIDE=FQ","FILING_STATUS=MR","SCALING_FORMAT=MLN","Sort=A","Dates=H","DateFormat=P","Fill=—","Direction=H","UseDPDF=Y")</f>
        <v>0</v>
      </c>
      <c r="S37" s="13">
        <f>_xll.BDH("BLUE US Equity","EXTRAORD_ITEMS_ACCOUNTING_CHANGS","FQ2 2023","FQ2 2023","Currency=USD","Period=FQ","BEST_FPERIOD_OVERRIDE=FQ","FILING_STATUS=MR","SCALING_FORMAT=MLN","Sort=A","Dates=H","DateFormat=P","Fill=—","Direction=H","UseDPDF=Y")</f>
        <v>0</v>
      </c>
      <c r="T37" s="13">
        <f>_xll.BDH("BLUE US Equity","EXTRAORD_ITEMS_ACCOUNTING_CHANGS","FQ3 2023","FQ3 2023","Currency=USD","Period=FQ","BEST_FPERIOD_OVERRIDE=FQ","FILING_STATUS=MR","SCALING_FORMAT=MLN","Sort=A","Dates=H","DateFormat=P","Fill=—","Direction=H","UseDPDF=Y")</f>
        <v>0</v>
      </c>
      <c r="U37" s="13">
        <f>_xll.BDH("BLUE US Equity","EXTRAORD_ITEMS_ACCOUNTING_CHANGS","FQ4 2023","FQ4 2023","Currency=USD","Period=FQ","BEST_FPERIOD_OVERRIDE=FQ","FILING_STATUS=MR","SCALING_FORMAT=MLN","Sort=A","Dates=H","DateFormat=P","Fill=—","Direction=H","UseDPDF=Y")</f>
        <v>0</v>
      </c>
      <c r="V37" s="13">
        <f>_xll.BDH("BLUE US Equity","EXTRAORD_ITEMS_ACCOUNTING_CHANGS","FQ1 2024","FQ1 2024","Currency=USD","Period=FQ","BEST_FPERIOD_OVERRIDE=FQ","FILING_STATUS=MR","SCALING_FORMAT=MLN","Sort=A","Dates=H","DateFormat=P","Fill=—","Direction=H","UseDPDF=Y")</f>
        <v>0</v>
      </c>
      <c r="W37" s="13">
        <f>_xll.BDH("BLUE US Equity","EXTRAORD_ITEMS_ACCOUNTING_CHANGS","FQ2 2024","FQ2 2024","Currency=USD","Period=FQ","BEST_FPERIOD_OVERRIDE=FQ","FILING_STATUS=MR","SCALING_FORMAT=MLN","Sort=A","Dates=H","DateFormat=P","Fill=—","Direction=H","UseDPDF=Y")</f>
        <v>0</v>
      </c>
      <c r="X37" s="13">
        <f>_xll.BDH("BLUE US Equity","EXTRAORD_ITEMS_ACCOUNTING_CHANGS","FQ3 2024","FQ3 2024","Currency=USD","Period=FQ","BEST_FPERIOD_OVERRIDE=FQ","FILING_STATUS=MR","SCALING_FORMAT=MLN","Sort=A","Dates=H","DateFormat=P","Fill=—","Direction=H","UseDPDF=Y")</f>
        <v>0</v>
      </c>
      <c r="Y37" s="13">
        <f>_xll.BDH("BLUE US Equity","EXTRAORD_ITEMS_ACCOUNTING_CHANGS","FQ4 2024","FQ4 2024","Currency=USD","Period=FQ","BEST_FPERIOD_OVERRIDE=FQ","FILING_STATUS=MR","SCALING_FORMAT=MLN","Sort=A","Dates=H","DateFormat=P","Fill=—","Direction=H","UseDPDF=Y")</f>
        <v>0</v>
      </c>
      <c r="Z37" s="13"/>
      <c r="AA37" s="13"/>
    </row>
    <row r="38" spans="1:27" x14ac:dyDescent="0.25">
      <c r="A38" s="6" t="s">
        <v>333</v>
      </c>
      <c r="B38" s="6" t="s">
        <v>334</v>
      </c>
      <c r="C38" s="19">
        <f>_xll.BDH("BLUE US Equity","NI_INCLUDING_MINORITY_INT_RATIO","FQ2 2019","FQ2 2019","Currency=USD","Period=FQ","BEST_FPERIOD_OVERRIDE=FQ","FILING_STATUS=MR","SCALING_FORMAT=MLN","FA_ADJUSTED=GAAP","Sort=A","Dates=H","DateFormat=P","Fill=—","Direction=H","UseDPDF=Y")</f>
        <v>-195.78200000000001</v>
      </c>
      <c r="D38" s="19">
        <f>_xll.BDH("BLUE US Equity","NI_INCLUDING_MINORITY_INT_RATIO","FQ3 2019","FQ3 2019","Currency=USD","Period=FQ","BEST_FPERIOD_OVERRIDE=FQ","FILING_STATUS=MR","SCALING_FORMAT=MLN","FA_ADJUSTED=GAAP","Sort=A","Dates=H","DateFormat=P","Fill=—","Direction=H","UseDPDF=Y")</f>
        <v>-206.03299999999999</v>
      </c>
      <c r="E38" s="19">
        <f>_xll.BDH("BLUE US Equity","NI_INCLUDING_MINORITY_INT_RATIO","FQ4 2019","FQ4 2019","Currency=USD","Period=FQ","BEST_FPERIOD_OVERRIDE=FQ","FILING_STATUS=MR","SCALING_FORMAT=MLN","FA_ADJUSTED=GAAP","Sort=A","Dates=H","DateFormat=P","Fill=—","Direction=H","UseDPDF=Y")</f>
        <v>-223.34700000000001</v>
      </c>
      <c r="F38" s="19">
        <f>_xll.BDH("BLUE US Equity","NI_INCLUDING_MINORITY_INT_RATIO","FQ1 2020","FQ1 2020","Currency=USD","Period=FQ","BEST_FPERIOD_OVERRIDE=FQ","FILING_STATUS=MR","SCALING_FORMAT=MLN","FA_ADJUSTED=GAAP","Sort=A","Dates=H","DateFormat=P","Fill=—","Direction=H","UseDPDF=Y")</f>
        <v>-202.61099999999999</v>
      </c>
      <c r="G38" s="19">
        <f>_xll.BDH("BLUE US Equity","NI_INCLUDING_MINORITY_INT_RATIO","FQ2 2020","FQ2 2020","Currency=USD","Period=FQ","BEST_FPERIOD_OVERRIDE=FQ","FILING_STATUS=MR","SCALING_FORMAT=MLN","FA_ADJUSTED=GAAP","Sort=A","Dates=H","DateFormat=P","Fill=—","Direction=H","UseDPDF=Y")</f>
        <v>-21.465</v>
      </c>
      <c r="H38" s="19">
        <f>_xll.BDH("BLUE US Equity","NI_INCLUDING_MINORITY_INT_RATIO","FQ3 2020","FQ3 2020","Currency=USD","Period=FQ","BEST_FPERIOD_OVERRIDE=FQ","FILING_STATUS=MR","SCALING_FORMAT=MLN","FA_ADJUSTED=GAAP","Sort=A","Dates=H","DateFormat=P","Fill=—","Direction=H","UseDPDF=Y")</f>
        <v>-194.745</v>
      </c>
      <c r="I38" s="19">
        <f>_xll.BDH("BLUE US Equity","NI_INCLUDING_MINORITY_INT_RATIO","FQ4 2020","FQ4 2020","Currency=USD","Period=FQ","BEST_FPERIOD_OVERRIDE=FQ","FILING_STATUS=MR","SCALING_FORMAT=MLN","FA_ADJUSTED=GAAP","Sort=A","Dates=H","DateFormat=P","Fill=—","Direction=H","UseDPDF=Y")</f>
        <v>-199.874</v>
      </c>
      <c r="J38" s="19">
        <f>_xll.BDH("BLUE US Equity","NI_INCLUDING_MINORITY_INT_RATIO","FQ1 2021","FQ1 2021","Currency=USD","Period=FQ","BEST_FPERIOD_OVERRIDE=FQ","FILING_STATUS=MR","SCALING_FORMAT=MLN","FA_ADJUSTED=GAAP","Sort=A","Dates=H","DateFormat=P","Fill=—","Direction=H","UseDPDF=Y")</f>
        <v>-205.80799999999999</v>
      </c>
      <c r="K38" s="19">
        <f>_xll.BDH("BLUE US Equity","NI_INCLUDING_MINORITY_INT_RATIO","FQ2 2021","FQ2 2021","Currency=USD","Period=FQ","BEST_FPERIOD_OVERRIDE=FQ","FILING_STATUS=MR","SCALING_FORMAT=MLN","FA_ADJUSTED=GAAP","Sort=A","Dates=H","DateFormat=P","Fill=—","Direction=H","UseDPDF=Y")</f>
        <v>-241.702</v>
      </c>
      <c r="L38" s="19">
        <f>_xll.BDH("BLUE US Equity","NI_INCLUDING_MINORITY_INT_RATIO","FQ3 2021","FQ3 2021","Currency=USD","Period=FQ","BEST_FPERIOD_OVERRIDE=FQ","FILING_STATUS=MR","SCALING_FORMAT=MLN","FA_ADJUSTED=GAAP","Sort=A","Dates=H","DateFormat=P","Fill=—","Direction=H","UseDPDF=Y")</f>
        <v>-216.816</v>
      </c>
      <c r="M38" s="19">
        <f>_xll.BDH("BLUE US Equity","NI_INCLUDING_MINORITY_INT_RATIO","FQ4 2021","FQ4 2021","Currency=USD","Period=FQ","BEST_FPERIOD_OVERRIDE=FQ","FILING_STATUS=MR","SCALING_FORMAT=MLN","FA_ADJUSTED=GAAP","Sort=A","Dates=H","DateFormat=P","Fill=—","Direction=H","UseDPDF=Y")</f>
        <v>-155.05199999999999</v>
      </c>
      <c r="N38" s="19">
        <f>_xll.BDH("BLUE US Equity","NI_INCLUDING_MINORITY_INT_RATIO","FQ1 2022","FQ1 2022","Currency=USD","Period=FQ","BEST_FPERIOD_OVERRIDE=FQ","FILING_STATUS=MR","SCALING_FORMAT=MLN","FA_ADJUSTED=GAAP","Sort=A","Dates=H","DateFormat=P","Fill=—","Direction=H","UseDPDF=Y")</f>
        <v>-122.152</v>
      </c>
      <c r="O38" s="19">
        <f>_xll.BDH("BLUE US Equity","NI_INCLUDING_MINORITY_INT_RATIO","FQ2 2022","FQ2 2022","Currency=USD","Period=FQ","BEST_FPERIOD_OVERRIDE=FQ","FILING_STATUS=MR","SCALING_FORMAT=MLN","FA_ADJUSTED=GAAP","Sort=A","Dates=H","DateFormat=P","Fill=—","Direction=H","UseDPDF=Y")</f>
        <v>-100.13800000000001</v>
      </c>
      <c r="P38" s="19">
        <f>_xll.BDH("BLUE US Equity","NI_INCLUDING_MINORITY_INT_RATIO","FQ3 2022","FQ3 2022","Currency=USD","Period=FQ","BEST_FPERIOD_OVERRIDE=FQ","FILING_STATUS=MR","SCALING_FORMAT=MLN","FA_ADJUSTED=GAAP","Sort=A","Dates=H","DateFormat=P","Fill=—","Direction=H","UseDPDF=Y")</f>
        <v>-76.52</v>
      </c>
      <c r="Q38" s="19">
        <f>_xll.BDH("BLUE US Equity","NI_INCLUDING_MINORITY_INT_RATIO","FQ4 2022","FQ4 2022","Currency=USD","Period=FQ","BEST_FPERIOD_OVERRIDE=FQ","FILING_STATUS=MR","SCALING_FORMAT=MLN","FA_ADJUSTED=GAAP","Sort=A","Dates=H","DateFormat=P","Fill=—","Direction=H","UseDPDF=Y")</f>
        <v>68.468000000000004</v>
      </c>
      <c r="R38" s="19">
        <f>_xll.BDH("BLUE US Equity","NI_INCLUDING_MINORITY_INT_RATIO","FQ1 2023","FQ1 2023","Currency=USD","Period=FQ","BEST_FPERIOD_OVERRIDE=FQ","FILING_STATUS=MR","SCALING_FORMAT=MLN","FA_ADJUSTED=GAAP","Sort=A","Dates=H","DateFormat=P","Fill=—","Direction=H","UseDPDF=Y")</f>
        <v>18.93</v>
      </c>
      <c r="S38" s="19">
        <f>_xll.BDH("BLUE US Equity","NI_INCLUDING_MINORITY_INT_RATIO","FQ2 2023","FQ2 2023","Currency=USD","Period=FQ","BEST_FPERIOD_OVERRIDE=FQ","FILING_STATUS=MR","SCALING_FORMAT=MLN","FA_ADJUSTED=GAAP","Sort=A","Dates=H","DateFormat=P","Fill=—","Direction=H","UseDPDF=Y")</f>
        <v>-62.789000000000001</v>
      </c>
      <c r="T38" s="19">
        <f>_xll.BDH("BLUE US Equity","NI_INCLUDING_MINORITY_INT_RATIO","FQ3 2023","FQ3 2023","Currency=USD","Period=FQ","BEST_FPERIOD_OVERRIDE=FQ","FILING_STATUS=MR","SCALING_FORMAT=MLN","FA_ADJUSTED=GAAP","Sort=A","Dates=H","DateFormat=P","Fill=—","Direction=H","UseDPDF=Y")</f>
        <v>-87.231999999999999</v>
      </c>
      <c r="U38" s="19">
        <f>_xll.BDH("BLUE US Equity","NI_INCLUDING_MINORITY_INT_RATIO","FQ4 2023","FQ4 2023","Currency=USD","Period=FQ","BEST_FPERIOD_OVERRIDE=FQ","FILING_STATUS=MR","SCALING_FORMAT=MLN","FA_ADJUSTED=GAAP","Sort=A","Dates=H","DateFormat=P","Fill=—","Direction=H","UseDPDF=Y")</f>
        <v>-88.513999999999996</v>
      </c>
      <c r="V38" s="19">
        <f>_xll.BDH("BLUE US Equity","NI_INCLUDING_MINORITY_INT_RATIO","FQ1 2024","FQ1 2024","Currency=USD","Period=FQ","BEST_FPERIOD_OVERRIDE=FQ","FILING_STATUS=MR","SCALING_FORMAT=MLN","FA_ADJUSTED=GAAP","Sort=A","Dates=H","DateFormat=P","Fill=—","Direction=H","UseDPDF=Y")</f>
        <v>-69.804000000000002</v>
      </c>
      <c r="W38" s="19">
        <f>_xll.BDH("BLUE US Equity","NI_INCLUDING_MINORITY_INT_RATIO","FQ2 2024","FQ2 2024","Currency=USD","Period=FQ","BEST_FPERIOD_OVERRIDE=FQ","FILING_STATUS=MR","SCALING_FORMAT=MLN","FA_ADJUSTED=GAAP","Sort=A","Dates=H","DateFormat=P","Fill=—","Direction=H","UseDPDF=Y")</f>
        <v>-81.393000000000001</v>
      </c>
      <c r="X38" s="19">
        <f>_xll.BDH("BLUE US Equity","NI_INCLUDING_MINORITY_INT_RATIO","FQ3 2024","FQ3 2024","Currency=USD","Period=FQ","BEST_FPERIOD_OVERRIDE=FQ","FILING_STATUS=MR","SCALING_FORMAT=MLN","FA_ADJUSTED=GAAP","Sort=A","Dates=H","DateFormat=P","Fill=—","Direction=H","UseDPDF=Y")</f>
        <v>-60.808</v>
      </c>
      <c r="Y38" s="19">
        <f>_xll.BDH("BLUE US Equity","NI_INCLUDING_MINORITY_INT_RATIO","FQ4 2024","FQ4 2024","Currency=USD","Period=FQ","BEST_FPERIOD_OVERRIDE=FQ","FILING_STATUS=MR","SCALING_FORMAT=MLN","FA_ADJUSTED=GAAP","Sort=A","Dates=H","DateFormat=P","Fill=—","Direction=H","UseDPDF=Y")</f>
        <v>-28.71</v>
      </c>
      <c r="Z38" s="19"/>
      <c r="AA38" s="19"/>
    </row>
    <row r="39" spans="1:27" x14ac:dyDescent="0.25">
      <c r="A39" s="10" t="s">
        <v>335</v>
      </c>
      <c r="B39" s="10" t="s">
        <v>336</v>
      </c>
      <c r="C39" s="13">
        <f>_xll.BDH("BLUE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D39" s="13">
        <f>_xll.BDH("BLUE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E39" s="13">
        <f>_xll.BDH("BLUE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F39" s="13">
        <f>_xll.BDH("BLUE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G39" s="13">
        <f>_xll.BDH("BLUE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H39" s="13">
        <f>_xll.BDH("BLUE US Equity","MIN_NONCONTROL_INTEREST_CREDITS","FQ3 2020","FQ3 2020","Currency=USD","Period=FQ","BEST_FPERIOD_OVERRIDE=FQ","FILING_STATUS=MR","SCALING_FORMAT=MLN","FA_ADJUSTED=GAAP","Sort=A","Dates=H","DateFormat=P","Fill=—","Direction=H","UseDPDF=Y")</f>
        <v>0</v>
      </c>
      <c r="I39" s="13">
        <f>_xll.BDH("BLUE US Equity","MIN_NONCONTROL_INTEREST_CREDITS","FQ4 2020","FQ4 2020","Currency=USD","Period=FQ","BEST_FPERIOD_OVERRIDE=FQ","FILING_STATUS=MR","SCALING_FORMAT=MLN","FA_ADJUSTED=GAAP","Sort=A","Dates=H","DateFormat=P","Fill=—","Direction=H","UseDPDF=Y")</f>
        <v>0</v>
      </c>
      <c r="J39" s="13">
        <f>_xll.BDH("BLUE US Equity","MIN_NONCONTROL_INTEREST_CREDITS","FQ1 2021","FQ1 2021","Currency=USD","Period=FQ","BEST_FPERIOD_OVERRIDE=FQ","FILING_STATUS=MR","SCALING_FORMAT=MLN","FA_ADJUSTED=GAAP","Sort=A","Dates=H","DateFormat=P","Fill=—","Direction=H","UseDPDF=Y")</f>
        <v>0</v>
      </c>
      <c r="K39" s="13">
        <f>_xll.BDH("BLUE US Equity","MIN_NONCONTROL_INTEREST_CREDITS","FQ2 2021","FQ2 2021","Currency=USD","Period=FQ","BEST_FPERIOD_OVERRIDE=FQ","FILING_STATUS=MR","SCALING_FORMAT=MLN","FA_ADJUSTED=GAAP","Sort=A","Dates=H","DateFormat=P","Fill=—","Direction=H","UseDPDF=Y")</f>
        <v>0</v>
      </c>
      <c r="L39" s="13">
        <f>_xll.BDH("BLUE US Equity","MIN_NONCONTROL_INTEREST_CREDITS","FQ3 2021","FQ3 2021","Currency=USD","Period=FQ","BEST_FPERIOD_OVERRIDE=FQ","FILING_STATUS=MR","SCALING_FORMAT=MLN","FA_ADJUSTED=GAAP","Sort=A","Dates=H","DateFormat=P","Fill=—","Direction=H","UseDPDF=Y")</f>
        <v>0</v>
      </c>
      <c r="M39" s="13">
        <f>_xll.BDH("BLUE US Equity","MIN_NONCONTROL_INTEREST_CREDITS","FQ4 2021","FQ4 2021","Currency=USD","Period=FQ","BEST_FPERIOD_OVERRIDE=FQ","FILING_STATUS=MR","SCALING_FORMAT=MLN","FA_ADJUSTED=GAAP","Sort=A","Dates=H","DateFormat=P","Fill=—","Direction=H","UseDPDF=Y")</f>
        <v>0</v>
      </c>
      <c r="N39" s="13">
        <f>_xll.BDH("BLUE US Equity","MIN_NONCONTROL_INTEREST_CREDITS","FQ1 2022","FQ1 2022","Currency=USD","Period=FQ","BEST_FPERIOD_OVERRIDE=FQ","FILING_STATUS=MR","SCALING_FORMAT=MLN","FA_ADJUSTED=GAAP","Sort=A","Dates=H","DateFormat=P","Fill=—","Direction=H","UseDPDF=Y")</f>
        <v>0</v>
      </c>
      <c r="O39" s="13">
        <f>_xll.BDH("BLUE US Equity","MIN_NONCONTROL_INTEREST_CREDITS","FQ2 2022","FQ2 2022","Currency=USD","Period=FQ","BEST_FPERIOD_OVERRIDE=FQ","FILING_STATUS=MR","SCALING_FORMAT=MLN","FA_ADJUSTED=GAAP","Sort=A","Dates=H","DateFormat=P","Fill=—","Direction=H","UseDPDF=Y")</f>
        <v>0</v>
      </c>
      <c r="P39" s="13">
        <f>_xll.BDH("BLUE US Equity","MIN_NONCONTROL_INTEREST_CREDITS","FQ3 2022","FQ3 2022","Currency=USD","Period=FQ","BEST_FPERIOD_OVERRIDE=FQ","FILING_STATUS=MR","SCALING_FORMAT=MLN","FA_ADJUSTED=GAAP","Sort=A","Dates=H","DateFormat=P","Fill=—","Direction=H","UseDPDF=Y")</f>
        <v>0</v>
      </c>
      <c r="Q39" s="13">
        <f>_xll.BDH("BLUE US Equity","MIN_NONCONTROL_INTEREST_CREDITS","FQ4 2022","FQ4 2022","Currency=USD","Period=FQ","BEST_FPERIOD_OVERRIDE=FQ","FILING_STATUS=MR","SCALING_FORMAT=MLN","FA_ADJUSTED=GAAP","Sort=A","Dates=H","DateFormat=P","Fill=—","Direction=H","UseDPDF=Y")</f>
        <v>0</v>
      </c>
      <c r="R39" s="13">
        <f>_xll.BDH("BLUE US Equity","MIN_NONCONTROL_INTEREST_CREDITS","FQ1 2023","FQ1 2023","Currency=USD","Period=FQ","BEST_FPERIOD_OVERRIDE=FQ","FILING_STATUS=MR","SCALING_FORMAT=MLN","FA_ADJUSTED=GAAP","Sort=A","Dates=H","DateFormat=P","Fill=—","Direction=H","UseDPDF=Y")</f>
        <v>0</v>
      </c>
      <c r="S39" s="13">
        <f>_xll.BDH("BLUE US Equity","MIN_NONCONTROL_INTEREST_CREDITS","FQ2 2023","FQ2 2023","Currency=USD","Period=FQ","BEST_FPERIOD_OVERRIDE=FQ","FILING_STATUS=MR","SCALING_FORMAT=MLN","FA_ADJUSTED=GAAP","Sort=A","Dates=H","DateFormat=P","Fill=—","Direction=H","UseDPDF=Y")</f>
        <v>0</v>
      </c>
      <c r="T39" s="13">
        <f>_xll.BDH("BLUE US Equity","MIN_NONCONTROL_INTEREST_CREDITS","FQ3 2023","FQ3 2023","Currency=USD","Period=FQ","BEST_FPERIOD_OVERRIDE=FQ","FILING_STATUS=MR","SCALING_FORMAT=MLN","FA_ADJUSTED=GAAP","Sort=A","Dates=H","DateFormat=P","Fill=—","Direction=H","UseDPDF=Y")</f>
        <v>0</v>
      </c>
      <c r="U39" s="13">
        <f>_xll.BDH("BLUE US Equity","MIN_NONCONTROL_INTEREST_CREDITS","FQ4 2023","FQ4 2023","Currency=USD","Period=FQ","BEST_FPERIOD_OVERRIDE=FQ","FILING_STATUS=MR","SCALING_FORMAT=MLN","FA_ADJUSTED=GAAP","Sort=A","Dates=H","DateFormat=P","Fill=—","Direction=H","UseDPDF=Y")</f>
        <v>0</v>
      </c>
      <c r="V39" s="13">
        <f>_xll.BDH("BLUE US Equity","MIN_NONCONTROL_INTEREST_CREDITS","FQ1 2024","FQ1 2024","Currency=USD","Period=FQ","BEST_FPERIOD_OVERRIDE=FQ","FILING_STATUS=MR","SCALING_FORMAT=MLN","FA_ADJUSTED=GAAP","Sort=A","Dates=H","DateFormat=P","Fill=—","Direction=H","UseDPDF=Y")</f>
        <v>0</v>
      </c>
      <c r="W39" s="13">
        <f>_xll.BDH("BLUE US Equity","MIN_NONCONTROL_INTEREST_CREDITS","FQ2 2024","FQ2 2024","Currency=USD","Period=FQ","BEST_FPERIOD_OVERRIDE=FQ","FILING_STATUS=MR","SCALING_FORMAT=MLN","FA_ADJUSTED=GAAP","Sort=A","Dates=H","DateFormat=P","Fill=—","Direction=H","UseDPDF=Y")</f>
        <v>0</v>
      </c>
      <c r="X39" s="13">
        <f>_xll.BDH("BLUE US Equity","MIN_NONCONTROL_INTEREST_CREDITS","FQ3 2024","FQ3 2024","Currency=USD","Period=FQ","BEST_FPERIOD_OVERRIDE=FQ","FILING_STATUS=MR","SCALING_FORMAT=MLN","FA_ADJUSTED=GAAP","Sort=A","Dates=H","DateFormat=P","Fill=—","Direction=H","UseDPDF=Y")</f>
        <v>0</v>
      </c>
      <c r="Y39" s="13">
        <f>_xll.BDH("BLUE US Equity","MIN_NONCONTROL_INTEREST_CREDITS","FQ4 2024","FQ4 2024","Currency=USD","Period=FQ","BEST_FPERIOD_OVERRIDE=FQ","FILING_STATUS=MR","SCALING_FORMAT=MLN","FA_ADJUSTED=GAAP","Sort=A","Dates=H","DateFormat=P","Fill=—","Direction=H","UseDPDF=Y")</f>
        <v>0</v>
      </c>
      <c r="Z39" s="13"/>
      <c r="AA39" s="13"/>
    </row>
    <row r="40" spans="1:27" x14ac:dyDescent="0.25">
      <c r="A40" s="6" t="s">
        <v>337</v>
      </c>
      <c r="B40" s="6" t="s">
        <v>338</v>
      </c>
      <c r="C40" s="19">
        <f>_xll.BDH("BLUE US Equity","NET_INCOME","FQ2 2019","FQ2 2019","Currency=USD","Period=FQ","BEST_FPERIOD_OVERRIDE=FQ","FILING_STATUS=MR","SCALING_FORMAT=MLN","FA_ADJUSTED=GAAP","Sort=A","Dates=H","DateFormat=P","Fill=—","Direction=H","UseDPDF=Y")</f>
        <v>-195.78200000000001</v>
      </c>
      <c r="D40" s="19">
        <f>_xll.BDH("BLUE US Equity","NET_INCOME","FQ3 2019","FQ3 2019","Currency=USD","Period=FQ","BEST_FPERIOD_OVERRIDE=FQ","FILING_STATUS=MR","SCALING_FORMAT=MLN","FA_ADJUSTED=GAAP","Sort=A","Dates=H","DateFormat=P","Fill=—","Direction=H","UseDPDF=Y")</f>
        <v>-206.03299999999999</v>
      </c>
      <c r="E40" s="19">
        <f>_xll.BDH("BLUE US Equity","NET_INCOME","FQ4 2019","FQ4 2019","Currency=USD","Period=FQ","BEST_FPERIOD_OVERRIDE=FQ","FILING_STATUS=MR","SCALING_FORMAT=MLN","FA_ADJUSTED=GAAP","Sort=A","Dates=H","DateFormat=P","Fill=—","Direction=H","UseDPDF=Y")</f>
        <v>-223.34700000000001</v>
      </c>
      <c r="F40" s="19">
        <f>_xll.BDH("BLUE US Equity","NET_INCOME","FQ1 2020","FQ1 2020","Currency=USD","Period=FQ","BEST_FPERIOD_OVERRIDE=FQ","FILING_STATUS=MR","SCALING_FORMAT=MLN","FA_ADJUSTED=GAAP","Sort=A","Dates=H","DateFormat=P","Fill=—","Direction=H","UseDPDF=Y")</f>
        <v>-202.61099999999999</v>
      </c>
      <c r="G40" s="19">
        <f>_xll.BDH("BLUE US Equity","NET_INCOME","FQ2 2020","FQ2 2020","Currency=USD","Period=FQ","BEST_FPERIOD_OVERRIDE=FQ","FILING_STATUS=MR","SCALING_FORMAT=MLN","FA_ADJUSTED=GAAP","Sort=A","Dates=H","DateFormat=P","Fill=—","Direction=H","UseDPDF=Y")</f>
        <v>-21.465</v>
      </c>
      <c r="H40" s="19">
        <f>_xll.BDH("BLUE US Equity","NET_INCOME","FQ3 2020","FQ3 2020","Currency=USD","Period=FQ","BEST_FPERIOD_OVERRIDE=FQ","FILING_STATUS=MR","SCALING_FORMAT=MLN","FA_ADJUSTED=GAAP","Sort=A","Dates=H","DateFormat=P","Fill=—","Direction=H","UseDPDF=Y")</f>
        <v>-194.745</v>
      </c>
      <c r="I40" s="19">
        <f>_xll.BDH("BLUE US Equity","NET_INCOME","FQ4 2020","FQ4 2020","Currency=USD","Period=FQ","BEST_FPERIOD_OVERRIDE=FQ","FILING_STATUS=MR","SCALING_FORMAT=MLN","FA_ADJUSTED=GAAP","Sort=A","Dates=H","DateFormat=P","Fill=—","Direction=H","UseDPDF=Y")</f>
        <v>-199.874</v>
      </c>
      <c r="J40" s="19">
        <f>_xll.BDH("BLUE US Equity","NET_INCOME","FQ1 2021","FQ1 2021","Currency=USD","Period=FQ","BEST_FPERIOD_OVERRIDE=FQ","FILING_STATUS=MR","SCALING_FORMAT=MLN","FA_ADJUSTED=GAAP","Sort=A","Dates=H","DateFormat=P","Fill=—","Direction=H","UseDPDF=Y")</f>
        <v>-205.80799999999999</v>
      </c>
      <c r="K40" s="19">
        <f>_xll.BDH("BLUE US Equity","NET_INCOME","FQ2 2021","FQ2 2021","Currency=USD","Period=FQ","BEST_FPERIOD_OVERRIDE=FQ","FILING_STATUS=MR","SCALING_FORMAT=MLN","FA_ADJUSTED=GAAP","Sort=A","Dates=H","DateFormat=P","Fill=—","Direction=H","UseDPDF=Y")</f>
        <v>-241.702</v>
      </c>
      <c r="L40" s="19">
        <f>_xll.BDH("BLUE US Equity","NET_INCOME","FQ3 2021","FQ3 2021","Currency=USD","Period=FQ","BEST_FPERIOD_OVERRIDE=FQ","FILING_STATUS=MR","SCALING_FORMAT=MLN","FA_ADJUSTED=GAAP","Sort=A","Dates=H","DateFormat=P","Fill=—","Direction=H","UseDPDF=Y")</f>
        <v>-216.816</v>
      </c>
      <c r="M40" s="19">
        <f>_xll.BDH("BLUE US Equity","NET_INCOME","FQ4 2021","FQ4 2021","Currency=USD","Period=FQ","BEST_FPERIOD_OVERRIDE=FQ","FILING_STATUS=MR","SCALING_FORMAT=MLN","FA_ADJUSTED=GAAP","Sort=A","Dates=H","DateFormat=P","Fill=—","Direction=H","UseDPDF=Y")</f>
        <v>-155.05199999999999</v>
      </c>
      <c r="N40" s="19">
        <f>_xll.BDH("BLUE US Equity","NET_INCOME","FQ1 2022","FQ1 2022","Currency=USD","Period=FQ","BEST_FPERIOD_OVERRIDE=FQ","FILING_STATUS=MR","SCALING_FORMAT=MLN","FA_ADJUSTED=GAAP","Sort=A","Dates=H","DateFormat=P","Fill=—","Direction=H","UseDPDF=Y")</f>
        <v>-122.152</v>
      </c>
      <c r="O40" s="19">
        <f>_xll.BDH("BLUE US Equity","NET_INCOME","FQ2 2022","FQ2 2022","Currency=USD","Period=FQ","BEST_FPERIOD_OVERRIDE=FQ","FILING_STATUS=MR","SCALING_FORMAT=MLN","FA_ADJUSTED=GAAP","Sort=A","Dates=H","DateFormat=P","Fill=—","Direction=H","UseDPDF=Y")</f>
        <v>-100.13800000000001</v>
      </c>
      <c r="P40" s="19">
        <f>_xll.BDH("BLUE US Equity","NET_INCOME","FQ3 2022","FQ3 2022","Currency=USD","Period=FQ","BEST_FPERIOD_OVERRIDE=FQ","FILING_STATUS=MR","SCALING_FORMAT=MLN","FA_ADJUSTED=GAAP","Sort=A","Dates=H","DateFormat=P","Fill=—","Direction=H","UseDPDF=Y")</f>
        <v>-76.52</v>
      </c>
      <c r="Q40" s="19">
        <f>_xll.BDH("BLUE US Equity","NET_INCOME","FQ4 2022","FQ4 2022","Currency=USD","Period=FQ","BEST_FPERIOD_OVERRIDE=FQ","FILING_STATUS=MR","SCALING_FORMAT=MLN","FA_ADJUSTED=GAAP","Sort=A","Dates=H","DateFormat=P","Fill=—","Direction=H","UseDPDF=Y")</f>
        <v>68.468000000000004</v>
      </c>
      <c r="R40" s="19">
        <f>_xll.BDH("BLUE US Equity","NET_INCOME","FQ1 2023","FQ1 2023","Currency=USD","Period=FQ","BEST_FPERIOD_OVERRIDE=FQ","FILING_STATUS=MR","SCALING_FORMAT=MLN","FA_ADJUSTED=GAAP","Sort=A","Dates=H","DateFormat=P","Fill=—","Direction=H","UseDPDF=Y")</f>
        <v>18.93</v>
      </c>
      <c r="S40" s="19">
        <f>_xll.BDH("BLUE US Equity","NET_INCOME","FQ2 2023","FQ2 2023","Currency=USD","Period=FQ","BEST_FPERIOD_OVERRIDE=FQ","FILING_STATUS=MR","SCALING_FORMAT=MLN","FA_ADJUSTED=GAAP","Sort=A","Dates=H","DateFormat=P","Fill=—","Direction=H","UseDPDF=Y")</f>
        <v>-62.789000000000001</v>
      </c>
      <c r="T40" s="19">
        <f>_xll.BDH("BLUE US Equity","NET_INCOME","FQ3 2023","FQ3 2023","Currency=USD","Period=FQ","BEST_FPERIOD_OVERRIDE=FQ","FILING_STATUS=MR","SCALING_FORMAT=MLN","FA_ADJUSTED=GAAP","Sort=A","Dates=H","DateFormat=P","Fill=—","Direction=H","UseDPDF=Y")</f>
        <v>-87.231999999999999</v>
      </c>
      <c r="U40" s="19">
        <f>_xll.BDH("BLUE US Equity","NET_INCOME","FQ4 2023","FQ4 2023","Currency=USD","Period=FQ","BEST_FPERIOD_OVERRIDE=FQ","FILING_STATUS=MR","SCALING_FORMAT=MLN","FA_ADJUSTED=GAAP","Sort=A","Dates=H","DateFormat=P","Fill=—","Direction=H","UseDPDF=Y")</f>
        <v>-88.513999999999996</v>
      </c>
      <c r="V40" s="19">
        <f>_xll.BDH("BLUE US Equity","NET_INCOME","FQ1 2024","FQ1 2024","Currency=USD","Period=FQ","BEST_FPERIOD_OVERRIDE=FQ","FILING_STATUS=MR","SCALING_FORMAT=MLN","FA_ADJUSTED=GAAP","Sort=A","Dates=H","DateFormat=P","Fill=—","Direction=H","UseDPDF=Y")</f>
        <v>-69.804000000000002</v>
      </c>
      <c r="W40" s="19">
        <f>_xll.BDH("BLUE US Equity","NET_INCOME","FQ2 2024","FQ2 2024","Currency=USD","Period=FQ","BEST_FPERIOD_OVERRIDE=FQ","FILING_STATUS=MR","SCALING_FORMAT=MLN","FA_ADJUSTED=GAAP","Sort=A","Dates=H","DateFormat=P","Fill=—","Direction=H","UseDPDF=Y")</f>
        <v>-81.393000000000001</v>
      </c>
      <c r="X40" s="19">
        <f>_xll.BDH("BLUE US Equity","NET_INCOME","FQ3 2024","FQ3 2024","Currency=USD","Period=FQ","BEST_FPERIOD_OVERRIDE=FQ","FILING_STATUS=MR","SCALING_FORMAT=MLN","FA_ADJUSTED=GAAP","Sort=A","Dates=H","DateFormat=P","Fill=—","Direction=H","UseDPDF=Y")</f>
        <v>-60.808</v>
      </c>
      <c r="Y40" s="19">
        <f>_xll.BDH("BLUE US Equity","NET_INCOME","FQ4 2024","FQ4 2024","Currency=USD","Period=FQ","BEST_FPERIOD_OVERRIDE=FQ","FILING_STATUS=MR","SCALING_FORMAT=MLN","FA_ADJUSTED=GAAP","Sort=A","Dates=H","DateFormat=P","Fill=—","Direction=H","UseDPDF=Y")</f>
        <v>-28.71</v>
      </c>
      <c r="Z40" s="19">
        <v>-39.979999999999997</v>
      </c>
      <c r="AA40" s="19">
        <v>-16.265999999999998</v>
      </c>
    </row>
    <row r="41" spans="1:27" x14ac:dyDescent="0.25">
      <c r="A41" s="10" t="s">
        <v>339</v>
      </c>
      <c r="B41" s="10" t="s">
        <v>340</v>
      </c>
      <c r="C41" s="13">
        <f>_xll.BDH("BLUE US Equity","IS_TOT_CASH_PFD_DVD","FQ2 2019","FQ2 2019","Currency=USD","Period=FQ","BEST_FPERIOD_OVERRIDE=FQ","FILING_STATUS=MR","SCALING_FORMAT=MLN","Sort=A","Dates=H","DateFormat=P","Fill=—","Direction=H","UseDPDF=Y")</f>
        <v>0</v>
      </c>
      <c r="D41" s="13">
        <f>_xll.BDH("BLUE US Equity","IS_TOT_CASH_PFD_DVD","FQ3 2019","FQ3 2019","Currency=USD","Period=FQ","BEST_FPERIOD_OVERRIDE=FQ","FILING_STATUS=MR","SCALING_FORMAT=MLN","Sort=A","Dates=H","DateFormat=P","Fill=—","Direction=H","UseDPDF=Y")</f>
        <v>0</v>
      </c>
      <c r="E41" s="13">
        <f>_xll.BDH("BLUE US Equity","IS_TOT_CASH_PFD_DVD","FQ4 2019","FQ4 2019","Currency=USD","Period=FQ","BEST_FPERIOD_OVERRIDE=FQ","FILING_STATUS=MR","SCALING_FORMAT=MLN","Sort=A","Dates=H","DateFormat=P","Fill=—","Direction=H","UseDPDF=Y")</f>
        <v>0</v>
      </c>
      <c r="F41" s="13">
        <f>_xll.BDH("BLUE US Equity","IS_TOT_CASH_PFD_DVD","FQ1 2020","FQ1 2020","Currency=USD","Period=FQ","BEST_FPERIOD_OVERRIDE=FQ","FILING_STATUS=MR","SCALING_FORMAT=MLN","Sort=A","Dates=H","DateFormat=P","Fill=—","Direction=H","UseDPDF=Y")</f>
        <v>0</v>
      </c>
      <c r="G41" s="13">
        <f>_xll.BDH("BLUE US Equity","IS_TOT_CASH_PFD_DVD","FQ2 2020","FQ2 2020","Currency=USD","Period=FQ","BEST_FPERIOD_OVERRIDE=FQ","FILING_STATUS=MR","SCALING_FORMAT=MLN","Sort=A","Dates=H","DateFormat=P","Fill=—","Direction=H","UseDPDF=Y")</f>
        <v>0</v>
      </c>
      <c r="H41" s="13">
        <f>_xll.BDH("BLUE US Equity","IS_TOT_CASH_PFD_DVD","FQ3 2020","FQ3 2020","Currency=USD","Period=FQ","BEST_FPERIOD_OVERRIDE=FQ","FILING_STATUS=MR","SCALING_FORMAT=MLN","Sort=A","Dates=H","DateFormat=P","Fill=—","Direction=H","UseDPDF=Y")</f>
        <v>0</v>
      </c>
      <c r="I41" s="13">
        <f>_xll.BDH("BLUE US Equity","IS_TOT_CASH_PFD_DVD","FQ4 2020","FQ4 2020","Currency=USD","Period=FQ","BEST_FPERIOD_OVERRIDE=FQ","FILING_STATUS=MR","SCALING_FORMAT=MLN","Sort=A","Dates=H","DateFormat=P","Fill=—","Direction=H","UseDPDF=Y")</f>
        <v>0</v>
      </c>
      <c r="J41" s="13">
        <f>_xll.BDH("BLUE US Equity","IS_TOT_CASH_PFD_DVD","FQ1 2021","FQ1 2021","Currency=USD","Period=FQ","BEST_FPERIOD_OVERRIDE=FQ","FILING_STATUS=MR","SCALING_FORMAT=MLN","Sort=A","Dates=H","DateFormat=P","Fill=—","Direction=H","UseDPDF=Y")</f>
        <v>0</v>
      </c>
      <c r="K41" s="13">
        <f>_xll.BDH("BLUE US Equity","IS_TOT_CASH_PFD_DVD","FQ2 2021","FQ2 2021","Currency=USD","Period=FQ","BEST_FPERIOD_OVERRIDE=FQ","FILING_STATUS=MR","SCALING_FORMAT=MLN","Sort=A","Dates=H","DateFormat=P","Fill=—","Direction=H","UseDPDF=Y")</f>
        <v>0</v>
      </c>
      <c r="L41" s="13">
        <f>_xll.BDH("BLUE US Equity","IS_TOT_CASH_PFD_DVD","FQ3 2021","FQ3 2021","Currency=USD","Period=FQ","BEST_FPERIOD_OVERRIDE=FQ","FILING_STATUS=MR","SCALING_FORMAT=MLN","Sort=A","Dates=H","DateFormat=P","Fill=—","Direction=H","UseDPDF=Y")</f>
        <v>0</v>
      </c>
      <c r="M41" s="13">
        <f>_xll.BDH("BLUE US Equity","IS_TOT_CASH_PFD_DVD","FQ4 2021","FQ4 2021","Currency=USD","Period=FQ","BEST_FPERIOD_OVERRIDE=FQ","FILING_STATUS=MR","SCALING_FORMAT=MLN","Sort=A","Dates=H","DateFormat=P","Fill=—","Direction=H","UseDPDF=Y")</f>
        <v>0</v>
      </c>
      <c r="N41" s="13">
        <f>_xll.BDH("BLUE US Equity","IS_TOT_CASH_PFD_DVD","FQ1 2022","FQ1 2022","Currency=USD","Period=FQ","BEST_FPERIOD_OVERRIDE=FQ","FILING_STATUS=MR","SCALING_FORMAT=MLN","Sort=A","Dates=H","DateFormat=P","Fill=—","Direction=H","UseDPDF=Y")</f>
        <v>0</v>
      </c>
      <c r="O41" s="13">
        <f>_xll.BDH("BLUE US Equity","IS_TOT_CASH_PFD_DVD","FQ2 2022","FQ2 2022","Currency=USD","Period=FQ","BEST_FPERIOD_OVERRIDE=FQ","FILING_STATUS=MR","SCALING_FORMAT=MLN","Sort=A","Dates=H","DateFormat=P","Fill=—","Direction=H","UseDPDF=Y")</f>
        <v>0</v>
      </c>
      <c r="P41" s="13">
        <f>_xll.BDH("BLUE US Equity","IS_TOT_CASH_PFD_DVD","FQ3 2022","FQ3 2022","Currency=USD","Period=FQ","BEST_FPERIOD_OVERRIDE=FQ","FILING_STATUS=MR","SCALING_FORMAT=MLN","Sort=A","Dates=H","DateFormat=P","Fill=—","Direction=H","UseDPDF=Y")</f>
        <v>0</v>
      </c>
      <c r="Q41" s="13">
        <f>_xll.BDH("BLUE US Equity","IS_TOT_CASH_PFD_DVD","FQ4 2022","FQ4 2022","Currency=USD","Period=FQ","BEST_FPERIOD_OVERRIDE=FQ","FILING_STATUS=MR","SCALING_FORMAT=MLN","Sort=A","Dates=H","DateFormat=P","Fill=—","Direction=H","UseDPDF=Y")</f>
        <v>0</v>
      </c>
      <c r="R41" s="13">
        <f>_xll.BDH("BLUE US Equity","IS_TOT_CASH_PFD_DVD","FQ1 2023","FQ1 2023","Currency=USD","Period=FQ","BEST_FPERIOD_OVERRIDE=FQ","FILING_STATUS=MR","SCALING_FORMAT=MLN","Sort=A","Dates=H","DateFormat=P","Fill=—","Direction=H","UseDPDF=Y")</f>
        <v>0</v>
      </c>
      <c r="S41" s="13">
        <f>_xll.BDH("BLUE US Equity","IS_TOT_CASH_PFD_DVD","FQ2 2023","FQ2 2023","Currency=USD","Period=FQ","BEST_FPERIOD_OVERRIDE=FQ","FILING_STATUS=MR","SCALING_FORMAT=MLN","Sort=A","Dates=H","DateFormat=P","Fill=—","Direction=H","UseDPDF=Y")</f>
        <v>0</v>
      </c>
      <c r="T41" s="13">
        <f>_xll.BDH("BLUE US Equity","IS_TOT_CASH_PFD_DVD","FQ3 2023","FQ3 2023","Currency=USD","Period=FQ","BEST_FPERIOD_OVERRIDE=FQ","FILING_STATUS=MR","SCALING_FORMAT=MLN","Sort=A","Dates=H","DateFormat=P","Fill=—","Direction=H","UseDPDF=Y")</f>
        <v>0</v>
      </c>
      <c r="U41" s="13">
        <f>_xll.BDH("BLUE US Equity","IS_TOT_CASH_PFD_DVD","FQ4 2023","FQ4 2023","Currency=USD","Period=FQ","BEST_FPERIOD_OVERRIDE=FQ","FILING_STATUS=MR","SCALING_FORMAT=MLN","Sort=A","Dates=H","DateFormat=P","Fill=—","Direction=H","UseDPDF=Y")</f>
        <v>0</v>
      </c>
      <c r="V41" s="13">
        <f>_xll.BDH("BLUE US Equity","IS_TOT_CASH_PFD_DVD","FQ1 2024","FQ1 2024","Currency=USD","Period=FQ","BEST_FPERIOD_OVERRIDE=FQ","FILING_STATUS=MR","SCALING_FORMAT=MLN","Sort=A","Dates=H","DateFormat=P","Fill=—","Direction=H","UseDPDF=Y")</f>
        <v>0</v>
      </c>
      <c r="W41" s="13">
        <f>_xll.BDH("BLUE US Equity","IS_TOT_CASH_PFD_DVD","FQ2 2024","FQ2 2024","Currency=USD","Period=FQ","BEST_FPERIOD_OVERRIDE=FQ","FILING_STATUS=MR","SCALING_FORMAT=MLN","Sort=A","Dates=H","DateFormat=P","Fill=—","Direction=H","UseDPDF=Y")</f>
        <v>0</v>
      </c>
      <c r="X41" s="13">
        <f>_xll.BDH("BLUE US Equity","IS_TOT_CASH_PFD_DVD","FQ3 2024","FQ3 2024","Currency=USD","Period=FQ","BEST_FPERIOD_OVERRIDE=FQ","FILING_STATUS=MR","SCALING_FORMAT=MLN","Sort=A","Dates=H","DateFormat=P","Fill=—","Direction=H","UseDPDF=Y")</f>
        <v>0</v>
      </c>
      <c r="Y41" s="13">
        <f>_xll.BDH("BLUE US Equity","IS_TOT_CASH_PFD_DVD","FQ4 2024","FQ4 2024","Currency=USD","Period=FQ","BEST_FPERIOD_OVERRIDE=FQ","FILING_STATUS=MR","SCALING_FORMAT=MLN","Sort=A","Dates=H","DateFormat=P","Fill=—","Direction=H","UseDPDF=Y")</f>
        <v>0</v>
      </c>
      <c r="Z41" s="13"/>
      <c r="AA41" s="13"/>
    </row>
    <row r="42" spans="1:27" x14ac:dyDescent="0.25">
      <c r="A42" s="10" t="s">
        <v>341</v>
      </c>
      <c r="B42" s="10" t="s">
        <v>342</v>
      </c>
      <c r="C42" s="13">
        <f>_xll.BDH("BLUE US Equity","OTHER_ADJUSTMENTS","FQ2 2019","FQ2 2019","Currency=USD","Period=FQ","BEST_FPERIOD_OVERRIDE=FQ","FILING_STATUS=MR","SCALING_FORMAT=MLN","Sort=A","Dates=H","DateFormat=P","Fill=—","Direction=H","UseDPDF=Y")</f>
        <v>0</v>
      </c>
      <c r="D42" s="13">
        <f>_xll.BDH("BLUE US Equity","OTHER_ADJUSTMENTS","FQ3 2019","FQ3 2019","Currency=USD","Period=FQ","BEST_FPERIOD_OVERRIDE=FQ","FILING_STATUS=MR","SCALING_FORMAT=MLN","Sort=A","Dates=H","DateFormat=P","Fill=—","Direction=H","UseDPDF=Y")</f>
        <v>0</v>
      </c>
      <c r="E42" s="13">
        <f>_xll.BDH("BLUE US Equity","OTHER_ADJUSTMENTS","FQ4 2019","FQ4 2019","Currency=USD","Period=FQ","BEST_FPERIOD_OVERRIDE=FQ","FILING_STATUS=MR","SCALING_FORMAT=MLN","Sort=A","Dates=H","DateFormat=P","Fill=—","Direction=H","UseDPDF=Y")</f>
        <v>0</v>
      </c>
      <c r="F42" s="13">
        <f>_xll.BDH("BLUE US Equity","OTHER_ADJUSTMENTS","FQ1 2020","FQ1 2020","Currency=USD","Period=FQ","BEST_FPERIOD_OVERRIDE=FQ","FILING_STATUS=MR","SCALING_FORMAT=MLN","Sort=A","Dates=H","DateFormat=P","Fill=—","Direction=H","UseDPDF=Y")</f>
        <v>0</v>
      </c>
      <c r="G42" s="13">
        <f>_xll.BDH("BLUE US Equity","OTHER_ADJUSTMENTS","FQ2 2020","FQ2 2020","Currency=USD","Period=FQ","BEST_FPERIOD_OVERRIDE=FQ","FILING_STATUS=MR","SCALING_FORMAT=MLN","Sort=A","Dates=H","DateFormat=P","Fill=—","Direction=H","UseDPDF=Y")</f>
        <v>0</v>
      </c>
      <c r="H42" s="13">
        <f>_xll.BDH("BLUE US Equity","OTHER_ADJUSTMENTS","FQ3 2020","FQ3 2020","Currency=USD","Period=FQ","BEST_FPERIOD_OVERRIDE=FQ","FILING_STATUS=MR","SCALING_FORMAT=MLN","Sort=A","Dates=H","DateFormat=P","Fill=—","Direction=H","UseDPDF=Y")</f>
        <v>0</v>
      </c>
      <c r="I42" s="13">
        <f>_xll.BDH("BLUE US Equity","OTHER_ADJUSTMENTS","FQ4 2020","FQ4 2020","Currency=USD","Period=FQ","BEST_FPERIOD_OVERRIDE=FQ","FILING_STATUS=MR","SCALING_FORMAT=MLN","Sort=A","Dates=H","DateFormat=P","Fill=—","Direction=H","UseDPDF=Y")</f>
        <v>0</v>
      </c>
      <c r="J42" s="13">
        <f>_xll.BDH("BLUE US Equity","OTHER_ADJUSTMENTS","FQ1 2021","FQ1 2021","Currency=USD","Period=FQ","BEST_FPERIOD_OVERRIDE=FQ","FILING_STATUS=MR","SCALING_FORMAT=MLN","Sort=A","Dates=H","DateFormat=P","Fill=—","Direction=H","UseDPDF=Y")</f>
        <v>0</v>
      </c>
      <c r="K42" s="13">
        <f>_xll.BDH("BLUE US Equity","OTHER_ADJUSTMENTS","FQ2 2021","FQ2 2021","Currency=USD","Period=FQ","BEST_FPERIOD_OVERRIDE=FQ","FILING_STATUS=MR","SCALING_FORMAT=MLN","Sort=A","Dates=H","DateFormat=P","Fill=—","Direction=H","UseDPDF=Y")</f>
        <v>0</v>
      </c>
      <c r="L42" s="13">
        <f>_xll.BDH("BLUE US Equity","OTHER_ADJUSTMENTS","FQ3 2021","FQ3 2021","Currency=USD","Period=FQ","BEST_FPERIOD_OVERRIDE=FQ","FILING_STATUS=MR","SCALING_FORMAT=MLN","Sort=A","Dates=H","DateFormat=P","Fill=—","Direction=H","UseDPDF=Y")</f>
        <v>0</v>
      </c>
      <c r="M42" s="13">
        <f>_xll.BDH("BLUE US Equity","OTHER_ADJUSTMENTS","FQ4 2021","FQ4 2021","Currency=USD","Period=FQ","BEST_FPERIOD_OVERRIDE=FQ","FILING_STATUS=MR","SCALING_FORMAT=MLN","Sort=A","Dates=H","DateFormat=P","Fill=—","Direction=H","UseDPDF=Y")</f>
        <v>0</v>
      </c>
      <c r="N42" s="13">
        <f>_xll.BDH("BLUE US Equity","OTHER_ADJUSTMENTS","FQ1 2022","FQ1 2022","Currency=USD","Period=FQ","BEST_FPERIOD_OVERRIDE=FQ","FILING_STATUS=MR","SCALING_FORMAT=MLN","Sort=A","Dates=H","DateFormat=P","Fill=—","Direction=H","UseDPDF=Y")</f>
        <v>0</v>
      </c>
      <c r="O42" s="13">
        <f>_xll.BDH("BLUE US Equity","OTHER_ADJUSTMENTS","FQ2 2022","FQ2 2022","Currency=USD","Period=FQ","BEST_FPERIOD_OVERRIDE=FQ","FILING_STATUS=MR","SCALING_FORMAT=MLN","Sort=A","Dates=H","DateFormat=P","Fill=—","Direction=H","UseDPDF=Y")</f>
        <v>0</v>
      </c>
      <c r="P42" s="13">
        <f>_xll.BDH("BLUE US Equity","OTHER_ADJUSTMENTS","FQ3 2022","FQ3 2022","Currency=USD","Period=FQ","BEST_FPERIOD_OVERRIDE=FQ","FILING_STATUS=MR","SCALING_FORMAT=MLN","Sort=A","Dates=H","DateFormat=P","Fill=—","Direction=H","UseDPDF=Y")</f>
        <v>0</v>
      </c>
      <c r="Q42" s="13">
        <f>_xll.BDH("BLUE US Equity","OTHER_ADJUSTMENTS","FQ4 2022","FQ4 2022","Currency=USD","Period=FQ","BEST_FPERIOD_OVERRIDE=FQ","FILING_STATUS=MR","SCALING_FORMAT=MLN","Sort=A","Dates=H","DateFormat=P","Fill=—","Direction=H","UseDPDF=Y")</f>
        <v>0</v>
      </c>
      <c r="R42" s="13">
        <f>_xll.BDH("BLUE US Equity","OTHER_ADJUSTMENTS","FQ1 2023","FQ1 2023","Currency=USD","Period=FQ","BEST_FPERIOD_OVERRIDE=FQ","FILING_STATUS=MR","SCALING_FORMAT=MLN","Sort=A","Dates=H","DateFormat=P","Fill=—","Direction=H","UseDPDF=Y")</f>
        <v>0</v>
      </c>
      <c r="S42" s="13">
        <f>_xll.BDH("BLUE US Equity","OTHER_ADJUSTMENTS","FQ2 2023","FQ2 2023","Currency=USD","Period=FQ","BEST_FPERIOD_OVERRIDE=FQ","FILING_STATUS=MR","SCALING_FORMAT=MLN","Sort=A","Dates=H","DateFormat=P","Fill=—","Direction=H","UseDPDF=Y")</f>
        <v>0</v>
      </c>
      <c r="T42" s="13">
        <f>_xll.BDH("BLUE US Equity","OTHER_ADJUSTMENTS","FQ3 2023","FQ3 2023","Currency=USD","Period=FQ","BEST_FPERIOD_OVERRIDE=FQ","FILING_STATUS=MR","SCALING_FORMAT=MLN","Sort=A","Dates=H","DateFormat=P","Fill=—","Direction=H","UseDPDF=Y")</f>
        <v>0</v>
      </c>
      <c r="U42" s="13">
        <f>_xll.BDH("BLUE US Equity","OTHER_ADJUSTMENTS","FQ4 2023","FQ4 2023","Currency=USD","Period=FQ","BEST_FPERIOD_OVERRIDE=FQ","FILING_STATUS=MR","SCALING_FORMAT=MLN","Sort=A","Dates=H","DateFormat=P","Fill=—","Direction=H","UseDPDF=Y")</f>
        <v>0</v>
      </c>
      <c r="V42" s="13">
        <f>_xll.BDH("BLUE US Equity","OTHER_ADJUSTMENTS","FQ1 2024","FQ1 2024","Currency=USD","Period=FQ","BEST_FPERIOD_OVERRIDE=FQ","FILING_STATUS=MR","SCALING_FORMAT=MLN","Sort=A","Dates=H","DateFormat=P","Fill=—","Direction=H","UseDPDF=Y")</f>
        <v>0</v>
      </c>
      <c r="W42" s="13">
        <f>_xll.BDH("BLUE US Equity","OTHER_ADJUSTMENTS","FQ2 2024","FQ2 2024","Currency=USD","Period=FQ","BEST_FPERIOD_OVERRIDE=FQ","FILING_STATUS=MR","SCALING_FORMAT=MLN","Sort=A","Dates=H","DateFormat=P","Fill=—","Direction=H","UseDPDF=Y")</f>
        <v>0</v>
      </c>
      <c r="X42" s="13">
        <f>_xll.BDH("BLUE US Equity","OTHER_ADJUSTMENTS","FQ3 2024","FQ3 2024","Currency=USD","Period=FQ","BEST_FPERIOD_OVERRIDE=FQ","FILING_STATUS=MR","SCALING_FORMAT=MLN","Sort=A","Dates=H","DateFormat=P","Fill=—","Direction=H","UseDPDF=Y")</f>
        <v>0</v>
      </c>
      <c r="Y42" s="13">
        <f>_xll.BDH("BLUE US Equity","OTHER_ADJUSTMENTS","FQ4 2024","FQ4 2024","Currency=USD","Period=FQ","BEST_FPERIOD_OVERRIDE=FQ","FILING_STATUS=MR","SCALING_FORMAT=MLN","Sort=A","Dates=H","DateFormat=P","Fill=—","Direction=H","UseDPDF=Y")</f>
        <v>0</v>
      </c>
      <c r="Z42" s="13"/>
      <c r="AA42" s="13"/>
    </row>
    <row r="43" spans="1:27" x14ac:dyDescent="0.25">
      <c r="A43" s="6" t="s">
        <v>343</v>
      </c>
      <c r="B43" s="6" t="s">
        <v>80</v>
      </c>
      <c r="C43" s="19">
        <f>_xll.BDH("BLUE US Equity","EARN_FOR_COMMON","FQ2 2019","FQ2 2019","Currency=USD","Period=FQ","BEST_FPERIOD_OVERRIDE=FQ","FILING_STATUS=MR","SCALING_FORMAT=MLN","FA_ADJUSTED=GAAP","Sort=A","Dates=H","DateFormat=P","Fill=—","Direction=H","UseDPDF=Y")</f>
        <v>-195.78200000000001</v>
      </c>
      <c r="D43" s="19">
        <f>_xll.BDH("BLUE US Equity","EARN_FOR_COMMON","FQ3 2019","FQ3 2019","Currency=USD","Period=FQ","BEST_FPERIOD_OVERRIDE=FQ","FILING_STATUS=MR","SCALING_FORMAT=MLN","FA_ADJUSTED=GAAP","Sort=A","Dates=H","DateFormat=P","Fill=—","Direction=H","UseDPDF=Y")</f>
        <v>-206.03299999999999</v>
      </c>
      <c r="E43" s="19">
        <f>_xll.BDH("BLUE US Equity","EARN_FOR_COMMON","FQ4 2019","FQ4 2019","Currency=USD","Period=FQ","BEST_FPERIOD_OVERRIDE=FQ","FILING_STATUS=MR","SCALING_FORMAT=MLN","FA_ADJUSTED=GAAP","Sort=A","Dates=H","DateFormat=P","Fill=—","Direction=H","UseDPDF=Y")</f>
        <v>-223.34700000000001</v>
      </c>
      <c r="F43" s="19">
        <f>_xll.BDH("BLUE US Equity","EARN_FOR_COMMON","FQ1 2020","FQ1 2020","Currency=USD","Period=FQ","BEST_FPERIOD_OVERRIDE=FQ","FILING_STATUS=MR","SCALING_FORMAT=MLN","FA_ADJUSTED=GAAP","Sort=A","Dates=H","DateFormat=P","Fill=—","Direction=H","UseDPDF=Y")</f>
        <v>-202.61099999999999</v>
      </c>
      <c r="G43" s="19">
        <f>_xll.BDH("BLUE US Equity","EARN_FOR_COMMON","FQ2 2020","FQ2 2020","Currency=USD","Period=FQ","BEST_FPERIOD_OVERRIDE=FQ","FILING_STATUS=MR","SCALING_FORMAT=MLN","FA_ADJUSTED=GAAP","Sort=A","Dates=H","DateFormat=P","Fill=—","Direction=H","UseDPDF=Y")</f>
        <v>-21.465</v>
      </c>
      <c r="H43" s="19">
        <f>_xll.BDH("BLUE US Equity","EARN_FOR_COMMON","FQ3 2020","FQ3 2020","Currency=USD","Period=FQ","BEST_FPERIOD_OVERRIDE=FQ","FILING_STATUS=MR","SCALING_FORMAT=MLN","FA_ADJUSTED=GAAP","Sort=A","Dates=H","DateFormat=P","Fill=—","Direction=H","UseDPDF=Y")</f>
        <v>-194.745</v>
      </c>
      <c r="I43" s="19">
        <f>_xll.BDH("BLUE US Equity","EARN_FOR_COMMON","FQ4 2020","FQ4 2020","Currency=USD","Period=FQ","BEST_FPERIOD_OVERRIDE=FQ","FILING_STATUS=MR","SCALING_FORMAT=MLN","FA_ADJUSTED=GAAP","Sort=A","Dates=H","DateFormat=P","Fill=—","Direction=H","UseDPDF=Y")</f>
        <v>-199.874</v>
      </c>
      <c r="J43" s="19">
        <f>_xll.BDH("BLUE US Equity","EARN_FOR_COMMON","FQ1 2021","FQ1 2021","Currency=USD","Period=FQ","BEST_FPERIOD_OVERRIDE=FQ","FILING_STATUS=MR","SCALING_FORMAT=MLN","FA_ADJUSTED=GAAP","Sort=A","Dates=H","DateFormat=P","Fill=—","Direction=H","UseDPDF=Y")</f>
        <v>-205.80799999999999</v>
      </c>
      <c r="K43" s="19">
        <f>_xll.BDH("BLUE US Equity","EARN_FOR_COMMON","FQ2 2021","FQ2 2021","Currency=USD","Period=FQ","BEST_FPERIOD_OVERRIDE=FQ","FILING_STATUS=MR","SCALING_FORMAT=MLN","FA_ADJUSTED=GAAP","Sort=A","Dates=H","DateFormat=P","Fill=—","Direction=H","UseDPDF=Y")</f>
        <v>-241.702</v>
      </c>
      <c r="L43" s="19">
        <f>_xll.BDH("BLUE US Equity","EARN_FOR_COMMON","FQ3 2021","FQ3 2021","Currency=USD","Period=FQ","BEST_FPERIOD_OVERRIDE=FQ","FILING_STATUS=MR","SCALING_FORMAT=MLN","FA_ADJUSTED=GAAP","Sort=A","Dates=H","DateFormat=P","Fill=—","Direction=H","UseDPDF=Y")</f>
        <v>-216.816</v>
      </c>
      <c r="M43" s="19">
        <f>_xll.BDH("BLUE US Equity","EARN_FOR_COMMON","FQ4 2021","FQ4 2021","Currency=USD","Period=FQ","BEST_FPERIOD_OVERRIDE=FQ","FILING_STATUS=MR","SCALING_FORMAT=MLN","FA_ADJUSTED=GAAP","Sort=A","Dates=H","DateFormat=P","Fill=—","Direction=H","UseDPDF=Y")</f>
        <v>-155.05199999999999</v>
      </c>
      <c r="N43" s="19">
        <f>_xll.BDH("BLUE US Equity","EARN_FOR_COMMON","FQ1 2022","FQ1 2022","Currency=USD","Period=FQ","BEST_FPERIOD_OVERRIDE=FQ","FILING_STATUS=MR","SCALING_FORMAT=MLN","FA_ADJUSTED=GAAP","Sort=A","Dates=H","DateFormat=P","Fill=—","Direction=H","UseDPDF=Y")</f>
        <v>-122.152</v>
      </c>
      <c r="O43" s="19">
        <f>_xll.BDH("BLUE US Equity","EARN_FOR_COMMON","FQ2 2022","FQ2 2022","Currency=USD","Period=FQ","BEST_FPERIOD_OVERRIDE=FQ","FILING_STATUS=MR","SCALING_FORMAT=MLN","FA_ADJUSTED=GAAP","Sort=A","Dates=H","DateFormat=P","Fill=—","Direction=H","UseDPDF=Y")</f>
        <v>-100.13800000000001</v>
      </c>
      <c r="P43" s="19">
        <f>_xll.BDH("BLUE US Equity","EARN_FOR_COMMON","FQ3 2022","FQ3 2022","Currency=USD","Period=FQ","BEST_FPERIOD_OVERRIDE=FQ","FILING_STATUS=MR","SCALING_FORMAT=MLN","FA_ADJUSTED=GAAP","Sort=A","Dates=H","DateFormat=P","Fill=—","Direction=H","UseDPDF=Y")</f>
        <v>-76.52</v>
      </c>
      <c r="Q43" s="19">
        <f>_xll.BDH("BLUE US Equity","EARN_FOR_COMMON","FQ4 2022","FQ4 2022","Currency=USD","Period=FQ","BEST_FPERIOD_OVERRIDE=FQ","FILING_STATUS=MR","SCALING_FORMAT=MLN","FA_ADJUSTED=GAAP","Sort=A","Dates=H","DateFormat=P","Fill=—","Direction=H","UseDPDF=Y")</f>
        <v>68.468000000000004</v>
      </c>
      <c r="R43" s="19">
        <f>_xll.BDH("BLUE US Equity","EARN_FOR_COMMON","FQ1 2023","FQ1 2023","Currency=USD","Period=FQ","BEST_FPERIOD_OVERRIDE=FQ","FILING_STATUS=MR","SCALING_FORMAT=MLN","FA_ADJUSTED=GAAP","Sort=A","Dates=H","DateFormat=P","Fill=—","Direction=H","UseDPDF=Y")</f>
        <v>18.93</v>
      </c>
      <c r="S43" s="19">
        <f>_xll.BDH("BLUE US Equity","EARN_FOR_COMMON","FQ2 2023","FQ2 2023","Currency=USD","Period=FQ","BEST_FPERIOD_OVERRIDE=FQ","FILING_STATUS=MR","SCALING_FORMAT=MLN","FA_ADJUSTED=GAAP","Sort=A","Dates=H","DateFormat=P","Fill=—","Direction=H","UseDPDF=Y")</f>
        <v>-62.789000000000001</v>
      </c>
      <c r="T43" s="19">
        <f>_xll.BDH("BLUE US Equity","EARN_FOR_COMMON","FQ3 2023","FQ3 2023","Currency=USD","Period=FQ","BEST_FPERIOD_OVERRIDE=FQ","FILING_STATUS=MR","SCALING_FORMAT=MLN","FA_ADJUSTED=GAAP","Sort=A","Dates=H","DateFormat=P","Fill=—","Direction=H","UseDPDF=Y")</f>
        <v>-87.231999999999999</v>
      </c>
      <c r="U43" s="19">
        <f>_xll.BDH("BLUE US Equity","EARN_FOR_COMMON","FQ4 2023","FQ4 2023","Currency=USD","Period=FQ","BEST_FPERIOD_OVERRIDE=FQ","FILING_STATUS=MR","SCALING_FORMAT=MLN","FA_ADJUSTED=GAAP","Sort=A","Dates=H","DateFormat=P","Fill=—","Direction=H","UseDPDF=Y")</f>
        <v>-88.513999999999996</v>
      </c>
      <c r="V43" s="19">
        <f>_xll.BDH("BLUE US Equity","EARN_FOR_COMMON","FQ1 2024","FQ1 2024","Currency=USD","Period=FQ","BEST_FPERIOD_OVERRIDE=FQ","FILING_STATUS=MR","SCALING_FORMAT=MLN","FA_ADJUSTED=GAAP","Sort=A","Dates=H","DateFormat=P","Fill=—","Direction=H","UseDPDF=Y")</f>
        <v>-69.804000000000002</v>
      </c>
      <c r="W43" s="19">
        <f>_xll.BDH("BLUE US Equity","EARN_FOR_COMMON","FQ2 2024","FQ2 2024","Currency=USD","Period=FQ","BEST_FPERIOD_OVERRIDE=FQ","FILING_STATUS=MR","SCALING_FORMAT=MLN","FA_ADJUSTED=GAAP","Sort=A","Dates=H","DateFormat=P","Fill=—","Direction=H","UseDPDF=Y")</f>
        <v>-81.393000000000001</v>
      </c>
      <c r="X43" s="19">
        <f>_xll.BDH("BLUE US Equity","EARN_FOR_COMMON","FQ3 2024","FQ3 2024","Currency=USD","Period=FQ","BEST_FPERIOD_OVERRIDE=FQ","FILING_STATUS=MR","SCALING_FORMAT=MLN","FA_ADJUSTED=GAAP","Sort=A","Dates=H","DateFormat=P","Fill=—","Direction=H","UseDPDF=Y")</f>
        <v>-60.808</v>
      </c>
      <c r="Y43" s="19">
        <f>_xll.BDH("BLUE US Equity","EARN_FOR_COMMON","FQ4 2024","FQ4 2024","Currency=USD","Period=FQ","BEST_FPERIOD_OVERRIDE=FQ","FILING_STATUS=MR","SCALING_FORMAT=MLN","FA_ADJUSTED=GAAP","Sort=A","Dates=H","DateFormat=P","Fill=—","Direction=H","UseDPDF=Y")</f>
        <v>-28.71</v>
      </c>
      <c r="Z43" s="19">
        <v>-39.979999999999997</v>
      </c>
      <c r="AA43" s="19">
        <v>-16.265999999999998</v>
      </c>
    </row>
    <row r="44" spans="1:27" x14ac:dyDescent="0.25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6" t="s">
        <v>344</v>
      </c>
      <c r="B45" s="6" t="s">
        <v>80</v>
      </c>
      <c r="C45" s="19">
        <f>_xll.BDH("BLUE US Equity","EARN_FOR_COMMON","FQ2 2019","FQ2 2019","Currency=USD","Period=FQ","BEST_FPERIOD_OVERRIDE=FQ","FILING_STATUS=MR","SCALING_FORMAT=MLN","FA_ADJUSTED=Adjusted","Sort=A","Dates=H","DateFormat=P","Fill=—","Direction=H","UseDPDF=Y")</f>
        <v>-195.6129</v>
      </c>
      <c r="D45" s="19">
        <f>_xll.BDH("BLUE US Equity","EARN_FOR_COMMON","FQ3 2019","FQ3 2019","Currency=USD","Period=FQ","BEST_FPERIOD_OVERRIDE=FQ","FILING_STATUS=MR","SCALING_FORMAT=MLN","FA_ADJUSTED=Adjusted","Sort=A","Dates=H","DateFormat=P","Fill=—","Direction=H","UseDPDF=Y")</f>
        <v>-205.39940000000001</v>
      </c>
      <c r="E45" s="19">
        <f>_xll.BDH("BLUE US Equity","EARN_FOR_COMMON","FQ4 2019","FQ4 2019","Currency=USD","Period=FQ","BEST_FPERIOD_OVERRIDE=FQ","FILING_STATUS=MR","SCALING_FORMAT=MLN","FA_ADJUSTED=Adjusted","Sort=A","Dates=H","DateFormat=P","Fill=—","Direction=H","UseDPDF=Y")</f>
        <v>-222.21340000000001</v>
      </c>
      <c r="F45" s="19">
        <f>_xll.BDH("BLUE US Equity","EARN_FOR_COMMON","FQ1 2020","FQ1 2020","Currency=USD","Period=FQ","BEST_FPERIOD_OVERRIDE=FQ","FILING_STATUS=MR","SCALING_FORMAT=MLN","FA_ADJUSTED=Adjusted","Sort=A","Dates=H","DateFormat=P","Fill=—","Direction=H","UseDPDF=Y")</f>
        <v>-205.06630000000001</v>
      </c>
      <c r="G45" s="19">
        <f>_xll.BDH("BLUE US Equity","EARN_FOR_COMMON","FQ2 2020","FQ2 2020","Currency=USD","Period=FQ","BEST_FPERIOD_OVERRIDE=FQ","FILING_STATUS=MR","SCALING_FORMAT=MLN","FA_ADJUSTED=Adjusted","Sort=A","Dates=H","DateFormat=P","Fill=—","Direction=H","UseDPDF=Y")</f>
        <v>-22.772500000000001</v>
      </c>
      <c r="H45" s="19">
        <f>_xll.BDH("BLUE US Equity","EARN_FOR_COMMON","FQ3 2020","FQ3 2020","Currency=USD","Period=FQ","BEST_FPERIOD_OVERRIDE=FQ","FILING_STATUS=MR","SCALING_FORMAT=MLN","FA_ADJUSTED=Adjusted","Sort=A","Dates=H","DateFormat=P","Fill=—","Direction=H","UseDPDF=Y")</f>
        <v>-195.3991</v>
      </c>
      <c r="I45" s="19">
        <f>_xll.BDH("BLUE US Equity","EARN_FOR_COMMON","FQ4 2020","FQ4 2020","Currency=USD","Period=FQ","BEST_FPERIOD_OVERRIDE=FQ","FILING_STATUS=MR","SCALING_FORMAT=MLN","FA_ADJUSTED=Adjusted","Sort=A","Dates=H","DateFormat=P","Fill=—","Direction=H","UseDPDF=Y")</f>
        <v>-136.321</v>
      </c>
      <c r="J45" s="19">
        <f>_xll.BDH("BLUE US Equity","EARN_FOR_COMMON","FQ1 2021","FQ1 2021","Currency=USD","Period=FQ","BEST_FPERIOD_OVERRIDE=FQ","FILING_STATUS=MR","SCALING_FORMAT=MLN","FA_ADJUSTED=Adjusted","Sort=A","Dates=H","DateFormat=P","Fill=—","Direction=H","UseDPDF=Y")</f>
        <v>-143.62639999999999</v>
      </c>
      <c r="K45" s="19">
        <f>_xll.BDH("BLUE US Equity","EARN_FOR_COMMON","FQ2 2021","FQ2 2021","Currency=USD","Period=FQ","BEST_FPERIOD_OVERRIDE=FQ","FILING_STATUS=MR","SCALING_FORMAT=MLN","FA_ADJUSTED=Adjusted","Sort=A","Dates=H","DateFormat=P","Fill=—","Direction=H","UseDPDF=Y")</f>
        <v>-241.66489999999999</v>
      </c>
      <c r="L45" s="19">
        <f>_xll.BDH("BLUE US Equity","EARN_FOR_COMMON","FQ3 2021","FQ3 2021","Currency=USD","Period=FQ","BEST_FPERIOD_OVERRIDE=FQ","FILING_STATUS=MR","SCALING_FORMAT=MLN","FA_ADJUSTED=Adjusted","Sort=A","Dates=H","DateFormat=P","Fill=—","Direction=H","UseDPDF=Y")</f>
        <v>-159.62010000000001</v>
      </c>
      <c r="M45" s="19">
        <f>_xll.BDH("BLUE US Equity","EARN_FOR_COMMON","FQ4 2021","FQ4 2021","Currency=USD","Period=FQ","BEST_FPERIOD_OVERRIDE=FQ","FILING_STATUS=MR","SCALING_FORMAT=MLN","FA_ADJUSTED=Adjusted","Sort=A","Dates=H","DateFormat=P","Fill=—","Direction=H","UseDPDF=Y")</f>
        <v>-131.59700000000001</v>
      </c>
      <c r="N45" s="19">
        <f>_xll.BDH("BLUE US Equity","EARN_FOR_COMMON","FQ1 2022","FQ1 2022","Currency=USD","Period=FQ","BEST_FPERIOD_OVERRIDE=FQ","FILING_STATUS=MR","SCALING_FORMAT=MLN","FA_ADJUSTED=Adjusted","Sort=A","Dates=H","DateFormat=P","Fill=—","Direction=H","UseDPDF=Y")</f>
        <v>-120.1707</v>
      </c>
      <c r="O45" s="19">
        <f>_xll.BDH("BLUE US Equity","EARN_FOR_COMMON","FQ2 2022","FQ2 2022","Currency=USD","Period=FQ","BEST_FPERIOD_OVERRIDE=FQ","FILING_STATUS=MR","SCALING_FORMAT=MLN","FA_ADJUSTED=Adjusted","Sort=A","Dates=H","DateFormat=P","Fill=—","Direction=H","UseDPDF=Y")</f>
        <v>-94.397900000000007</v>
      </c>
      <c r="P45" s="19">
        <f>_xll.BDH("BLUE US Equity","EARN_FOR_COMMON","FQ3 2022","FQ3 2022","Currency=USD","Period=FQ","BEST_FPERIOD_OVERRIDE=FQ","FILING_STATUS=MR","SCALING_FORMAT=MLN","FA_ADJUSTED=Adjusted","Sort=A","Dates=H","DateFormat=P","Fill=—","Direction=H","UseDPDF=Y")</f>
        <v>-75.385599999999997</v>
      </c>
      <c r="Q45" s="19">
        <f>_xll.BDH("BLUE US Equity","EARN_FOR_COMMON","FQ4 2022","FQ4 2022","Currency=USD","Period=FQ","BEST_FPERIOD_OVERRIDE=FQ","FILING_STATUS=MR","SCALING_FORMAT=MLN","FA_ADJUSTED=Adjusted","Sort=A","Dates=H","DateFormat=P","Fill=—","Direction=H","UseDPDF=Y")</f>
        <v>-17.065300000000001</v>
      </c>
      <c r="R45" s="19">
        <f>_xll.BDH("BLUE US Equity","EARN_FOR_COMMON","FQ1 2023","FQ1 2023","Currency=USD","Period=FQ","BEST_FPERIOD_OVERRIDE=FQ","FILING_STATUS=MR","SCALING_FORMAT=MLN","FA_ADJUSTED=Adjusted","Sort=A","Dates=H","DateFormat=P","Fill=—","Direction=H","UseDPDF=Y")</f>
        <v>-54.484699999999997</v>
      </c>
      <c r="S45" s="19">
        <f>_xll.BDH("BLUE US Equity","EARN_FOR_COMMON","FQ2 2023","FQ2 2023","Currency=USD","Period=FQ","BEST_FPERIOD_OVERRIDE=FQ","FILING_STATUS=MR","SCALING_FORMAT=MLN","FA_ADJUSTED=Adjusted","Sort=A","Dates=H","DateFormat=P","Fill=—","Direction=H","UseDPDF=Y")</f>
        <v>-62.789000000000001</v>
      </c>
      <c r="T45" s="19">
        <f>_xll.BDH("BLUE US Equity","EARN_FOR_COMMON","FQ3 2023","FQ3 2023","Currency=USD","Period=FQ","BEST_FPERIOD_OVERRIDE=FQ","FILING_STATUS=MR","SCALING_FORMAT=MLN","FA_ADJUSTED=Adjusted","Sort=A","Dates=H","DateFormat=P","Fill=—","Direction=H","UseDPDF=Y")</f>
        <v>-87.231999999999999</v>
      </c>
      <c r="U45" s="19">
        <f>_xll.BDH("BLUE US Equity","EARN_FOR_COMMON","FQ4 2023","FQ4 2023","Currency=USD","Period=FQ","BEST_FPERIOD_OVERRIDE=FQ","FILING_STATUS=MR","SCALING_FORMAT=MLN","FA_ADJUSTED=Adjusted","Sort=A","Dates=H","DateFormat=P","Fill=—","Direction=H","UseDPDF=Y")</f>
        <v>-88.513999999999996</v>
      </c>
      <c r="V45" s="19">
        <f>_xll.BDH("BLUE US Equity","EARN_FOR_COMMON","FQ1 2024","FQ1 2024","Currency=USD","Period=FQ","BEST_FPERIOD_OVERRIDE=FQ","FILING_STATUS=MR","SCALING_FORMAT=MLN","FA_ADJUSTED=Adjusted","Sort=A","Dates=H","DateFormat=P","Fill=—","Direction=H","UseDPDF=Y")</f>
        <v>-69.804000000000002</v>
      </c>
      <c r="W45" s="19">
        <f>_xll.BDH("BLUE US Equity","EARN_FOR_COMMON","FQ2 2024","FQ2 2024","Currency=USD","Period=FQ","BEST_FPERIOD_OVERRIDE=FQ","FILING_STATUS=MR","SCALING_FORMAT=MLN","FA_ADJUSTED=Adjusted","Sort=A","Dates=H","DateFormat=P","Fill=—","Direction=H","UseDPDF=Y")</f>
        <v>-81.393000000000001</v>
      </c>
      <c r="X45" s="19">
        <f>_xll.BDH("BLUE US Equity","EARN_FOR_COMMON","FQ3 2024","FQ3 2024","Currency=USD","Period=FQ","BEST_FPERIOD_OVERRIDE=FQ","FILING_STATUS=MR","SCALING_FORMAT=MLN","FA_ADJUSTED=Adjusted","Sort=A","Dates=H","DateFormat=P","Fill=—","Direction=H","UseDPDF=Y")</f>
        <v>-58.587299999999999</v>
      </c>
      <c r="Y45" s="19">
        <f>_xll.BDH("BLUE US Equity","EARN_FOR_COMMON","FQ4 2024","FQ4 2024","Currency=USD","Period=FQ","BEST_FPERIOD_OVERRIDE=FQ","FILING_STATUS=MR","SCALING_FORMAT=MLN","FA_ADJUSTED=Adjusted","Sort=A","Dates=H","DateFormat=P","Fill=—","Direction=H","UseDPDF=Y")</f>
        <v>-28.748699999999999</v>
      </c>
      <c r="Z45" s="19">
        <v>-42.482999999999997</v>
      </c>
      <c r="AA45" s="19">
        <v>-28.617000000000001</v>
      </c>
    </row>
    <row r="46" spans="1:27" x14ac:dyDescent="0.25">
      <c r="A46" s="10" t="s">
        <v>345</v>
      </c>
      <c r="B46" s="10" t="s">
        <v>346</v>
      </c>
      <c r="C46" s="13">
        <f>_xll.BDH("BLUE US Equity","IS_NET_ABNORMAL_ITEMS","FQ2 2019","FQ2 2019","Currency=USD","Period=FQ","BEST_FPERIOD_OVERRIDE=FQ","FILING_STATUS=MR","SCALING_FORMAT=MLN","Sort=A","Dates=H","DateFormat=P","Fill=—","Direction=H","UseDPDF=Y")</f>
        <v>0.1691</v>
      </c>
      <c r="D46" s="13">
        <f>_xll.BDH("BLUE US Equity","IS_NET_ABNORMAL_ITEMS","FQ3 2019","FQ3 2019","Currency=USD","Period=FQ","BEST_FPERIOD_OVERRIDE=FQ","FILING_STATUS=MR","SCALING_FORMAT=MLN","Sort=A","Dates=H","DateFormat=P","Fill=—","Direction=H","UseDPDF=Y")</f>
        <v>0.63360000000000005</v>
      </c>
      <c r="E46" s="13">
        <f>_xll.BDH("BLUE US Equity","IS_NET_ABNORMAL_ITEMS","FQ4 2019","FQ4 2019","Currency=USD","Period=FQ","BEST_FPERIOD_OVERRIDE=FQ","FILING_STATUS=MR","SCALING_FORMAT=MLN","Sort=A","Dates=H","DateFormat=P","Fill=—","Direction=H","UseDPDF=Y")</f>
        <v>1.1336999999999999</v>
      </c>
      <c r="F46" s="13">
        <f>_xll.BDH("BLUE US Equity","IS_NET_ABNORMAL_ITEMS","FQ1 2020","FQ1 2020","Currency=USD","Period=FQ","BEST_FPERIOD_OVERRIDE=FQ","FILING_STATUS=MR","SCALING_FORMAT=MLN","Sort=A","Dates=H","DateFormat=P","Fill=—","Direction=H","UseDPDF=Y")</f>
        <v>-2.4552999999999998</v>
      </c>
      <c r="G46" s="13">
        <f>_xll.BDH("BLUE US Equity","IS_NET_ABNORMAL_ITEMS","FQ2 2020","FQ2 2020","Currency=USD","Period=FQ","BEST_FPERIOD_OVERRIDE=FQ","FILING_STATUS=MR","SCALING_FORMAT=MLN","Sort=A","Dates=H","DateFormat=P","Fill=—","Direction=H","UseDPDF=Y")</f>
        <v>-1.3075000000000001</v>
      </c>
      <c r="H46" s="13">
        <f>_xll.BDH("BLUE US Equity","IS_NET_ABNORMAL_ITEMS","FQ3 2020","FQ3 2020","Currency=USD","Period=FQ","BEST_FPERIOD_OVERRIDE=FQ","FILING_STATUS=MR","SCALING_FORMAT=MLN","Sort=A","Dates=H","DateFormat=P","Fill=—","Direction=H","UseDPDF=Y")</f>
        <v>-0.65410000000000001</v>
      </c>
      <c r="I46" s="13">
        <f>_xll.BDH("BLUE US Equity","IS_NET_ABNORMAL_ITEMS","FQ4 2020","FQ4 2020","Currency=USD","Period=FQ","BEST_FPERIOD_OVERRIDE=FQ","FILING_STATUS=MR","SCALING_FORMAT=MLN","Sort=A","Dates=H","DateFormat=P","Fill=—","Direction=H","UseDPDF=Y")</f>
        <v>0</v>
      </c>
      <c r="J46" s="13">
        <f>_xll.BDH("BLUE US Equity","IS_NET_ABNORMAL_ITEMS","FQ1 2021","FQ1 2021","Currency=USD","Period=FQ","BEST_FPERIOD_OVERRIDE=FQ","FILING_STATUS=MR","SCALING_FORMAT=MLN","Sort=A","Dates=H","DateFormat=P","Fill=—","Direction=H","UseDPDF=Y")</f>
        <v>-22.122399999999999</v>
      </c>
      <c r="K46" s="13">
        <f>_xll.BDH("BLUE US Equity","IS_NET_ABNORMAL_ITEMS","FQ2 2021","FQ2 2021","Currency=USD","Period=FQ","BEST_FPERIOD_OVERRIDE=FQ","FILING_STATUS=MR","SCALING_FORMAT=MLN","Sort=A","Dates=H","DateFormat=P","Fill=—","Direction=H","UseDPDF=Y")</f>
        <v>3.7100000000000001E-2</v>
      </c>
      <c r="L46" s="13">
        <f>_xll.BDH("BLUE US Equity","IS_NET_ABNORMAL_ITEMS","FQ3 2021","FQ3 2021","Currency=USD","Period=FQ","BEST_FPERIOD_OVERRIDE=FQ","FILING_STATUS=MR","SCALING_FORMAT=MLN","Sort=A","Dates=H","DateFormat=P","Fill=—","Direction=H","UseDPDF=Y")</f>
        <v>-6.7861000000000002</v>
      </c>
      <c r="M46" s="13">
        <f>_xll.BDH("BLUE US Equity","IS_NET_ABNORMAL_ITEMS","FQ4 2021","FQ4 2021","Currency=USD","Period=FQ","BEST_FPERIOD_OVERRIDE=FQ","FILING_STATUS=MR","SCALING_FORMAT=MLN","Sort=A","Dates=H","DateFormat=P","Fill=—","Direction=H","UseDPDF=Y")</f>
        <v>0.73</v>
      </c>
      <c r="N46" s="13">
        <f>_xll.BDH("BLUE US Equity","IS_NET_ABNORMAL_ITEMS","FQ1 2022","FQ1 2022","Currency=USD","Period=FQ","BEST_FPERIOD_OVERRIDE=FQ","FILING_STATUS=MR","SCALING_FORMAT=MLN","Sort=A","Dates=H","DateFormat=P","Fill=—","Direction=H","UseDPDF=Y")</f>
        <v>1.9813000000000001</v>
      </c>
      <c r="O46" s="13">
        <f>_xll.BDH("BLUE US Equity","IS_NET_ABNORMAL_ITEMS","FQ2 2022","FQ2 2022","Currency=USD","Period=FQ","BEST_FPERIOD_OVERRIDE=FQ","FILING_STATUS=MR","SCALING_FORMAT=MLN","Sort=A","Dates=H","DateFormat=P","Fill=—","Direction=H","UseDPDF=Y")</f>
        <v>5.7401</v>
      </c>
      <c r="P46" s="13">
        <f>_xll.BDH("BLUE US Equity","IS_NET_ABNORMAL_ITEMS","FQ3 2022","FQ3 2022","Currency=USD","Period=FQ","BEST_FPERIOD_OVERRIDE=FQ","FILING_STATUS=MR","SCALING_FORMAT=MLN","Sort=A","Dates=H","DateFormat=P","Fill=—","Direction=H","UseDPDF=Y")</f>
        <v>1.1344000000000001</v>
      </c>
      <c r="Q46" s="13">
        <f>_xll.BDH("BLUE US Equity","IS_NET_ABNORMAL_ITEMS","FQ4 2022","FQ4 2022","Currency=USD","Period=FQ","BEST_FPERIOD_OVERRIDE=FQ","FILING_STATUS=MR","SCALING_FORMAT=MLN","Sort=A","Dates=H","DateFormat=P","Fill=—","Direction=H","UseDPDF=Y")</f>
        <v>-85.533299999999997</v>
      </c>
      <c r="R46" s="13">
        <f>_xll.BDH("BLUE US Equity","IS_NET_ABNORMAL_ITEMS","FQ1 2023","FQ1 2023","Currency=USD","Period=FQ","BEST_FPERIOD_OVERRIDE=FQ","FILING_STATUS=MR","SCALING_FORMAT=MLN","Sort=A","Dates=H","DateFormat=P","Fill=—","Direction=H","UseDPDF=Y")</f>
        <v>-73.414699999999996</v>
      </c>
      <c r="S46" s="13">
        <f>_xll.BDH("BLUE US Equity","IS_NET_ABNORMAL_ITEMS","FQ2 2023","FQ2 2023","Currency=USD","Period=FQ","BEST_FPERIOD_OVERRIDE=FQ","FILING_STATUS=MR","SCALING_FORMAT=MLN","Sort=A","Dates=H","DateFormat=P","Fill=—","Direction=H","UseDPDF=Y")</f>
        <v>0</v>
      </c>
      <c r="T46" s="13">
        <f>_xll.BDH("BLUE US Equity","IS_NET_ABNORMAL_ITEMS","FQ3 2023","FQ3 2023","Currency=USD","Period=FQ","BEST_FPERIOD_OVERRIDE=FQ","FILING_STATUS=MR","SCALING_FORMAT=MLN","Sort=A","Dates=H","DateFormat=P","Fill=—","Direction=H","UseDPDF=Y")</f>
        <v>0</v>
      </c>
      <c r="U46" s="13">
        <f>_xll.BDH("BLUE US Equity","IS_NET_ABNORMAL_ITEMS","FQ4 2023","FQ4 2023","Currency=USD","Period=FQ","BEST_FPERIOD_OVERRIDE=FQ","FILING_STATUS=MR","SCALING_FORMAT=MLN","Sort=A","Dates=H","DateFormat=P","Fill=—","Direction=H","UseDPDF=Y")</f>
        <v>0</v>
      </c>
      <c r="V46" s="13">
        <f>_xll.BDH("BLUE US Equity","IS_NET_ABNORMAL_ITEMS","FQ1 2024","FQ1 2024","Currency=USD","Period=FQ","BEST_FPERIOD_OVERRIDE=FQ","FILING_STATUS=MR","SCALING_FORMAT=MLN","Sort=A","Dates=H","DateFormat=P","Fill=—","Direction=H","UseDPDF=Y")</f>
        <v>0</v>
      </c>
      <c r="W46" s="13">
        <f>_xll.BDH("BLUE US Equity","IS_NET_ABNORMAL_ITEMS","FQ2 2024","FQ2 2024","Currency=USD","Period=FQ","BEST_FPERIOD_OVERRIDE=FQ","FILING_STATUS=MR","SCALING_FORMAT=MLN","Sort=A","Dates=H","DateFormat=P","Fill=—","Direction=H","UseDPDF=Y")</f>
        <v>0</v>
      </c>
      <c r="X46" s="13">
        <f>_xll.BDH("BLUE US Equity","IS_NET_ABNORMAL_ITEMS","FQ3 2024","FQ3 2024","Currency=USD","Period=FQ","BEST_FPERIOD_OVERRIDE=FQ","FILING_STATUS=MR","SCALING_FORMAT=MLN","Sort=A","Dates=H","DateFormat=P","Fill=—","Direction=H","UseDPDF=Y")</f>
        <v>2.2206999999999999</v>
      </c>
      <c r="Y46" s="13">
        <f>_xll.BDH("BLUE US Equity","IS_NET_ABNORMAL_ITEMS","FQ4 2024","FQ4 2024","Currency=USD","Period=FQ","BEST_FPERIOD_OVERRIDE=FQ","FILING_STATUS=MR","SCALING_FORMAT=MLN","Sort=A","Dates=H","DateFormat=P","Fill=—","Direction=H","UseDPDF=Y")</f>
        <v>-3.8699999999999998E-2</v>
      </c>
      <c r="Z46" s="13"/>
      <c r="AA46" s="13"/>
    </row>
    <row r="47" spans="1:27" x14ac:dyDescent="0.25">
      <c r="A47" s="10" t="s">
        <v>347</v>
      </c>
      <c r="B47" s="10" t="s">
        <v>328</v>
      </c>
      <c r="C47" s="13">
        <f>_xll.BDH("BLUE US Equity","XO_GL_NET_OF_TAX","FQ2 2019","FQ2 2019","Currency=USD","Period=FQ","BEST_FPERIOD_OVERRIDE=FQ","FILING_STATUS=MR","SCALING_FORMAT=MLN","Sort=A","Dates=H","DateFormat=P","Fill=—","Direction=H","UseDPDF=Y")</f>
        <v>0</v>
      </c>
      <c r="D47" s="13">
        <f>_xll.BDH("BLUE US Equity","XO_GL_NET_OF_TAX","FQ3 2019","FQ3 2019","Currency=USD","Period=FQ","BEST_FPERIOD_OVERRIDE=FQ","FILING_STATUS=MR","SCALING_FORMAT=MLN","Sort=A","Dates=H","DateFormat=P","Fill=—","Direction=H","UseDPDF=Y")</f>
        <v>0</v>
      </c>
      <c r="E47" s="13">
        <f>_xll.BDH("BLUE US Equity","XO_GL_NET_OF_TAX","FQ4 2019","FQ4 2019","Currency=USD","Period=FQ","BEST_FPERIOD_OVERRIDE=FQ","FILING_STATUS=MR","SCALING_FORMAT=MLN","Sort=A","Dates=H","DateFormat=P","Fill=—","Direction=H","UseDPDF=Y")</f>
        <v>0</v>
      </c>
      <c r="F47" s="13">
        <f>_xll.BDH("BLUE US Equity","XO_GL_NET_OF_TAX","FQ1 2020","FQ1 2020","Currency=USD","Period=FQ","BEST_FPERIOD_OVERRIDE=FQ","FILING_STATUS=MR","SCALING_FORMAT=MLN","Sort=A","Dates=H","DateFormat=P","Fill=—","Direction=H","UseDPDF=Y")</f>
        <v>0</v>
      </c>
      <c r="G47" s="13">
        <f>_xll.BDH("BLUE US Equity","XO_GL_NET_OF_TAX","FQ2 2020","FQ2 2020","Currency=USD","Period=FQ","BEST_FPERIOD_OVERRIDE=FQ","FILING_STATUS=MR","SCALING_FORMAT=MLN","Sort=A","Dates=H","DateFormat=P","Fill=—","Direction=H","UseDPDF=Y")</f>
        <v>0</v>
      </c>
      <c r="H47" s="13">
        <f>_xll.BDH("BLUE US Equity","XO_GL_NET_OF_TAX","FQ3 2020","FQ3 2020","Currency=USD","Period=FQ","BEST_FPERIOD_OVERRIDE=FQ","FILING_STATUS=MR","SCALING_FORMAT=MLN","Sort=A","Dates=H","DateFormat=P","Fill=—","Direction=H","UseDPDF=Y")</f>
        <v>0</v>
      </c>
      <c r="I47" s="13">
        <f>_xll.BDH("BLUE US Equity","XO_GL_NET_OF_TAX","FQ4 2020","FQ4 2020","Currency=USD","Period=FQ","BEST_FPERIOD_OVERRIDE=FQ","FILING_STATUS=MR","SCALING_FORMAT=MLN","Sort=A","Dates=H","DateFormat=P","Fill=—","Direction=H","UseDPDF=Y")</f>
        <v>63.552999999999997</v>
      </c>
      <c r="J47" s="13">
        <f>_xll.BDH("BLUE US Equity","XO_GL_NET_OF_TAX","FQ1 2021","FQ1 2021","Currency=USD","Period=FQ","BEST_FPERIOD_OVERRIDE=FQ","FILING_STATUS=MR","SCALING_FORMAT=MLN","Sort=A","Dates=H","DateFormat=P","Fill=—","Direction=H","UseDPDF=Y")</f>
        <v>84.304000000000002</v>
      </c>
      <c r="K47" s="13">
        <f>_xll.BDH("BLUE US Equity","XO_GL_NET_OF_TAX","FQ2 2021","FQ2 2021","Currency=USD","Period=FQ","BEST_FPERIOD_OVERRIDE=FQ","FILING_STATUS=MR","SCALING_FORMAT=MLN","Sort=A","Dates=H","DateFormat=P","Fill=—","Direction=H","UseDPDF=Y")</f>
        <v>0</v>
      </c>
      <c r="L47" s="13">
        <f>_xll.BDH("BLUE US Equity","XO_GL_NET_OF_TAX","FQ3 2021","FQ3 2021","Currency=USD","Period=FQ","BEST_FPERIOD_OVERRIDE=FQ","FILING_STATUS=MR","SCALING_FORMAT=MLN","Sort=A","Dates=H","DateFormat=P","Fill=—","Direction=H","UseDPDF=Y")</f>
        <v>63.981999999999999</v>
      </c>
      <c r="M47" s="13">
        <f>_xll.BDH("BLUE US Equity","XO_GL_NET_OF_TAX","FQ4 2021","FQ4 2021","Currency=USD","Period=FQ","BEST_FPERIOD_OVERRIDE=FQ","FILING_STATUS=MR","SCALING_FORMAT=MLN","Sort=A","Dates=H","DateFormat=P","Fill=—","Direction=H","UseDPDF=Y")</f>
        <v>22.725000000000001</v>
      </c>
      <c r="N47" s="13">
        <f>_xll.BDH("BLUE US Equity","XO_GL_NET_OF_TAX","FQ1 2022","FQ1 2022","Currency=USD","Period=FQ","BEST_FPERIOD_OVERRIDE=FQ","FILING_STATUS=MR","SCALING_FORMAT=MLN","Sort=A","Dates=H","DateFormat=P","Fill=—","Direction=H","UseDPDF=Y")</f>
        <v>0</v>
      </c>
      <c r="O47" s="13">
        <f>_xll.BDH("BLUE US Equity","XO_GL_NET_OF_TAX","FQ2 2022","FQ2 2022","Currency=USD","Period=FQ","BEST_FPERIOD_OVERRIDE=FQ","FILING_STATUS=MR","SCALING_FORMAT=MLN","Sort=A","Dates=H","DateFormat=P","Fill=—","Direction=H","UseDPDF=Y")</f>
        <v>0</v>
      </c>
      <c r="P47" s="13">
        <f>_xll.BDH("BLUE US Equity","XO_GL_NET_OF_TAX","FQ3 2022","FQ3 2022","Currency=USD","Period=FQ","BEST_FPERIOD_OVERRIDE=FQ","FILING_STATUS=MR","SCALING_FORMAT=MLN","Sort=A","Dates=H","DateFormat=P","Fill=—","Direction=H","UseDPDF=Y")</f>
        <v>0</v>
      </c>
      <c r="Q47" s="13">
        <f>_xll.BDH("BLUE US Equity","XO_GL_NET_OF_TAX","FQ4 2022","FQ4 2022","Currency=USD","Period=FQ","BEST_FPERIOD_OVERRIDE=FQ","FILING_STATUS=MR","SCALING_FORMAT=MLN","Sort=A","Dates=H","DateFormat=P","Fill=—","Direction=H","UseDPDF=Y")</f>
        <v>0</v>
      </c>
      <c r="R47" s="13">
        <f>_xll.BDH("BLUE US Equity","XO_GL_NET_OF_TAX","FQ1 2023","FQ1 2023","Currency=USD","Period=FQ","BEST_FPERIOD_OVERRIDE=FQ","FILING_STATUS=MR","SCALING_FORMAT=MLN","Sort=A","Dates=H","DateFormat=P","Fill=—","Direction=H","UseDPDF=Y")</f>
        <v>0</v>
      </c>
      <c r="S47" s="13">
        <f>_xll.BDH("BLUE US Equity","XO_GL_NET_OF_TAX","FQ2 2023","FQ2 2023","Currency=USD","Period=FQ","BEST_FPERIOD_OVERRIDE=FQ","FILING_STATUS=MR","SCALING_FORMAT=MLN","Sort=A","Dates=H","DateFormat=P","Fill=—","Direction=H","UseDPDF=Y")</f>
        <v>0</v>
      </c>
      <c r="T47" s="13">
        <f>_xll.BDH("BLUE US Equity","XO_GL_NET_OF_TAX","FQ3 2023","FQ3 2023","Currency=USD","Period=FQ","BEST_FPERIOD_OVERRIDE=FQ","FILING_STATUS=MR","SCALING_FORMAT=MLN","Sort=A","Dates=H","DateFormat=P","Fill=—","Direction=H","UseDPDF=Y")</f>
        <v>0</v>
      </c>
      <c r="U47" s="13">
        <f>_xll.BDH("BLUE US Equity","XO_GL_NET_OF_TAX","FQ4 2023","FQ4 2023","Currency=USD","Period=FQ","BEST_FPERIOD_OVERRIDE=FQ","FILING_STATUS=MR","SCALING_FORMAT=MLN","Sort=A","Dates=H","DateFormat=P","Fill=—","Direction=H","UseDPDF=Y")</f>
        <v>0</v>
      </c>
      <c r="V47" s="13">
        <f>_xll.BDH("BLUE US Equity","XO_GL_NET_OF_TAX","FQ1 2024","FQ1 2024","Currency=USD","Period=FQ","BEST_FPERIOD_OVERRIDE=FQ","FILING_STATUS=MR","SCALING_FORMAT=MLN","Sort=A","Dates=H","DateFormat=P","Fill=—","Direction=H","UseDPDF=Y")</f>
        <v>0</v>
      </c>
      <c r="W47" s="13">
        <f>_xll.BDH("BLUE US Equity","XO_GL_NET_OF_TAX","FQ2 2024","FQ2 2024","Currency=USD","Period=FQ","BEST_FPERIOD_OVERRIDE=FQ","FILING_STATUS=MR","SCALING_FORMAT=MLN","Sort=A","Dates=H","DateFormat=P","Fill=—","Direction=H","UseDPDF=Y")</f>
        <v>0</v>
      </c>
      <c r="X47" s="13">
        <f>_xll.BDH("BLUE US Equity","XO_GL_NET_OF_TAX","FQ3 2024","FQ3 2024","Currency=USD","Period=FQ","BEST_FPERIOD_OVERRIDE=FQ","FILING_STATUS=MR","SCALING_FORMAT=MLN","Sort=A","Dates=H","DateFormat=P","Fill=—","Direction=H","UseDPDF=Y")</f>
        <v>0</v>
      </c>
      <c r="Y47" s="13">
        <f>_xll.BDH("BLUE US Equity","XO_GL_NET_OF_TAX","FQ4 2024","FQ4 2024","Currency=USD","Period=FQ","BEST_FPERIOD_OVERRIDE=FQ","FILING_STATUS=MR","SCALING_FORMAT=MLN","Sort=A","Dates=H","DateFormat=P","Fill=—","Direction=H","UseDPDF=Y")</f>
        <v>0</v>
      </c>
      <c r="Z47" s="13"/>
      <c r="AA47" s="13"/>
    </row>
    <row r="48" spans="1:27" x14ac:dyDescent="0.25">
      <c r="A48" s="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0" t="s">
        <v>227</v>
      </c>
      <c r="B49" s="10" t="s">
        <v>106</v>
      </c>
      <c r="C49" s="13">
        <f>_xll.BDH("BLUE US Equity","IS_AVG_NUM_SH_FOR_EPS","FQ2 2019","FQ2 2019","Currency=USD","Period=FQ","BEST_FPERIOD_OVERRIDE=FQ","FILING_STATUS=MR","Sort=A","Dates=H","DateFormat=P","Fill=—","Direction=H","UseDPDF=Y")</f>
        <v>2.7583000000000002</v>
      </c>
      <c r="D49" s="13">
        <f>_xll.BDH("BLUE US Equity","IS_AVG_NUM_SH_FOR_EPS","FQ3 2019","FQ3 2019","Currency=USD","Period=FQ","BEST_FPERIOD_OVERRIDE=FQ","FILING_STATUS=MR","Sort=A","Dates=H","DateFormat=P","Fill=—","Direction=H","UseDPDF=Y")</f>
        <v>2.7646000000000002</v>
      </c>
      <c r="E49" s="13">
        <f>_xll.BDH("BLUE US Equity","IS_AVG_NUM_SH_FOR_EPS","FQ4 2019","FQ4 2019","Currency=USD","Period=FQ","BEST_FPERIOD_OVERRIDE=FQ","FILING_STATUS=MR","Sort=A","Dates=H","DateFormat=P","Fill=—","Direction=H","UseDPDF=Y")</f>
        <v>2.7671999999999999</v>
      </c>
      <c r="F49" s="13">
        <f>_xll.BDH("BLUE US Equity","IS_AVG_NUM_SH_FOR_EPS","FQ1 2020","FQ1 2020","Currency=USD","Period=FQ","BEST_FPERIOD_OVERRIDE=FQ","FILING_STATUS=MR","Sort=A","Dates=H","DateFormat=P","Fill=—","Direction=H","UseDPDF=Y")</f>
        <v>2.7795000000000001</v>
      </c>
      <c r="G49" s="13">
        <f>_xll.BDH("BLUE US Equity","IS_AVG_NUM_SH_FOR_EPS","FQ2 2020","FQ2 2020","Currency=USD","Period=FQ","BEST_FPERIOD_OVERRIDE=FQ","FILING_STATUS=MR","Sort=A","Dates=H","DateFormat=P","Fill=—","Direction=H","UseDPDF=Y")</f>
        <v>3.0192000000000001</v>
      </c>
      <c r="H49" s="13">
        <f>_xll.BDH("BLUE US Equity","IS_AVG_NUM_SH_FOR_EPS","FQ3 2020","FQ3 2020","Currency=USD","Period=FQ","BEST_FPERIOD_OVERRIDE=FQ","FILING_STATUS=MR","Sort=A","Dates=H","DateFormat=P","Fill=—","Direction=H","UseDPDF=Y")</f>
        <v>3.3126000000000002</v>
      </c>
      <c r="I49" s="13">
        <f>_xll.BDH("BLUE US Equity","IS_AVG_NUM_SH_FOR_EPS","FQ4 2020","FQ4 2020","Currency=USD","Period=FQ","BEST_FPERIOD_OVERRIDE=FQ","FILING_STATUS=MR","Sort=A","Dates=H","DateFormat=P","Fill=—","Direction=H","UseDPDF=Y")</f>
        <v>3.3197999999999999</v>
      </c>
      <c r="J49" s="13">
        <f>_xll.BDH("BLUE US Equity","IS_AVG_NUM_SH_FOR_EPS","FQ1 2021","FQ1 2021","Currency=USD","Period=FQ","BEST_FPERIOD_OVERRIDE=FQ","FILING_STATUS=MR","Sort=A","Dates=H","DateFormat=P","Fill=—","Direction=H","UseDPDF=Y")</f>
        <v>3.3488000000000002</v>
      </c>
      <c r="K49" s="13">
        <f>_xll.BDH("BLUE US Equity","IS_AVG_NUM_SH_FOR_EPS","FQ2 2021","FQ2 2021","Currency=USD","Period=FQ","BEST_FPERIOD_OVERRIDE=FQ","FILING_STATUS=MR","Sort=A","Dates=H","DateFormat=P","Fill=—","Direction=H","UseDPDF=Y")</f>
        <v>3.3744000000000001</v>
      </c>
      <c r="L49" s="13">
        <f>_xll.BDH("BLUE US Equity","IS_AVG_NUM_SH_FOR_EPS","FQ3 2021","FQ3 2021","Currency=USD","Period=FQ","BEST_FPERIOD_OVERRIDE=FQ","FILING_STATUS=MR","Sort=A","Dates=H","DateFormat=P","Fill=—","Direction=H","UseDPDF=Y")</f>
        <v>3.4310999999999998</v>
      </c>
      <c r="M49" s="13">
        <f>_xll.BDH("BLUE US Equity","IS_AVG_NUM_SH_FOR_EPS","FQ4 2021","FQ4 2021","Currency=USD","Period=FQ","BEST_FPERIOD_OVERRIDE=FQ","FILING_STATUS=MR","Sort=A","Dates=H","DateFormat=P","Fill=—","Direction=H","UseDPDF=Y")</f>
        <v>3.6248999999999998</v>
      </c>
      <c r="N49" s="13">
        <f>_xll.BDH("BLUE US Equity","IS_AVG_NUM_SH_FOR_EPS","FQ1 2022","FQ1 2022","Currency=USD","Period=FQ","BEST_FPERIOD_OVERRIDE=FQ","FILING_STATUS=MR","Sort=A","Dates=H","DateFormat=P","Fill=—","Direction=H","UseDPDF=Y")</f>
        <v>3.6844000000000001</v>
      </c>
      <c r="O49" s="13">
        <f>_xll.BDH("BLUE US Equity","IS_AVG_NUM_SH_FOR_EPS","FQ2 2022","FQ2 2022","Currency=USD","Period=FQ","BEST_FPERIOD_OVERRIDE=FQ","FILING_STATUS=MR","Sort=A","Dates=H","DateFormat=P","Fill=—","Direction=H","UseDPDF=Y")</f>
        <v>3.6884000000000001</v>
      </c>
      <c r="P49" s="13">
        <f>_xll.BDH("BLUE US Equity","IS_AVG_NUM_SH_FOR_EPS","FQ3 2022","FQ3 2022","Currency=USD","Period=FQ","BEST_FPERIOD_OVERRIDE=FQ","FILING_STATUS=MR","Sort=A","Dates=H","DateFormat=P","Fill=—","Direction=H","UseDPDF=Y")</f>
        <v>4.0772000000000004</v>
      </c>
      <c r="Q49" s="13">
        <f>_xll.BDH("BLUE US Equity","IS_AVG_NUM_SH_FOR_EPS","FQ4 2022","FQ4 2022","Currency=USD","Period=FQ","BEST_FPERIOD_OVERRIDE=FQ","FILING_STATUS=MR","Sort=A","Dates=H","DateFormat=P","Fill=—","Direction=H","UseDPDF=Y")</f>
        <v>4.2671000000000001</v>
      </c>
      <c r="R49" s="13">
        <f>_xll.BDH("BLUE US Equity","IS_AVG_NUM_SH_FOR_EPS","FQ1 2023","FQ1 2023","Currency=USD","Period=FQ","BEST_FPERIOD_OVERRIDE=FQ","FILING_STATUS=MR","Sort=A","Dates=H","DateFormat=P","Fill=—","Direction=H","UseDPDF=Y")</f>
        <v>5.1459999999999999</v>
      </c>
      <c r="S49" s="13">
        <f>_xll.BDH("BLUE US Equity","IS_AVG_NUM_SH_FOR_EPS","FQ2 2023","FQ2 2023","Currency=USD","Period=FQ","BEST_FPERIOD_OVERRIDE=FQ","FILING_STATUS=MR","Sort=A","Dates=H","DateFormat=P","Fill=—","Direction=H","UseDPDF=Y")</f>
        <v>5.4343000000000004</v>
      </c>
      <c r="T49" s="13">
        <f>_xll.BDH("BLUE US Equity","IS_AVG_NUM_SH_FOR_EPS","FQ3 2023","FQ3 2023","Currency=USD","Period=FQ","BEST_FPERIOD_OVERRIDE=FQ","FILING_STATUS=MR","Sort=A","Dates=H","DateFormat=P","Fill=—","Direction=H","UseDPDF=Y")</f>
        <v>5.4549000000000003</v>
      </c>
      <c r="U49" s="13">
        <f>_xll.BDH("BLUE US Equity","IS_AVG_NUM_SH_FOR_EPS","FQ4 2023","FQ4 2023","Currency=USD","Period=FQ","BEST_FPERIOD_OVERRIDE=FQ","FILING_STATUS=MR","Sort=A","Dates=H","DateFormat=P","Fill=—","Direction=H","UseDPDF=Y")</f>
        <v>5.9298999999999999</v>
      </c>
      <c r="V49" s="13">
        <f>_xll.BDH("BLUE US Equity","IS_AVG_NUM_SH_FOR_EPS","FQ1 2024","FQ1 2024","Currency=USD","Period=FQ","BEST_FPERIOD_OVERRIDE=FQ","FILING_STATUS=MR","Sort=A","Dates=H","DateFormat=P","Fill=—","Direction=H","UseDPDF=Y")</f>
        <v>9.6576000000000004</v>
      </c>
      <c r="W49" s="13">
        <f>_xll.BDH("BLUE US Equity","IS_AVG_NUM_SH_FOR_EPS","FQ2 2024","FQ2 2024","Currency=USD","Period=FQ","BEST_FPERIOD_OVERRIDE=FQ","FILING_STATUS=MR","Sort=A","Dates=H","DateFormat=P","Fill=—","Direction=H","UseDPDF=Y")</f>
        <v>9.6858000000000004</v>
      </c>
      <c r="X49" s="13">
        <f>_xll.BDH("BLUE US Equity","IS_AVG_NUM_SH_FOR_EPS","FQ3 2024","FQ3 2024","Currency=USD","Period=FQ","BEST_FPERIOD_OVERRIDE=FQ","FILING_STATUS=MR","Sort=A","Dates=H","DateFormat=P","Fill=—","Direction=H","UseDPDF=Y")</f>
        <v>9.6946999999999992</v>
      </c>
      <c r="Y49" s="13">
        <f>_xll.BDH("BLUE US Equity","IS_AVG_NUM_SH_FOR_EPS","FQ4 2024","FQ4 2024","Currency=USD","Period=FQ","BEST_FPERIOD_OVERRIDE=FQ","FILING_STATUS=MR","Sort=A","Dates=H","DateFormat=P","Fill=—","Direction=H","UseDPDF=Y")</f>
        <v>9.7089999999999996</v>
      </c>
      <c r="Z49" s="13"/>
      <c r="AA49" s="13"/>
    </row>
    <row r="50" spans="1:27" x14ac:dyDescent="0.25">
      <c r="A50" s="6" t="s">
        <v>101</v>
      </c>
      <c r="B50" s="6" t="s">
        <v>102</v>
      </c>
      <c r="C50" s="20">
        <f>_xll.BDH("BLUE US Equity","IS_EPS","FQ2 2019","FQ2 2019","Currency=USD","Period=FQ","BEST_FPERIOD_OVERRIDE=FQ","FILING_STATUS=MR","FA_ADJUSTED=GAAP","Sort=A","Dates=H","DateFormat=P","Fill=—","Direction=H","UseDPDF=Y")</f>
        <v>-71</v>
      </c>
      <c r="D50" s="20">
        <f>_xll.BDH("BLUE US Equity","IS_EPS","FQ3 2019","FQ3 2019","Currency=USD","Period=FQ","BEST_FPERIOD_OVERRIDE=FQ","FILING_STATUS=MR","FA_ADJUSTED=GAAP","Sort=A","Dates=H","DateFormat=P","Fill=—","Direction=H","UseDPDF=Y")</f>
        <v>-74.599999999999994</v>
      </c>
      <c r="E50" s="20">
        <f>_xll.BDH("BLUE US Equity","IS_EPS","FQ4 2019","FQ4 2019","Currency=USD","Period=FQ","BEST_FPERIOD_OVERRIDE=FQ","FILING_STATUS=MR","FA_ADJUSTED=GAAP","Sort=A","Dates=H","DateFormat=P","Fill=—","Direction=H","UseDPDF=Y")</f>
        <v>-80.8</v>
      </c>
      <c r="F50" s="20">
        <f>_xll.BDH("BLUE US Equity","IS_EPS","FQ1 2020","FQ1 2020","Currency=USD","Period=FQ","BEST_FPERIOD_OVERRIDE=FQ","FILING_STATUS=MR","FA_ADJUSTED=GAAP","Sort=A","Dates=H","DateFormat=P","Fill=—","Direction=H","UseDPDF=Y")</f>
        <v>-72.8</v>
      </c>
      <c r="G50" s="20">
        <f>_xll.BDH("BLUE US Equity","IS_EPS","FQ2 2020","FQ2 2020","Currency=USD","Period=FQ","BEST_FPERIOD_OVERRIDE=FQ","FILING_STATUS=MR","FA_ADJUSTED=GAAP","Sort=A","Dates=H","DateFormat=P","Fill=—","Direction=H","UseDPDF=Y")</f>
        <v>-7.2</v>
      </c>
      <c r="H50" s="20">
        <f>_xll.BDH("BLUE US Equity","IS_EPS","FQ3 2020","FQ3 2020","Currency=USD","Period=FQ","BEST_FPERIOD_OVERRIDE=FQ","FILING_STATUS=MR","FA_ADJUSTED=GAAP","Sort=A","Dates=H","DateFormat=P","Fill=—","Direction=H","UseDPDF=Y")</f>
        <v>-58.8</v>
      </c>
      <c r="I50" s="20">
        <f>_xll.BDH("BLUE US Equity","IS_EPS","FQ4 2020","FQ4 2020","Currency=USD","Period=FQ","BEST_FPERIOD_OVERRIDE=FQ","FILING_STATUS=MR","FA_ADJUSTED=GAAP","Sort=A","Dates=H","DateFormat=P","Fill=—","Direction=H","UseDPDF=Y")</f>
        <v>-60.2</v>
      </c>
      <c r="J50" s="20">
        <f>_xll.BDH("BLUE US Equity","IS_EPS","FQ1 2021","FQ1 2021","Currency=USD","Period=FQ","BEST_FPERIOD_OVERRIDE=FQ","FILING_STATUS=MR","FA_ADJUSTED=GAAP","Sort=A","Dates=H","DateFormat=P","Fill=—","Direction=H","UseDPDF=Y")</f>
        <v>-61.4</v>
      </c>
      <c r="K50" s="20">
        <f>_xll.BDH("BLUE US Equity","IS_EPS","FQ2 2021","FQ2 2021","Currency=USD","Period=FQ","BEST_FPERIOD_OVERRIDE=FQ","FILING_STATUS=MR","FA_ADJUSTED=GAAP","Sort=A","Dates=H","DateFormat=P","Fill=—","Direction=H","UseDPDF=Y")</f>
        <v>-71.599999999999994</v>
      </c>
      <c r="L50" s="20">
        <f>_xll.BDH("BLUE US Equity","IS_EPS","FQ3 2021","FQ3 2021","Currency=USD","Period=FQ","BEST_FPERIOD_OVERRIDE=FQ","FILING_STATUS=MR","FA_ADJUSTED=GAAP","Sort=A","Dates=H","DateFormat=P","Fill=—","Direction=H","UseDPDF=Y")</f>
        <v>-63.2</v>
      </c>
      <c r="M50" s="20">
        <f>_xll.BDH("BLUE US Equity","IS_EPS","FQ4 2021","FQ4 2021","Currency=USD","Period=FQ","BEST_FPERIOD_OVERRIDE=FQ","FILING_STATUS=MR","FA_ADJUSTED=GAAP","Sort=A","Dates=H","DateFormat=P","Fill=—","Direction=H","UseDPDF=Y")</f>
        <v>-42.8</v>
      </c>
      <c r="N50" s="20">
        <f>_xll.BDH("BLUE US Equity","IS_EPS","FQ1 2022","FQ1 2022","Currency=USD","Period=FQ","BEST_FPERIOD_OVERRIDE=FQ","FILING_STATUS=MR","FA_ADJUSTED=GAAP","Sort=A","Dates=H","DateFormat=P","Fill=—","Direction=H","UseDPDF=Y")</f>
        <v>-33.200000000000003</v>
      </c>
      <c r="O50" s="20">
        <f>_xll.BDH("BLUE US Equity","IS_EPS","FQ2 2022","FQ2 2022","Currency=USD","Period=FQ","BEST_FPERIOD_OVERRIDE=FQ","FILING_STATUS=MR","FA_ADJUSTED=GAAP","Sort=A","Dates=H","DateFormat=P","Fill=—","Direction=H","UseDPDF=Y")</f>
        <v>-27.2</v>
      </c>
      <c r="P50" s="20">
        <f>_xll.BDH("BLUE US Equity","IS_EPS","FQ3 2022","FQ3 2022","Currency=USD","Period=FQ","BEST_FPERIOD_OVERRIDE=FQ","FILING_STATUS=MR","FA_ADJUSTED=GAAP","Sort=A","Dates=H","DateFormat=P","Fill=—","Direction=H","UseDPDF=Y")</f>
        <v>-18.8</v>
      </c>
      <c r="Q50" s="20">
        <f>_xll.BDH("BLUE US Equity","IS_EPS","FQ4 2022","FQ4 2022","Currency=USD","Period=FQ","BEST_FPERIOD_OVERRIDE=FQ","FILING_STATUS=MR","FA_ADJUSTED=GAAP","Sort=A","Dates=H","DateFormat=P","Fill=—","Direction=H","UseDPDF=Y")</f>
        <v>16.0456</v>
      </c>
      <c r="R50" s="20">
        <f>_xll.BDH("BLUE US Equity","IS_EPS","FQ1 2023","FQ1 2023","Currency=USD","Period=FQ","BEST_FPERIOD_OVERRIDE=FQ","FILING_STATUS=MR","FA_ADJUSTED=GAAP","Sort=A","Dates=H","DateFormat=P","Fill=—","Direction=H","UseDPDF=Y")</f>
        <v>3.6</v>
      </c>
      <c r="S50" s="20">
        <f>_xll.BDH("BLUE US Equity","IS_EPS","FQ2 2023","FQ2 2023","Currency=USD","Period=FQ","BEST_FPERIOD_OVERRIDE=FQ","FILING_STATUS=MR","FA_ADJUSTED=GAAP","Sort=A","Dates=H","DateFormat=P","Fill=—","Direction=H","UseDPDF=Y")</f>
        <v>-11.6</v>
      </c>
      <c r="T50" s="20">
        <f>_xll.BDH("BLUE US Equity","IS_EPS","FQ3 2023","FQ3 2023","Currency=USD","Period=FQ","BEST_FPERIOD_OVERRIDE=FQ","FILING_STATUS=MR","FA_ADJUSTED=GAAP","Sort=A","Dates=H","DateFormat=P","Fill=—","Direction=H","UseDPDF=Y")</f>
        <v>-16</v>
      </c>
      <c r="U50" s="20">
        <f>_xll.BDH("BLUE US Equity","IS_EPS","FQ4 2023","FQ4 2023","Currency=USD","Period=FQ","BEST_FPERIOD_OVERRIDE=FQ","FILING_STATUS=MR","FA_ADJUSTED=GAAP","Sort=A","Dates=H","DateFormat=P","Fill=—","Direction=H","UseDPDF=Y")</f>
        <v>-14.9269</v>
      </c>
      <c r="V50" s="20">
        <f>_xll.BDH("BLUE US Equity","IS_EPS","FQ1 2024","FQ1 2024","Currency=USD","Period=FQ","BEST_FPERIOD_OVERRIDE=FQ","FILING_STATUS=MR","FA_ADJUSTED=GAAP","Sort=A","Dates=H","DateFormat=P","Fill=—","Direction=H","UseDPDF=Y")</f>
        <v>-7.2</v>
      </c>
      <c r="W50" s="20">
        <f>_xll.BDH("BLUE US Equity","IS_EPS","FQ2 2024","FQ2 2024","Currency=USD","Period=FQ","BEST_FPERIOD_OVERRIDE=FQ","FILING_STATUS=MR","FA_ADJUSTED=GAAP","Sort=A","Dates=H","DateFormat=P","Fill=—","Direction=H","UseDPDF=Y")</f>
        <v>-8.4</v>
      </c>
      <c r="X50" s="20">
        <f>_xll.BDH("BLUE US Equity","IS_EPS","FQ3 2024","FQ3 2024","Currency=USD","Period=FQ","BEST_FPERIOD_OVERRIDE=FQ","FILING_STATUS=MR","FA_ADJUSTED=GAAP","Sort=A","Dates=H","DateFormat=P","Fill=—","Direction=H","UseDPDF=Y")</f>
        <v>-6.2</v>
      </c>
      <c r="Y50" s="20">
        <f>_xll.BDH("BLUE US Equity","IS_EPS","FQ4 2024","FQ4 2024","Currency=USD","Period=FQ","BEST_FPERIOD_OVERRIDE=FQ","FILING_STATUS=MR","FA_ADJUSTED=GAAP","Sort=A","Dates=H","DateFormat=P","Fill=—","Direction=H","UseDPDF=Y")</f>
        <v>-2.9571000000000001</v>
      </c>
      <c r="Z50" s="20">
        <v>-2.36</v>
      </c>
      <c r="AA50" s="20">
        <v>-0.81899999999999995</v>
      </c>
    </row>
    <row r="51" spans="1:27" x14ac:dyDescent="0.25">
      <c r="A51" s="6" t="s">
        <v>348</v>
      </c>
      <c r="B51" s="6" t="s">
        <v>234</v>
      </c>
      <c r="C51" s="20">
        <f>_xll.BDH("BLUE US Equity","IS_EARN_BEF_XO_ITEMS_PER_SH","FQ2 2019","FQ2 2019","Currency=USD","Period=FQ","BEST_FPERIOD_OVERRIDE=FQ","FILING_STATUS=MR","Sort=A","Dates=H","DateFormat=P","Fill=—","Direction=H","UseDPDF=Y")</f>
        <v>-71</v>
      </c>
      <c r="D51" s="20">
        <f>_xll.BDH("BLUE US Equity","IS_EARN_BEF_XO_ITEMS_PER_SH","FQ3 2019","FQ3 2019","Currency=USD","Period=FQ","BEST_FPERIOD_OVERRIDE=FQ","FILING_STATUS=MR","Sort=A","Dates=H","DateFormat=P","Fill=—","Direction=H","UseDPDF=Y")</f>
        <v>-74.599999999999994</v>
      </c>
      <c r="E51" s="20">
        <f>_xll.BDH("BLUE US Equity","IS_EARN_BEF_XO_ITEMS_PER_SH","FQ4 2019","FQ4 2019","Currency=USD","Period=FQ","BEST_FPERIOD_OVERRIDE=FQ","FILING_STATUS=MR","Sort=A","Dates=H","DateFormat=P","Fill=—","Direction=H","UseDPDF=Y")</f>
        <v>-80.8</v>
      </c>
      <c r="F51" s="20">
        <f>_xll.BDH("BLUE US Equity","IS_EARN_BEF_XO_ITEMS_PER_SH","FQ1 2020","FQ1 2020","Currency=USD","Period=FQ","BEST_FPERIOD_OVERRIDE=FQ","FILING_STATUS=MR","Sort=A","Dates=H","DateFormat=P","Fill=—","Direction=H","UseDPDF=Y")</f>
        <v>-72.8</v>
      </c>
      <c r="G51" s="20">
        <f>_xll.BDH("BLUE US Equity","IS_EARN_BEF_XO_ITEMS_PER_SH","FQ2 2020","FQ2 2020","Currency=USD","Period=FQ","BEST_FPERIOD_OVERRIDE=FQ","FILING_STATUS=MR","Sort=A","Dates=H","DateFormat=P","Fill=—","Direction=H","UseDPDF=Y")</f>
        <v>-7.2</v>
      </c>
      <c r="H51" s="20">
        <f>_xll.BDH("BLUE US Equity","IS_EARN_BEF_XO_ITEMS_PER_SH","FQ3 2020","FQ3 2020","Currency=USD","Period=FQ","BEST_FPERIOD_OVERRIDE=FQ","FILING_STATUS=MR","Sort=A","Dates=H","DateFormat=P","Fill=—","Direction=H","UseDPDF=Y")</f>
        <v>-58.8</v>
      </c>
      <c r="I51" s="20">
        <f>_xll.BDH("BLUE US Equity","IS_EARN_BEF_XO_ITEMS_PER_SH","FQ4 2020","FQ4 2020","Currency=USD","Period=FQ","BEST_FPERIOD_OVERRIDE=FQ","FILING_STATUS=MR","Sort=A","Dates=H","DateFormat=P","Fill=—","Direction=H","UseDPDF=Y")</f>
        <v>-41</v>
      </c>
      <c r="J51" s="20">
        <f>_xll.BDH("BLUE US Equity","IS_EARN_BEF_XO_ITEMS_PER_SH","FQ1 2021","FQ1 2021","Currency=USD","Period=FQ","BEST_FPERIOD_OVERRIDE=FQ","FILING_STATUS=MR","Sort=A","Dates=H","DateFormat=P","Fill=—","Direction=H","UseDPDF=Y")</f>
        <v>-36.200000000000003</v>
      </c>
      <c r="K51" s="20">
        <f>_xll.BDH("BLUE US Equity","IS_EARN_BEF_XO_ITEMS_PER_SH","FQ2 2021","FQ2 2021","Currency=USD","Period=FQ","BEST_FPERIOD_OVERRIDE=FQ","FILING_STATUS=MR","Sort=A","Dates=H","DateFormat=P","Fill=—","Direction=H","UseDPDF=Y")</f>
        <v>-71.599999999999994</v>
      </c>
      <c r="L51" s="20">
        <f>_xll.BDH("BLUE US Equity","IS_EARN_BEF_XO_ITEMS_PER_SH","FQ3 2021","FQ3 2021","Currency=USD","Period=FQ","BEST_FPERIOD_OVERRIDE=FQ","FILING_STATUS=MR","Sort=A","Dates=H","DateFormat=P","Fill=—","Direction=H","UseDPDF=Y")</f>
        <v>-44.6</v>
      </c>
      <c r="M51" s="20">
        <f>_xll.BDH("BLUE US Equity","IS_EARN_BEF_XO_ITEMS_PER_SH","FQ4 2021","FQ4 2021","Currency=USD","Period=FQ","BEST_FPERIOD_OVERRIDE=FQ","FILING_STATUS=MR","Sort=A","Dates=H","DateFormat=P","Fill=—","Direction=H","UseDPDF=Y")</f>
        <v>-36.6</v>
      </c>
      <c r="N51" s="20">
        <f>_xll.BDH("BLUE US Equity","IS_EARN_BEF_XO_ITEMS_PER_SH","FQ1 2022","FQ1 2022","Currency=USD","Period=FQ","BEST_FPERIOD_OVERRIDE=FQ","FILING_STATUS=MR","Sort=A","Dates=H","DateFormat=P","Fill=—","Direction=H","UseDPDF=Y")</f>
        <v>-33.200000000000003</v>
      </c>
      <c r="O51" s="20">
        <f>_xll.BDH("BLUE US Equity","IS_EARN_BEF_XO_ITEMS_PER_SH","FQ2 2022","FQ2 2022","Currency=USD","Period=FQ","BEST_FPERIOD_OVERRIDE=FQ","FILING_STATUS=MR","Sort=A","Dates=H","DateFormat=P","Fill=—","Direction=H","UseDPDF=Y")</f>
        <v>-27.2</v>
      </c>
      <c r="P51" s="20">
        <f>_xll.BDH("BLUE US Equity","IS_EARN_BEF_XO_ITEMS_PER_SH","FQ3 2022","FQ3 2022","Currency=USD","Period=FQ","BEST_FPERIOD_OVERRIDE=FQ","FILING_STATUS=MR","Sort=A","Dates=H","DateFormat=P","Fill=—","Direction=H","UseDPDF=Y")</f>
        <v>-18.8</v>
      </c>
      <c r="Q51" s="20">
        <f>_xll.BDH("BLUE US Equity","IS_EARN_BEF_XO_ITEMS_PER_SH","FQ4 2022","FQ4 2022","Currency=USD","Period=FQ","BEST_FPERIOD_OVERRIDE=FQ","FILING_STATUS=MR","Sort=A","Dates=H","DateFormat=P","Fill=—","Direction=H","UseDPDF=Y")</f>
        <v>16.0456</v>
      </c>
      <c r="R51" s="20">
        <f>_xll.BDH("BLUE US Equity","IS_EARN_BEF_XO_ITEMS_PER_SH","FQ1 2023","FQ1 2023","Currency=USD","Period=FQ","BEST_FPERIOD_OVERRIDE=FQ","FILING_STATUS=MR","Sort=A","Dates=H","DateFormat=P","Fill=—","Direction=H","UseDPDF=Y")</f>
        <v>3.6</v>
      </c>
      <c r="S51" s="20">
        <f>_xll.BDH("BLUE US Equity","IS_EARN_BEF_XO_ITEMS_PER_SH","FQ2 2023","FQ2 2023","Currency=USD","Period=FQ","BEST_FPERIOD_OVERRIDE=FQ","FILING_STATUS=MR","Sort=A","Dates=H","DateFormat=P","Fill=—","Direction=H","UseDPDF=Y")</f>
        <v>-11.6</v>
      </c>
      <c r="T51" s="20">
        <f>_xll.BDH("BLUE US Equity","IS_EARN_BEF_XO_ITEMS_PER_SH","FQ3 2023","FQ3 2023","Currency=USD","Period=FQ","BEST_FPERIOD_OVERRIDE=FQ","FILING_STATUS=MR","Sort=A","Dates=H","DateFormat=P","Fill=—","Direction=H","UseDPDF=Y")</f>
        <v>-16</v>
      </c>
      <c r="U51" s="20">
        <f>_xll.BDH("BLUE US Equity","IS_EARN_BEF_XO_ITEMS_PER_SH","FQ4 2023","FQ4 2023","Currency=USD","Period=FQ","BEST_FPERIOD_OVERRIDE=FQ","FILING_STATUS=MR","Sort=A","Dates=H","DateFormat=P","Fill=—","Direction=H","UseDPDF=Y")</f>
        <v>-14.9269</v>
      </c>
      <c r="V51" s="20">
        <f>_xll.BDH("BLUE US Equity","IS_EARN_BEF_XO_ITEMS_PER_SH","FQ1 2024","FQ1 2024","Currency=USD","Period=FQ","BEST_FPERIOD_OVERRIDE=FQ","FILING_STATUS=MR","Sort=A","Dates=H","DateFormat=P","Fill=—","Direction=H","UseDPDF=Y")</f>
        <v>-7.2</v>
      </c>
      <c r="W51" s="20">
        <f>_xll.BDH("BLUE US Equity","IS_EARN_BEF_XO_ITEMS_PER_SH","FQ2 2024","FQ2 2024","Currency=USD","Period=FQ","BEST_FPERIOD_OVERRIDE=FQ","FILING_STATUS=MR","Sort=A","Dates=H","DateFormat=P","Fill=—","Direction=H","UseDPDF=Y")</f>
        <v>-8.4</v>
      </c>
      <c r="X51" s="20">
        <f>_xll.BDH("BLUE US Equity","IS_EARN_BEF_XO_ITEMS_PER_SH","FQ3 2024","FQ3 2024","Currency=USD","Period=FQ","BEST_FPERIOD_OVERRIDE=FQ","FILING_STATUS=MR","Sort=A","Dates=H","DateFormat=P","Fill=—","Direction=H","UseDPDF=Y")</f>
        <v>-6.2</v>
      </c>
      <c r="Y51" s="20">
        <f>_xll.BDH("BLUE US Equity","IS_EARN_BEF_XO_ITEMS_PER_SH","FQ4 2024","FQ4 2024","Currency=USD","Period=FQ","BEST_FPERIOD_OVERRIDE=FQ","FILING_STATUS=MR","Sort=A","Dates=H","DateFormat=P","Fill=—","Direction=H","UseDPDF=Y")</f>
        <v>-2.9571000000000001</v>
      </c>
      <c r="Z51" s="20">
        <v>-2.36</v>
      </c>
      <c r="AA51" s="20">
        <v>-0.81899999999999995</v>
      </c>
    </row>
    <row r="52" spans="1:27" x14ac:dyDescent="0.25">
      <c r="A52" s="6" t="s">
        <v>349</v>
      </c>
      <c r="B52" s="6" t="s">
        <v>236</v>
      </c>
      <c r="C52" s="20">
        <f>_xll.BDH("BLUE US Equity","IS_BASIC_EPS_CONT_OPS","FQ2 2019","FQ2 2019","Currency=USD","Period=FQ","BEST_FPERIOD_OVERRIDE=FQ","FILING_STATUS=MR","Sort=A","Dates=H","DateFormat=P","Fill=—","Direction=H","UseDPDF=Y")</f>
        <v>-70.919200000000004</v>
      </c>
      <c r="D52" s="20">
        <f>_xll.BDH("BLUE US Equity","IS_BASIC_EPS_CONT_OPS","FQ3 2019","FQ3 2019","Currency=USD","Period=FQ","BEST_FPERIOD_OVERRIDE=FQ","FILING_STATUS=MR","Sort=A","Dates=H","DateFormat=P","Fill=—","Direction=H","UseDPDF=Y")</f>
        <v>-74.296300000000002</v>
      </c>
      <c r="E52" s="20">
        <f>_xll.BDH("BLUE US Equity","IS_BASIC_EPS_CONT_OPS","FQ4 2019","FQ4 2019","Currency=USD","Period=FQ","BEST_FPERIOD_OVERRIDE=FQ","FILING_STATUS=MR","Sort=A","Dates=H","DateFormat=P","Fill=—","Direction=H","UseDPDF=Y")</f>
        <v>-80.302599999999998</v>
      </c>
      <c r="F52" s="20">
        <f>_xll.BDH("BLUE US Equity","IS_BASIC_EPS_CONT_OPS","FQ1 2020","FQ1 2020","Currency=USD","Period=FQ","BEST_FPERIOD_OVERRIDE=FQ","FILING_STATUS=MR","Sort=A","Dates=H","DateFormat=P","Fill=—","Direction=H","UseDPDF=Y")</f>
        <v>-73.778099999999995</v>
      </c>
      <c r="G52" s="20">
        <f>_xll.BDH("BLUE US Equity","IS_BASIC_EPS_CONT_OPS","FQ2 2020","FQ2 2020","Currency=USD","Period=FQ","BEST_FPERIOD_OVERRIDE=FQ","FILING_STATUS=MR","Sort=A","Dates=H","DateFormat=P","Fill=—","Direction=H","UseDPDF=Y")</f>
        <v>-7.5425000000000004</v>
      </c>
      <c r="H52" s="20">
        <f>_xll.BDH("BLUE US Equity","IS_BASIC_EPS_CONT_OPS","FQ3 2020","FQ3 2020","Currency=USD","Period=FQ","BEST_FPERIOD_OVERRIDE=FQ","FILING_STATUS=MR","Sort=A","Dates=H","DateFormat=P","Fill=—","Direction=H","UseDPDF=Y")</f>
        <v>-58.987499999999997</v>
      </c>
      <c r="I52" s="20">
        <f>_xll.BDH("BLUE US Equity","IS_BASIC_EPS_CONT_OPS","FQ4 2020","FQ4 2020","Currency=USD","Period=FQ","BEST_FPERIOD_OVERRIDE=FQ","FILING_STATUS=MR","Sort=A","Dates=H","DateFormat=P","Fill=—","Direction=H","UseDPDF=Y")</f>
        <v>-41</v>
      </c>
      <c r="J52" s="20">
        <f>_xll.BDH("BLUE US Equity","IS_BASIC_EPS_CONT_OPS","FQ1 2021","FQ1 2021","Currency=USD","Period=FQ","BEST_FPERIOD_OVERRIDE=FQ","FILING_STATUS=MR","Sort=A","Dates=H","DateFormat=P","Fill=—","Direction=H","UseDPDF=Y")</f>
        <v>-42.8889</v>
      </c>
      <c r="K52" s="20">
        <f>_xll.BDH("BLUE US Equity","IS_BASIC_EPS_CONT_OPS","FQ2 2021","FQ2 2021","Currency=USD","Period=FQ","BEST_FPERIOD_OVERRIDE=FQ","FILING_STATUS=MR","Sort=A","Dates=H","DateFormat=P","Fill=—","Direction=H","UseDPDF=Y")</f>
        <v>-71.618200000000002</v>
      </c>
      <c r="L52" s="20">
        <f>_xll.BDH("BLUE US Equity","IS_BASIC_EPS_CONT_OPS","FQ3 2021","FQ3 2021","Currency=USD","Period=FQ","BEST_FPERIOD_OVERRIDE=FQ","FILING_STATUS=MR","Sort=A","Dates=H","DateFormat=P","Fill=—","Direction=H","UseDPDF=Y")</f>
        <v>-46.522199999999998</v>
      </c>
      <c r="M52" s="20">
        <f>_xll.BDH("BLUE US Equity","IS_BASIC_EPS_CONT_OPS","FQ4 2021","FQ4 2021","Currency=USD","Period=FQ","BEST_FPERIOD_OVERRIDE=FQ","FILING_STATUS=MR","Sort=A","Dates=H","DateFormat=P","Fill=—","Direction=H","UseDPDF=Y")</f>
        <v>-36.303600000000003</v>
      </c>
      <c r="N52" s="20">
        <f>_xll.BDH("BLUE US Equity","IS_BASIC_EPS_CONT_OPS","FQ1 2022","FQ1 2022","Currency=USD","Period=FQ","BEST_FPERIOD_OVERRIDE=FQ","FILING_STATUS=MR","Sort=A","Dates=H","DateFormat=P","Fill=—","Direction=H","UseDPDF=Y")</f>
        <v>-32.616100000000003</v>
      </c>
      <c r="O52" s="20">
        <f>_xll.BDH("BLUE US Equity","IS_BASIC_EPS_CONT_OPS","FQ2 2022","FQ2 2022","Currency=USD","Period=FQ","BEST_FPERIOD_OVERRIDE=FQ","FILING_STATUS=MR","Sort=A","Dates=H","DateFormat=P","Fill=—","Direction=H","UseDPDF=Y")</f>
        <v>-25.593499999999999</v>
      </c>
      <c r="P52" s="20">
        <f>_xll.BDH("BLUE US Equity","IS_BASIC_EPS_CONT_OPS","FQ3 2022","FQ3 2022","Currency=USD","Period=FQ","BEST_FPERIOD_OVERRIDE=FQ","FILING_STATUS=MR","Sort=A","Dates=H","DateFormat=P","Fill=—","Direction=H","UseDPDF=Y")</f>
        <v>-18.489799999999999</v>
      </c>
      <c r="Q52" s="20">
        <f>_xll.BDH("BLUE US Equity","IS_BASIC_EPS_CONT_OPS","FQ4 2022","FQ4 2022","Currency=USD","Period=FQ","BEST_FPERIOD_OVERRIDE=FQ","FILING_STATUS=MR","Sort=A","Dates=H","DateFormat=P","Fill=—","Direction=H","UseDPDF=Y")</f>
        <v>-3.9992999999999999</v>
      </c>
      <c r="R52" s="20">
        <f>_xll.BDH("BLUE US Equity","IS_BASIC_EPS_CONT_OPS","FQ1 2023","FQ1 2023","Currency=USD","Period=FQ","BEST_FPERIOD_OVERRIDE=FQ","FILING_STATUS=MR","Sort=A","Dates=H","DateFormat=P","Fill=—","Direction=H","UseDPDF=Y")</f>
        <v>-10.5878</v>
      </c>
      <c r="S52" s="20">
        <f>_xll.BDH("BLUE US Equity","IS_BASIC_EPS_CONT_OPS","FQ2 2023","FQ2 2023","Currency=USD","Period=FQ","BEST_FPERIOD_OVERRIDE=FQ","FILING_STATUS=MR","Sort=A","Dates=H","DateFormat=P","Fill=—","Direction=H","UseDPDF=Y")</f>
        <v>-11.6</v>
      </c>
      <c r="T52" s="20">
        <f>_xll.BDH("BLUE US Equity","IS_BASIC_EPS_CONT_OPS","FQ3 2023","FQ3 2023","Currency=USD","Period=FQ","BEST_FPERIOD_OVERRIDE=FQ","FILING_STATUS=MR","Sort=A","Dates=H","DateFormat=P","Fill=—","Direction=H","UseDPDF=Y")</f>
        <v>-16</v>
      </c>
      <c r="U52" s="20">
        <f>_xll.BDH("BLUE US Equity","IS_BASIC_EPS_CONT_OPS","FQ4 2023","FQ4 2023","Currency=USD","Period=FQ","BEST_FPERIOD_OVERRIDE=FQ","FILING_STATUS=MR","Sort=A","Dates=H","DateFormat=P","Fill=—","Direction=H","UseDPDF=Y")</f>
        <v>-14.9269</v>
      </c>
      <c r="V52" s="20">
        <f>_xll.BDH("BLUE US Equity","IS_BASIC_EPS_CONT_OPS","FQ1 2024","FQ1 2024","Currency=USD","Period=FQ","BEST_FPERIOD_OVERRIDE=FQ","FILING_STATUS=MR","Sort=A","Dates=H","DateFormat=P","Fill=—","Direction=H","UseDPDF=Y")</f>
        <v>-7.2</v>
      </c>
      <c r="W52" s="20">
        <f>_xll.BDH("BLUE US Equity","IS_BASIC_EPS_CONT_OPS","FQ2 2024","FQ2 2024","Currency=USD","Period=FQ","BEST_FPERIOD_OVERRIDE=FQ","FILING_STATUS=MR","Sort=A","Dates=H","DateFormat=P","Fill=—","Direction=H","UseDPDF=Y")</f>
        <v>-8.4</v>
      </c>
      <c r="X52" s="20">
        <f>_xll.BDH("BLUE US Equity","IS_BASIC_EPS_CONT_OPS","FQ3 2024","FQ3 2024","Currency=USD","Period=FQ","BEST_FPERIOD_OVERRIDE=FQ","FILING_STATUS=MR","Sort=A","Dates=H","DateFormat=P","Fill=—","Direction=H","UseDPDF=Y")</f>
        <v>-6.0433000000000003</v>
      </c>
      <c r="Y52" s="20">
        <f>_xll.BDH("BLUE US Equity","IS_BASIC_EPS_CONT_OPS","FQ4 2024","FQ4 2024","Currency=USD","Period=FQ","BEST_FPERIOD_OVERRIDE=FQ","FILING_STATUS=MR","Sort=A","Dates=H","DateFormat=P","Fill=—","Direction=H","UseDPDF=Y")</f>
        <v>-2.9609999999999999</v>
      </c>
      <c r="Z52" s="20">
        <v>-2.931</v>
      </c>
      <c r="AA52" s="20">
        <v>-1.5149999999999999</v>
      </c>
    </row>
    <row r="53" spans="1:27" x14ac:dyDescent="0.2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0" t="s">
        <v>226</v>
      </c>
      <c r="B54" s="10" t="s">
        <v>108</v>
      </c>
      <c r="C54" s="13">
        <f>_xll.BDH("BLUE US Equity","IS_SH_FOR_DILUTED_EPS","FQ2 2019","FQ2 2019","Currency=USD","Period=FQ","BEST_FPERIOD_OVERRIDE=FQ","FILING_STATUS=MR","Sort=A","Dates=H","DateFormat=P","Fill=—","Direction=H","UseDPDF=Y")</f>
        <v>2.7583000000000002</v>
      </c>
      <c r="D54" s="13">
        <f>_xll.BDH("BLUE US Equity","IS_SH_FOR_DILUTED_EPS","FQ3 2019","FQ3 2019","Currency=USD","Period=FQ","BEST_FPERIOD_OVERRIDE=FQ","FILING_STATUS=MR","Sort=A","Dates=H","DateFormat=P","Fill=—","Direction=H","UseDPDF=Y")</f>
        <v>2.7646000000000002</v>
      </c>
      <c r="E54" s="13">
        <f>_xll.BDH("BLUE US Equity","IS_SH_FOR_DILUTED_EPS","FQ4 2019","FQ4 2019","Currency=USD","Period=FQ","BEST_FPERIOD_OVERRIDE=FQ","FILING_STATUS=MR","Sort=A","Dates=H","DateFormat=P","Fill=—","Direction=H","UseDPDF=Y")</f>
        <v>2.7671999999999999</v>
      </c>
      <c r="F54" s="13">
        <f>_xll.BDH("BLUE US Equity","IS_SH_FOR_DILUTED_EPS","FQ1 2020","FQ1 2020","Currency=USD","Period=FQ","BEST_FPERIOD_OVERRIDE=FQ","FILING_STATUS=MR","Sort=A","Dates=H","DateFormat=P","Fill=—","Direction=H","UseDPDF=Y")</f>
        <v>2.7795000000000001</v>
      </c>
      <c r="G54" s="13">
        <f>_xll.BDH("BLUE US Equity","IS_SH_FOR_DILUTED_EPS","FQ2 2020","FQ2 2020","Currency=USD","Period=FQ","BEST_FPERIOD_OVERRIDE=FQ","FILING_STATUS=MR","Sort=A","Dates=H","DateFormat=P","Fill=—","Direction=H","UseDPDF=Y")</f>
        <v>3.0192000000000001</v>
      </c>
      <c r="H54" s="13">
        <f>_xll.BDH("BLUE US Equity","IS_SH_FOR_DILUTED_EPS","FQ3 2020","FQ3 2020","Currency=USD","Period=FQ","BEST_FPERIOD_OVERRIDE=FQ","FILING_STATUS=MR","Sort=A","Dates=H","DateFormat=P","Fill=—","Direction=H","UseDPDF=Y")</f>
        <v>3.3126000000000002</v>
      </c>
      <c r="I54" s="13">
        <f>_xll.BDH("BLUE US Equity","IS_SH_FOR_DILUTED_EPS","FQ4 2020","FQ4 2020","Currency=USD","Period=FQ","BEST_FPERIOD_OVERRIDE=FQ","FILING_STATUS=MR","Sort=A","Dates=H","DateFormat=P","Fill=—","Direction=H","UseDPDF=Y")</f>
        <v>3.3197999999999999</v>
      </c>
      <c r="J54" s="13">
        <f>_xll.BDH("BLUE US Equity","IS_SH_FOR_DILUTED_EPS","FQ1 2021","FQ1 2021","Currency=USD","Period=FQ","BEST_FPERIOD_OVERRIDE=FQ","FILING_STATUS=MR","Sort=A","Dates=H","DateFormat=P","Fill=—","Direction=H","UseDPDF=Y")</f>
        <v>3.3488000000000002</v>
      </c>
      <c r="K54" s="13">
        <f>_xll.BDH("BLUE US Equity","IS_SH_FOR_DILUTED_EPS","FQ2 2021","FQ2 2021","Currency=USD","Period=FQ","BEST_FPERIOD_OVERRIDE=FQ","FILING_STATUS=MR","Sort=A","Dates=H","DateFormat=P","Fill=—","Direction=H","UseDPDF=Y")</f>
        <v>3.3744000000000001</v>
      </c>
      <c r="L54" s="13">
        <f>_xll.BDH("BLUE US Equity","IS_SH_FOR_DILUTED_EPS","FQ3 2021","FQ3 2021","Currency=USD","Period=FQ","BEST_FPERIOD_OVERRIDE=FQ","FILING_STATUS=MR","Sort=A","Dates=H","DateFormat=P","Fill=—","Direction=H","UseDPDF=Y")</f>
        <v>3.4310999999999998</v>
      </c>
      <c r="M54" s="13">
        <f>_xll.BDH("BLUE US Equity","IS_SH_FOR_DILUTED_EPS","FQ4 2021","FQ4 2021","Currency=USD","Period=FQ","BEST_FPERIOD_OVERRIDE=FQ","FILING_STATUS=MR","Sort=A","Dates=H","DateFormat=P","Fill=—","Direction=H","UseDPDF=Y")</f>
        <v>3.6248999999999998</v>
      </c>
      <c r="N54" s="13">
        <f>_xll.BDH("BLUE US Equity","IS_SH_FOR_DILUTED_EPS","FQ1 2022","FQ1 2022","Currency=USD","Period=FQ","BEST_FPERIOD_OVERRIDE=FQ","FILING_STATUS=MR","Sort=A","Dates=H","DateFormat=P","Fill=—","Direction=H","UseDPDF=Y")</f>
        <v>3.6844000000000001</v>
      </c>
      <c r="O54" s="13">
        <f>_xll.BDH("BLUE US Equity","IS_SH_FOR_DILUTED_EPS","FQ2 2022","FQ2 2022","Currency=USD","Period=FQ","BEST_FPERIOD_OVERRIDE=FQ","FILING_STATUS=MR","Sort=A","Dates=H","DateFormat=P","Fill=—","Direction=H","UseDPDF=Y")</f>
        <v>3.6884000000000001</v>
      </c>
      <c r="P54" s="13">
        <f>_xll.BDH("BLUE US Equity","IS_SH_FOR_DILUTED_EPS","FQ3 2022","FQ3 2022","Currency=USD","Period=FQ","BEST_FPERIOD_OVERRIDE=FQ","FILING_STATUS=MR","Sort=A","Dates=H","DateFormat=P","Fill=—","Direction=H","UseDPDF=Y")</f>
        <v>4.0772000000000004</v>
      </c>
      <c r="Q54" s="13">
        <f>_xll.BDH("BLUE US Equity","IS_SH_FOR_DILUTED_EPS","FQ4 2022","FQ4 2022","Currency=USD","Period=FQ","BEST_FPERIOD_OVERRIDE=FQ","FILING_STATUS=MR","Sort=A","Dates=H","DateFormat=P","Fill=—","Direction=H","UseDPDF=Y")</f>
        <v>4.2671000000000001</v>
      </c>
      <c r="R54" s="13">
        <f>_xll.BDH("BLUE US Equity","IS_SH_FOR_DILUTED_EPS","FQ1 2023","FQ1 2023","Currency=USD","Period=FQ","BEST_FPERIOD_OVERRIDE=FQ","FILING_STATUS=MR","Sort=A","Dates=H","DateFormat=P","Fill=—","Direction=H","UseDPDF=Y")</f>
        <v>5.1651999999999996</v>
      </c>
      <c r="S54" s="13">
        <f>_xll.BDH("BLUE US Equity","IS_SH_FOR_DILUTED_EPS","FQ2 2023","FQ2 2023","Currency=USD","Period=FQ","BEST_FPERIOD_OVERRIDE=FQ","FILING_STATUS=MR","Sort=A","Dates=H","DateFormat=P","Fill=—","Direction=H","UseDPDF=Y")</f>
        <v>5.4343000000000004</v>
      </c>
      <c r="T54" s="13">
        <f>_xll.BDH("BLUE US Equity","IS_SH_FOR_DILUTED_EPS","FQ3 2023","FQ3 2023","Currency=USD","Period=FQ","BEST_FPERIOD_OVERRIDE=FQ","FILING_STATUS=MR","Sort=A","Dates=H","DateFormat=P","Fill=—","Direction=H","UseDPDF=Y")</f>
        <v>5.4549000000000003</v>
      </c>
      <c r="U54" s="13">
        <f>_xll.BDH("BLUE US Equity","IS_SH_FOR_DILUTED_EPS","FQ4 2023","FQ4 2023","Currency=USD","Period=FQ","BEST_FPERIOD_OVERRIDE=FQ","FILING_STATUS=MR","Sort=A","Dates=H","DateFormat=P","Fill=—","Direction=H","UseDPDF=Y")</f>
        <v>5.9298999999999999</v>
      </c>
      <c r="V54" s="13">
        <f>_xll.BDH("BLUE US Equity","IS_SH_FOR_DILUTED_EPS","FQ1 2024","FQ1 2024","Currency=USD","Period=FQ","BEST_FPERIOD_OVERRIDE=FQ","FILING_STATUS=MR","Sort=A","Dates=H","DateFormat=P","Fill=—","Direction=H","UseDPDF=Y")</f>
        <v>9.6576000000000004</v>
      </c>
      <c r="W54" s="13">
        <f>_xll.BDH("BLUE US Equity","IS_SH_FOR_DILUTED_EPS","FQ2 2024","FQ2 2024","Currency=USD","Period=FQ","BEST_FPERIOD_OVERRIDE=FQ","FILING_STATUS=MR","Sort=A","Dates=H","DateFormat=P","Fill=—","Direction=H","UseDPDF=Y")</f>
        <v>9.6858000000000004</v>
      </c>
      <c r="X54" s="13">
        <f>_xll.BDH("BLUE US Equity","IS_SH_FOR_DILUTED_EPS","FQ3 2024","FQ3 2024","Currency=USD","Period=FQ","BEST_FPERIOD_OVERRIDE=FQ","FILING_STATUS=MR","Sort=A","Dates=H","DateFormat=P","Fill=—","Direction=H","UseDPDF=Y")</f>
        <v>9.6946999999999992</v>
      </c>
      <c r="Y54" s="13">
        <f>_xll.BDH("BLUE US Equity","IS_SH_FOR_DILUTED_EPS","FQ4 2024","FQ4 2024","Currency=USD","Period=FQ","BEST_FPERIOD_OVERRIDE=FQ","FILING_STATUS=MR","Sort=A","Dates=H","DateFormat=P","Fill=—","Direction=H","UseDPDF=Y")</f>
        <v>9.7089999999999996</v>
      </c>
      <c r="Z54" s="13"/>
      <c r="AA54" s="13"/>
    </row>
    <row r="55" spans="1:27" x14ac:dyDescent="0.25">
      <c r="A55" s="6" t="s">
        <v>103</v>
      </c>
      <c r="B55" s="6" t="s">
        <v>104</v>
      </c>
      <c r="C55" s="20">
        <f>_xll.BDH("BLUE US Equity","IS_DILUTED_EPS","FQ2 2019","FQ2 2019","Currency=USD","Period=FQ","BEST_FPERIOD_OVERRIDE=FQ","FILING_STATUS=MR","FA_ADJUSTED=GAAP","Sort=A","Dates=H","DateFormat=P","Fill=—","Direction=H","UseDPDF=Y")</f>
        <v>-71</v>
      </c>
      <c r="D55" s="20">
        <f>_xll.BDH("BLUE US Equity","IS_DILUTED_EPS","FQ3 2019","FQ3 2019","Currency=USD","Period=FQ","BEST_FPERIOD_OVERRIDE=FQ","FILING_STATUS=MR","FA_ADJUSTED=GAAP","Sort=A","Dates=H","DateFormat=P","Fill=—","Direction=H","UseDPDF=Y")</f>
        <v>-74.599999999999994</v>
      </c>
      <c r="E55" s="20">
        <f>_xll.BDH("BLUE US Equity","IS_DILUTED_EPS","FQ4 2019","FQ4 2019","Currency=USD","Period=FQ","BEST_FPERIOD_OVERRIDE=FQ","FILING_STATUS=MR","FA_ADJUSTED=GAAP","Sort=A","Dates=H","DateFormat=P","Fill=—","Direction=H","UseDPDF=Y")</f>
        <v>-80.8</v>
      </c>
      <c r="F55" s="20">
        <f>_xll.BDH("BLUE US Equity","IS_DILUTED_EPS","FQ1 2020","FQ1 2020","Currency=USD","Period=FQ","BEST_FPERIOD_OVERRIDE=FQ","FILING_STATUS=MR","FA_ADJUSTED=GAAP","Sort=A","Dates=H","DateFormat=P","Fill=—","Direction=H","UseDPDF=Y")</f>
        <v>-72.8</v>
      </c>
      <c r="G55" s="20">
        <f>_xll.BDH("BLUE US Equity","IS_DILUTED_EPS","FQ2 2020","FQ2 2020","Currency=USD","Period=FQ","BEST_FPERIOD_OVERRIDE=FQ","FILING_STATUS=MR","FA_ADJUSTED=GAAP","Sort=A","Dates=H","DateFormat=P","Fill=—","Direction=H","UseDPDF=Y")</f>
        <v>-7.2</v>
      </c>
      <c r="H55" s="20">
        <f>_xll.BDH("BLUE US Equity","IS_DILUTED_EPS","FQ3 2020","FQ3 2020","Currency=USD","Period=FQ","BEST_FPERIOD_OVERRIDE=FQ","FILING_STATUS=MR","FA_ADJUSTED=GAAP","Sort=A","Dates=H","DateFormat=P","Fill=—","Direction=H","UseDPDF=Y")</f>
        <v>-58.8</v>
      </c>
      <c r="I55" s="20">
        <f>_xll.BDH("BLUE US Equity","IS_DILUTED_EPS","FQ4 2020","FQ4 2020","Currency=USD","Period=FQ","BEST_FPERIOD_OVERRIDE=FQ","FILING_STATUS=MR","FA_ADJUSTED=GAAP","Sort=A","Dates=H","DateFormat=P","Fill=—","Direction=H","UseDPDF=Y")</f>
        <v>-60.2</v>
      </c>
      <c r="J55" s="20">
        <f>_xll.BDH("BLUE US Equity","IS_DILUTED_EPS","FQ1 2021","FQ1 2021","Currency=USD","Period=FQ","BEST_FPERIOD_OVERRIDE=FQ","FILING_STATUS=MR","FA_ADJUSTED=GAAP","Sort=A","Dates=H","DateFormat=P","Fill=—","Direction=H","UseDPDF=Y")</f>
        <v>-61.4</v>
      </c>
      <c r="K55" s="20">
        <f>_xll.BDH("BLUE US Equity","IS_DILUTED_EPS","FQ2 2021","FQ2 2021","Currency=USD","Period=FQ","BEST_FPERIOD_OVERRIDE=FQ","FILING_STATUS=MR","FA_ADJUSTED=GAAP","Sort=A","Dates=H","DateFormat=P","Fill=—","Direction=H","UseDPDF=Y")</f>
        <v>-71.599999999999994</v>
      </c>
      <c r="L55" s="20">
        <f>_xll.BDH("BLUE US Equity","IS_DILUTED_EPS","FQ3 2021","FQ3 2021","Currency=USD","Period=FQ","BEST_FPERIOD_OVERRIDE=FQ","FILING_STATUS=MR","FA_ADJUSTED=GAAP","Sort=A","Dates=H","DateFormat=P","Fill=—","Direction=H","UseDPDF=Y")</f>
        <v>-63.2</v>
      </c>
      <c r="M55" s="20">
        <f>_xll.BDH("BLUE US Equity","IS_DILUTED_EPS","FQ4 2021","FQ4 2021","Currency=USD","Period=FQ","BEST_FPERIOD_OVERRIDE=FQ","FILING_STATUS=MR","FA_ADJUSTED=GAAP","Sort=A","Dates=H","DateFormat=P","Fill=—","Direction=H","UseDPDF=Y")</f>
        <v>-42.8</v>
      </c>
      <c r="N55" s="20">
        <f>_xll.BDH("BLUE US Equity","IS_DILUTED_EPS","FQ1 2022","FQ1 2022","Currency=USD","Period=FQ","BEST_FPERIOD_OVERRIDE=FQ","FILING_STATUS=MR","FA_ADJUSTED=GAAP","Sort=A","Dates=H","DateFormat=P","Fill=—","Direction=H","UseDPDF=Y")</f>
        <v>-33.200000000000003</v>
      </c>
      <c r="O55" s="20">
        <f>_xll.BDH("BLUE US Equity","IS_DILUTED_EPS","FQ2 2022","FQ2 2022","Currency=USD","Period=FQ","BEST_FPERIOD_OVERRIDE=FQ","FILING_STATUS=MR","FA_ADJUSTED=GAAP","Sort=A","Dates=H","DateFormat=P","Fill=—","Direction=H","UseDPDF=Y")</f>
        <v>-27.2</v>
      </c>
      <c r="P55" s="20">
        <f>_xll.BDH("BLUE US Equity","IS_DILUTED_EPS","FQ3 2022","FQ3 2022","Currency=USD","Period=FQ","BEST_FPERIOD_OVERRIDE=FQ","FILING_STATUS=MR","FA_ADJUSTED=GAAP","Sort=A","Dates=H","DateFormat=P","Fill=—","Direction=H","UseDPDF=Y")</f>
        <v>-18.8</v>
      </c>
      <c r="Q55" s="20">
        <f>_xll.BDH("BLUE US Equity","IS_DILUTED_EPS","FQ4 2022","FQ4 2022","Currency=USD","Period=FQ","BEST_FPERIOD_OVERRIDE=FQ","FILING_STATUS=MR","FA_ADJUSTED=GAAP","Sort=A","Dates=H","DateFormat=P","Fill=—","Direction=H","UseDPDF=Y")</f>
        <v>16.0456</v>
      </c>
      <c r="R55" s="20">
        <f>_xll.BDH("BLUE US Equity","IS_DILUTED_EPS","FQ1 2023","FQ1 2023","Currency=USD","Period=FQ","BEST_FPERIOD_OVERRIDE=FQ","FILING_STATUS=MR","FA_ADJUSTED=GAAP","Sort=A","Dates=H","DateFormat=P","Fill=—","Direction=H","UseDPDF=Y")</f>
        <v>3.6</v>
      </c>
      <c r="S55" s="20">
        <f>_xll.BDH("BLUE US Equity","IS_DILUTED_EPS","FQ2 2023","FQ2 2023","Currency=USD","Period=FQ","BEST_FPERIOD_OVERRIDE=FQ","FILING_STATUS=MR","FA_ADJUSTED=GAAP","Sort=A","Dates=H","DateFormat=P","Fill=—","Direction=H","UseDPDF=Y")</f>
        <v>-11.6</v>
      </c>
      <c r="T55" s="20">
        <f>_xll.BDH("BLUE US Equity","IS_DILUTED_EPS","FQ3 2023","FQ3 2023","Currency=USD","Period=FQ","BEST_FPERIOD_OVERRIDE=FQ","FILING_STATUS=MR","FA_ADJUSTED=GAAP","Sort=A","Dates=H","DateFormat=P","Fill=—","Direction=H","UseDPDF=Y")</f>
        <v>-16</v>
      </c>
      <c r="U55" s="20">
        <f>_xll.BDH("BLUE US Equity","IS_DILUTED_EPS","FQ4 2023","FQ4 2023","Currency=USD","Period=FQ","BEST_FPERIOD_OVERRIDE=FQ","FILING_STATUS=MR","FA_ADJUSTED=GAAP","Sort=A","Dates=H","DateFormat=P","Fill=—","Direction=H","UseDPDF=Y")</f>
        <v>-14.9269</v>
      </c>
      <c r="V55" s="20">
        <f>_xll.BDH("BLUE US Equity","IS_DILUTED_EPS","FQ1 2024","FQ1 2024","Currency=USD","Period=FQ","BEST_FPERIOD_OVERRIDE=FQ","FILING_STATUS=MR","FA_ADJUSTED=GAAP","Sort=A","Dates=H","DateFormat=P","Fill=—","Direction=H","UseDPDF=Y")</f>
        <v>-7.2</v>
      </c>
      <c r="W55" s="20">
        <f>_xll.BDH("BLUE US Equity","IS_DILUTED_EPS","FQ2 2024","FQ2 2024","Currency=USD","Period=FQ","BEST_FPERIOD_OVERRIDE=FQ","FILING_STATUS=MR","FA_ADJUSTED=GAAP","Sort=A","Dates=H","DateFormat=P","Fill=—","Direction=H","UseDPDF=Y")</f>
        <v>-8.4</v>
      </c>
      <c r="X55" s="20">
        <f>_xll.BDH("BLUE US Equity","IS_DILUTED_EPS","FQ3 2024","FQ3 2024","Currency=USD","Period=FQ","BEST_FPERIOD_OVERRIDE=FQ","FILING_STATUS=MR","FA_ADJUSTED=GAAP","Sort=A","Dates=H","DateFormat=P","Fill=—","Direction=H","UseDPDF=Y")</f>
        <v>-6.2</v>
      </c>
      <c r="Y55" s="20">
        <f>_xll.BDH("BLUE US Equity","IS_DILUTED_EPS","FQ4 2024","FQ4 2024","Currency=USD","Period=FQ","BEST_FPERIOD_OVERRIDE=FQ","FILING_STATUS=MR","FA_ADJUSTED=GAAP","Sort=A","Dates=H","DateFormat=P","Fill=—","Direction=H","UseDPDF=Y")</f>
        <v>-2.9571000000000001</v>
      </c>
      <c r="Z55" s="20">
        <v>-2.36</v>
      </c>
      <c r="AA55" s="20">
        <v>-0.81899999999999995</v>
      </c>
    </row>
    <row r="56" spans="1:27" x14ac:dyDescent="0.25">
      <c r="A56" s="6" t="s">
        <v>350</v>
      </c>
      <c r="B56" s="6" t="s">
        <v>239</v>
      </c>
      <c r="C56" s="20">
        <f>_xll.BDH("BLUE US Equity","IS_DIL_EPS_BEF_XO","FQ2 2019","FQ2 2019","Currency=USD","Period=FQ","BEST_FPERIOD_OVERRIDE=FQ","FILING_STATUS=MR","Sort=A","Dates=H","DateFormat=P","Fill=—","Direction=H","UseDPDF=Y")</f>
        <v>-71</v>
      </c>
      <c r="D56" s="20">
        <f>_xll.BDH("BLUE US Equity","IS_DIL_EPS_BEF_XO","FQ3 2019","FQ3 2019","Currency=USD","Period=FQ","BEST_FPERIOD_OVERRIDE=FQ","FILING_STATUS=MR","Sort=A","Dates=H","DateFormat=P","Fill=—","Direction=H","UseDPDF=Y")</f>
        <v>-74.599999999999994</v>
      </c>
      <c r="E56" s="20">
        <f>_xll.BDH("BLUE US Equity","IS_DIL_EPS_BEF_XO","FQ4 2019","FQ4 2019","Currency=USD","Period=FQ","BEST_FPERIOD_OVERRIDE=FQ","FILING_STATUS=MR","Sort=A","Dates=H","DateFormat=P","Fill=—","Direction=H","UseDPDF=Y")</f>
        <v>-80.8</v>
      </c>
      <c r="F56" s="20">
        <f>_xll.BDH("BLUE US Equity","IS_DIL_EPS_BEF_XO","FQ1 2020","FQ1 2020","Currency=USD","Period=FQ","BEST_FPERIOD_OVERRIDE=FQ","FILING_STATUS=MR","Sort=A","Dates=H","DateFormat=P","Fill=—","Direction=H","UseDPDF=Y")</f>
        <v>-72.8</v>
      </c>
      <c r="G56" s="20">
        <f>_xll.BDH("BLUE US Equity","IS_DIL_EPS_BEF_XO","FQ2 2020","FQ2 2020","Currency=USD","Period=FQ","BEST_FPERIOD_OVERRIDE=FQ","FILING_STATUS=MR","Sort=A","Dates=H","DateFormat=P","Fill=—","Direction=H","UseDPDF=Y")</f>
        <v>-7.2</v>
      </c>
      <c r="H56" s="20">
        <f>_xll.BDH("BLUE US Equity","IS_DIL_EPS_BEF_XO","FQ3 2020","FQ3 2020","Currency=USD","Period=FQ","BEST_FPERIOD_OVERRIDE=FQ","FILING_STATUS=MR","Sort=A","Dates=H","DateFormat=P","Fill=—","Direction=H","UseDPDF=Y")</f>
        <v>-58.8</v>
      </c>
      <c r="I56" s="20">
        <f>_xll.BDH("BLUE US Equity","IS_DIL_EPS_BEF_XO","FQ4 2020","FQ4 2020","Currency=USD","Period=FQ","BEST_FPERIOD_OVERRIDE=FQ","FILING_STATUS=MR","Sort=A","Dates=H","DateFormat=P","Fill=—","Direction=H","UseDPDF=Y")</f>
        <v>-41</v>
      </c>
      <c r="J56" s="20">
        <f>_xll.BDH("BLUE US Equity","IS_DIL_EPS_BEF_XO","FQ1 2021","FQ1 2021","Currency=USD","Period=FQ","BEST_FPERIOD_OVERRIDE=FQ","FILING_STATUS=MR","Sort=A","Dates=H","DateFormat=P","Fill=—","Direction=H","UseDPDF=Y")</f>
        <v>-36.200000000000003</v>
      </c>
      <c r="K56" s="20">
        <f>_xll.BDH("BLUE US Equity","IS_DIL_EPS_BEF_XO","FQ2 2021","FQ2 2021","Currency=USD","Period=FQ","BEST_FPERIOD_OVERRIDE=FQ","FILING_STATUS=MR","Sort=A","Dates=H","DateFormat=P","Fill=—","Direction=H","UseDPDF=Y")</f>
        <v>-71.599999999999994</v>
      </c>
      <c r="L56" s="20">
        <f>_xll.BDH("BLUE US Equity","IS_DIL_EPS_BEF_XO","FQ3 2021","FQ3 2021","Currency=USD","Period=FQ","BEST_FPERIOD_OVERRIDE=FQ","FILING_STATUS=MR","Sort=A","Dates=H","DateFormat=P","Fill=—","Direction=H","UseDPDF=Y")</f>
        <v>-44.6</v>
      </c>
      <c r="M56" s="20">
        <f>_xll.BDH("BLUE US Equity","IS_DIL_EPS_BEF_XO","FQ4 2021","FQ4 2021","Currency=USD","Period=FQ","BEST_FPERIOD_OVERRIDE=FQ","FILING_STATUS=MR","Sort=A","Dates=H","DateFormat=P","Fill=—","Direction=H","UseDPDF=Y")</f>
        <v>-36.6</v>
      </c>
      <c r="N56" s="20">
        <f>_xll.BDH("BLUE US Equity","IS_DIL_EPS_BEF_XO","FQ1 2022","FQ1 2022","Currency=USD","Period=FQ","BEST_FPERIOD_OVERRIDE=FQ","FILING_STATUS=MR","Sort=A","Dates=H","DateFormat=P","Fill=—","Direction=H","UseDPDF=Y")</f>
        <v>-33.200000000000003</v>
      </c>
      <c r="O56" s="20">
        <f>_xll.BDH("BLUE US Equity","IS_DIL_EPS_BEF_XO","FQ2 2022","FQ2 2022","Currency=USD","Period=FQ","BEST_FPERIOD_OVERRIDE=FQ","FILING_STATUS=MR","Sort=A","Dates=H","DateFormat=P","Fill=—","Direction=H","UseDPDF=Y")</f>
        <v>-27.2</v>
      </c>
      <c r="P56" s="20">
        <f>_xll.BDH("BLUE US Equity","IS_DIL_EPS_BEF_XO","FQ3 2022","FQ3 2022","Currency=USD","Period=FQ","BEST_FPERIOD_OVERRIDE=FQ","FILING_STATUS=MR","Sort=A","Dates=H","DateFormat=P","Fill=—","Direction=H","UseDPDF=Y")</f>
        <v>-18.8</v>
      </c>
      <c r="Q56" s="20">
        <f>_xll.BDH("BLUE US Equity","IS_DIL_EPS_BEF_XO","FQ4 2022","FQ4 2022","Currency=USD","Period=FQ","BEST_FPERIOD_OVERRIDE=FQ","FILING_STATUS=MR","Sort=A","Dates=H","DateFormat=P","Fill=—","Direction=H","UseDPDF=Y")</f>
        <v>16.0456</v>
      </c>
      <c r="R56" s="20">
        <f>_xll.BDH("BLUE US Equity","IS_DIL_EPS_BEF_XO","FQ1 2023","FQ1 2023","Currency=USD","Period=FQ","BEST_FPERIOD_OVERRIDE=FQ","FILING_STATUS=MR","Sort=A","Dates=H","DateFormat=P","Fill=—","Direction=H","UseDPDF=Y")</f>
        <v>3.6</v>
      </c>
      <c r="S56" s="20">
        <f>_xll.BDH("BLUE US Equity","IS_DIL_EPS_BEF_XO","FQ2 2023","FQ2 2023","Currency=USD","Period=FQ","BEST_FPERIOD_OVERRIDE=FQ","FILING_STATUS=MR","Sort=A","Dates=H","DateFormat=P","Fill=—","Direction=H","UseDPDF=Y")</f>
        <v>-11.6</v>
      </c>
      <c r="T56" s="20">
        <f>_xll.BDH("BLUE US Equity","IS_DIL_EPS_BEF_XO","FQ3 2023","FQ3 2023","Currency=USD","Period=FQ","BEST_FPERIOD_OVERRIDE=FQ","FILING_STATUS=MR","Sort=A","Dates=H","DateFormat=P","Fill=—","Direction=H","UseDPDF=Y")</f>
        <v>-16</v>
      </c>
      <c r="U56" s="20">
        <f>_xll.BDH("BLUE US Equity","IS_DIL_EPS_BEF_XO","FQ4 2023","FQ4 2023","Currency=USD","Period=FQ","BEST_FPERIOD_OVERRIDE=FQ","FILING_STATUS=MR","Sort=A","Dates=H","DateFormat=P","Fill=—","Direction=H","UseDPDF=Y")</f>
        <v>-14.9269</v>
      </c>
      <c r="V56" s="20">
        <f>_xll.BDH("BLUE US Equity","IS_DIL_EPS_BEF_XO","FQ1 2024","FQ1 2024","Currency=USD","Period=FQ","BEST_FPERIOD_OVERRIDE=FQ","FILING_STATUS=MR","Sort=A","Dates=H","DateFormat=P","Fill=—","Direction=H","UseDPDF=Y")</f>
        <v>-7.2</v>
      </c>
      <c r="W56" s="20">
        <f>_xll.BDH("BLUE US Equity","IS_DIL_EPS_BEF_XO","FQ2 2024","FQ2 2024","Currency=USD","Period=FQ","BEST_FPERIOD_OVERRIDE=FQ","FILING_STATUS=MR","Sort=A","Dates=H","DateFormat=P","Fill=—","Direction=H","UseDPDF=Y")</f>
        <v>-8.4</v>
      </c>
      <c r="X56" s="20">
        <f>_xll.BDH("BLUE US Equity","IS_DIL_EPS_BEF_XO","FQ3 2024","FQ3 2024","Currency=USD","Period=FQ","BEST_FPERIOD_OVERRIDE=FQ","FILING_STATUS=MR","Sort=A","Dates=H","DateFormat=P","Fill=—","Direction=H","UseDPDF=Y")</f>
        <v>-6.2</v>
      </c>
      <c r="Y56" s="20">
        <f>_xll.BDH("BLUE US Equity","IS_DIL_EPS_BEF_XO","FQ4 2024","FQ4 2024","Currency=USD","Period=FQ","BEST_FPERIOD_OVERRIDE=FQ","FILING_STATUS=MR","Sort=A","Dates=H","DateFormat=P","Fill=—","Direction=H","UseDPDF=Y")</f>
        <v>-2.9571000000000001</v>
      </c>
      <c r="Z56" s="20">
        <v>-2.36</v>
      </c>
      <c r="AA56" s="20">
        <v>-0.81899999999999995</v>
      </c>
    </row>
    <row r="57" spans="1:27" x14ac:dyDescent="0.25">
      <c r="A57" s="6" t="s">
        <v>351</v>
      </c>
      <c r="B57" s="6" t="s">
        <v>82</v>
      </c>
      <c r="C57" s="20">
        <f>_xll.BDH("BLUE US Equity","IS_DIL_EPS_CONT_OPS","FQ2 2019","FQ2 2019","Currency=USD","Period=FQ","BEST_FPERIOD_OVERRIDE=FQ","FILING_STATUS=MR","Sort=A","Dates=H","DateFormat=P","Fill=—","Direction=H","UseDPDF=Y")</f>
        <v>-70.938699999999997</v>
      </c>
      <c r="D57" s="20">
        <f>_xll.BDH("BLUE US Equity","IS_DIL_EPS_CONT_OPS","FQ3 2019","FQ3 2019","Currency=USD","Period=FQ","BEST_FPERIOD_OVERRIDE=FQ","FILING_STATUS=MR","Sort=A","Dates=H","DateFormat=P","Fill=—","Direction=H","UseDPDF=Y")</f>
        <v>-74.370800000000003</v>
      </c>
      <c r="E57" s="20">
        <f>_xll.BDH("BLUE US Equity","IS_DIL_EPS_CONT_OPS","FQ4 2019","FQ4 2019","Currency=USD","Period=FQ","BEST_FPERIOD_OVERRIDE=FQ","FILING_STATUS=MR","Sort=A","Dates=H","DateFormat=P","Fill=—","Direction=H","UseDPDF=Y")</f>
        <v>-80.390299999999996</v>
      </c>
      <c r="F57" s="20">
        <f>_xll.BDH("BLUE US Equity","IS_DIL_EPS_CONT_OPS","FQ1 2020","FQ1 2020","Currency=USD","Period=FQ","BEST_FPERIOD_OVERRIDE=FQ","FILING_STATUS=MR","Sort=A","Dates=H","DateFormat=P","Fill=—","Direction=H","UseDPDF=Y")</f>
        <v>-73.778099999999995</v>
      </c>
      <c r="G57" s="20">
        <f>_xll.BDH("BLUE US Equity","IS_DIL_EPS_CONT_OPS","FQ2 2020","FQ2 2020","Currency=USD","Period=FQ","BEST_FPERIOD_OVERRIDE=FQ","FILING_STATUS=MR","Sort=A","Dates=H","DateFormat=P","Fill=—","Direction=H","UseDPDF=Y")</f>
        <v>-7.633</v>
      </c>
      <c r="H57" s="20">
        <f>_xll.BDH("BLUE US Equity","IS_DIL_EPS_CONT_OPS","FQ3 2020","FQ3 2020","Currency=USD","Period=FQ","BEST_FPERIOD_OVERRIDE=FQ","FILING_STATUS=MR","Sort=A","Dates=H","DateFormat=P","Fill=—","Direction=H","UseDPDF=Y")</f>
        <v>-58.997500000000002</v>
      </c>
      <c r="I57" s="20">
        <f>_xll.BDH("BLUE US Equity","IS_DIL_EPS_CONT_OPS","FQ4 2020","FQ4 2020","Currency=USD","Period=FQ","BEST_FPERIOD_OVERRIDE=FQ","FILING_STATUS=MR","Sort=A","Dates=H","DateFormat=P","Fill=—","Direction=H","UseDPDF=Y")</f>
        <v>-41</v>
      </c>
      <c r="J57" s="20">
        <f>_xll.BDH("BLUE US Equity","IS_DIL_EPS_CONT_OPS","FQ1 2021","FQ1 2021","Currency=USD","Period=FQ","BEST_FPERIOD_OVERRIDE=FQ","FILING_STATUS=MR","Sort=A","Dates=H","DateFormat=P","Fill=—","Direction=H","UseDPDF=Y")</f>
        <v>-42.8889</v>
      </c>
      <c r="K57" s="20">
        <f>_xll.BDH("BLUE US Equity","IS_DIL_EPS_CONT_OPS","FQ2 2021","FQ2 2021","Currency=USD","Period=FQ","BEST_FPERIOD_OVERRIDE=FQ","FILING_STATUS=MR","Sort=A","Dates=H","DateFormat=P","Fill=—","Direction=H","UseDPDF=Y")</f>
        <v>-71.618200000000002</v>
      </c>
      <c r="L57" s="20">
        <f>_xll.BDH("BLUE US Equity","IS_DIL_EPS_CONT_OPS","FQ3 2021","FQ3 2021","Currency=USD","Period=FQ","BEST_FPERIOD_OVERRIDE=FQ","FILING_STATUS=MR","Sort=A","Dates=H","DateFormat=P","Fill=—","Direction=H","UseDPDF=Y")</f>
        <v>-46.577800000000003</v>
      </c>
      <c r="M57" s="20">
        <f>_xll.BDH("BLUE US Equity","IS_DIL_EPS_CONT_OPS","FQ4 2021","FQ4 2021","Currency=USD","Period=FQ","BEST_FPERIOD_OVERRIDE=FQ","FILING_STATUS=MR","Sort=A","Dates=H","DateFormat=P","Fill=—","Direction=H","UseDPDF=Y")</f>
        <v>-36.398600000000002</v>
      </c>
      <c r="N57" s="20">
        <f>_xll.BDH("BLUE US Equity","IS_DIL_EPS_CONT_OPS","FQ1 2022","FQ1 2022","Currency=USD","Period=FQ","BEST_FPERIOD_OVERRIDE=FQ","FILING_STATUS=MR","Sort=A","Dates=H","DateFormat=P","Fill=—","Direction=H","UseDPDF=Y")</f>
        <v>-32.662199999999999</v>
      </c>
      <c r="O57" s="20">
        <f>_xll.BDH("BLUE US Equity","IS_DIL_EPS_CONT_OPS","FQ2 2022","FQ2 2022","Currency=USD","Period=FQ","BEST_FPERIOD_OVERRIDE=FQ","FILING_STATUS=MR","Sort=A","Dates=H","DateFormat=P","Fill=—","Direction=H","UseDPDF=Y")</f>
        <v>-25.643699999999999</v>
      </c>
      <c r="P57" s="20">
        <f>_xll.BDH("BLUE US Equity","IS_DIL_EPS_CONT_OPS","FQ3 2022","FQ3 2022","Currency=USD","Period=FQ","BEST_FPERIOD_OVERRIDE=FQ","FILING_STATUS=MR","Sort=A","Dates=H","DateFormat=P","Fill=—","Direction=H","UseDPDF=Y")</f>
        <v>-18.521799999999999</v>
      </c>
      <c r="Q57" s="20">
        <f>_xll.BDH("BLUE US Equity","IS_DIL_EPS_CONT_OPS","FQ4 2022","FQ4 2022","Currency=USD","Period=FQ","BEST_FPERIOD_OVERRIDE=FQ","FILING_STATUS=MR","Sort=A","Dates=H","DateFormat=P","Fill=—","Direction=H","UseDPDF=Y")</f>
        <v>-3.9992999999999999</v>
      </c>
      <c r="R57" s="20">
        <f>_xll.BDH("BLUE US Equity","IS_DIL_EPS_CONT_OPS","FQ1 2023","FQ1 2023","Currency=USD","Period=FQ","BEST_FPERIOD_OVERRIDE=FQ","FILING_STATUS=MR","Sort=A","Dates=H","DateFormat=P","Fill=—","Direction=H","UseDPDF=Y")</f>
        <v>-10.6135</v>
      </c>
      <c r="S57" s="20">
        <f>_xll.BDH("BLUE US Equity","IS_DIL_EPS_CONT_OPS","FQ2 2023","FQ2 2023","Currency=USD","Period=FQ","BEST_FPERIOD_OVERRIDE=FQ","FILING_STATUS=MR","Sort=A","Dates=H","DateFormat=P","Fill=—","Direction=H","UseDPDF=Y")</f>
        <v>-11.6</v>
      </c>
      <c r="T57" s="20">
        <f>_xll.BDH("BLUE US Equity","IS_DIL_EPS_CONT_OPS","FQ3 2023","FQ3 2023","Currency=USD","Period=FQ","BEST_FPERIOD_OVERRIDE=FQ","FILING_STATUS=MR","Sort=A","Dates=H","DateFormat=P","Fill=—","Direction=H","UseDPDF=Y")</f>
        <v>-16</v>
      </c>
      <c r="U57" s="20">
        <f>_xll.BDH("BLUE US Equity","IS_DIL_EPS_CONT_OPS","FQ4 2023","FQ4 2023","Currency=USD","Period=FQ","BEST_FPERIOD_OVERRIDE=FQ","FILING_STATUS=MR","Sort=A","Dates=H","DateFormat=P","Fill=—","Direction=H","UseDPDF=Y")</f>
        <v>-14.9269</v>
      </c>
      <c r="V57" s="20">
        <f>_xll.BDH("BLUE US Equity","IS_DIL_EPS_CONT_OPS","FQ1 2024","FQ1 2024","Currency=USD","Period=FQ","BEST_FPERIOD_OVERRIDE=FQ","FILING_STATUS=MR","Sort=A","Dates=H","DateFormat=P","Fill=—","Direction=H","UseDPDF=Y")</f>
        <v>-7.2</v>
      </c>
      <c r="W57" s="20">
        <f>_xll.BDH("BLUE US Equity","IS_DIL_EPS_CONT_OPS","FQ2 2024","FQ2 2024","Currency=USD","Period=FQ","BEST_FPERIOD_OVERRIDE=FQ","FILING_STATUS=MR","Sort=A","Dates=H","DateFormat=P","Fill=—","Direction=H","UseDPDF=Y")</f>
        <v>-8.4</v>
      </c>
      <c r="X57" s="20">
        <f>_xll.BDH("BLUE US Equity","IS_DIL_EPS_CONT_OPS","FQ3 2024","FQ3 2024","Currency=USD","Period=FQ","BEST_FPERIOD_OVERRIDE=FQ","FILING_STATUS=MR","Sort=A","Dates=H","DateFormat=P","Fill=—","Direction=H","UseDPDF=Y")</f>
        <v>-6.0433000000000003</v>
      </c>
      <c r="Y57" s="20">
        <f>_xll.BDH("BLUE US Equity","IS_DIL_EPS_CONT_OPS","FQ4 2024","FQ4 2024","Currency=USD","Period=FQ","BEST_FPERIOD_OVERRIDE=FQ","FILING_STATUS=MR","Sort=A","Dates=H","DateFormat=P","Fill=—","Direction=H","UseDPDF=Y")</f>
        <v>-2.9609999999999999</v>
      </c>
      <c r="Z57" s="20">
        <v>-2.931</v>
      </c>
      <c r="AA57" s="20">
        <v>-1.5149999999999999</v>
      </c>
    </row>
    <row r="58" spans="1:27" x14ac:dyDescent="0.25">
      <c r="A58" s="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6" t="s">
        <v>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0" t="s">
        <v>352</v>
      </c>
      <c r="B60" s="10" t="s">
        <v>353</v>
      </c>
      <c r="C60" s="12" t="s">
        <v>354</v>
      </c>
      <c r="D60" s="12" t="s">
        <v>354</v>
      </c>
      <c r="E60" s="12" t="s">
        <v>354</v>
      </c>
      <c r="F60" s="12" t="s">
        <v>354</v>
      </c>
      <c r="G60" s="12" t="s">
        <v>354</v>
      </c>
      <c r="H60" s="12" t="s">
        <v>354</v>
      </c>
      <c r="I60" s="12" t="s">
        <v>354</v>
      </c>
      <c r="J60" s="12" t="s">
        <v>354</v>
      </c>
      <c r="K60" s="12" t="s">
        <v>354</v>
      </c>
      <c r="L60" s="12" t="s">
        <v>354</v>
      </c>
      <c r="M60" s="12" t="s">
        <v>354</v>
      </c>
      <c r="N60" s="12" t="s">
        <v>354</v>
      </c>
      <c r="O60" s="12" t="s">
        <v>354</v>
      </c>
      <c r="P60" s="12" t="s">
        <v>354</v>
      </c>
      <c r="Q60" s="12" t="s">
        <v>354</v>
      </c>
      <c r="R60" s="12" t="s">
        <v>354</v>
      </c>
      <c r="S60" s="12" t="s">
        <v>354</v>
      </c>
      <c r="T60" s="12" t="s">
        <v>354</v>
      </c>
      <c r="U60" s="12" t="s">
        <v>354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/>
      <c r="AA60" s="12"/>
    </row>
    <row r="61" spans="1:27" x14ac:dyDescent="0.25">
      <c r="A61" s="10" t="s">
        <v>78</v>
      </c>
      <c r="B61" s="10" t="s">
        <v>78</v>
      </c>
      <c r="C61" s="13">
        <f>_xll.BDH("BLUE US Equity","EBITDA","FQ2 2019","FQ2 2019","Currency=USD","Period=FQ","BEST_FPERIOD_OVERRIDE=FQ","FILING_STATUS=MR","SCALING_FORMAT=MLN","FA_ADJUSTED=Adjusted","Sort=A","Dates=H","DateFormat=P","Fill=—","Direction=H","UseDPDF=Y")</f>
        <v>-189.523</v>
      </c>
      <c r="D61" s="13">
        <f>_xll.BDH("BLUE US Equity","EBITDA","FQ3 2019","FQ3 2019","Currency=USD","Period=FQ","BEST_FPERIOD_OVERRIDE=FQ","FILING_STATUS=MR","SCALING_FORMAT=MLN","FA_ADJUSTED=Adjusted","Sort=A","Dates=H","DateFormat=P","Fill=—","Direction=H","UseDPDF=Y")</f>
        <v>-196.22399999999999</v>
      </c>
      <c r="E61" s="13">
        <f>_xll.BDH("BLUE US Equity","EBITDA","FQ4 2019","FQ4 2019","Currency=USD","Period=FQ","BEST_FPERIOD_OVERRIDE=FQ","FILING_STATUS=MR","SCALING_FORMAT=MLN","FA_ADJUSTED=Adjusted","Sort=A","Dates=H","DateFormat=P","Fill=—","Direction=H","UseDPDF=Y")</f>
        <v>-214.941</v>
      </c>
      <c r="F61" s="13">
        <f>_xll.BDH("BLUE US Equity","EBITDA","FQ1 2020","FQ1 2020","Currency=USD","Period=FQ","BEST_FPERIOD_OVERRIDE=FQ","FILING_STATUS=MR","SCALING_FORMAT=MLN","FA_ADJUSTED=Adjusted","Sort=A","Dates=H","DateFormat=P","Fill=—","Direction=H","UseDPDF=Y")</f>
        <v>-201.65299999999999</v>
      </c>
      <c r="G61" s="13">
        <f>_xll.BDH("BLUE US Equity","EBITDA","FQ2 2020","FQ2 2020","Currency=USD","Period=FQ","BEST_FPERIOD_OVERRIDE=FQ","FILING_STATUS=MR","SCALING_FORMAT=MLN","FA_ADJUSTED=Adjusted","Sort=A","Dates=H","DateFormat=P","Fill=—","Direction=H","UseDPDF=Y")</f>
        <v>-23.05</v>
      </c>
      <c r="H61" s="13">
        <f>_xll.BDH("BLUE US Equity","EBITDA","FQ3 2020","FQ3 2020","Currency=USD","Period=FQ","BEST_FPERIOD_OVERRIDE=FQ","FILING_STATUS=MR","SCALING_FORMAT=MLN","FA_ADJUSTED=Adjusted","Sort=A","Dates=H","DateFormat=P","Fill=—","Direction=H","UseDPDF=Y")</f>
        <v>-185.57400000000001</v>
      </c>
      <c r="I61" s="13">
        <f>_xll.BDH("BLUE US Equity","EBITDA","FQ4 2020","FQ4 2020","Currency=USD","Period=FQ","BEST_FPERIOD_OVERRIDE=FQ","FILING_STATUS=MR","SCALING_FORMAT=MLN","FA_ADJUSTED=Adjusted","Sort=A","Dates=H","DateFormat=P","Fill=—","Direction=H","UseDPDF=Y")</f>
        <v>-134.40899999999999</v>
      </c>
      <c r="J61" s="13">
        <f>_xll.BDH("BLUE US Equity","EBITDA","FQ1 2021","FQ1 2021","Currency=USD","Period=FQ","BEST_FPERIOD_OVERRIDE=FQ","FILING_STATUS=MR","SCALING_FORMAT=MLN","FA_ADJUSTED=Adjusted","Sort=A","Dates=H","DateFormat=P","Fill=—","Direction=H","UseDPDF=Y")</f>
        <v>-168.73699999999999</v>
      </c>
      <c r="K61" s="13">
        <f>_xll.BDH("BLUE US Equity","EBITDA","FQ2 2021","FQ2 2021","Currency=USD","Period=FQ","BEST_FPERIOD_OVERRIDE=FQ","FILING_STATUS=MR","SCALING_FORMAT=MLN","FA_ADJUSTED=Adjusted","Sort=A","Dates=H","DateFormat=P","Fill=—","Direction=H","UseDPDF=Y")</f>
        <v>-234.798</v>
      </c>
      <c r="L61" s="13">
        <f>_xll.BDH("BLUE US Equity","EBITDA","FQ3 2021","FQ3 2021","Currency=USD","Period=FQ","BEST_FPERIOD_OVERRIDE=FQ","FILING_STATUS=MR","SCALING_FORMAT=MLN","FA_ADJUSTED=Adjusted","Sort=A","Dates=H","DateFormat=P","Fill=—","Direction=H","UseDPDF=Y")</f>
        <v>-128.292</v>
      </c>
      <c r="M61" s="13">
        <f>_xll.BDH("BLUE US Equity","EBITDA","FQ4 2021","FQ4 2021","Currency=USD","Period=FQ","BEST_FPERIOD_OVERRIDE=FQ","FILING_STATUS=MR","SCALING_FORMAT=MLN","FA_ADJUSTED=Adjusted","Sort=A","Dates=H","DateFormat=P","Fill=—","Direction=H","UseDPDF=Y")</f>
        <v>-132.429</v>
      </c>
      <c r="N61" s="13">
        <f>_xll.BDH("BLUE US Equity","EBITDA","FQ1 2022","FQ1 2022","Currency=USD","Period=FQ","BEST_FPERIOD_OVERRIDE=FQ","FILING_STATUS=MR","SCALING_FORMAT=MLN","FA_ADJUSTED=Adjusted","Sort=A","Dates=H","DateFormat=P","Fill=—","Direction=H","UseDPDF=Y")</f>
        <v>-116.824</v>
      </c>
      <c r="O61" s="13">
        <f>_xll.BDH("BLUE US Equity","EBITDA","FQ2 2022","FQ2 2022","Currency=USD","Period=FQ","BEST_FPERIOD_OVERRIDE=FQ","FILING_STATUS=MR","SCALING_FORMAT=MLN","FA_ADJUSTED=Adjusted","Sort=A","Dates=H","DateFormat=P","Fill=—","Direction=H","UseDPDF=Y")</f>
        <v>-98.79</v>
      </c>
      <c r="P61" s="13">
        <f>_xll.BDH("BLUE US Equity","EBITDA","FQ3 2022","FQ3 2022","Currency=USD","Period=FQ","BEST_FPERIOD_OVERRIDE=FQ","FILING_STATUS=MR","SCALING_FORMAT=MLN","FA_ADJUSTED=Adjusted","Sort=A","Dates=H","DateFormat=P","Fill=—","Direction=H","UseDPDF=Y")</f>
        <v>-85.093000000000004</v>
      </c>
      <c r="Q61" s="13">
        <f>_xll.BDH("BLUE US Equity","EBITDA","FQ4 2022","FQ4 2022","Currency=USD","Period=FQ","BEST_FPERIOD_OVERRIDE=FQ","FILING_STATUS=MR","SCALING_FORMAT=MLN","FA_ADJUSTED=Adjusted","Sort=A","Dates=H","DateFormat=P","Fill=—","Direction=H","UseDPDF=Y")</f>
        <v>-38.194000000000003</v>
      </c>
      <c r="R61" s="13">
        <f>_xll.BDH("BLUE US Equity","EBITDA","FQ1 2023","FQ1 2023","Currency=USD","Period=FQ","BEST_FPERIOD_OVERRIDE=FQ","FILING_STATUS=MR","SCALING_FORMAT=MLN","FA_ADJUSTED=Adjusted","Sort=A","Dates=H","DateFormat=P","Fill=—","Direction=H","UseDPDF=Y")</f>
        <v>-74.650999999999996</v>
      </c>
      <c r="S61" s="13">
        <f>_xll.BDH("BLUE US Equity","EBITDA","FQ2 2023","FQ2 2023","Currency=USD","Period=FQ","BEST_FPERIOD_OVERRIDE=FQ","FILING_STATUS=MR","SCALING_FORMAT=MLN","FA_ADJUSTED=Adjusted","Sort=A","Dates=H","DateFormat=P","Fill=—","Direction=H","UseDPDF=Y")</f>
        <v>-64.542000000000002</v>
      </c>
      <c r="T61" s="13">
        <f>_xll.BDH("BLUE US Equity","EBITDA","FQ3 2023","FQ3 2023","Currency=USD","Period=FQ","BEST_FPERIOD_OVERRIDE=FQ","FILING_STATUS=MR","SCALING_FORMAT=MLN","FA_ADJUSTED=Adjusted","Sort=A","Dates=H","DateFormat=P","Fill=—","Direction=H","UseDPDF=Y")</f>
        <v>-86.867999999999995</v>
      </c>
      <c r="U61" s="13">
        <f>_xll.BDH("BLUE US Equity","EBITDA","FQ4 2023","FQ4 2023","Currency=USD","Period=FQ","BEST_FPERIOD_OVERRIDE=FQ","FILING_STATUS=MR","SCALING_FORMAT=MLN","FA_ADJUSTED=Adjusted","Sort=A","Dates=H","DateFormat=P","Fill=—","Direction=H","UseDPDF=Y")</f>
        <v>-57.271999999999998</v>
      </c>
      <c r="V61" s="13">
        <f>_xll.BDH("BLUE US Equity","EBITDA","FQ1 2024","FQ1 2024","Currency=USD","Period=FQ","BEST_FPERIOD_OVERRIDE=FQ","FILING_STATUS=MR","SCALING_FORMAT=MLN","FA_ADJUSTED=Adjusted","Sort=A","Dates=H","DateFormat=P","Fill=—","Direction=H","UseDPDF=Y")</f>
        <v>-64.082999999999998</v>
      </c>
      <c r="W61" s="13">
        <f>_xll.BDH("BLUE US Equity","EBITDA","FQ2 2024","FQ2 2024","Currency=USD","Period=FQ","BEST_FPERIOD_OVERRIDE=FQ","FILING_STATUS=MR","SCALING_FORMAT=MLN","FA_ADJUSTED=Adjusted","Sort=A","Dates=H","DateFormat=P","Fill=—","Direction=H","UseDPDF=Y")</f>
        <v>-72.64</v>
      </c>
      <c r="X61" s="13">
        <f>_xll.BDH("BLUE US Equity","EBITDA","FQ3 2024","FQ3 2024","Currency=USD","Period=FQ","BEST_FPERIOD_OVERRIDE=FQ","FILING_STATUS=MR","SCALING_FORMAT=MLN","FA_ADJUSTED=Adjusted","Sort=A","Dates=H","DateFormat=P","Fill=—","Direction=H","UseDPDF=Y")</f>
        <v>-48.764000000000003</v>
      </c>
      <c r="Y61" s="13">
        <f>_xll.BDH("BLUE US Equity","EBITDA","FQ4 2024","FQ4 2024","Currency=USD","Period=FQ","BEST_FPERIOD_OVERRIDE=FQ","FILING_STATUS=MR","SCALING_FORMAT=MLN","FA_ADJUSTED=Adjusted","Sort=A","Dates=H","DateFormat=P","Fill=—","Direction=H","UseDPDF=Y")</f>
        <v>-29.446000000000002</v>
      </c>
      <c r="Z61" s="13">
        <v>-44</v>
      </c>
      <c r="AA61" s="13">
        <v>-39.4</v>
      </c>
    </row>
    <row r="62" spans="1:27" x14ac:dyDescent="0.25">
      <c r="A62" s="10" t="s">
        <v>355</v>
      </c>
      <c r="B62" s="10" t="s">
        <v>356</v>
      </c>
      <c r="C62" s="14">
        <f>_xll.BDH("BLUE US Equity","EBITDA_MARGIN","FQ2 2019","FQ2 2019","Currency=USD","Period=FQ","BEST_FPERIOD_OVERRIDE=FQ","FILING_STATUS=MR","FA_ADJUSTED=Adjusted","Sort=A","Dates=H","DateFormat=P","Fill=—","Direction=H","UseDPDF=Y")</f>
        <v>-1138.6199999999999</v>
      </c>
      <c r="D62" s="14">
        <f>_xll.BDH("BLUE US Equity","EBITDA_MARGIN","FQ3 2019","FQ3 2019","Currency=USD","Period=FQ","BEST_FPERIOD_OVERRIDE=FQ","FILING_STATUS=MR","FA_ADJUSTED=Adjusted","Sort=A","Dates=H","DateFormat=P","Fill=—","Direction=H","UseDPDF=Y")</f>
        <v>-1288.24</v>
      </c>
      <c r="E62" s="14">
        <f>_xll.BDH("BLUE US Equity","EBITDA_MARGIN","FQ4 2019","FQ4 2019","Currency=USD","Period=FQ","BEST_FPERIOD_OVERRIDE=FQ","FILING_STATUS=MR","FA_ADJUSTED=Adjusted","Sort=A","Dates=H","DateFormat=P","Fill=—","Direction=H","UseDPDF=Y")</f>
        <v>-1699.6463000000001</v>
      </c>
      <c r="F62" s="14">
        <f>_xll.BDH("BLUE US Equity","EBITDA_MARGIN","FQ1 2020","FQ1 2020","Currency=USD","Period=FQ","BEST_FPERIOD_OVERRIDE=FQ","FILING_STATUS=MR","FA_ADJUSTED=Adjusted","Sort=A","Dates=H","DateFormat=P","Fill=—","Direction=H","UseDPDF=Y")</f>
        <v>-1484.0029</v>
      </c>
      <c r="G62" s="14">
        <f>_xll.BDH("BLUE US Equity","EBITDA_MARGIN","FQ2 2020","FQ2 2020","Currency=USD","Period=FQ","BEST_FPERIOD_OVERRIDE=FQ","FILING_STATUS=MR","FA_ADJUSTED=Adjusted","Sort=A","Dates=H","DateFormat=P","Fill=—","Direction=H","UseDPDF=Y")</f>
        <v>-265.32089999999999</v>
      </c>
      <c r="H62" s="14">
        <f>_xll.BDH("BLUE US Equity","EBITDA_MARGIN","FQ3 2020","FQ3 2020","Currency=USD","Period=FQ","BEST_FPERIOD_OVERRIDE=FQ","FILING_STATUS=MR","FA_ADJUSTED=Adjusted","Sort=A","Dates=H","DateFormat=P","Fill=—","Direction=H","UseDPDF=Y")</f>
        <v>-250.0642</v>
      </c>
      <c r="I62" s="14">
        <f>_xll.BDH("BLUE US Equity","EBITDA_MARGIN","FQ4 2020","FQ4 2020","Currency=USD","Period=FQ","BEST_FPERIOD_OVERRIDE=FQ","FILING_STATUS=MR","FA_ADJUSTED=Adjusted","Sort=A","Dates=H","DateFormat=P","Fill=—","Direction=H","UseDPDF=Y")</f>
        <v>-226.92789999999999</v>
      </c>
      <c r="J62" s="14">
        <f>_xll.BDH("BLUE US Equity","EBITDA_MARGIN","FQ1 2021","FQ1 2021","Currency=USD","Period=FQ","BEST_FPERIOD_OVERRIDE=FQ","FILING_STATUS=MR","FA_ADJUSTED=Adjusted","Sort=A","Dates=H","DateFormat=P","Fill=—","Direction=H","UseDPDF=Y")</f>
        <v>-233.6241</v>
      </c>
      <c r="K62" s="14">
        <f>_xll.BDH("BLUE US Equity","EBITDA_MARGIN","FQ2 2021","FQ2 2021","Currency=USD","Period=FQ","BEST_FPERIOD_OVERRIDE=FQ","FILING_STATUS=MR","FA_ADJUSTED=Adjusted","Sort=A","Dates=H","DateFormat=P","Fill=—","Direction=H","UseDPDF=Y")</f>
        <v>-2617.7429999999999</v>
      </c>
      <c r="L62" s="14">
        <f>_xll.BDH("BLUE US Equity","EBITDA_MARGIN","FQ3 2021","FQ3 2021","Currency=USD","Period=FQ","BEST_FPERIOD_OVERRIDE=FQ","FILING_STATUS=MR","FA_ADJUSTED=Adjusted","Sort=A","Dates=H","DateFormat=P","Fill=—","Direction=H","UseDPDF=Y")</f>
        <v>-7098.9450999999999</v>
      </c>
      <c r="M62" s="14">
        <f>_xll.BDH("BLUE US Equity","EBITDA_MARGIN","FQ4 2021","FQ4 2021","Currency=USD","Period=FQ","BEST_FPERIOD_OVERRIDE=FQ","FILING_STATUS=MR","FA_ADJUSTED=Adjusted","Sort=A","Dates=H","DateFormat=P","Fill=—","Direction=H","UseDPDF=Y")</f>
        <v>-6043.6356999999998</v>
      </c>
      <c r="N62" s="14">
        <f>_xll.BDH("BLUE US Equity","EBITDA_MARGIN","FQ1 2022","FQ1 2022","Currency=USD","Period=FQ","BEST_FPERIOD_OVERRIDE=FQ","FILING_STATUS=MR","FA_ADJUSTED=Adjusted","Sort=A","Dates=H","DateFormat=P","Fill=—","Direction=H","UseDPDF=Y")</f>
        <v>-5085.0605999999998</v>
      </c>
      <c r="O62" s="14">
        <f>_xll.BDH("BLUE US Equity","EBITDA_MARGIN","FQ2 2022","FQ2 2022","Currency=USD","Period=FQ","BEST_FPERIOD_OVERRIDE=FQ","FILING_STATUS=MR","FA_ADJUSTED=Adjusted","Sort=A","Dates=H","DateFormat=P","Fill=—","Direction=H","UseDPDF=Y")</f>
        <v>-7822.8773000000001</v>
      </c>
      <c r="P62" s="14">
        <f>_xll.BDH("BLUE US Equity","EBITDA_MARGIN","FQ3 2022","FQ3 2022","Currency=USD","Period=FQ","BEST_FPERIOD_OVERRIDE=FQ","FILING_STATUS=MR","FA_ADJUSTED=Adjusted","Sort=A","Dates=H","DateFormat=P","Fill=—","Direction=H","UseDPDF=Y")</f>
        <v>-8425.1312999999991</v>
      </c>
      <c r="Q62" s="14">
        <f>_xll.BDH("BLUE US Equity","EBITDA_MARGIN","FQ4 2022","FQ4 2022","Currency=USD","Period=FQ","BEST_FPERIOD_OVERRIDE=FQ","FILING_STATUS=MR","FA_ADJUSTED=Adjusted","Sort=A","Dates=H","DateFormat=P","Fill=—","Direction=H","UseDPDF=Y")</f>
        <v>-9421.7680999999993</v>
      </c>
      <c r="R62" s="14">
        <f>_xll.BDH("BLUE US Equity","EBITDA_MARGIN","FQ1 2023","FQ1 2023","Currency=USD","Period=FQ","BEST_FPERIOD_OVERRIDE=FQ","FILING_STATUS=MR","FA_ADJUSTED=Adjusted","Sort=A","Dates=H","DateFormat=P","Fill=—","Direction=H","UseDPDF=Y")</f>
        <v>-7357.5006000000003</v>
      </c>
      <c r="S62" s="14">
        <f>_xll.BDH("BLUE US Equity","EBITDA_MARGIN","FQ2 2023","FQ2 2023","Currency=USD","Period=FQ","BEST_FPERIOD_OVERRIDE=FQ","FILING_STATUS=MR","FA_ADJUSTED=Adjusted","Sort=A","Dates=H","DateFormat=P","Fill=—","Direction=H","UseDPDF=Y")</f>
        <v>-2791.1527000000001</v>
      </c>
      <c r="T62" s="14">
        <f>_xll.BDH("BLUE US Equity","EBITDA_MARGIN","FQ3 2023","FQ3 2023","Currency=USD","Period=FQ","BEST_FPERIOD_OVERRIDE=FQ","FILING_STATUS=MR","FA_ADJUSTED=Adjusted","Sort=A","Dates=H","DateFormat=P","Fill=—","Direction=H","UseDPDF=Y")</f>
        <v>-1216.3635999999999</v>
      </c>
      <c r="U62" s="14">
        <f>_xll.BDH("BLUE US Equity","EBITDA_MARGIN","FQ4 2023","FQ4 2023","Currency=USD","Period=FQ","BEST_FPERIOD_OVERRIDE=FQ","FILING_STATUS=MR","FA_ADJUSTED=Adjusted","Sort=A","Dates=H","DateFormat=P","Fill=—","Direction=H","UseDPDF=Y")</f>
        <v>-960.54849999999999</v>
      </c>
      <c r="V62" s="14">
        <f>_xll.BDH("BLUE US Equity","EBITDA_MARGIN","FQ1 2024","FQ1 2024","Currency=USD","Period=FQ","BEST_FPERIOD_OVERRIDE=FQ","FILING_STATUS=MR","FA_ADJUSTED=Adjusted","Sort=A","Dates=H","DateFormat=P","Fill=—","Direction=H","UseDPDF=Y")</f>
        <v>-597.00369999999998</v>
      </c>
      <c r="W62" s="14">
        <f>_xll.BDH("BLUE US Equity","EBITDA_MARGIN","FQ2 2024","FQ2 2024","Currency=USD","Period=FQ","BEST_FPERIOD_OVERRIDE=FQ","FILING_STATUS=MR","FA_ADJUSTED=Adjusted","Sort=A","Dates=H","DateFormat=P","Fill=—","Direction=H","UseDPDF=Y")</f>
        <v>-511.59019999999998</v>
      </c>
      <c r="X62" s="14">
        <f>_xll.BDH("BLUE US Equity","EBITDA_MARGIN","FQ3 2024","FQ3 2024","Currency=USD","Period=FQ","BEST_FPERIOD_OVERRIDE=FQ","FILING_STATUS=MR","FA_ADJUSTED=Adjusted","Sort=A","Dates=H","DateFormat=P","Fill=—","Direction=H","UseDPDF=Y")</f>
        <v>-457.00110000000001</v>
      </c>
      <c r="Y62" s="14">
        <f>_xll.BDH("BLUE US Equity","EBITDA_MARGIN","FQ4 2024","FQ4 2024","Currency=USD","Period=FQ","BEST_FPERIOD_OVERRIDE=FQ","FILING_STATUS=MR","FA_ADJUSTED=Adjusted","Sort=A","Dates=H","DateFormat=P","Fill=—","Direction=H","UseDPDF=Y")</f>
        <v>-256.46190000000001</v>
      </c>
      <c r="Z62" s="14"/>
      <c r="AA62" s="14"/>
    </row>
    <row r="63" spans="1:27" x14ac:dyDescent="0.25">
      <c r="A63" s="10" t="s">
        <v>357</v>
      </c>
      <c r="B63" s="10" t="s">
        <v>357</v>
      </c>
      <c r="C63" s="13" t="str">
        <f>_xll.BDH("BLUE US Equity","EBITA","FQ2 2019","FQ2 2019","Currency=USD","Period=FQ","BEST_FPERIOD_OVERRIDE=FQ","FILING_STATUS=MR","SCALING_FORMAT=MLN","FA_ADJUSTED=Adjusted","Sort=A","Dates=H","DateFormat=P","Fill=—","Direction=H","UseDPDF=Y")</f>
        <v>—</v>
      </c>
      <c r="D63" s="13" t="str">
        <f>_xll.BDH("BLUE US Equity","EBITA","FQ3 2019","FQ3 2019","Currency=USD","Period=FQ","BEST_FPERIOD_OVERRIDE=FQ","FILING_STATUS=MR","SCALING_FORMAT=MLN","FA_ADJUSTED=Adjusted","Sort=A","Dates=H","DateFormat=P","Fill=—","Direction=H","UseDPDF=Y")</f>
        <v>—</v>
      </c>
      <c r="E63" s="13" t="str">
        <f>_xll.BDH("BLUE US Equity","EBITA","FQ4 2019","FQ4 2019","Currency=USD","Period=FQ","BEST_FPERIOD_OVERRIDE=FQ","FILING_STATUS=MR","SCALING_FORMAT=MLN","FA_ADJUSTED=Adjusted","Sort=A","Dates=H","DateFormat=P","Fill=—","Direction=H","UseDPDF=Y")</f>
        <v>—</v>
      </c>
      <c r="F63" s="13" t="str">
        <f>_xll.BDH("BLUE US Equity","EBITA","FQ1 2020","FQ1 2020","Currency=USD","Period=FQ","BEST_FPERIOD_OVERRIDE=FQ","FILING_STATUS=MR","SCALING_FORMAT=MLN","FA_ADJUSTED=Adjusted","Sort=A","Dates=H","DateFormat=P","Fill=—","Direction=H","UseDPDF=Y")</f>
        <v>—</v>
      </c>
      <c r="G63" s="13" t="str">
        <f>_xll.BDH("BLUE US Equity","EBITA","FQ2 2020","FQ2 2020","Currency=USD","Period=FQ","BEST_FPERIOD_OVERRIDE=FQ","FILING_STATUS=MR","SCALING_FORMAT=MLN","FA_ADJUSTED=Adjusted","Sort=A","Dates=H","DateFormat=P","Fill=—","Direction=H","UseDPDF=Y")</f>
        <v>—</v>
      </c>
      <c r="H63" s="13" t="str">
        <f>_xll.BDH("BLUE US Equity","EBITA","FQ3 2020","FQ3 2020","Currency=USD","Period=FQ","BEST_FPERIOD_OVERRIDE=FQ","FILING_STATUS=MR","SCALING_FORMAT=MLN","FA_ADJUSTED=Adjusted","Sort=A","Dates=H","DateFormat=P","Fill=—","Direction=H","UseDPDF=Y")</f>
        <v>—</v>
      </c>
      <c r="I63" s="13" t="str">
        <f>_xll.BDH("BLUE US Equity","EBITA","FQ4 2020","FQ4 2020","Currency=USD","Period=FQ","BEST_FPERIOD_OVERRIDE=FQ","FILING_STATUS=MR","SCALING_FORMAT=MLN","FA_ADJUSTED=Adjusted","Sort=A","Dates=H","DateFormat=P","Fill=—","Direction=H","UseDPDF=Y")</f>
        <v>—</v>
      </c>
      <c r="J63" s="13" t="str">
        <f>_xll.BDH("BLUE US Equity","EBITA","FQ1 2021","FQ1 2021","Currency=USD","Period=FQ","BEST_FPERIOD_OVERRIDE=FQ","FILING_STATUS=MR","SCALING_FORMAT=MLN","FA_ADJUSTED=Adjusted","Sort=A","Dates=H","DateFormat=P","Fill=—","Direction=H","UseDPDF=Y")</f>
        <v>—</v>
      </c>
      <c r="K63" s="13" t="str">
        <f>_xll.BDH("BLUE US Equity","EBITA","FQ2 2021","FQ2 2021","Currency=USD","Period=FQ","BEST_FPERIOD_OVERRIDE=FQ","FILING_STATUS=MR","SCALING_FORMAT=MLN","FA_ADJUSTED=Adjusted","Sort=A","Dates=H","DateFormat=P","Fill=—","Direction=H","UseDPDF=Y")</f>
        <v>—</v>
      </c>
      <c r="L63" s="13">
        <f>_xll.BDH("BLUE US Equity","EBITA","FQ3 2021","FQ3 2021","Currency=USD","Period=FQ","BEST_FPERIOD_OVERRIDE=FQ","FILING_STATUS=MR","SCALING_FORMAT=MLN","FA_ADJUSTED=Adjusted","Sort=A","Dates=H","DateFormat=P","Fill=—","Direction=H","UseDPDF=Y")</f>
        <v>-134.274</v>
      </c>
      <c r="M63" s="13" t="str">
        <f>_xll.BDH("BLUE US Equity","EBITA","FQ4 2021","FQ4 2021","Currency=USD","Period=FQ","BEST_FPERIOD_OVERRIDE=FQ","FILING_STATUS=MR","SCALING_FORMAT=MLN","FA_ADJUSTED=Adjusted","Sort=A","Dates=H","DateFormat=P","Fill=—","Direction=H","UseDPDF=Y")</f>
        <v>—</v>
      </c>
      <c r="N63" s="13" t="str">
        <f>_xll.BDH("BLUE US Equity","EBITA","FQ1 2022","FQ1 2022","Currency=USD","Period=FQ","BEST_FPERIOD_OVERRIDE=FQ","FILING_STATUS=MR","SCALING_FORMAT=MLN","FA_ADJUSTED=Adjusted","Sort=A","Dates=H","DateFormat=P","Fill=—","Direction=H","UseDPDF=Y")</f>
        <v>—</v>
      </c>
      <c r="O63" s="13" t="str">
        <f>_xll.BDH("BLUE US Equity","EBITA","FQ2 2022","FQ2 2022","Currency=USD","Period=FQ","BEST_FPERIOD_OVERRIDE=FQ","FILING_STATUS=MR","SCALING_FORMAT=MLN","FA_ADJUSTED=Adjusted","Sort=A","Dates=H","DateFormat=P","Fill=—","Direction=H","UseDPDF=Y")</f>
        <v>—</v>
      </c>
      <c r="P63" s="13">
        <f>_xll.BDH("BLUE US Equity","EBITA","FQ3 2022","FQ3 2022","Currency=USD","Period=FQ","BEST_FPERIOD_OVERRIDE=FQ","FILING_STATUS=MR","SCALING_FORMAT=MLN","FA_ADJUSTED=Adjusted","Sort=A","Dates=H","DateFormat=P","Fill=—","Direction=H","UseDPDF=Y")</f>
        <v>-86.48</v>
      </c>
      <c r="Q63" s="13" t="str">
        <f>_xll.BDH("BLUE US Equity","EBITA","FQ4 2022","FQ4 2022","Currency=USD","Period=FQ","BEST_FPERIOD_OVERRIDE=FQ","FILING_STATUS=MR","SCALING_FORMAT=MLN","FA_ADJUSTED=Adjusted","Sort=A","Dates=H","DateFormat=P","Fill=—","Direction=H","UseDPDF=Y")</f>
        <v>—</v>
      </c>
      <c r="R63" s="13" t="str">
        <f>_xll.BDH("BLUE US Equity","EBITA","FQ1 2023","FQ1 2023","Currency=USD","Period=FQ","BEST_FPERIOD_OVERRIDE=FQ","FILING_STATUS=MR","SCALING_FORMAT=MLN","FA_ADJUSTED=Adjusted","Sort=A","Dates=H","DateFormat=P","Fill=—","Direction=H","UseDPDF=Y")</f>
        <v>—</v>
      </c>
      <c r="S63" s="13" t="str">
        <f>_xll.BDH("BLUE US Equity","EBITA","FQ2 2023","FQ2 2023","Currency=USD","Period=FQ","BEST_FPERIOD_OVERRIDE=FQ","FILING_STATUS=MR","SCALING_FORMAT=MLN","FA_ADJUSTED=Adjusted","Sort=A","Dates=H","DateFormat=P","Fill=—","Direction=H","UseDPDF=Y")</f>
        <v>—</v>
      </c>
      <c r="T63" s="13" t="str">
        <f>_xll.BDH("BLUE US Equity","EBITA","FQ3 2023","FQ3 2023","Currency=USD","Period=FQ","BEST_FPERIOD_OVERRIDE=FQ","FILING_STATUS=MR","SCALING_FORMAT=MLN","FA_ADJUSTED=Adjusted","Sort=A","Dates=H","DateFormat=P","Fill=—","Direction=H","UseDPDF=Y")</f>
        <v>—</v>
      </c>
      <c r="U63" s="13" t="str">
        <f>_xll.BDH("BLUE US Equity","EBITA","FQ4 2023","FQ4 2023","Currency=USD","Period=FQ","BEST_FPERIOD_OVERRIDE=FQ","FILING_STATUS=MR","SCALING_FORMAT=MLN","FA_ADJUSTED=Adjusted","Sort=A","Dates=H","DateFormat=P","Fill=—","Direction=H","UseDPDF=Y")</f>
        <v>—</v>
      </c>
      <c r="V63" s="13" t="str">
        <f>_xll.BDH("BLUE US Equity","EBITA","FQ1 2024","FQ1 2024","Currency=USD","Period=FQ","BEST_FPERIOD_OVERRIDE=FQ","FILING_STATUS=MR","SCALING_FORMAT=MLN","FA_ADJUSTED=Adjusted","Sort=A","Dates=H","DateFormat=P","Fill=—","Direction=H","UseDPDF=Y")</f>
        <v>—</v>
      </c>
      <c r="W63" s="13" t="str">
        <f>_xll.BDH("BLUE US Equity","EBITA","FQ2 2024","FQ2 2024","Currency=USD","Period=FQ","BEST_FPERIOD_OVERRIDE=FQ","FILING_STATUS=MR","SCALING_FORMAT=MLN","FA_ADJUSTED=Adjusted","Sort=A","Dates=H","DateFormat=P","Fill=—","Direction=H","UseDPDF=Y")</f>
        <v>—</v>
      </c>
      <c r="X63" s="13" t="str">
        <f>_xll.BDH("BLUE US Equity","EBITA","FQ3 2024","FQ3 2024","Currency=USD","Period=FQ","BEST_FPERIOD_OVERRIDE=FQ","FILING_STATUS=MR","SCALING_FORMAT=MLN","FA_ADJUSTED=Adjusted","Sort=A","Dates=H","DateFormat=P","Fill=—","Direction=H","UseDPDF=Y")</f>
        <v>—</v>
      </c>
      <c r="Y63" s="13" t="str">
        <f>_xll.BDH("BLUE US Equity","EBITA","FQ4 2024","FQ4 2024","Currency=USD","Period=FQ","BEST_FPERIOD_OVERRIDE=FQ","FILING_STATUS=MR","SCALING_FORMAT=MLN","FA_ADJUSTED=Adjusted","Sort=A","Dates=H","DateFormat=P","Fill=—","Direction=H","UseDPDF=Y")</f>
        <v>—</v>
      </c>
      <c r="Z63" s="13"/>
      <c r="AA63" s="13"/>
    </row>
    <row r="64" spans="1:27" x14ac:dyDescent="0.25">
      <c r="A64" s="10" t="s">
        <v>141</v>
      </c>
      <c r="B64" s="10" t="s">
        <v>141</v>
      </c>
      <c r="C64" s="13">
        <f>_xll.BDH("BLUE US Equity","EBIT","FQ2 2019","FQ2 2019","Currency=USD","Period=FQ","BEST_FPERIOD_OVERRIDE=FQ","FILING_STATUS=MR","SCALING_FORMAT=MLN","FA_ADJUSTED=Adjusted","Sort=A","Dates=H","DateFormat=P","Fill=—","Direction=H","UseDPDF=Y")</f>
        <v>-202.488</v>
      </c>
      <c r="D64" s="13">
        <f>_xll.BDH("BLUE US Equity","EBIT","FQ3 2019","FQ3 2019","Currency=USD","Period=FQ","BEST_FPERIOD_OVERRIDE=FQ","FILING_STATUS=MR","SCALING_FORMAT=MLN","FA_ADJUSTED=Adjusted","Sort=A","Dates=H","DateFormat=P","Fill=—","Direction=H","UseDPDF=Y")</f>
        <v>-209.614</v>
      </c>
      <c r="E64" s="13">
        <f>_xll.BDH("BLUE US Equity","EBIT","FQ4 2019","FQ4 2019","Currency=USD","Period=FQ","BEST_FPERIOD_OVERRIDE=FQ","FILING_STATUS=MR","SCALING_FORMAT=MLN","FA_ADJUSTED=Adjusted","Sort=A","Dates=H","DateFormat=P","Fill=—","Direction=H","UseDPDF=Y")</f>
        <v>-229.09899999999999</v>
      </c>
      <c r="F64" s="13">
        <f>_xll.BDH("BLUE US Equity","EBIT","FQ1 2020","FQ1 2020","Currency=USD","Period=FQ","BEST_FPERIOD_OVERRIDE=FQ","FILING_STATUS=MR","SCALING_FORMAT=MLN","FA_ADJUSTED=Adjusted","Sort=A","Dates=H","DateFormat=P","Fill=—","Direction=H","UseDPDF=Y")</f>
        <v>-206.53299999999999</v>
      </c>
      <c r="G64" s="13">
        <f>_xll.BDH("BLUE US Equity","EBIT","FQ2 2020","FQ2 2020","Currency=USD","Period=FQ","BEST_FPERIOD_OVERRIDE=FQ","FILING_STATUS=MR","SCALING_FORMAT=MLN","FA_ADJUSTED=Adjusted","Sort=A","Dates=H","DateFormat=P","Fill=—","Direction=H","UseDPDF=Y")</f>
        <v>-27.6</v>
      </c>
      <c r="H64" s="13">
        <f>_xll.BDH("BLUE US Equity","EBIT","FQ3 2020","FQ3 2020","Currency=USD","Period=FQ","BEST_FPERIOD_OVERRIDE=FQ","FILING_STATUS=MR","SCALING_FORMAT=MLN","FA_ADJUSTED=Adjusted","Sort=A","Dates=H","DateFormat=P","Fill=—","Direction=H","UseDPDF=Y")</f>
        <v>-190.52199999999999</v>
      </c>
      <c r="I64" s="13">
        <f>_xll.BDH("BLUE US Equity","EBIT","FQ4 2020","FQ4 2020","Currency=USD","Period=FQ","BEST_FPERIOD_OVERRIDE=FQ","FILING_STATUS=MR","SCALING_FORMAT=MLN","FA_ADJUSTED=Adjusted","Sort=A","Dates=H","DateFormat=P","Fill=—","Direction=H","UseDPDF=Y")</f>
        <v>-139.387</v>
      </c>
      <c r="J64" s="13">
        <f>_xll.BDH("BLUE US Equity","EBIT","FQ1 2021","FQ1 2021","Currency=USD","Period=FQ","BEST_FPERIOD_OVERRIDE=FQ","FILING_STATUS=MR","SCALING_FORMAT=MLN","FA_ADJUSTED=Adjusted","Sort=A","Dates=H","DateFormat=P","Fill=—","Direction=H","UseDPDF=Y")</f>
        <v>-174.09700000000001</v>
      </c>
      <c r="K64" s="13">
        <f>_xll.BDH("BLUE US Equity","EBIT","FQ2 2021","FQ2 2021","Currency=USD","Period=FQ","BEST_FPERIOD_OVERRIDE=FQ","FILING_STATUS=MR","SCALING_FORMAT=MLN","FA_ADJUSTED=Adjusted","Sort=A","Dates=H","DateFormat=P","Fill=—","Direction=H","UseDPDF=Y")</f>
        <v>-240.791</v>
      </c>
      <c r="L64" s="13">
        <f>_xll.BDH("BLUE US Equity","EBIT","FQ3 2021","FQ3 2021","Currency=USD","Period=FQ","BEST_FPERIOD_OVERRIDE=FQ","FILING_STATUS=MR","SCALING_FORMAT=MLN","FA_ADJUSTED=Adjusted","Sort=A","Dates=H","DateFormat=P","Fill=—","Direction=H","UseDPDF=Y")</f>
        <v>-134.274</v>
      </c>
      <c r="M64" s="13">
        <f>_xll.BDH("BLUE US Equity","EBIT","FQ4 2021","FQ4 2021","Currency=USD","Period=FQ","BEST_FPERIOD_OVERRIDE=FQ","FILING_STATUS=MR","SCALING_FORMAT=MLN","FA_ADJUSTED=Adjusted","Sort=A","Dates=H","DateFormat=P","Fill=—","Direction=H","UseDPDF=Y")</f>
        <v>-134.74299999999999</v>
      </c>
      <c r="N64" s="13">
        <f>_xll.BDH("BLUE US Equity","EBIT","FQ1 2022","FQ1 2022","Currency=USD","Period=FQ","BEST_FPERIOD_OVERRIDE=FQ","FILING_STATUS=MR","SCALING_FORMAT=MLN","FA_ADJUSTED=Adjusted","Sort=A","Dates=H","DateFormat=P","Fill=—","Direction=H","UseDPDF=Y")</f>
        <v>-117.83799999999999</v>
      </c>
      <c r="O64" s="13">
        <f>_xll.BDH("BLUE US Equity","EBIT","FQ2 2022","FQ2 2022","Currency=USD","Period=FQ","BEST_FPERIOD_OVERRIDE=FQ","FILING_STATUS=MR","SCALING_FORMAT=MLN","FA_ADJUSTED=Adjusted","Sort=A","Dates=H","DateFormat=P","Fill=—","Direction=H","UseDPDF=Y")</f>
        <v>-100.134</v>
      </c>
      <c r="P64" s="13">
        <f>_xll.BDH("BLUE US Equity","EBIT","FQ3 2022","FQ3 2022","Currency=USD","Period=FQ","BEST_FPERIOD_OVERRIDE=FQ","FILING_STATUS=MR","SCALING_FORMAT=MLN","FA_ADJUSTED=Adjusted","Sort=A","Dates=H","DateFormat=P","Fill=—","Direction=H","UseDPDF=Y")</f>
        <v>-86.48</v>
      </c>
      <c r="Q64" s="13">
        <f>_xll.BDH("BLUE US Equity","EBIT","FQ4 2022","FQ4 2022","Currency=USD","Period=FQ","BEST_FPERIOD_OVERRIDE=FQ","FILING_STATUS=MR","SCALING_FORMAT=MLN","FA_ADJUSTED=Adjusted","Sort=A","Dates=H","DateFormat=P","Fill=—","Direction=H","UseDPDF=Y")</f>
        <v>-42.792999999999999</v>
      </c>
      <c r="R64" s="13">
        <f>_xll.BDH("BLUE US Equity","EBIT","FQ1 2023","FQ1 2023","Currency=USD","Period=FQ","BEST_FPERIOD_OVERRIDE=FQ","FILING_STATUS=MR","SCALING_FORMAT=MLN","FA_ADJUSTED=Adjusted","Sort=A","Dates=H","DateFormat=P","Fill=—","Direction=H","UseDPDF=Y")</f>
        <v>-82.185000000000002</v>
      </c>
      <c r="S64" s="13">
        <f>_xll.BDH("BLUE US Equity","EBIT","FQ2 2023","FQ2 2023","Currency=USD","Period=FQ","BEST_FPERIOD_OVERRIDE=FQ","FILING_STATUS=MR","SCALING_FORMAT=MLN","FA_ADJUSTED=Adjusted","Sort=A","Dates=H","DateFormat=P","Fill=—","Direction=H","UseDPDF=Y")</f>
        <v>-71.716999999999999</v>
      </c>
      <c r="T64" s="13">
        <f>_xll.BDH("BLUE US Equity","EBIT","FQ3 2023","FQ3 2023","Currency=USD","Period=FQ","BEST_FPERIOD_OVERRIDE=FQ","FILING_STATUS=MR","SCALING_FORMAT=MLN","FA_ADJUSTED=Adjusted","Sort=A","Dates=H","DateFormat=P","Fill=—","Direction=H","UseDPDF=Y")</f>
        <v>-96.006</v>
      </c>
      <c r="U64" s="13">
        <f>_xll.BDH("BLUE US Equity","EBIT","FQ4 2023","FQ4 2023","Currency=USD","Period=FQ","BEST_FPERIOD_OVERRIDE=FQ","FILING_STATUS=MR","SCALING_FORMAT=MLN","FA_ADJUSTED=Adjusted","Sort=A","Dates=H","DateFormat=P","Fill=—","Direction=H","UseDPDF=Y")</f>
        <v>-82.673000000000002</v>
      </c>
      <c r="V64" s="13">
        <f>_xll.BDH("BLUE US Equity","EBIT","FQ1 2024","FQ1 2024","Currency=USD","Period=FQ","BEST_FPERIOD_OVERRIDE=FQ","FILING_STATUS=MR","SCALING_FORMAT=MLN","FA_ADJUSTED=Adjusted","Sort=A","Dates=H","DateFormat=P","Fill=—","Direction=H","UseDPDF=Y")</f>
        <v>-78.691999999999993</v>
      </c>
      <c r="W64" s="13">
        <f>_xll.BDH("BLUE US Equity","EBIT","FQ2 2024","FQ2 2024","Currency=USD","Period=FQ","BEST_FPERIOD_OVERRIDE=FQ","FILING_STATUS=MR","SCALING_FORMAT=MLN","FA_ADJUSTED=Adjusted","Sort=A","Dates=H","DateFormat=P","Fill=—","Direction=H","UseDPDF=Y")</f>
        <v>-88.391999999999996</v>
      </c>
      <c r="X64" s="13">
        <f>_xll.BDH("BLUE US Equity","EBIT","FQ3 2024","FQ3 2024","Currency=USD","Period=FQ","BEST_FPERIOD_OVERRIDE=FQ","FILING_STATUS=MR","SCALING_FORMAT=MLN","FA_ADJUSTED=Adjusted","Sort=A","Dates=H","DateFormat=P","Fill=—","Direction=H","UseDPDF=Y")</f>
        <v>-64.108000000000004</v>
      </c>
      <c r="Y64" s="13">
        <f>_xll.BDH("BLUE US Equity","EBIT","FQ4 2024","FQ4 2024","Currency=USD","Period=FQ","BEST_FPERIOD_OVERRIDE=FQ","FILING_STATUS=MR","SCALING_FORMAT=MLN","FA_ADJUSTED=Adjusted","Sort=A","Dates=H","DateFormat=P","Fill=—","Direction=H","UseDPDF=Y")</f>
        <v>-36.506999999999998</v>
      </c>
      <c r="Z64" s="13">
        <v>-44.716999999999999</v>
      </c>
      <c r="AA64" s="13">
        <v>-24.567</v>
      </c>
    </row>
    <row r="65" spans="1:27" x14ac:dyDescent="0.25">
      <c r="A65" s="10" t="s">
        <v>358</v>
      </c>
      <c r="B65" s="10" t="s">
        <v>152</v>
      </c>
      <c r="C65" s="14" t="str">
        <f>_xll.BDH("BLUE US Equity","GROSS_MARGIN","FQ2 2019","FQ2 2019","Currency=USD","Period=FQ","BEST_FPERIOD_OVERRIDE=FQ","FILING_STATUS=MR","FA_ADJUSTED=Adjusted","Sort=A","Dates=H","DateFormat=P","Fill=—","Direction=H","UseDPDF=Y")</f>
        <v>—</v>
      </c>
      <c r="D65" s="14" t="str">
        <f>_xll.BDH("BLUE US Equity","GROSS_MARGIN","FQ3 2019","FQ3 2019","Currency=USD","Period=FQ","BEST_FPERIOD_OVERRIDE=FQ","FILING_STATUS=MR","FA_ADJUSTED=Adjusted","Sort=A","Dates=H","DateFormat=P","Fill=—","Direction=H","UseDPDF=Y")</f>
        <v>—</v>
      </c>
      <c r="E65" s="14" t="str">
        <f>_xll.BDH("BLUE US Equity","GROSS_MARGIN","FQ4 2019","FQ4 2019","Currency=USD","Period=FQ","BEST_FPERIOD_OVERRIDE=FQ","FILING_STATUS=MR","FA_ADJUSTED=Adjusted","Sort=A","Dates=H","DateFormat=P","Fill=—","Direction=H","UseDPDF=Y")</f>
        <v>—</v>
      </c>
      <c r="F65" s="14" t="str">
        <f>_xll.BDH("BLUE US Equity","GROSS_MARGIN","FQ1 2020","FQ1 2020","Currency=USD","Period=FQ","BEST_FPERIOD_OVERRIDE=FQ","FILING_STATUS=MR","FA_ADJUSTED=Adjusted","Sort=A","Dates=H","DateFormat=P","Fill=—","Direction=H","UseDPDF=Y")</f>
        <v>—</v>
      </c>
      <c r="G65" s="14" t="str">
        <f>_xll.BDH("BLUE US Equity","GROSS_MARGIN","FQ2 2020","FQ2 2020","Currency=USD","Period=FQ","BEST_FPERIOD_OVERRIDE=FQ","FILING_STATUS=MR","FA_ADJUSTED=Adjusted","Sort=A","Dates=H","DateFormat=P","Fill=—","Direction=H","UseDPDF=Y")</f>
        <v>—</v>
      </c>
      <c r="H65" s="14" t="str">
        <f>_xll.BDH("BLUE US Equity","GROSS_MARGIN","FQ3 2020","FQ3 2020","Currency=USD","Period=FQ","BEST_FPERIOD_OVERRIDE=FQ","FILING_STATUS=MR","FA_ADJUSTED=Adjusted","Sort=A","Dates=H","DateFormat=P","Fill=—","Direction=H","UseDPDF=Y")</f>
        <v>—</v>
      </c>
      <c r="I65" s="14" t="str">
        <f>_xll.BDH("BLUE US Equity","GROSS_MARGIN","FQ4 2020","FQ4 2020","Currency=USD","Period=FQ","BEST_FPERIOD_OVERRIDE=FQ","FILING_STATUS=MR","FA_ADJUSTED=Adjusted","Sort=A","Dates=H","DateFormat=P","Fill=—","Direction=H","UseDPDF=Y")</f>
        <v>—</v>
      </c>
      <c r="J65" s="14">
        <f>_xll.BDH("BLUE US Equity","GROSS_MARGIN","FQ1 2021","FQ1 2021","Currency=USD","Period=FQ","BEST_FPERIOD_OVERRIDE=FQ","FILING_STATUS=MR","FA_ADJUSTED=Adjusted","Sort=A","Dates=H","DateFormat=P","Fill=—","Direction=H","UseDPDF=Y")</f>
        <v>35.570500000000003</v>
      </c>
      <c r="K65" s="14" t="str">
        <f>_xll.BDH("BLUE US Equity","GROSS_MARGIN","FQ2 2021","FQ2 2021","Currency=USD","Period=FQ","BEST_FPERIOD_OVERRIDE=FQ","FILING_STATUS=MR","FA_ADJUSTED=Adjusted","Sort=A","Dates=H","DateFormat=P","Fill=—","Direction=H","UseDPDF=Y")</f>
        <v>—</v>
      </c>
      <c r="L65" s="14">
        <f>_xll.BDH("BLUE US Equity","GROSS_MARGIN","FQ3 2021","FQ3 2021","Currency=USD","Period=FQ","BEST_FPERIOD_OVERRIDE=FQ","FILING_STATUS=MR","FA_ADJUSTED=Adjusted","Sort=A","Dates=H","DateFormat=P","Fill=—","Direction=H","UseDPDF=Y")</f>
        <v>-1802.3552999999999</v>
      </c>
      <c r="M65" s="14">
        <f>_xll.BDH("BLUE US Equity","GROSS_MARGIN","FQ4 2021","FQ4 2021","Currency=USD","Period=FQ","BEST_FPERIOD_OVERRIDE=FQ","FILING_STATUS=MR","FA_ADJUSTED=Adjusted","Sort=A","Dates=H","DateFormat=P","Fill=—","Direction=H","UseDPDF=Y")</f>
        <v>-129.2653</v>
      </c>
      <c r="N65" s="14">
        <f>_xll.BDH("BLUE US Equity","GROSS_MARGIN","FQ1 2022","FQ1 2022","Currency=USD","Period=FQ","BEST_FPERIOD_OVERRIDE=FQ","FILING_STATUS=MR","FA_ADJUSTED=Adjusted","Sort=A","Dates=H","DateFormat=P","Fill=—","Direction=H","UseDPDF=Y")</f>
        <v>-327.24939999999998</v>
      </c>
      <c r="O65" s="14">
        <f>_xll.BDH("BLUE US Equity","GROSS_MARGIN","FQ2 2022","FQ2 2022","Currency=USD","Period=FQ","BEST_FPERIOD_OVERRIDE=FQ","FILING_STATUS=MR","FA_ADJUSTED=Adjusted","Sort=A","Dates=H","DateFormat=P","Fill=—","Direction=H","UseDPDF=Y")</f>
        <v>-14.8782</v>
      </c>
      <c r="P65" s="14" t="str">
        <f>_xll.BDH("BLUE US Equity","GROSS_MARGIN","FQ3 2022","FQ3 2022","Currency=USD","Period=FQ","BEST_FPERIOD_OVERRIDE=FQ","FILING_STATUS=MR","FA_ADJUSTED=Adjusted","Sort=A","Dates=H","DateFormat=P","Fill=—","Direction=H","UseDPDF=Y")</f>
        <v>—</v>
      </c>
      <c r="Q65" s="14">
        <f>_xll.BDH("BLUE US Equity","GROSS_MARGIN","FQ4 2022","FQ4 2022","Currency=USD","Period=FQ","BEST_FPERIOD_OVERRIDE=FQ","FILING_STATUS=MR","FA_ADJUSTED=Adjusted","Sort=A","Dates=H","DateFormat=P","Fill=—","Direction=H","UseDPDF=Y")</f>
        <v>64.516099999999994</v>
      </c>
      <c r="R65" s="14">
        <f>_xll.BDH("BLUE US Equity","GROSS_MARGIN","FQ1 2023","FQ1 2023","Currency=USD","Period=FQ","BEST_FPERIOD_OVERRIDE=FQ","FILING_STATUS=MR","FA_ADJUSTED=Adjusted","Sort=A","Dates=H","DateFormat=P","Fill=—","Direction=H","UseDPDF=Y")</f>
        <v>-131.49940000000001</v>
      </c>
      <c r="S65" s="14">
        <f>_xll.BDH("BLUE US Equity","GROSS_MARGIN","FQ2 2023","FQ2 2023","Currency=USD","Period=FQ","BEST_FPERIOD_OVERRIDE=FQ","FILING_STATUS=MR","FA_ADJUSTED=Adjusted","Sort=A","Dates=H","DateFormat=P","Fill=—","Direction=H","UseDPDF=Y")</f>
        <v>2.8012000000000001</v>
      </c>
      <c r="T65" s="14">
        <f>_xll.BDH("BLUE US Equity","GROSS_MARGIN","FQ3 2023","FQ3 2023","Currency=USD","Period=FQ","BEST_FPERIOD_OVERRIDE=FQ","FILING_STATUS=MR","FA_ADJUSTED=Adjusted","Sort=A","Dates=H","DateFormat=P","Fill=—","Direction=H","UseDPDF=Y")</f>
        <v>26.355699999999999</v>
      </c>
      <c r="U65" s="14">
        <f>_xll.BDH("BLUE US Equity","GROSS_MARGIN","FQ4 2023","FQ4 2023","Currency=USD","Period=FQ","BEST_FPERIOD_OVERRIDE=FQ","FILING_STATUS=MR","FA_ADJUSTED=Adjusted","Sort=A","Dates=H","DateFormat=P","Fill=—","Direction=H","UseDPDF=Y")</f>
        <v>-22.9512</v>
      </c>
      <c r="V65" s="14">
        <f>_xll.BDH("BLUE US Equity","GROSS_MARGIN","FQ1 2024","FQ1 2024","Currency=USD","Period=FQ","BEST_FPERIOD_OVERRIDE=FQ","FILING_STATUS=MR","FA_ADJUSTED=Adjusted","Sort=A","Dates=H","DateFormat=P","Fill=—","Direction=H","UseDPDF=Y")</f>
        <v>-39.255899999999997</v>
      </c>
      <c r="W65" s="14">
        <f>_xll.BDH("BLUE US Equity","GROSS_MARGIN","FQ2 2024","FQ2 2024","Currency=USD","Period=FQ","BEST_FPERIOD_OVERRIDE=FQ","FILING_STATUS=MR","FA_ADJUSTED=Adjusted","Sort=A","Dates=H","DateFormat=P","Fill=—","Direction=H","UseDPDF=Y")</f>
        <v>-79.777699999999996</v>
      </c>
      <c r="X65" s="14">
        <f>_xll.BDH("BLUE US Equity","GROSS_MARGIN","FQ3 2024","FQ3 2024","Currency=USD","Period=FQ","BEST_FPERIOD_OVERRIDE=FQ","FILING_STATUS=MR","FA_ADJUSTED=Adjusted","Sort=A","Dates=H","DateFormat=P","Fill=—","Direction=H","UseDPDF=Y")</f>
        <v>-11.0158</v>
      </c>
      <c r="Y65" s="14">
        <f>_xll.BDH("BLUE US Equity","GROSS_MARGIN","FQ4 2024","FQ4 2024","Currency=USD","Period=FQ","BEST_FPERIOD_OVERRIDE=FQ","FILING_STATUS=MR","FA_ADJUSTED=Adjusted","Sort=A","Dates=H","DateFormat=P","Fill=—","Direction=H","UseDPDF=Y")</f>
        <v>40.8401</v>
      </c>
      <c r="Z65" s="14"/>
      <c r="AA65" s="14"/>
    </row>
    <row r="66" spans="1:27" x14ac:dyDescent="0.25">
      <c r="A66" s="10" t="s">
        <v>359</v>
      </c>
      <c r="B66" s="10" t="s">
        <v>360</v>
      </c>
      <c r="C66" s="14">
        <f>_xll.BDH("BLUE US Equity","OPER_MARGIN","FQ2 2019","FQ2 2019","Currency=USD","Period=FQ","BEST_FPERIOD_OVERRIDE=FQ","FILING_STATUS=MR","FA_ADJUSTED=Adjusted","Sort=A","Dates=H","DateFormat=P","Fill=—","Direction=H","UseDPDF=Y")</f>
        <v>-1522.9241999999999</v>
      </c>
      <c r="D66" s="14">
        <f>_xll.BDH("BLUE US Equity","OPER_MARGIN","FQ3 2019","FQ3 2019","Currency=USD","Period=FQ","BEST_FPERIOD_OVERRIDE=FQ","FILING_STATUS=MR","FA_ADJUSTED=Adjusted","Sort=A","Dates=H","DateFormat=P","Fill=—","Direction=H","UseDPDF=Y")</f>
        <v>-2352.5700999999999</v>
      </c>
      <c r="E66" s="14">
        <f>_xll.BDH("BLUE US Equity","OPER_MARGIN","FQ4 2019","FQ4 2019","Currency=USD","Period=FQ","BEST_FPERIOD_OVERRIDE=FQ","FILING_STATUS=MR","FA_ADJUSTED=Adjusted","Sort=A","Dates=H","DateFormat=P","Fill=—","Direction=H","UseDPDF=Y")</f>
        <v>-2291.6774999999998</v>
      </c>
      <c r="F66" s="14">
        <f>_xll.BDH("BLUE US Equity","OPER_MARGIN","FQ1 2020","FQ1 2020","Currency=USD","Period=FQ","BEST_FPERIOD_OVERRIDE=FQ","FILING_STATUS=MR","FA_ADJUSTED=Adjusted","Sort=A","Dates=H","DateFormat=P","Fill=—","Direction=H","UseDPDF=Y")</f>
        <v>-944.66909999999996</v>
      </c>
      <c r="G66" s="14">
        <f>_xll.BDH("BLUE US Equity","OPER_MARGIN","FQ2 2020","FQ2 2020","Currency=USD","Period=FQ","BEST_FPERIOD_OVERRIDE=FQ","FILING_STATUS=MR","FA_ADJUSTED=Adjusted","Sort=A","Dates=H","DateFormat=P","Fill=—","Direction=H","UseDPDF=Y")</f>
        <v>-13.877000000000001</v>
      </c>
      <c r="H66" s="14">
        <f>_xll.BDH("BLUE US Equity","OPER_MARGIN","FQ3 2020","FQ3 2020","Currency=USD","Period=FQ","BEST_FPERIOD_OVERRIDE=FQ","FILING_STATUS=MR","FA_ADJUSTED=Adjusted","Sort=A","Dates=H","DateFormat=P","Fill=—","Direction=H","UseDPDF=Y")</f>
        <v>-988.54359999999997</v>
      </c>
      <c r="I66" s="14" t="str">
        <f>_xll.BDH("BLUE US Equity","OPER_MARGIN","FQ4 2020","FQ4 2020","Currency=USD","Period=FQ","BEST_FPERIOD_OVERRIDE=FQ","FILING_STATUS=MR","FA_ADJUSTED=Adjusted","Sort=A","Dates=H","DateFormat=P","Fill=—","Direction=H","UseDPDF=Y")</f>
        <v>—</v>
      </c>
      <c r="J66" s="14">
        <f>_xll.BDH("BLUE US Equity","OPER_MARGIN","FQ1 2021","FQ1 2021","Currency=USD","Period=FQ","BEST_FPERIOD_OVERRIDE=FQ","FILING_STATUS=MR","FA_ADJUSTED=Adjusted","Sort=A","Dates=H","DateFormat=P","Fill=—","Direction=H","UseDPDF=Y")</f>
        <v>-19473.937399999999</v>
      </c>
      <c r="K66" s="14">
        <f>_xll.BDH("BLUE US Equity","OPER_MARGIN","FQ2 2021","FQ2 2021","Currency=USD","Period=FQ","BEST_FPERIOD_OVERRIDE=FQ","FILING_STATUS=MR","FA_ADJUSTED=Adjusted","Sort=A","Dates=H","DateFormat=P","Fill=—","Direction=H","UseDPDF=Y")</f>
        <v>-3222.5776000000001</v>
      </c>
      <c r="L66" s="14">
        <f>_xll.BDH("BLUE US Equity","OPER_MARGIN","FQ3 2021","FQ3 2021","Currency=USD","Period=FQ","BEST_FPERIOD_OVERRIDE=FQ","FILING_STATUS=MR","FA_ADJUSTED=Adjusted","Sort=A","Dates=H","DateFormat=P","Fill=—","Direction=H","UseDPDF=Y")</f>
        <v>-13177.0363</v>
      </c>
      <c r="M66" s="14">
        <f>_xll.BDH("BLUE US Equity","OPER_MARGIN","FQ4 2021","FQ4 2021","Currency=USD","Period=FQ","BEST_FPERIOD_OVERRIDE=FQ","FILING_STATUS=MR","FA_ADJUSTED=Adjusted","Sort=A","Dates=H","DateFormat=P","Fill=—","Direction=H","UseDPDF=Y")</f>
        <v>-8389.9750999999997</v>
      </c>
      <c r="N66" s="14">
        <f>_xll.BDH("BLUE US Equity","OPER_MARGIN","FQ1 2022","FQ1 2022","Currency=USD","Period=FQ","BEST_FPERIOD_OVERRIDE=FQ","FILING_STATUS=MR","FA_ADJUSTED=Adjusted","Sort=A","Dates=H","DateFormat=P","Fill=—","Direction=H","UseDPDF=Y")</f>
        <v>-6058.509</v>
      </c>
      <c r="O66" s="14">
        <f>_xll.BDH("BLUE US Equity","OPER_MARGIN","FQ2 2022","FQ2 2022","Currency=USD","Period=FQ","BEST_FPERIOD_OVERRIDE=FQ","FILING_STATUS=MR","FA_ADJUSTED=Adjusted","Sort=A","Dates=H","DateFormat=P","Fill=—","Direction=H","UseDPDF=Y")</f>
        <v>-6592.1000999999997</v>
      </c>
      <c r="P66" s="14">
        <f>_xll.BDH("BLUE US Equity","OPER_MARGIN","FQ3 2022","FQ3 2022","Currency=USD","Period=FQ","BEST_FPERIOD_OVERRIDE=FQ","FILING_STATUS=MR","FA_ADJUSTED=Adjusted","Sort=A","Dates=H","DateFormat=P","Fill=—","Direction=H","UseDPDF=Y")</f>
        <v>-121802.81690000001</v>
      </c>
      <c r="Q66" s="14">
        <f>_xll.BDH("BLUE US Equity","OPER_MARGIN","FQ4 2022","FQ4 2022","Currency=USD","Period=FQ","BEST_FPERIOD_OVERRIDE=FQ","FILING_STATUS=MR","FA_ADJUSTED=Adjusted","Sort=A","Dates=H","DateFormat=P","Fill=—","Direction=H","UseDPDF=Y")</f>
        <v>-69020.967699999994</v>
      </c>
      <c r="R66" s="14">
        <f>_xll.BDH("BLUE US Equity","OPER_MARGIN","FQ1 2023","FQ1 2023","Currency=USD","Period=FQ","BEST_FPERIOD_OVERRIDE=FQ","FILING_STATUS=MR","FA_ADJUSTED=Adjusted","Sort=A","Dates=H","DateFormat=P","Fill=—","Direction=H","UseDPDF=Y")</f>
        <v>-3451.701</v>
      </c>
      <c r="S66" s="14">
        <f>_xll.BDH("BLUE US Equity","OPER_MARGIN","FQ2 2023","FQ2 2023","Currency=USD","Period=FQ","BEST_FPERIOD_OVERRIDE=FQ","FILING_STATUS=MR","FA_ADJUSTED=Adjusted","Sort=A","Dates=H","DateFormat=P","Fill=—","Direction=H","UseDPDF=Y")</f>
        <v>-1040.8852999999999</v>
      </c>
      <c r="T66" s="14">
        <f>_xll.BDH("BLUE US Equity","OPER_MARGIN","FQ3 2023","FQ3 2023","Currency=USD","Period=FQ","BEST_FPERIOD_OVERRIDE=FQ","FILING_STATUS=MR","FA_ADJUSTED=Adjusted","Sort=A","Dates=H","DateFormat=P","Fill=—","Direction=H","UseDPDF=Y")</f>
        <v>-774.74180000000001</v>
      </c>
      <c r="U66" s="14">
        <f>_xll.BDH("BLUE US Equity","OPER_MARGIN","FQ4 2023","FQ4 2023","Currency=USD","Period=FQ","BEST_FPERIOD_OVERRIDE=FQ","FILING_STATUS=MR","FA_ADJUSTED=Adjusted","Sort=A","Dates=H","DateFormat=P","Fill=—","Direction=H","UseDPDF=Y")</f>
        <v>-1055.3101999999999</v>
      </c>
      <c r="V66" s="14">
        <f>_xll.BDH("BLUE US Equity","OPER_MARGIN","FQ1 2024","FQ1 2024","Currency=USD","Period=FQ","BEST_FPERIOD_OVERRIDE=FQ","FILING_STATUS=MR","FA_ADJUSTED=Adjusted","Sort=A","Dates=H","DateFormat=P","Fill=—","Direction=H","UseDPDF=Y")</f>
        <v>-423.69029999999998</v>
      </c>
      <c r="W66" s="14">
        <f>_xll.BDH("BLUE US Equity","OPER_MARGIN","FQ2 2024","FQ2 2024","Currency=USD","Period=FQ","BEST_FPERIOD_OVERRIDE=FQ","FILING_STATUS=MR","FA_ADJUSTED=Adjusted","Sort=A","Dates=H","DateFormat=P","Fill=—","Direction=H","UseDPDF=Y")</f>
        <v>-548.98450000000003</v>
      </c>
      <c r="X66" s="14">
        <f>_xll.BDH("BLUE US Equity","OPER_MARGIN","FQ3 2024","FQ3 2024","Currency=USD","Period=FQ","BEST_FPERIOD_OVERRIDE=FQ","FILING_STATUS=MR","FA_ADJUSTED=Adjusted","Sort=A","Dates=H","DateFormat=P","Fill=—","Direction=H","UseDPDF=Y")</f>
        <v>-604.10860000000002</v>
      </c>
      <c r="Y66" s="14">
        <f>_xll.BDH("BLUE US Equity","OPER_MARGIN","FQ4 2024","FQ4 2024","Currency=USD","Period=FQ","BEST_FPERIOD_OVERRIDE=FQ","FILING_STATUS=MR","FA_ADJUSTED=Adjusted","Sort=A","Dates=H","DateFormat=P","Fill=—","Direction=H","UseDPDF=Y")</f>
        <v>-94.771699999999996</v>
      </c>
      <c r="Z66" s="14">
        <v>-122.455294794205</v>
      </c>
      <c r="AA66" s="14">
        <v>-42.515964903172197</v>
      </c>
    </row>
    <row r="67" spans="1:27" x14ac:dyDescent="0.25">
      <c r="A67" s="10" t="s">
        <v>361</v>
      </c>
      <c r="B67" s="10" t="s">
        <v>362</v>
      </c>
      <c r="C67" s="14">
        <f>_xll.BDH("BLUE US Equity","PROF_MARGIN","FQ2 2019","FQ2 2019","Currency=USD","Period=FQ","BEST_FPERIOD_OVERRIDE=FQ","FILING_STATUS=MR","FA_ADJUSTED=Adjusted","Sort=A","Dates=H","DateFormat=P","Fill=—","Direction=H","UseDPDF=Y")</f>
        <v>-1471.2165</v>
      </c>
      <c r="D67" s="14">
        <f>_xll.BDH("BLUE US Equity","PROF_MARGIN","FQ3 2019","FQ3 2019","Currency=USD","Period=FQ","BEST_FPERIOD_OVERRIDE=FQ","FILING_STATUS=MR","FA_ADJUSTED=Adjusted","Sort=A","Dates=H","DateFormat=P","Fill=—","Direction=H","UseDPDF=Y")</f>
        <v>-2305.2685000000001</v>
      </c>
      <c r="E67" s="14">
        <f>_xll.BDH("BLUE US Equity","PROF_MARGIN","FQ4 2019","FQ4 2019","Currency=USD","Period=FQ","BEST_FPERIOD_OVERRIDE=FQ","FILING_STATUS=MR","FA_ADJUSTED=Adjusted","Sort=A","Dates=H","DateFormat=P","Fill=—","Direction=H","UseDPDF=Y")</f>
        <v>-2222.8002999999999</v>
      </c>
      <c r="F67" s="14">
        <f>_xll.BDH("BLUE US Equity","PROF_MARGIN","FQ1 2020","FQ1 2020","Currency=USD","Period=FQ","BEST_FPERIOD_OVERRIDE=FQ","FILING_STATUS=MR","FA_ADJUSTED=Adjusted","Sort=A","Dates=H","DateFormat=P","Fill=—","Direction=H","UseDPDF=Y")</f>
        <v>-937.9606</v>
      </c>
      <c r="G67" s="14">
        <f>_xll.BDH("BLUE US Equity","PROF_MARGIN","FQ2 2020","FQ2 2020","Currency=USD","Period=FQ","BEST_FPERIOD_OVERRIDE=FQ","FILING_STATUS=MR","FA_ADJUSTED=Adjusted","Sort=A","Dates=H","DateFormat=P","Fill=—","Direction=H","UseDPDF=Y")</f>
        <v>-11.4498</v>
      </c>
      <c r="H67" s="14">
        <f>_xll.BDH("BLUE US Equity","PROF_MARGIN","FQ3 2020","FQ3 2020","Currency=USD","Period=FQ","BEST_FPERIOD_OVERRIDE=FQ","FILING_STATUS=MR","FA_ADJUSTED=Adjusted","Sort=A","Dates=H","DateFormat=P","Fill=—","Direction=H","UseDPDF=Y")</f>
        <v>-1013.849</v>
      </c>
      <c r="I67" s="14" t="str">
        <f>_xll.BDH("BLUE US Equity","PROF_MARGIN","FQ4 2020","FQ4 2020","Currency=USD","Period=FQ","BEST_FPERIOD_OVERRIDE=FQ","FILING_STATUS=MR","FA_ADJUSTED=Adjusted","Sort=A","Dates=H","DateFormat=P","Fill=—","Direction=H","UseDPDF=Y")</f>
        <v>—</v>
      </c>
      <c r="J67" s="14">
        <f>_xll.BDH("BLUE US Equity","PROF_MARGIN","FQ1 2021","FQ1 2021","Currency=USD","Period=FQ","BEST_FPERIOD_OVERRIDE=FQ","FILING_STATUS=MR","FA_ADJUSTED=Adjusted","Sort=A","Dates=H","DateFormat=P","Fill=—","Direction=H","UseDPDF=Y")</f>
        <v>-16065.5895</v>
      </c>
      <c r="K67" s="14">
        <f>_xll.BDH("BLUE US Equity","PROF_MARGIN","FQ2 2021","FQ2 2021","Currency=USD","Period=FQ","BEST_FPERIOD_OVERRIDE=FQ","FILING_STATUS=MR","FA_ADJUSTED=Adjusted","Sort=A","Dates=H","DateFormat=P","Fill=—","Direction=H","UseDPDF=Y")</f>
        <v>-3234.2728999999999</v>
      </c>
      <c r="L67" s="14">
        <f>_xll.BDH("BLUE US Equity","PROF_MARGIN","FQ3 2021","FQ3 2021","Currency=USD","Period=FQ","BEST_FPERIOD_OVERRIDE=FQ","FILING_STATUS=MR","FA_ADJUSTED=Adjusted","Sort=A","Dates=H","DateFormat=P","Fill=—","Direction=H","UseDPDF=Y")</f>
        <v>-15664.386699999999</v>
      </c>
      <c r="M67" s="14">
        <f>_xll.BDH("BLUE US Equity","PROF_MARGIN","FQ4 2021","FQ4 2021","Currency=USD","Period=FQ","BEST_FPERIOD_OVERRIDE=FQ","FILING_STATUS=MR","FA_ADJUSTED=Adjusted","Sort=A","Dates=H","DateFormat=P","Fill=—","Direction=H","UseDPDF=Y")</f>
        <v>-8194.0871999999999</v>
      </c>
      <c r="N67" s="14">
        <f>_xll.BDH("BLUE US Equity","PROF_MARGIN","FQ1 2022","FQ1 2022","Currency=USD","Period=FQ","BEST_FPERIOD_OVERRIDE=FQ","FILING_STATUS=MR","FA_ADJUSTED=Adjusted","Sort=A","Dates=H","DateFormat=P","Fill=—","Direction=H","UseDPDF=Y")</f>
        <v>-6178.4411</v>
      </c>
      <c r="O67" s="14">
        <f>_xll.BDH("BLUE US Equity","PROF_MARGIN","FQ2 2022","FQ2 2022","Currency=USD","Period=FQ","BEST_FPERIOD_OVERRIDE=FQ","FILING_STATUS=MR","FA_ADJUSTED=Adjusted","Sort=A","Dates=H","DateFormat=P","Fill=—","Direction=H","UseDPDF=Y")</f>
        <v>-6214.4740000000002</v>
      </c>
      <c r="P67" s="14">
        <f>_xll.BDH("BLUE US Equity","PROF_MARGIN","FQ3 2022","FQ3 2022","Currency=USD","Period=FQ","BEST_FPERIOD_OVERRIDE=FQ","FILING_STATUS=MR","FA_ADJUSTED=Adjusted","Sort=A","Dates=H","DateFormat=P","Fill=—","Direction=H","UseDPDF=Y")</f>
        <v>-106176.84510000001</v>
      </c>
      <c r="Q67" s="14">
        <f>_xll.BDH("BLUE US Equity","PROF_MARGIN","FQ4 2022","FQ4 2022","Currency=USD","Period=FQ","BEST_FPERIOD_OVERRIDE=FQ","FILING_STATUS=MR","FA_ADJUSTED=Adjusted","Sort=A","Dates=H","DateFormat=P","Fill=—","Direction=H","UseDPDF=Y")</f>
        <v>-27524.6774</v>
      </c>
      <c r="R67" s="14">
        <f>_xll.BDH("BLUE US Equity","PROF_MARGIN","FQ1 2023","FQ1 2023","Currency=USD","Period=FQ","BEST_FPERIOD_OVERRIDE=FQ","FILING_STATUS=MR","FA_ADJUSTED=Adjusted","Sort=A","Dates=H","DateFormat=P","Fill=—","Direction=H","UseDPDF=Y")</f>
        <v>-2288.3116</v>
      </c>
      <c r="S67" s="14">
        <f>_xll.BDH("BLUE US Equity","PROF_MARGIN","FQ2 2023","FQ2 2023","Currency=USD","Period=FQ","BEST_FPERIOD_OVERRIDE=FQ","FILING_STATUS=MR","FA_ADJUSTED=Adjusted","Sort=A","Dates=H","DateFormat=P","Fill=—","Direction=H","UseDPDF=Y")</f>
        <v>-911.30619999999999</v>
      </c>
      <c r="T67" s="14">
        <f>_xll.BDH("BLUE US Equity","PROF_MARGIN","FQ3 2023","FQ3 2023","Currency=USD","Period=FQ","BEST_FPERIOD_OVERRIDE=FQ","FILING_STATUS=MR","FA_ADJUSTED=Adjusted","Sort=A","Dates=H","DateFormat=P","Fill=—","Direction=H","UseDPDF=Y")</f>
        <v>-703.93799999999999</v>
      </c>
      <c r="U67" s="14">
        <f>_xll.BDH("BLUE US Equity","PROF_MARGIN","FQ4 2023","FQ4 2023","Currency=USD","Period=FQ","BEST_FPERIOD_OVERRIDE=FQ","FILING_STATUS=MR","FA_ADJUSTED=Adjusted","Sort=A","Dates=H","DateFormat=P","Fill=—","Direction=H","UseDPDF=Y")</f>
        <v>-1129.8697999999999</v>
      </c>
      <c r="V67" s="14">
        <f>_xll.BDH("BLUE US Equity","PROF_MARGIN","FQ1 2024","FQ1 2024","Currency=USD","Period=FQ","BEST_FPERIOD_OVERRIDE=FQ","FILING_STATUS=MR","FA_ADJUSTED=Adjusted","Sort=A","Dates=H","DateFormat=P","Fill=—","Direction=H","UseDPDF=Y")</f>
        <v>-375.83589999999998</v>
      </c>
      <c r="W67" s="14">
        <f>_xll.BDH("BLUE US Equity","PROF_MARGIN","FQ2 2024","FQ2 2024","Currency=USD","Period=FQ","BEST_FPERIOD_OVERRIDE=FQ","FILING_STATUS=MR","FA_ADJUSTED=Adjusted","Sort=A","Dates=H","DateFormat=P","Fill=—","Direction=H","UseDPDF=Y")</f>
        <v>-505.51519999999999</v>
      </c>
      <c r="X67" s="14">
        <f>_xll.BDH("BLUE US Equity","PROF_MARGIN","FQ3 2024","FQ3 2024","Currency=USD","Period=FQ","BEST_FPERIOD_OVERRIDE=FQ","FILING_STATUS=MR","FA_ADJUSTED=Adjusted","Sort=A","Dates=H","DateFormat=P","Fill=—","Direction=H","UseDPDF=Y")</f>
        <v>-552.08550000000002</v>
      </c>
      <c r="Y67" s="14">
        <f>_xll.BDH("BLUE US Equity","PROF_MARGIN","FQ4 2024","FQ4 2024","Currency=USD","Period=FQ","BEST_FPERIOD_OVERRIDE=FQ","FILING_STATUS=MR","FA_ADJUSTED=Adjusted","Sort=A","Dates=H","DateFormat=P","Fill=—","Direction=H","UseDPDF=Y")</f>
        <v>-74.631299999999996</v>
      </c>
      <c r="Z67" s="14">
        <v>-116.337596188077</v>
      </c>
      <c r="AA67" s="14">
        <v>-49.524946783656098</v>
      </c>
    </row>
    <row r="68" spans="1:27" x14ac:dyDescent="0.25">
      <c r="A68" s="10" t="s">
        <v>363</v>
      </c>
      <c r="B68" s="10" t="s">
        <v>364</v>
      </c>
      <c r="C68" s="14" t="str">
        <f>_xll.BDH("BLUE US Equity","ACTUAL_SALES_PER_EMPL","FQ2 2019","FQ2 2019","Currency=USD","Period=FQ","BEST_FPERIOD_OVERRIDE=FQ","FILING_STATUS=MR","FA_ADJUSTED=Adjusted","Sort=A","Dates=H","DateFormat=P","Fill=—","Direction=H","UseDPDF=Y")</f>
        <v>—</v>
      </c>
      <c r="D68" s="14" t="str">
        <f>_xll.BDH("BLUE US Equity","ACTUAL_SALES_PER_EMPL","FQ3 2019","FQ3 2019","Currency=USD","Period=FQ","BEST_FPERIOD_OVERRIDE=FQ","FILING_STATUS=MR","FA_ADJUSTED=Adjusted","Sort=A","Dates=H","DateFormat=P","Fill=—","Direction=H","UseDPDF=Y")</f>
        <v>—</v>
      </c>
      <c r="E68" s="14">
        <f>_xll.BDH("BLUE US Equity","ACTUAL_SALES_PER_EMPL","FQ4 2019","FQ4 2019","Currency=USD","Period=FQ","BEST_FPERIOD_OVERRIDE=FQ","FILING_STATUS=MR","FA_ADJUSTED=Adjusted","Sort=A","Dates=H","DateFormat=P","Fill=—","Direction=H","UseDPDF=Y")</f>
        <v>9878.4585000000006</v>
      </c>
      <c r="F68" s="14" t="str">
        <f>_xll.BDH("BLUE US Equity","ACTUAL_SALES_PER_EMPL","FQ1 2020","FQ1 2020","Currency=USD","Period=FQ","BEST_FPERIOD_OVERRIDE=FQ","FILING_STATUS=MR","FA_ADJUSTED=Adjusted","Sort=A","Dates=H","DateFormat=P","Fill=—","Direction=H","UseDPDF=Y")</f>
        <v>—</v>
      </c>
      <c r="G68" s="14" t="str">
        <f>_xll.BDH("BLUE US Equity","ACTUAL_SALES_PER_EMPL","FQ2 2020","FQ2 2020","Currency=USD","Period=FQ","BEST_FPERIOD_OVERRIDE=FQ","FILING_STATUS=MR","FA_ADJUSTED=Adjusted","Sort=A","Dates=H","DateFormat=P","Fill=—","Direction=H","UseDPDF=Y")</f>
        <v>—</v>
      </c>
      <c r="H68" s="14" t="str">
        <f>_xll.BDH("BLUE US Equity","ACTUAL_SALES_PER_EMPL","FQ3 2020","FQ3 2020","Currency=USD","Period=FQ","BEST_FPERIOD_OVERRIDE=FQ","FILING_STATUS=MR","FA_ADJUSTED=Adjusted","Sort=A","Dates=H","DateFormat=P","Fill=—","Direction=H","UseDPDF=Y")</f>
        <v>—</v>
      </c>
      <c r="I68" s="14">
        <f>_xll.BDH("BLUE US Equity","ACTUAL_SALES_PER_EMPL","FQ4 2020","FQ4 2020","Currency=USD","Period=FQ","BEST_FPERIOD_OVERRIDE=FQ","FILING_STATUS=MR","FA_ADJUSTED=Adjusted","Sort=A","Dates=H","DateFormat=P","Fill=—","Direction=H","UseDPDF=Y")</f>
        <v>0</v>
      </c>
      <c r="J68" s="14" t="str">
        <f>_xll.BDH("BLUE US Equity","ACTUAL_SALES_PER_EMPL","FQ1 2021","FQ1 2021","Currency=USD","Period=FQ","BEST_FPERIOD_OVERRIDE=FQ","FILING_STATUS=MR","FA_ADJUSTED=Adjusted","Sort=A","Dates=H","DateFormat=P","Fill=—","Direction=H","UseDPDF=Y")</f>
        <v>—</v>
      </c>
      <c r="K68" s="14" t="str">
        <f>_xll.BDH("BLUE US Equity","ACTUAL_SALES_PER_EMPL","FQ2 2021","FQ2 2021","Currency=USD","Period=FQ","BEST_FPERIOD_OVERRIDE=FQ","FILING_STATUS=MR","FA_ADJUSTED=Adjusted","Sort=A","Dates=H","DateFormat=P","Fill=—","Direction=H","UseDPDF=Y")</f>
        <v>—</v>
      </c>
      <c r="L68" s="14" t="str">
        <f>_xll.BDH("BLUE US Equity","ACTUAL_SALES_PER_EMPL","FQ3 2021","FQ3 2021","Currency=USD","Period=FQ","BEST_FPERIOD_OVERRIDE=FQ","FILING_STATUS=MR","FA_ADJUSTED=Adjusted","Sort=A","Dates=H","DateFormat=P","Fill=—","Direction=H","UseDPDF=Y")</f>
        <v>—</v>
      </c>
      <c r="M68" s="14">
        <f>_xll.BDH("BLUE US Equity","ACTUAL_SALES_PER_EMPL","FQ4 2021","FQ4 2021","Currency=USD","Period=FQ","BEST_FPERIOD_OVERRIDE=FQ","FILING_STATUS=MR","FA_ADJUSTED=Adjusted","Sort=A","Dates=H","DateFormat=P","Fill=—","Direction=H","UseDPDF=Y")</f>
        <v>3100.3861000000002</v>
      </c>
      <c r="N68" s="14" t="str">
        <f>_xll.BDH("BLUE US Equity","ACTUAL_SALES_PER_EMPL","FQ1 2022","FQ1 2022","Currency=USD","Period=FQ","BEST_FPERIOD_OVERRIDE=FQ","FILING_STATUS=MR","FA_ADJUSTED=Adjusted","Sort=A","Dates=H","DateFormat=P","Fill=—","Direction=H","UseDPDF=Y")</f>
        <v>—</v>
      </c>
      <c r="O68" s="14" t="str">
        <f>_xll.BDH("BLUE US Equity","ACTUAL_SALES_PER_EMPL","FQ2 2022","FQ2 2022","Currency=USD","Period=FQ","BEST_FPERIOD_OVERRIDE=FQ","FILING_STATUS=MR","FA_ADJUSTED=Adjusted","Sort=A","Dates=H","DateFormat=P","Fill=—","Direction=H","UseDPDF=Y")</f>
        <v>—</v>
      </c>
      <c r="P68" s="14" t="str">
        <f>_xll.BDH("BLUE US Equity","ACTUAL_SALES_PER_EMPL","FQ3 2022","FQ3 2022","Currency=USD","Period=FQ","BEST_FPERIOD_OVERRIDE=FQ","FILING_STATUS=MR","FA_ADJUSTED=Adjusted","Sort=A","Dates=H","DateFormat=P","Fill=—","Direction=H","UseDPDF=Y")</f>
        <v>—</v>
      </c>
      <c r="Q68" s="14">
        <f>_xll.BDH("BLUE US Equity","ACTUAL_SALES_PER_EMPL","FQ4 2022","FQ4 2022","Currency=USD","Period=FQ","BEST_FPERIOD_OVERRIDE=FQ","FILING_STATUS=MR","FA_ADJUSTED=Adjusted","Sort=A","Dates=H","DateFormat=P","Fill=—","Direction=H","UseDPDF=Y")</f>
        <v>191.95050000000001</v>
      </c>
      <c r="R68" s="14" t="str">
        <f>_xll.BDH("BLUE US Equity","ACTUAL_SALES_PER_EMPL","FQ1 2023","FQ1 2023","Currency=USD","Period=FQ","BEST_FPERIOD_OVERRIDE=FQ","FILING_STATUS=MR","FA_ADJUSTED=Adjusted","Sort=A","Dates=H","DateFormat=P","Fill=—","Direction=H","UseDPDF=Y")</f>
        <v>—</v>
      </c>
      <c r="S68" s="14" t="str">
        <f>_xll.BDH("BLUE US Equity","ACTUAL_SALES_PER_EMPL","FQ2 2023","FQ2 2023","Currency=USD","Period=FQ","BEST_FPERIOD_OVERRIDE=FQ","FILING_STATUS=MR","FA_ADJUSTED=Adjusted","Sort=A","Dates=H","DateFormat=P","Fill=—","Direction=H","UseDPDF=Y")</f>
        <v>—</v>
      </c>
      <c r="T68" s="14" t="str">
        <f>_xll.BDH("BLUE US Equity","ACTUAL_SALES_PER_EMPL","FQ3 2023","FQ3 2023","Currency=USD","Period=FQ","BEST_FPERIOD_OVERRIDE=FQ","FILING_STATUS=MR","FA_ADJUSTED=Adjusted","Sort=A","Dates=H","DateFormat=P","Fill=—","Direction=H","UseDPDF=Y")</f>
        <v>—</v>
      </c>
      <c r="U68" s="14">
        <f>_xll.BDH("BLUE US Equity","ACTUAL_SALES_PER_EMPL","FQ4 2023","FQ4 2023","Currency=USD","Period=FQ","BEST_FPERIOD_OVERRIDE=FQ","FILING_STATUS=MR","FA_ADJUSTED=Adjusted","Sort=A","Dates=H","DateFormat=P","Fill=—","Direction=H","UseDPDF=Y")</f>
        <v>20890.666700000002</v>
      </c>
      <c r="V68" s="14" t="str">
        <f>_xll.BDH("BLUE US Equity","ACTUAL_SALES_PER_EMPL","FQ1 2024","FQ1 2024","Currency=USD","Period=FQ","BEST_FPERIOD_OVERRIDE=FQ","FILING_STATUS=MR","FA_ADJUSTED=Adjusted","Sort=A","Dates=H","DateFormat=P","Fill=—","Direction=H","UseDPDF=Y")</f>
        <v>—</v>
      </c>
      <c r="W68" s="14" t="str">
        <f>_xll.BDH("BLUE US Equity","ACTUAL_SALES_PER_EMPL","FQ2 2024","FQ2 2024","Currency=USD","Period=FQ","BEST_FPERIOD_OVERRIDE=FQ","FILING_STATUS=MR","FA_ADJUSTED=Adjusted","Sort=A","Dates=H","DateFormat=P","Fill=—","Direction=H","UseDPDF=Y")</f>
        <v>—</v>
      </c>
      <c r="X68" s="14" t="str">
        <f>_xll.BDH("BLUE US Equity","ACTUAL_SALES_PER_EMPL","FQ3 2024","FQ3 2024","Currency=USD","Period=FQ","BEST_FPERIOD_OVERRIDE=FQ","FILING_STATUS=MR","FA_ADJUSTED=Adjusted","Sort=A","Dates=H","DateFormat=P","Fill=—","Direction=H","UseDPDF=Y")</f>
        <v>—</v>
      </c>
      <c r="Y68" s="14">
        <f>_xll.BDH("BLUE US Equity","ACTUAL_SALES_PER_EMPL","FQ4 2024","FQ4 2024","Currency=USD","Period=FQ","BEST_FPERIOD_OVERRIDE=FQ","FILING_STATUS=MR","FA_ADJUSTED=Adjusted","Sort=A","Dates=H","DateFormat=P","Fill=—","Direction=H","UseDPDF=Y")</f>
        <v>155326.61290000001</v>
      </c>
      <c r="Z68" s="14"/>
      <c r="AA68" s="14"/>
    </row>
    <row r="69" spans="1:27" x14ac:dyDescent="0.25">
      <c r="A69" s="10" t="s">
        <v>365</v>
      </c>
      <c r="B69" s="10" t="s">
        <v>242</v>
      </c>
      <c r="C69" s="14">
        <f>_xll.BDH("BLUE US Equity","EQY_DPS","FQ2 2019","FQ2 2019","Currency=USD","Period=FQ","BEST_FPERIOD_OVERRIDE=FQ","FILING_STATUS=MR","Sort=A","Dates=H","DateFormat=P","Fill=—","Direction=H","UseDPDF=Y")</f>
        <v>0</v>
      </c>
      <c r="D69" s="14">
        <f>_xll.BDH("BLUE US Equity","EQY_DPS","FQ3 2019","FQ3 2019","Currency=USD","Period=FQ","BEST_FPERIOD_OVERRIDE=FQ","FILING_STATUS=MR","Sort=A","Dates=H","DateFormat=P","Fill=—","Direction=H","UseDPDF=Y")</f>
        <v>0</v>
      </c>
      <c r="E69" s="14">
        <f>_xll.BDH("BLUE US Equity","EQY_DPS","FQ4 2019","FQ4 2019","Currency=USD","Period=FQ","BEST_FPERIOD_OVERRIDE=FQ","FILING_STATUS=MR","Sort=A","Dates=H","DateFormat=P","Fill=—","Direction=H","UseDPDF=Y")</f>
        <v>0</v>
      </c>
      <c r="F69" s="14">
        <f>_xll.BDH("BLUE US Equity","EQY_DPS","FQ1 2020","FQ1 2020","Currency=USD","Period=FQ","BEST_FPERIOD_OVERRIDE=FQ","FILING_STATUS=MR","Sort=A","Dates=H","DateFormat=P","Fill=—","Direction=H","UseDPDF=Y")</f>
        <v>0</v>
      </c>
      <c r="G69" s="14">
        <f>_xll.BDH("BLUE US Equity","EQY_DPS","FQ2 2020","FQ2 2020","Currency=USD","Period=FQ","BEST_FPERIOD_OVERRIDE=FQ","FILING_STATUS=MR","Sort=A","Dates=H","DateFormat=P","Fill=—","Direction=H","UseDPDF=Y")</f>
        <v>0</v>
      </c>
      <c r="H69" s="14">
        <f>_xll.BDH("BLUE US Equity","EQY_DPS","FQ3 2020","FQ3 2020","Currency=USD","Period=FQ","BEST_FPERIOD_OVERRIDE=FQ","FILING_STATUS=MR","Sort=A","Dates=H","DateFormat=P","Fill=—","Direction=H","UseDPDF=Y")</f>
        <v>0</v>
      </c>
      <c r="I69" s="14">
        <f>_xll.BDH("BLUE US Equity","EQY_DPS","FQ4 2020","FQ4 2020","Currency=USD","Period=FQ","BEST_FPERIOD_OVERRIDE=FQ","FILING_STATUS=MR","Sort=A","Dates=H","DateFormat=P","Fill=—","Direction=H","UseDPDF=Y")</f>
        <v>0</v>
      </c>
      <c r="J69" s="14">
        <f>_xll.BDH("BLUE US Equity","EQY_DPS","FQ1 2021","FQ1 2021","Currency=USD","Period=FQ","BEST_FPERIOD_OVERRIDE=FQ","FILING_STATUS=MR","Sort=A","Dates=H","DateFormat=P","Fill=—","Direction=H","UseDPDF=Y")</f>
        <v>0</v>
      </c>
      <c r="K69" s="14">
        <f>_xll.BDH("BLUE US Equity","EQY_DPS","FQ2 2021","FQ2 2021","Currency=USD","Period=FQ","BEST_FPERIOD_OVERRIDE=FQ","FILING_STATUS=MR","Sort=A","Dates=H","DateFormat=P","Fill=—","Direction=H","UseDPDF=Y")</f>
        <v>0</v>
      </c>
      <c r="L69" s="14">
        <f>_xll.BDH("BLUE US Equity","EQY_DPS","FQ3 2021","FQ3 2021","Currency=USD","Period=FQ","BEST_FPERIOD_OVERRIDE=FQ","FILING_STATUS=MR","Sort=A","Dates=H","DateFormat=P","Fill=—","Direction=H","UseDPDF=Y")</f>
        <v>0</v>
      </c>
      <c r="M69" s="14">
        <f>_xll.BDH("BLUE US Equity","EQY_DPS","FQ4 2021","FQ4 2021","Currency=USD","Period=FQ","BEST_FPERIOD_OVERRIDE=FQ","FILING_STATUS=MR","Sort=A","Dates=H","DateFormat=P","Fill=—","Direction=H","UseDPDF=Y")</f>
        <v>0</v>
      </c>
      <c r="N69" s="14">
        <f>_xll.BDH("BLUE US Equity","EQY_DPS","FQ1 2022","FQ1 2022","Currency=USD","Period=FQ","BEST_FPERIOD_OVERRIDE=FQ","FILING_STATUS=MR","Sort=A","Dates=H","DateFormat=P","Fill=—","Direction=H","UseDPDF=Y")</f>
        <v>0</v>
      </c>
      <c r="O69" s="14">
        <f>_xll.BDH("BLUE US Equity","EQY_DPS","FQ2 2022","FQ2 2022","Currency=USD","Period=FQ","BEST_FPERIOD_OVERRIDE=FQ","FILING_STATUS=MR","Sort=A","Dates=H","DateFormat=P","Fill=—","Direction=H","UseDPDF=Y")</f>
        <v>0</v>
      </c>
      <c r="P69" s="14">
        <f>_xll.BDH("BLUE US Equity","EQY_DPS","FQ3 2022","FQ3 2022","Currency=USD","Period=FQ","BEST_FPERIOD_OVERRIDE=FQ","FILING_STATUS=MR","Sort=A","Dates=H","DateFormat=P","Fill=—","Direction=H","UseDPDF=Y")</f>
        <v>0</v>
      </c>
      <c r="Q69" s="14">
        <f>_xll.BDH("BLUE US Equity","EQY_DPS","FQ4 2022","FQ4 2022","Currency=USD","Period=FQ","BEST_FPERIOD_OVERRIDE=FQ","FILING_STATUS=MR","Sort=A","Dates=H","DateFormat=P","Fill=—","Direction=H","UseDPDF=Y")</f>
        <v>0</v>
      </c>
      <c r="R69" s="14">
        <f>_xll.BDH("BLUE US Equity","EQY_DPS","FQ1 2023","FQ1 2023","Currency=USD","Period=FQ","BEST_FPERIOD_OVERRIDE=FQ","FILING_STATUS=MR","Sort=A","Dates=H","DateFormat=P","Fill=—","Direction=H","UseDPDF=Y")</f>
        <v>0</v>
      </c>
      <c r="S69" s="14">
        <f>_xll.BDH("BLUE US Equity","EQY_DPS","FQ2 2023","FQ2 2023","Currency=USD","Period=FQ","BEST_FPERIOD_OVERRIDE=FQ","FILING_STATUS=MR","Sort=A","Dates=H","DateFormat=P","Fill=—","Direction=H","UseDPDF=Y")</f>
        <v>0</v>
      </c>
      <c r="T69" s="14">
        <f>_xll.BDH("BLUE US Equity","EQY_DPS","FQ3 2023","FQ3 2023","Currency=USD","Period=FQ","BEST_FPERIOD_OVERRIDE=FQ","FILING_STATUS=MR","Sort=A","Dates=H","DateFormat=P","Fill=—","Direction=H","UseDPDF=Y")</f>
        <v>0</v>
      </c>
      <c r="U69" s="14">
        <f>_xll.BDH("BLUE US Equity","EQY_DPS","FQ4 2023","FQ4 2023","Currency=USD","Period=FQ","BEST_FPERIOD_OVERRIDE=FQ","FILING_STATUS=MR","Sort=A","Dates=H","DateFormat=P","Fill=—","Direction=H","UseDPDF=Y")</f>
        <v>0</v>
      </c>
      <c r="V69" s="14">
        <f>_xll.BDH("BLUE US Equity","EQY_DPS","FQ1 2024","FQ1 2024","Currency=USD","Period=FQ","BEST_FPERIOD_OVERRIDE=FQ","FILING_STATUS=MR","Sort=A","Dates=H","DateFormat=P","Fill=—","Direction=H","UseDPDF=Y")</f>
        <v>0</v>
      </c>
      <c r="W69" s="14">
        <f>_xll.BDH("BLUE US Equity","EQY_DPS","FQ2 2024","FQ2 2024","Currency=USD","Period=FQ","BEST_FPERIOD_OVERRIDE=FQ","FILING_STATUS=MR","Sort=A","Dates=H","DateFormat=P","Fill=—","Direction=H","UseDPDF=Y")</f>
        <v>0</v>
      </c>
      <c r="X69" s="14">
        <f>_xll.BDH("BLUE US Equity","EQY_DPS","FQ3 2024","FQ3 2024","Currency=USD","Period=FQ","BEST_FPERIOD_OVERRIDE=FQ","FILING_STATUS=MR","Sort=A","Dates=H","DateFormat=P","Fill=—","Direction=H","UseDPDF=Y")</f>
        <v>0</v>
      </c>
      <c r="Y69" s="14">
        <f>_xll.BDH("BLUE US Equity","EQY_DPS","FQ4 2024","FQ4 2024","Currency=USD","Period=FQ","BEST_FPERIOD_OVERRIDE=FQ","FILING_STATUS=MR","Sort=A","Dates=H","DateFormat=P","Fill=—","Direction=H","UseDPDF=Y")</f>
        <v>0</v>
      </c>
      <c r="Z69" s="14"/>
      <c r="AA69" s="14"/>
    </row>
    <row r="70" spans="1:27" x14ac:dyDescent="0.25">
      <c r="A70" s="10" t="s">
        <v>366</v>
      </c>
      <c r="B70" s="10" t="s">
        <v>367</v>
      </c>
      <c r="C70" s="13">
        <f>_xll.BDH("BLUE US Equity","IS_TOT_CASH_COM_DVD","FQ2 2019","FQ2 2019","Currency=USD","Period=FQ","BEST_FPERIOD_OVERRIDE=FQ","FILING_STATUS=MR","SCALING_FORMAT=MLN","Sort=A","Dates=H","DateFormat=P","Fill=—","Direction=H","UseDPDF=Y")</f>
        <v>0</v>
      </c>
      <c r="D70" s="13">
        <f>_xll.BDH("BLUE US Equity","IS_TOT_CASH_COM_DVD","FQ3 2019","FQ3 2019","Currency=USD","Period=FQ","BEST_FPERIOD_OVERRIDE=FQ","FILING_STATUS=MR","SCALING_FORMAT=MLN","Sort=A","Dates=H","DateFormat=P","Fill=—","Direction=H","UseDPDF=Y")</f>
        <v>0</v>
      </c>
      <c r="E70" s="13">
        <f>_xll.BDH("BLUE US Equity","IS_TOT_CASH_COM_DVD","FQ4 2019","FQ4 2019","Currency=USD","Period=FQ","BEST_FPERIOD_OVERRIDE=FQ","FILING_STATUS=MR","SCALING_FORMAT=MLN","Sort=A","Dates=H","DateFormat=P","Fill=—","Direction=H","UseDPDF=Y")</f>
        <v>0</v>
      </c>
      <c r="F70" s="13">
        <f>_xll.BDH("BLUE US Equity","IS_TOT_CASH_COM_DVD","FQ1 2020","FQ1 2020","Currency=USD","Period=FQ","BEST_FPERIOD_OVERRIDE=FQ","FILING_STATUS=MR","SCALING_FORMAT=MLN","Sort=A","Dates=H","DateFormat=P","Fill=—","Direction=H","UseDPDF=Y")</f>
        <v>0</v>
      </c>
      <c r="G70" s="13">
        <f>_xll.BDH("BLUE US Equity","IS_TOT_CASH_COM_DVD","FQ2 2020","FQ2 2020","Currency=USD","Period=FQ","BEST_FPERIOD_OVERRIDE=FQ","FILING_STATUS=MR","SCALING_FORMAT=MLN","Sort=A","Dates=H","DateFormat=P","Fill=—","Direction=H","UseDPDF=Y")</f>
        <v>0</v>
      </c>
      <c r="H70" s="13">
        <f>_xll.BDH("BLUE US Equity","IS_TOT_CASH_COM_DVD","FQ3 2020","FQ3 2020","Currency=USD","Period=FQ","BEST_FPERIOD_OVERRIDE=FQ","FILING_STATUS=MR","SCALING_FORMAT=MLN","Sort=A","Dates=H","DateFormat=P","Fill=—","Direction=H","UseDPDF=Y")</f>
        <v>0</v>
      </c>
      <c r="I70" s="13">
        <f>_xll.BDH("BLUE US Equity","IS_TOT_CASH_COM_DVD","FQ4 2020","FQ4 2020","Currency=USD","Period=FQ","BEST_FPERIOD_OVERRIDE=FQ","FILING_STATUS=MR","SCALING_FORMAT=MLN","Sort=A","Dates=H","DateFormat=P","Fill=—","Direction=H","UseDPDF=Y")</f>
        <v>0</v>
      </c>
      <c r="J70" s="13">
        <f>_xll.BDH("BLUE US Equity","IS_TOT_CASH_COM_DVD","FQ1 2021","FQ1 2021","Currency=USD","Period=FQ","BEST_FPERIOD_OVERRIDE=FQ","FILING_STATUS=MR","SCALING_FORMAT=MLN","Sort=A","Dates=H","DateFormat=P","Fill=—","Direction=H","UseDPDF=Y")</f>
        <v>0</v>
      </c>
      <c r="K70" s="13">
        <f>_xll.BDH("BLUE US Equity","IS_TOT_CASH_COM_DVD","FQ2 2021","FQ2 2021","Currency=USD","Period=FQ","BEST_FPERIOD_OVERRIDE=FQ","FILING_STATUS=MR","SCALING_FORMAT=MLN","Sort=A","Dates=H","DateFormat=P","Fill=—","Direction=H","UseDPDF=Y")</f>
        <v>0</v>
      </c>
      <c r="L70" s="13">
        <f>_xll.BDH("BLUE US Equity","IS_TOT_CASH_COM_DVD","FQ3 2021","FQ3 2021","Currency=USD","Period=FQ","BEST_FPERIOD_OVERRIDE=FQ","FILING_STATUS=MR","SCALING_FORMAT=MLN","Sort=A","Dates=H","DateFormat=P","Fill=—","Direction=H","UseDPDF=Y")</f>
        <v>0</v>
      </c>
      <c r="M70" s="13">
        <f>_xll.BDH("BLUE US Equity","IS_TOT_CASH_COM_DVD","FQ4 2021","FQ4 2021","Currency=USD","Period=FQ","BEST_FPERIOD_OVERRIDE=FQ","FILING_STATUS=MR","SCALING_FORMAT=MLN","Sort=A","Dates=H","DateFormat=P","Fill=—","Direction=H","UseDPDF=Y")</f>
        <v>0</v>
      </c>
      <c r="N70" s="13">
        <f>_xll.BDH("BLUE US Equity","IS_TOT_CASH_COM_DVD","FQ1 2022","FQ1 2022","Currency=USD","Period=FQ","BEST_FPERIOD_OVERRIDE=FQ","FILING_STATUS=MR","SCALING_FORMAT=MLN","Sort=A","Dates=H","DateFormat=P","Fill=—","Direction=H","UseDPDF=Y")</f>
        <v>0</v>
      </c>
      <c r="O70" s="13">
        <f>_xll.BDH("BLUE US Equity","IS_TOT_CASH_COM_DVD","FQ2 2022","FQ2 2022","Currency=USD","Period=FQ","BEST_FPERIOD_OVERRIDE=FQ","FILING_STATUS=MR","SCALING_FORMAT=MLN","Sort=A","Dates=H","DateFormat=P","Fill=—","Direction=H","UseDPDF=Y")</f>
        <v>0</v>
      </c>
      <c r="P70" s="13">
        <f>_xll.BDH("BLUE US Equity","IS_TOT_CASH_COM_DVD","FQ3 2022","FQ3 2022","Currency=USD","Period=FQ","BEST_FPERIOD_OVERRIDE=FQ","FILING_STATUS=MR","SCALING_FORMAT=MLN","Sort=A","Dates=H","DateFormat=P","Fill=—","Direction=H","UseDPDF=Y")</f>
        <v>0</v>
      </c>
      <c r="Q70" s="13">
        <f>_xll.BDH("BLUE US Equity","IS_TOT_CASH_COM_DVD","FQ4 2022","FQ4 2022","Currency=USD","Period=FQ","BEST_FPERIOD_OVERRIDE=FQ","FILING_STATUS=MR","SCALING_FORMAT=MLN","Sort=A","Dates=H","DateFormat=P","Fill=—","Direction=H","UseDPDF=Y")</f>
        <v>0</v>
      </c>
      <c r="R70" s="13">
        <f>_xll.BDH("BLUE US Equity","IS_TOT_CASH_COM_DVD","FQ1 2023","FQ1 2023","Currency=USD","Period=FQ","BEST_FPERIOD_OVERRIDE=FQ","FILING_STATUS=MR","SCALING_FORMAT=MLN","Sort=A","Dates=H","DateFormat=P","Fill=—","Direction=H","UseDPDF=Y")</f>
        <v>0</v>
      </c>
      <c r="S70" s="13">
        <f>_xll.BDH("BLUE US Equity","IS_TOT_CASH_COM_DVD","FQ2 2023","FQ2 2023","Currency=USD","Period=FQ","BEST_FPERIOD_OVERRIDE=FQ","FILING_STATUS=MR","SCALING_FORMAT=MLN","Sort=A","Dates=H","DateFormat=P","Fill=—","Direction=H","UseDPDF=Y")</f>
        <v>0</v>
      </c>
      <c r="T70" s="13">
        <f>_xll.BDH("BLUE US Equity","IS_TOT_CASH_COM_DVD","FQ3 2023","FQ3 2023","Currency=USD","Period=FQ","BEST_FPERIOD_OVERRIDE=FQ","FILING_STATUS=MR","SCALING_FORMAT=MLN","Sort=A","Dates=H","DateFormat=P","Fill=—","Direction=H","UseDPDF=Y")</f>
        <v>0</v>
      </c>
      <c r="U70" s="13">
        <f>_xll.BDH("BLUE US Equity","IS_TOT_CASH_COM_DVD","FQ4 2023","FQ4 2023","Currency=USD","Period=FQ","BEST_FPERIOD_OVERRIDE=FQ","FILING_STATUS=MR","SCALING_FORMAT=MLN","Sort=A","Dates=H","DateFormat=P","Fill=—","Direction=H","UseDPDF=Y")</f>
        <v>0</v>
      </c>
      <c r="V70" s="13">
        <f>_xll.BDH("BLUE US Equity","IS_TOT_CASH_COM_DVD","FQ1 2024","FQ1 2024","Currency=USD","Period=FQ","BEST_FPERIOD_OVERRIDE=FQ","FILING_STATUS=MR","SCALING_FORMAT=MLN","Sort=A","Dates=H","DateFormat=P","Fill=—","Direction=H","UseDPDF=Y")</f>
        <v>0</v>
      </c>
      <c r="W70" s="13">
        <f>_xll.BDH("BLUE US Equity","IS_TOT_CASH_COM_DVD","FQ2 2024","FQ2 2024","Currency=USD","Period=FQ","BEST_FPERIOD_OVERRIDE=FQ","FILING_STATUS=MR","SCALING_FORMAT=MLN","Sort=A","Dates=H","DateFormat=P","Fill=—","Direction=H","UseDPDF=Y")</f>
        <v>0</v>
      </c>
      <c r="X70" s="13">
        <f>_xll.BDH("BLUE US Equity","IS_TOT_CASH_COM_DVD","FQ3 2024","FQ3 2024","Currency=USD","Period=FQ","BEST_FPERIOD_OVERRIDE=FQ","FILING_STATUS=MR","SCALING_FORMAT=MLN","Sort=A","Dates=H","DateFormat=P","Fill=—","Direction=H","UseDPDF=Y")</f>
        <v>0</v>
      </c>
      <c r="Y70" s="13">
        <f>_xll.BDH("BLUE US Equity","IS_TOT_CASH_COM_DVD","FQ4 2024","FQ4 2024","Currency=USD","Period=FQ","BEST_FPERIOD_OVERRIDE=FQ","FILING_STATUS=MR","SCALING_FORMAT=MLN","Sort=A","Dates=H","DateFormat=P","Fill=—","Direction=H","UseDPDF=Y")</f>
        <v>0</v>
      </c>
      <c r="Z70" s="13"/>
      <c r="AA70" s="13"/>
    </row>
    <row r="71" spans="1:27" x14ac:dyDescent="0.25">
      <c r="A71" s="10" t="s">
        <v>368</v>
      </c>
      <c r="B71" s="10" t="s">
        <v>369</v>
      </c>
      <c r="C71" s="13">
        <f>_xll.BDH("BLUE US Equity","IS_CAP_INT_EXP","FQ2 2019","FQ2 2019","Currency=USD","Period=FQ","BEST_FPERIOD_OVERRIDE=FQ","FILING_STATUS=MR","SCALING_FORMAT=MLN","Sort=A","Dates=H","DateFormat=P","Fill=—","Direction=H","UseDPDF=Y")</f>
        <v>0</v>
      </c>
      <c r="D71" s="13">
        <f>_xll.BDH("BLUE US Equity","IS_CAP_INT_EXP","FQ3 2019","FQ3 2019","Currency=USD","Period=FQ","BEST_FPERIOD_OVERRIDE=FQ","FILING_STATUS=MR","SCALING_FORMAT=MLN","Sort=A","Dates=H","DateFormat=P","Fill=—","Direction=H","UseDPDF=Y")</f>
        <v>0</v>
      </c>
      <c r="E71" s="13">
        <f>_xll.BDH("BLUE US Equity","IS_CAP_INT_EXP","FQ4 2019","FQ4 2019","Currency=USD","Period=FQ","BEST_FPERIOD_OVERRIDE=FQ","FILING_STATUS=MR","SCALING_FORMAT=MLN","Sort=A","Dates=H","DateFormat=P","Fill=—","Direction=H","UseDPDF=Y")</f>
        <v>0</v>
      </c>
      <c r="F71" s="13">
        <f>_xll.BDH("BLUE US Equity","IS_CAP_INT_EXP","FQ1 2020","FQ1 2020","Currency=USD","Period=FQ","BEST_FPERIOD_OVERRIDE=FQ","FILING_STATUS=MR","SCALING_FORMAT=MLN","Sort=A","Dates=H","DateFormat=P","Fill=—","Direction=H","UseDPDF=Y")</f>
        <v>0</v>
      </c>
      <c r="G71" s="13">
        <f>_xll.BDH("BLUE US Equity","IS_CAP_INT_EXP","FQ2 2020","FQ2 2020","Currency=USD","Period=FQ","BEST_FPERIOD_OVERRIDE=FQ","FILING_STATUS=MR","SCALING_FORMAT=MLN","Sort=A","Dates=H","DateFormat=P","Fill=—","Direction=H","UseDPDF=Y")</f>
        <v>0</v>
      </c>
      <c r="H71" s="13">
        <f>_xll.BDH("BLUE US Equity","IS_CAP_INT_EXP","FQ3 2020","FQ3 2020","Currency=USD","Period=FQ","BEST_FPERIOD_OVERRIDE=FQ","FILING_STATUS=MR","SCALING_FORMAT=MLN","Sort=A","Dates=H","DateFormat=P","Fill=—","Direction=H","UseDPDF=Y")</f>
        <v>0</v>
      </c>
      <c r="I71" s="13">
        <f>_xll.BDH("BLUE US Equity","IS_CAP_INT_EXP","FQ4 2020","FQ4 2020","Currency=USD","Period=FQ","BEST_FPERIOD_OVERRIDE=FQ","FILING_STATUS=MR","SCALING_FORMAT=MLN","Sort=A","Dates=H","DateFormat=P","Fill=—","Direction=H","UseDPDF=Y")</f>
        <v>0</v>
      </c>
      <c r="J71" s="13" t="str">
        <f>_xll.BDH("BLUE US Equity","IS_CAP_INT_EXP","FQ1 2021","FQ1 2021","Currency=USD","Period=FQ","BEST_FPERIOD_OVERRIDE=FQ","FILING_STATUS=MR","SCALING_FORMAT=MLN","Sort=A","Dates=H","DateFormat=P","Fill=—","Direction=H","UseDPDF=Y")</f>
        <v>—</v>
      </c>
      <c r="K71" s="13">
        <f>_xll.BDH("BLUE US Equity","IS_CAP_INT_EXP","FQ2 2021","FQ2 2021","Currency=USD","Period=FQ","BEST_FPERIOD_OVERRIDE=FQ","FILING_STATUS=MR","SCALING_FORMAT=MLN","Sort=A","Dates=H","DateFormat=P","Fill=—","Direction=H","UseDPDF=Y")</f>
        <v>0</v>
      </c>
      <c r="L71" s="13" t="str">
        <f>_xll.BDH("BLUE US Equity","IS_CAP_INT_EXP","FQ3 2021","FQ3 2021","Currency=USD","Period=FQ","BEST_FPERIOD_OVERRIDE=FQ","FILING_STATUS=MR","SCALING_FORMAT=MLN","Sort=A","Dates=H","DateFormat=P","Fill=—","Direction=H","UseDPDF=Y")</f>
        <v>—</v>
      </c>
      <c r="M71" s="13">
        <f>_xll.BDH("BLUE US Equity","IS_CAP_INT_EXP","FQ4 2021","FQ4 2021","Currency=USD","Period=FQ","BEST_FPERIOD_OVERRIDE=FQ","FILING_STATUS=MR","SCALING_FORMAT=MLN","Sort=A","Dates=H","DateFormat=P","Fill=—","Direction=H","UseDPDF=Y")</f>
        <v>0</v>
      </c>
      <c r="N71" s="13" t="str">
        <f>_xll.BDH("BLUE US Equity","IS_CAP_INT_EXP","FQ1 2022","FQ1 2022","Currency=USD","Period=FQ","BEST_FPERIOD_OVERRIDE=FQ","FILING_STATUS=MR","SCALING_FORMAT=MLN","Sort=A","Dates=H","DateFormat=P","Fill=—","Direction=H","UseDPDF=Y")</f>
        <v>—</v>
      </c>
      <c r="O71" s="13">
        <f>_xll.BDH("BLUE US Equity","IS_CAP_INT_EXP","FQ2 2022","FQ2 2022","Currency=USD","Period=FQ","BEST_FPERIOD_OVERRIDE=FQ","FILING_STATUS=MR","SCALING_FORMAT=MLN","Sort=A","Dates=H","DateFormat=P","Fill=—","Direction=H","UseDPDF=Y")</f>
        <v>0</v>
      </c>
      <c r="P71" s="13" t="str">
        <f>_xll.BDH("BLUE US Equity","IS_CAP_INT_EXP","FQ3 2022","FQ3 2022","Currency=USD","Period=FQ","BEST_FPERIOD_OVERRIDE=FQ","FILING_STATUS=MR","SCALING_FORMAT=MLN","Sort=A","Dates=H","DateFormat=P","Fill=—","Direction=H","UseDPDF=Y")</f>
        <v>—</v>
      </c>
      <c r="Q71" s="13">
        <f>_xll.BDH("BLUE US Equity","IS_CAP_INT_EXP","FQ4 2022","FQ4 2022","Currency=USD","Period=FQ","BEST_FPERIOD_OVERRIDE=FQ","FILING_STATUS=MR","SCALING_FORMAT=MLN","Sort=A","Dates=H","DateFormat=P","Fill=—","Direction=H","UseDPDF=Y")</f>
        <v>0</v>
      </c>
      <c r="R71" s="13" t="str">
        <f>_xll.BDH("BLUE US Equity","IS_CAP_INT_EXP","FQ1 2023","FQ1 2023","Currency=USD","Period=FQ","BEST_FPERIOD_OVERRIDE=FQ","FILING_STATUS=MR","SCALING_FORMAT=MLN","Sort=A","Dates=H","DateFormat=P","Fill=—","Direction=H","UseDPDF=Y")</f>
        <v>—</v>
      </c>
      <c r="S71" s="13">
        <f>_xll.BDH("BLUE US Equity","IS_CAP_INT_EXP","FQ2 2023","FQ2 2023","Currency=USD","Period=FQ","BEST_FPERIOD_OVERRIDE=FQ","FILING_STATUS=MR","SCALING_FORMAT=MLN","Sort=A","Dates=H","DateFormat=P","Fill=—","Direction=H","UseDPDF=Y")</f>
        <v>0</v>
      </c>
      <c r="T71" s="13" t="str">
        <f>_xll.BDH("BLUE US Equity","IS_CAP_INT_EXP","FQ3 2023","FQ3 2023","Currency=USD","Period=FQ","BEST_FPERIOD_OVERRIDE=FQ","FILING_STATUS=MR","SCALING_FORMAT=MLN","Sort=A","Dates=H","DateFormat=P","Fill=—","Direction=H","UseDPDF=Y")</f>
        <v>—</v>
      </c>
      <c r="U71" s="13">
        <f>_xll.BDH("BLUE US Equity","IS_CAP_INT_EXP","FQ4 2023","FQ4 2023","Currency=USD","Period=FQ","BEST_FPERIOD_OVERRIDE=FQ","FILING_STATUS=MR","SCALING_FORMAT=MLN","Sort=A","Dates=H","DateFormat=P","Fill=—","Direction=H","UseDPDF=Y")</f>
        <v>0</v>
      </c>
      <c r="V71" s="13" t="str">
        <f>_xll.BDH("BLUE US Equity","IS_CAP_INT_EXP","FQ1 2024","FQ1 2024","Currency=USD","Period=FQ","BEST_FPERIOD_OVERRIDE=FQ","FILING_STATUS=MR","SCALING_FORMAT=MLN","Sort=A","Dates=H","DateFormat=P","Fill=—","Direction=H","UseDPDF=Y")</f>
        <v>—</v>
      </c>
      <c r="W71" s="13" t="str">
        <f>_xll.BDH("BLUE US Equity","IS_CAP_INT_EXP","FQ2 2024","FQ2 2024","Currency=USD","Period=FQ","BEST_FPERIOD_OVERRIDE=FQ","FILING_STATUS=MR","SCALING_FORMAT=MLN","Sort=A","Dates=H","DateFormat=P","Fill=—","Direction=H","UseDPDF=Y")</f>
        <v>—</v>
      </c>
      <c r="X71" s="13" t="str">
        <f>_xll.BDH("BLUE US Equity","IS_CAP_INT_EXP","FQ3 2024","FQ3 2024","Currency=USD","Period=FQ","BEST_FPERIOD_OVERRIDE=FQ","FILING_STATUS=MR","SCALING_FORMAT=MLN","Sort=A","Dates=H","DateFormat=P","Fill=—","Direction=H","UseDPDF=Y")</f>
        <v>—</v>
      </c>
      <c r="Y71" s="13" t="str">
        <f>_xll.BDH("BLUE US Equity","IS_CAP_INT_EXP","FQ4 2024","FQ4 2024","Currency=USD","Period=FQ","BEST_FPERIOD_OVERRIDE=FQ","FILING_STATUS=MR","SCALING_FORMAT=MLN","Sort=A","Dates=H","DateFormat=P","Fill=—","Direction=H","UseDPDF=Y")</f>
        <v>—</v>
      </c>
      <c r="Z71" s="13"/>
      <c r="AA71" s="13"/>
    </row>
    <row r="72" spans="1:27" x14ac:dyDescent="0.25">
      <c r="A72" s="10" t="s">
        <v>370</v>
      </c>
      <c r="B72" s="10" t="s">
        <v>371</v>
      </c>
      <c r="C72" s="13" t="str">
        <f>_xll.BDH("BLUE US Equity","IS_DEPR_EXP","FQ2 2019","FQ2 2019","Currency=USD","Period=FQ","BEST_FPERIOD_OVERRIDE=FQ","FILING_STATUS=MR","SCALING_FORMAT=MLN","Sort=A","Dates=H","DateFormat=P","Fill=—","Direction=H","UseDPDF=Y")</f>
        <v>—</v>
      </c>
      <c r="D72" s="13" t="str">
        <f>_xll.BDH("BLUE US Equity","IS_DEPR_EXP","FQ3 2019","FQ3 2019","Currency=USD","Period=FQ","BEST_FPERIOD_OVERRIDE=FQ","FILING_STATUS=MR","SCALING_FORMAT=MLN","Sort=A","Dates=H","DateFormat=P","Fill=—","Direction=H","UseDPDF=Y")</f>
        <v>—</v>
      </c>
      <c r="E72" s="13" t="str">
        <f>_xll.BDH("BLUE US Equity","IS_DEPR_EXP","FQ4 2019","FQ4 2019","Currency=USD","Period=FQ","BEST_FPERIOD_OVERRIDE=FQ","FILING_STATUS=MR","SCALING_FORMAT=MLN","Sort=A","Dates=H","DateFormat=P","Fill=—","Direction=H","UseDPDF=Y")</f>
        <v>—</v>
      </c>
      <c r="F72" s="13" t="str">
        <f>_xll.BDH("BLUE US Equity","IS_DEPR_EXP","FQ1 2020","FQ1 2020","Currency=USD","Period=FQ","BEST_FPERIOD_OVERRIDE=FQ","FILING_STATUS=MR","SCALING_FORMAT=MLN","Sort=A","Dates=H","DateFormat=P","Fill=—","Direction=H","UseDPDF=Y")</f>
        <v>—</v>
      </c>
      <c r="G72" s="13" t="str">
        <f>_xll.BDH("BLUE US Equity","IS_DEPR_EXP","FQ2 2020","FQ2 2020","Currency=USD","Period=FQ","BEST_FPERIOD_OVERRIDE=FQ","FILING_STATUS=MR","SCALING_FORMAT=MLN","Sort=A","Dates=H","DateFormat=P","Fill=—","Direction=H","UseDPDF=Y")</f>
        <v>—</v>
      </c>
      <c r="H72" s="13" t="str">
        <f>_xll.BDH("BLUE US Equity","IS_DEPR_EXP","FQ3 2020","FQ3 2020","Currency=USD","Period=FQ","BEST_FPERIOD_OVERRIDE=FQ","FILING_STATUS=MR","SCALING_FORMAT=MLN","Sort=A","Dates=H","DateFormat=P","Fill=—","Direction=H","UseDPDF=Y")</f>
        <v>—</v>
      </c>
      <c r="I72" s="13" t="str">
        <f>_xll.BDH("BLUE US Equity","IS_DEPR_EXP","FQ4 2020","FQ4 2020","Currency=USD","Period=FQ","BEST_FPERIOD_OVERRIDE=FQ","FILING_STATUS=MR","SCALING_FORMAT=MLN","Sort=A","Dates=H","DateFormat=P","Fill=—","Direction=H","UseDPDF=Y")</f>
        <v>—</v>
      </c>
      <c r="J72" s="13" t="str">
        <f>_xll.BDH("BLUE US Equity","IS_DEPR_EXP","FQ1 2021","FQ1 2021","Currency=USD","Period=FQ","BEST_FPERIOD_OVERRIDE=FQ","FILING_STATUS=MR","SCALING_FORMAT=MLN","Sort=A","Dates=H","DateFormat=P","Fill=—","Direction=H","UseDPDF=Y")</f>
        <v>—</v>
      </c>
      <c r="K72" s="13" t="str">
        <f>_xll.BDH("BLUE US Equity","IS_DEPR_EXP","FQ2 2021","FQ2 2021","Currency=USD","Period=FQ","BEST_FPERIOD_OVERRIDE=FQ","FILING_STATUS=MR","SCALING_FORMAT=MLN","Sort=A","Dates=H","DateFormat=P","Fill=—","Direction=H","UseDPDF=Y")</f>
        <v>—</v>
      </c>
      <c r="L72" s="13">
        <f>_xll.BDH("BLUE US Equity","IS_DEPR_EXP","FQ3 2021","FQ3 2021","Currency=USD","Period=FQ","BEST_FPERIOD_OVERRIDE=FQ","FILING_STATUS=MR","SCALING_FORMAT=MLN","Sort=A","Dates=H","DateFormat=P","Fill=—","Direction=H","UseDPDF=Y")</f>
        <v>5.9820000000000002</v>
      </c>
      <c r="M72" s="13" t="str">
        <f>_xll.BDH("BLUE US Equity","IS_DEPR_EXP","FQ4 2021","FQ4 2021","Currency=USD","Period=FQ","BEST_FPERIOD_OVERRIDE=FQ","FILING_STATUS=MR","SCALING_FORMAT=MLN","Sort=A","Dates=H","DateFormat=P","Fill=—","Direction=H","UseDPDF=Y")</f>
        <v>—</v>
      </c>
      <c r="N72" s="13" t="str">
        <f>_xll.BDH("BLUE US Equity","IS_DEPR_EXP","FQ1 2022","FQ1 2022","Currency=USD","Period=FQ","BEST_FPERIOD_OVERRIDE=FQ","FILING_STATUS=MR","SCALING_FORMAT=MLN","Sort=A","Dates=H","DateFormat=P","Fill=—","Direction=H","UseDPDF=Y")</f>
        <v>—</v>
      </c>
      <c r="O72" s="13" t="str">
        <f>_xll.BDH("BLUE US Equity","IS_DEPR_EXP","FQ2 2022","FQ2 2022","Currency=USD","Period=FQ","BEST_FPERIOD_OVERRIDE=FQ","FILING_STATUS=MR","SCALING_FORMAT=MLN","Sort=A","Dates=H","DateFormat=P","Fill=—","Direction=H","UseDPDF=Y")</f>
        <v>—</v>
      </c>
      <c r="P72" s="13">
        <f>_xll.BDH("BLUE US Equity","IS_DEPR_EXP","FQ3 2022","FQ3 2022","Currency=USD","Period=FQ","BEST_FPERIOD_OVERRIDE=FQ","FILING_STATUS=MR","SCALING_FORMAT=MLN","Sort=A","Dates=H","DateFormat=P","Fill=—","Direction=H","UseDPDF=Y")</f>
        <v>1.387</v>
      </c>
      <c r="Q72" s="13" t="str">
        <f>_xll.BDH("BLUE US Equity","IS_DEPR_EXP","FQ4 2022","FQ4 2022","Currency=USD","Period=FQ","BEST_FPERIOD_OVERRIDE=FQ","FILING_STATUS=MR","SCALING_FORMAT=MLN","Sort=A","Dates=H","DateFormat=P","Fill=—","Direction=H","UseDPDF=Y")</f>
        <v>—</v>
      </c>
      <c r="R72" s="13" t="str">
        <f>_xll.BDH("BLUE US Equity","IS_DEPR_EXP","FQ1 2023","FQ1 2023","Currency=USD","Period=FQ","BEST_FPERIOD_OVERRIDE=FQ","FILING_STATUS=MR","SCALING_FORMAT=MLN","Sort=A","Dates=H","DateFormat=P","Fill=—","Direction=H","UseDPDF=Y")</f>
        <v>—</v>
      </c>
      <c r="S72" s="13" t="str">
        <f>_xll.BDH("BLUE US Equity","IS_DEPR_EXP","FQ2 2023","FQ2 2023","Currency=USD","Period=FQ","BEST_FPERIOD_OVERRIDE=FQ","FILING_STATUS=MR","SCALING_FORMAT=MLN","Sort=A","Dates=H","DateFormat=P","Fill=—","Direction=H","UseDPDF=Y")</f>
        <v>—</v>
      </c>
      <c r="T72" s="13" t="str">
        <f>_xll.BDH("BLUE US Equity","IS_DEPR_EXP","FQ3 2023","FQ3 2023","Currency=USD","Period=FQ","BEST_FPERIOD_OVERRIDE=FQ","FILING_STATUS=MR","SCALING_FORMAT=MLN","Sort=A","Dates=H","DateFormat=P","Fill=—","Direction=H","UseDPDF=Y")</f>
        <v>—</v>
      </c>
      <c r="U72" s="13" t="str">
        <f>_xll.BDH("BLUE US Equity","IS_DEPR_EXP","FQ4 2023","FQ4 2023","Currency=USD","Period=FQ","BEST_FPERIOD_OVERRIDE=FQ","FILING_STATUS=MR","SCALING_FORMAT=MLN","Sort=A","Dates=H","DateFormat=P","Fill=—","Direction=H","UseDPDF=Y")</f>
        <v>—</v>
      </c>
      <c r="V72" s="13" t="str">
        <f>_xll.BDH("BLUE US Equity","IS_DEPR_EXP","FQ1 2024","FQ1 2024","Currency=USD","Period=FQ","BEST_FPERIOD_OVERRIDE=FQ","FILING_STATUS=MR","SCALING_FORMAT=MLN","Sort=A","Dates=H","DateFormat=P","Fill=—","Direction=H","UseDPDF=Y")</f>
        <v>—</v>
      </c>
      <c r="W72" s="13" t="str">
        <f>_xll.BDH("BLUE US Equity","IS_DEPR_EXP","FQ2 2024","FQ2 2024","Currency=USD","Period=FQ","BEST_FPERIOD_OVERRIDE=FQ","FILING_STATUS=MR","SCALING_FORMAT=MLN","Sort=A","Dates=H","DateFormat=P","Fill=—","Direction=H","UseDPDF=Y")</f>
        <v>—</v>
      </c>
      <c r="X72" s="13" t="str">
        <f>_xll.BDH("BLUE US Equity","IS_DEPR_EXP","FQ3 2024","FQ3 2024","Currency=USD","Period=FQ","BEST_FPERIOD_OVERRIDE=FQ","FILING_STATUS=MR","SCALING_FORMAT=MLN","Sort=A","Dates=H","DateFormat=P","Fill=—","Direction=H","UseDPDF=Y")</f>
        <v>—</v>
      </c>
      <c r="Y72" s="13" t="str">
        <f>_xll.BDH("BLUE US Equity","IS_DEPR_EXP","FQ4 2024","FQ4 2024","Currency=USD","Period=FQ","BEST_FPERIOD_OVERRIDE=FQ","FILING_STATUS=MR","SCALING_FORMAT=MLN","Sort=A","Dates=H","DateFormat=P","Fill=—","Direction=H","UseDPDF=Y")</f>
        <v>—</v>
      </c>
      <c r="Z72" s="13"/>
      <c r="AA72" s="13"/>
    </row>
    <row r="73" spans="1:27" x14ac:dyDescent="0.25">
      <c r="A73" s="10" t="s">
        <v>372</v>
      </c>
      <c r="B73" s="10" t="s">
        <v>373</v>
      </c>
      <c r="C73" s="13">
        <f>_xll.BDH("BLUE US Equity","BS_CURR_RENTAL_EXPENSE","FQ2 2019","FQ2 2019","Currency=USD","Period=FQ","BEST_FPERIOD_OVERRIDE=FQ","FILING_STATUS=MR","SCALING_FORMAT=MLN","Sort=A","Dates=H","DateFormat=P","Fill=—","Direction=H","UseDPDF=Y")</f>
        <v>8.9169999999999998</v>
      </c>
      <c r="D73" s="13">
        <f>_xll.BDH("BLUE US Equity","BS_CURR_RENTAL_EXPENSE","FQ3 2019","FQ3 2019","Currency=USD","Period=FQ","BEST_FPERIOD_OVERRIDE=FQ","FILING_STATUS=MR","SCALING_FORMAT=MLN","Sort=A","Dates=H","DateFormat=P","Fill=—","Direction=H","UseDPDF=Y")</f>
        <v>8.843</v>
      </c>
      <c r="E73" s="13">
        <f>_xll.BDH("BLUE US Equity","BS_CURR_RENTAL_EXPENSE","FQ4 2019","FQ4 2019","Currency=USD","Period=FQ","BEST_FPERIOD_OVERRIDE=FQ","FILING_STATUS=MR","SCALING_FORMAT=MLN","Sort=A","Dates=H","DateFormat=P","Fill=—","Direction=H","UseDPDF=Y")</f>
        <v>9.1020000000000003</v>
      </c>
      <c r="F73" s="13" t="str">
        <f>_xll.BDH("BLUE US Equity","BS_CURR_RENTAL_EXPENSE","FQ1 2020","FQ1 2020","Currency=USD","Period=FQ","BEST_FPERIOD_OVERRIDE=FQ","FILING_STATUS=MR","SCALING_FORMAT=MLN","Sort=A","Dates=H","DateFormat=P","Fill=—","Direction=H","UseDPDF=Y")</f>
        <v>—</v>
      </c>
      <c r="G73" s="13" t="str">
        <f>_xll.BDH("BLUE US Equity","BS_CURR_RENTAL_EXPENSE","FQ2 2020","FQ2 2020","Currency=USD","Period=FQ","BEST_FPERIOD_OVERRIDE=FQ","FILING_STATUS=MR","SCALING_FORMAT=MLN","Sort=A","Dates=H","DateFormat=P","Fill=—","Direction=H","UseDPDF=Y")</f>
        <v>—</v>
      </c>
      <c r="H73" s="13" t="str">
        <f>_xll.BDH("BLUE US Equity","BS_CURR_RENTAL_EXPENSE","FQ3 2020","FQ3 2020","Currency=USD","Period=FQ","BEST_FPERIOD_OVERRIDE=FQ","FILING_STATUS=MR","SCALING_FORMAT=MLN","Sort=A","Dates=H","DateFormat=P","Fill=—","Direction=H","UseDPDF=Y")</f>
        <v>—</v>
      </c>
      <c r="I73" s="13" t="str">
        <f>_xll.BDH("BLUE US Equity","BS_CURR_RENTAL_EXPENSE","FQ4 2020","FQ4 2020","Currency=USD","Period=FQ","BEST_FPERIOD_OVERRIDE=FQ","FILING_STATUS=MR","SCALING_FORMAT=MLN","Sort=A","Dates=H","DateFormat=P","Fill=—","Direction=H","UseDPDF=Y")</f>
        <v>—</v>
      </c>
      <c r="J73" s="13" t="str">
        <f>_xll.BDH("BLUE US Equity","BS_CURR_RENTAL_EXPENSE","FQ1 2021","FQ1 2021","Currency=USD","Period=FQ","BEST_FPERIOD_OVERRIDE=FQ","FILING_STATUS=MR","SCALING_FORMAT=MLN","Sort=A","Dates=H","DateFormat=P","Fill=—","Direction=H","UseDPDF=Y")</f>
        <v>—</v>
      </c>
      <c r="K73" s="13" t="str">
        <f>_xll.BDH("BLUE US Equity","BS_CURR_RENTAL_EXPENSE","FQ2 2021","FQ2 2021","Currency=USD","Period=FQ","BEST_FPERIOD_OVERRIDE=FQ","FILING_STATUS=MR","SCALING_FORMAT=MLN","Sort=A","Dates=H","DateFormat=P","Fill=—","Direction=H","UseDPDF=Y")</f>
        <v>—</v>
      </c>
      <c r="L73" s="13" t="str">
        <f>_xll.BDH("BLUE US Equity","BS_CURR_RENTAL_EXPENSE","FQ3 2021","FQ3 2021","Currency=USD","Period=FQ","BEST_FPERIOD_OVERRIDE=FQ","FILING_STATUS=MR","SCALING_FORMAT=MLN","Sort=A","Dates=H","DateFormat=P","Fill=—","Direction=H","UseDPDF=Y")</f>
        <v>—</v>
      </c>
      <c r="M73" s="13" t="str">
        <f>_xll.BDH("BLUE US Equity","BS_CURR_RENTAL_EXPENSE","FQ4 2021","FQ4 2021","Currency=USD","Period=FQ","BEST_FPERIOD_OVERRIDE=FQ","FILING_STATUS=MR","SCALING_FORMAT=MLN","Sort=A","Dates=H","DateFormat=P","Fill=—","Direction=H","UseDPDF=Y")</f>
        <v>—</v>
      </c>
      <c r="N73" s="13" t="str">
        <f>_xll.BDH("BLUE US Equity","BS_CURR_RENTAL_EXPENSE","FQ1 2022","FQ1 2022","Currency=USD","Period=FQ","BEST_FPERIOD_OVERRIDE=FQ","FILING_STATUS=MR","SCALING_FORMAT=MLN","Sort=A","Dates=H","DateFormat=P","Fill=—","Direction=H","UseDPDF=Y")</f>
        <v>—</v>
      </c>
      <c r="O73" s="13" t="str">
        <f>_xll.BDH("BLUE US Equity","BS_CURR_RENTAL_EXPENSE","FQ2 2022","FQ2 2022","Currency=USD","Period=FQ","BEST_FPERIOD_OVERRIDE=FQ","FILING_STATUS=MR","SCALING_FORMAT=MLN","Sort=A","Dates=H","DateFormat=P","Fill=—","Direction=H","UseDPDF=Y")</f>
        <v>—</v>
      </c>
      <c r="P73" s="13" t="str">
        <f>_xll.BDH("BLUE US Equity","BS_CURR_RENTAL_EXPENSE","FQ3 2022","FQ3 2022","Currency=USD","Period=FQ","BEST_FPERIOD_OVERRIDE=FQ","FILING_STATUS=MR","SCALING_FORMAT=MLN","Sort=A","Dates=H","DateFormat=P","Fill=—","Direction=H","UseDPDF=Y")</f>
        <v>—</v>
      </c>
      <c r="Q73" s="13" t="str">
        <f>_xll.BDH("BLUE US Equity","BS_CURR_RENTAL_EXPENSE","FQ4 2022","FQ4 2022","Currency=USD","Period=FQ","BEST_FPERIOD_OVERRIDE=FQ","FILING_STATUS=MR","SCALING_FORMAT=MLN","Sort=A","Dates=H","DateFormat=P","Fill=—","Direction=H","UseDPDF=Y")</f>
        <v>—</v>
      </c>
      <c r="R73" s="13">
        <f>_xll.BDH("BLUE US Equity","BS_CURR_RENTAL_EXPENSE","FQ1 2023","FQ1 2023","Currency=USD","Period=FQ","BEST_FPERIOD_OVERRIDE=FQ","FILING_STATUS=MR","SCALING_FORMAT=MLN","Sort=A","Dates=H","DateFormat=P","Fill=—","Direction=H","UseDPDF=Y")</f>
        <v>8.2759999999999998</v>
      </c>
      <c r="S73" s="13">
        <f>_xll.BDH("BLUE US Equity","BS_CURR_RENTAL_EXPENSE","FQ2 2023","FQ2 2023","Currency=USD","Period=FQ","BEST_FPERIOD_OVERRIDE=FQ","FILING_STATUS=MR","SCALING_FORMAT=MLN","Sort=A","Dates=H","DateFormat=P","Fill=—","Direction=H","UseDPDF=Y")</f>
        <v>6.234</v>
      </c>
      <c r="T73" s="13">
        <f>_xll.BDH("BLUE US Equity","BS_CURR_RENTAL_EXPENSE","FQ3 2023","FQ3 2023","Currency=USD","Period=FQ","BEST_FPERIOD_OVERRIDE=FQ","FILING_STATUS=MR","SCALING_FORMAT=MLN","Sort=A","Dates=H","DateFormat=P","Fill=—","Direction=H","UseDPDF=Y")</f>
        <v>5.9569999999999999</v>
      </c>
      <c r="U73" s="13" t="str">
        <f>_xll.BDH("BLUE US Equity","BS_CURR_RENTAL_EXPENSE","FQ4 2023","FQ4 2023","Currency=USD","Period=FQ","BEST_FPERIOD_OVERRIDE=FQ","FILING_STATUS=MR","SCALING_FORMAT=MLN","Sort=A","Dates=H","DateFormat=P","Fill=—","Direction=H","UseDPDF=Y")</f>
        <v>—</v>
      </c>
      <c r="V73" s="13">
        <f>_xll.BDH("BLUE US Equity","BS_CURR_RENTAL_EXPENSE","FQ1 2024","FQ1 2024","Currency=USD","Period=FQ","BEST_FPERIOD_OVERRIDE=FQ","FILING_STATUS=MR","SCALING_FORMAT=MLN","Sort=A","Dates=H","DateFormat=P","Fill=—","Direction=H","UseDPDF=Y")</f>
        <v>5.2590000000000003</v>
      </c>
      <c r="W73" s="13">
        <f>_xll.BDH("BLUE US Equity","BS_CURR_RENTAL_EXPENSE","FQ2 2024","FQ2 2024","Currency=USD","Period=FQ","BEST_FPERIOD_OVERRIDE=FQ","FILING_STATUS=MR","SCALING_FORMAT=MLN","Sort=A","Dates=H","DateFormat=P","Fill=—","Direction=H","UseDPDF=Y")</f>
        <v>6.1689999999999996</v>
      </c>
      <c r="X73" s="13">
        <f>_xll.BDH("BLUE US Equity","BS_CURR_RENTAL_EXPENSE","FQ3 2024","FQ3 2024","Currency=USD","Period=FQ","BEST_FPERIOD_OVERRIDE=FQ","FILING_STATUS=MR","SCALING_FORMAT=MLN","Sort=A","Dates=H","DateFormat=P","Fill=—","Direction=H","UseDPDF=Y")</f>
        <v>18.713000000000001</v>
      </c>
      <c r="Y73" s="13" t="str">
        <f>_xll.BDH("BLUE US Equity","BS_CURR_RENTAL_EXPENSE","FQ4 2024","FQ4 2024","Currency=USD","Period=FQ","BEST_FPERIOD_OVERRIDE=FQ","FILING_STATUS=MR","SCALING_FORMAT=MLN","Sort=A","Dates=H","DateFormat=P","Fill=—","Direction=H","UseDPDF=Y")</f>
        <v>—</v>
      </c>
      <c r="Z73" s="13"/>
      <c r="AA73" s="13"/>
    </row>
    <row r="74" spans="1:27" x14ac:dyDescent="0.25">
      <c r="A74" s="7" t="s">
        <v>90</v>
      </c>
      <c r="B74" s="7"/>
      <c r="C74" s="7" t="s">
        <v>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EV Ex Operating Leases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Fair Value Analysis</vt:lpstr>
      <vt:lpstr>Cash Flow - Standardized</vt:lpstr>
      <vt:lpstr>Cash Flow - As Reported</vt:lpstr>
      <vt:lpstr>Profitability</vt:lpstr>
      <vt:lpstr>Growth</vt:lpstr>
      <vt:lpstr>Credit</vt:lpstr>
      <vt:lpstr>Credit Ex Operating Leases</vt:lpstr>
      <vt:lpstr>Liquidity</vt:lpstr>
      <vt:lpstr>Working Capital</vt:lpstr>
      <vt:lpstr>Yield Analysis</vt:lpstr>
      <vt:lpstr>DuPont Analysis</vt:lpstr>
      <vt:lpstr>By Measure</vt:lpstr>
      <vt:lpstr>By Geography</vt:lpstr>
      <vt:lpstr>By Segment</vt:lpstr>
      <vt:lpstr>ESG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Student1</cp:lastModifiedBy>
  <dcterms:created xsi:type="dcterms:W3CDTF">2013-04-03T15:49:21Z</dcterms:created>
  <dcterms:modified xsi:type="dcterms:W3CDTF">2025-03-28T18:26:51Z</dcterms:modified>
</cp:coreProperties>
</file>